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65" windowWidth="14805" windowHeight="6870" tabRatio="893" activeTab="13"/>
  </bookViews>
  <sheets>
    <sheet name="Bill Impact" sheetId="47" r:id="rId1"/>
    <sheet name="Rates Detail" sheetId="10" r:id="rId2"/>
    <sheet name="RES-RPP" sheetId="11" r:id="rId3"/>
    <sheet name="RES-NonRPP" sheetId="12" r:id="rId4"/>
    <sheet name="GSLT50 RPP" sheetId="13" r:id="rId5"/>
    <sheet name="GSLT50 NonRPP" sheetId="48" r:id="rId6"/>
    <sheet name="USL RPP" sheetId="15" r:id="rId7"/>
    <sheet name="USL NonRPP" sheetId="49" r:id="rId8"/>
    <sheet name="GS50-499INT" sheetId="16" r:id="rId9"/>
    <sheet name="GS50-499NI" sheetId="50" r:id="rId10"/>
    <sheet name="GS500-4999INT" sheetId="17" r:id="rId11"/>
    <sheet name="GS500-499NI" sheetId="51" r:id="rId12"/>
    <sheet name="LU - Class A" sheetId="18" r:id="rId13"/>
    <sheet name="SL" sheetId="1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0">[2]List99!$A$288:$F$346,[2]List99!#REF!,[2]List99!$A$350:$F$466</definedName>
    <definedName name="asasd" localSheetId="10">[2]List99!$A$288:$F$346,[2]List99!#REF!,[2]List99!$A$350:$F$466</definedName>
    <definedName name="asasd" localSheetId="11">[2]List99!$A$288:$F$346,[2]List99!#REF!,[2]List99!$A$350:$F$466</definedName>
    <definedName name="asasd" localSheetId="8">[2]List99!$A$288:$F$346,[2]List99!#REF!,[2]List99!$A$350:$F$466</definedName>
    <definedName name="asasd" localSheetId="9">[2]List99!$A$288:$F$346,[2]List99!#REF!,[2]List99!$A$350:$F$466</definedName>
    <definedName name="asasd" localSheetId="5">[2]List99!$A$288:$F$346,[2]List99!#REF!,[2]List99!$A$350:$F$466</definedName>
    <definedName name="asasd" localSheetId="12">[2]List99!$A$288:$F$346,[2]List99!#REF!,[2]List99!$A$350:$F$466</definedName>
    <definedName name="asasd" localSheetId="3">[2]List99!$A$288:$F$346,[2]List99!#REF!,[2]List99!$A$350:$F$466</definedName>
    <definedName name="asasd" localSheetId="13">[2]List99!$A$288:$F$346,[2]List99!#REF!,[2]List99!$A$350:$F$466</definedName>
    <definedName name="asasd" localSheetId="7">[2]List99!$A$288:$F$346,[2]List99!#REF!,[2]List99!$A$350:$F$466</definedName>
    <definedName name="asasd" localSheetId="6">[2]List99!$A$288:$F$346,[2]List99!#REF!,[2]List99!$A$350:$F$466</definedName>
    <definedName name="asasd">[2]List99!$A$288:$F$346,[2]List99!#REF!,[2]List99!$A$350:$F$466</definedName>
    <definedName name="budget" localSheetId="0">'[5]E&amp;O Comparison'!#REF!</definedName>
    <definedName name="budget" localSheetId="10">'[5]E&amp;O Comparison'!#REF!</definedName>
    <definedName name="budget" localSheetId="11">'[5]E&amp;O Comparison'!#REF!</definedName>
    <definedName name="budget" localSheetId="8">'[5]E&amp;O Comparison'!#REF!</definedName>
    <definedName name="budget" localSheetId="9">'[5]E&amp;O Comparison'!#REF!</definedName>
    <definedName name="budget" localSheetId="5">'[5]E&amp;O Comparison'!#REF!</definedName>
    <definedName name="budget" localSheetId="12">'[5]E&amp;O Comparison'!#REF!</definedName>
    <definedName name="budget" localSheetId="3">'[5]E&amp;O Comparison'!#REF!</definedName>
    <definedName name="budget" localSheetId="13">'[5]E&amp;O Comparison'!#REF!</definedName>
    <definedName name="budget" localSheetId="7">'[5]E&amp;O Comparison'!#REF!</definedName>
    <definedName name="budget" localSheetId="6">'[5]E&amp;O Comparison'!#REF!</definedName>
    <definedName name="budget">'[5]E&amp;O Comparison'!#REF!</definedName>
    <definedName name="Budget3" localSheetId="0">'[5]E&amp;O Comparison'!#REF!</definedName>
    <definedName name="Budget3" localSheetId="10">'[5]E&amp;O Comparison'!#REF!</definedName>
    <definedName name="Budget3" localSheetId="11">'[5]E&amp;O Comparison'!#REF!</definedName>
    <definedName name="Budget3" localSheetId="8">'[5]E&amp;O Comparison'!#REF!</definedName>
    <definedName name="Budget3" localSheetId="9">'[5]E&amp;O Comparison'!#REF!</definedName>
    <definedName name="Budget3" localSheetId="5">'[5]E&amp;O Comparison'!#REF!</definedName>
    <definedName name="Budget3" localSheetId="12">'[5]E&amp;O Comparison'!#REF!</definedName>
    <definedName name="Budget3" localSheetId="3">'[5]E&amp;O Comparison'!#REF!</definedName>
    <definedName name="Budget3" localSheetId="13">'[5]E&amp;O Comparison'!#REF!</definedName>
    <definedName name="Budget3" localSheetId="7">'[5]E&amp;O Comparison'!#REF!</definedName>
    <definedName name="Budget3" localSheetId="6">'[5]E&amp;O Comparison'!#REF!</definedName>
    <definedName name="Budget3">'[5]E&amp;O Comparison'!#REF!</definedName>
    <definedName name="Budget4" localSheetId="0">'[5]E&amp;O Comparison'!#REF!</definedName>
    <definedName name="Budget4" localSheetId="10">'[5]E&amp;O Comparison'!#REF!</definedName>
    <definedName name="Budget4" localSheetId="11">'[5]E&amp;O Comparison'!#REF!</definedName>
    <definedName name="Budget4" localSheetId="8">'[5]E&amp;O Comparison'!#REF!</definedName>
    <definedName name="Budget4" localSheetId="9">'[5]E&amp;O Comparison'!#REF!</definedName>
    <definedName name="Budget4" localSheetId="5">'[5]E&amp;O Comparison'!#REF!</definedName>
    <definedName name="Budget4" localSheetId="12">'[5]E&amp;O Comparison'!#REF!</definedName>
    <definedName name="Budget4" localSheetId="3">'[5]E&amp;O Comparison'!#REF!</definedName>
    <definedName name="Budget4" localSheetId="13">'[5]E&amp;O Comparison'!#REF!</definedName>
    <definedName name="Budget4" localSheetId="7">'[5]E&amp;O Comparison'!#REF!</definedName>
    <definedName name="Budget4" localSheetId="6">'[5]E&amp;O Comparison'!#REF!</definedName>
    <definedName name="Budget4">'[5]E&amp;O Comparison'!#REF!</definedName>
    <definedName name="Budget5" localSheetId="0">'[5]E&amp;O Comparison'!#REF!</definedName>
    <definedName name="Budget5" localSheetId="10">'[5]E&amp;O Comparison'!#REF!</definedName>
    <definedName name="Budget5" localSheetId="11">'[5]E&amp;O Comparison'!#REF!</definedName>
    <definedName name="Budget5" localSheetId="8">'[5]E&amp;O Comparison'!#REF!</definedName>
    <definedName name="Budget5" localSheetId="9">'[5]E&amp;O Comparison'!#REF!</definedName>
    <definedName name="Budget5" localSheetId="5">'[5]E&amp;O Comparison'!#REF!</definedName>
    <definedName name="Budget5" localSheetId="12">'[5]E&amp;O Comparison'!#REF!</definedName>
    <definedName name="Budget5" localSheetId="3">'[5]E&amp;O Comparison'!#REF!</definedName>
    <definedName name="Budget5" localSheetId="13">'[5]E&amp;O Comparison'!#REF!</definedName>
    <definedName name="Budget5" localSheetId="7">'[5]E&amp;O Comparison'!#REF!</definedName>
    <definedName name="Budget5" localSheetId="6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0">#REF!</definedName>
    <definedName name="CDM_2007" localSheetId="10">#REF!</definedName>
    <definedName name="CDM_2007" localSheetId="11">#REF!</definedName>
    <definedName name="CDM_2007" localSheetId="8">#REF!</definedName>
    <definedName name="CDM_2007" localSheetId="9">#REF!</definedName>
    <definedName name="CDM_2007" localSheetId="5">#REF!</definedName>
    <definedName name="CDM_2007" localSheetId="12">#REF!</definedName>
    <definedName name="CDM_2007" localSheetId="3">#REF!</definedName>
    <definedName name="CDM_2007" localSheetId="13">#REF!</definedName>
    <definedName name="CDM_2007" localSheetId="7">#REF!</definedName>
    <definedName name="CDM_2007" localSheetId="6">#REF!</definedName>
    <definedName name="CDM_2007">#REF!</definedName>
    <definedName name="contactf" localSheetId="0">#REF!</definedName>
    <definedName name="contactf" localSheetId="10">#REF!</definedName>
    <definedName name="contactf" localSheetId="11">#REF!</definedName>
    <definedName name="contactf" localSheetId="8">#REF!</definedName>
    <definedName name="contactf" localSheetId="9">#REF!</definedName>
    <definedName name="contactf" localSheetId="5">#REF!</definedName>
    <definedName name="contactf" localSheetId="12">#REF!</definedName>
    <definedName name="contactf" localSheetId="1">#REF!</definedName>
    <definedName name="contactf" localSheetId="3">#REF!</definedName>
    <definedName name="contactf" localSheetId="13">#REF!</definedName>
    <definedName name="contactf" localSheetId="7">#REF!</definedName>
    <definedName name="contactf" localSheetId="6">#REF!</definedName>
    <definedName name="contactf">#REF!</definedName>
    <definedName name="COVER">[6]SUM95!$AV$14:$BF$37,[6]SUM95!$AV$40:$BF$58</definedName>
    <definedName name="distribution" localSheetId="0">[2]List99!$A$288:$F$346,[2]List99!#REF!,[2]List99!$A$350:$F$466</definedName>
    <definedName name="distribution" localSheetId="10">[2]List99!$A$288:$F$346,[2]List99!#REF!,[2]List99!$A$350:$F$466</definedName>
    <definedName name="distribution" localSheetId="11">[2]List99!$A$288:$F$346,[2]List99!#REF!,[2]List99!$A$350:$F$466</definedName>
    <definedName name="distribution" localSheetId="8">[2]List99!$A$288:$F$346,[2]List99!#REF!,[2]List99!$A$350:$F$466</definedName>
    <definedName name="distribution" localSheetId="9">[2]List99!$A$288:$F$346,[2]List99!#REF!,[2]List99!$A$350:$F$466</definedName>
    <definedName name="distribution" localSheetId="5">[2]List99!$A$288:$F$346,[2]List99!#REF!,[2]List99!$A$350:$F$466</definedName>
    <definedName name="distribution" localSheetId="12">[2]List99!$A$288:$F$346,[2]List99!#REF!,[2]List99!$A$350:$F$466</definedName>
    <definedName name="distribution" localSheetId="3">[2]List99!$A$288:$F$346,[2]List99!#REF!,[2]List99!$A$350:$F$466</definedName>
    <definedName name="distribution" localSheetId="13">[2]List99!$A$288:$F$346,[2]List99!#REF!,[2]List99!$A$350:$F$466</definedName>
    <definedName name="distribution" localSheetId="7">[2]List99!$A$288:$F$346,[2]List99!#REF!,[2]List99!$A$350:$F$466</definedName>
    <definedName name="distribution" localSheetId="6">[2]List99!$A$288:$F$346,[2]List99!#REF!,[2]List99!$A$350:$F$466</definedName>
    <definedName name="distribution">[2]List99!$A$288:$F$346,[2]List99!#REF!,[2]List99!$A$350:$F$466</definedName>
    <definedName name="EDR_06_OthInfo" localSheetId="0">'[7]4. 2006 Smart Meter Information'!#REF!</definedName>
    <definedName name="EDR_06_OthInfo" localSheetId="10">'[7]4. 2006 Smart Meter Information'!#REF!</definedName>
    <definedName name="EDR_06_OthInfo" localSheetId="11">'[7]4. 2006 Smart Meter Information'!#REF!</definedName>
    <definedName name="EDR_06_OthInfo" localSheetId="8">'[7]4. 2006 Smart Meter Information'!#REF!</definedName>
    <definedName name="EDR_06_OthInfo" localSheetId="9">'[7]4. 2006 Smart Meter Information'!#REF!</definedName>
    <definedName name="EDR_06_OthInfo" localSheetId="5">'[7]4. 2006 Smart Meter Information'!#REF!</definedName>
    <definedName name="EDR_06_OthInfo" localSheetId="12">'[7]4. 2006 Smart Meter Information'!#REF!</definedName>
    <definedName name="EDR_06_OthInfo" localSheetId="3">'[7]4. 2006 Smart Meter Information'!#REF!</definedName>
    <definedName name="EDR_06_OthInfo" localSheetId="13">'[7]4. 2006 Smart Meter Information'!#REF!</definedName>
    <definedName name="EDR_06_OthInfo" localSheetId="7">'[7]4. 2006 Smart Meter Information'!#REF!</definedName>
    <definedName name="EDR_06_OthInfo" localSheetId="6">'[7]4. 2006 Smart Meter Information'!#REF!</definedName>
    <definedName name="EDR_06_OthInfo">'[7]4. 2006 Smart Meter Information'!#REF!</definedName>
    <definedName name="EDR06Tariffs" localSheetId="0">'[7]3. 2006 Tariff Sheet'!#REF!</definedName>
    <definedName name="EDR06Tariffs" localSheetId="10">'[7]3. 2006 Tariff Sheet'!#REF!</definedName>
    <definedName name="EDR06Tariffs" localSheetId="11">'[7]3. 2006 Tariff Sheet'!#REF!</definedName>
    <definedName name="EDR06Tariffs" localSheetId="8">'[7]3. 2006 Tariff Sheet'!#REF!</definedName>
    <definedName name="EDR06Tariffs" localSheetId="9">'[7]3. 2006 Tariff Sheet'!#REF!</definedName>
    <definedName name="EDR06Tariffs" localSheetId="5">'[7]3. 2006 Tariff Sheet'!#REF!</definedName>
    <definedName name="EDR06Tariffs" localSheetId="12">'[7]3. 2006 Tariff Sheet'!#REF!</definedName>
    <definedName name="EDR06Tariffs" localSheetId="3">'[7]3. 2006 Tariff Sheet'!#REF!</definedName>
    <definedName name="EDR06Tariffs" localSheetId="13">'[7]3. 2006 Tariff Sheet'!#REF!</definedName>
    <definedName name="EDR06Tariffs" localSheetId="7">'[7]3. 2006 Tariff Sheet'!#REF!</definedName>
    <definedName name="EDR06Tariffs" localSheetId="6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0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1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8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9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5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3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3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7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6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1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8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9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5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3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3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7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6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0">#REF!</definedName>
    <definedName name="hello" localSheetId="10">#REF!</definedName>
    <definedName name="hello" localSheetId="11">#REF!</definedName>
    <definedName name="hello" localSheetId="8">#REF!</definedName>
    <definedName name="hello" localSheetId="9">#REF!</definedName>
    <definedName name="hello" localSheetId="5">#REF!</definedName>
    <definedName name="hello" localSheetId="12">#REF!</definedName>
    <definedName name="hello" localSheetId="3">#REF!</definedName>
    <definedName name="hello" localSheetId="13">#REF!</definedName>
    <definedName name="hello" localSheetId="7">#REF!</definedName>
    <definedName name="hello" localSheetId="6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0">#REF!</definedName>
    <definedName name="Incr2000" localSheetId="10">#REF!</definedName>
    <definedName name="Incr2000" localSheetId="11">#REF!</definedName>
    <definedName name="Incr2000" localSheetId="8">#REF!</definedName>
    <definedName name="Incr2000" localSheetId="9">#REF!</definedName>
    <definedName name="Incr2000" localSheetId="5">#REF!</definedName>
    <definedName name="Incr2000" localSheetId="12">#REF!</definedName>
    <definedName name="Incr2000" localSheetId="3">#REF!</definedName>
    <definedName name="Incr2000" localSheetId="13">#REF!</definedName>
    <definedName name="Incr2000" localSheetId="7">#REF!</definedName>
    <definedName name="Incr2000" localSheetId="6">#REF!</definedName>
    <definedName name="Incr2000">#REF!</definedName>
    <definedName name="increase" localSheetId="0">#REF!</definedName>
    <definedName name="increase" localSheetId="10">#REF!</definedName>
    <definedName name="increase" localSheetId="11">#REF!</definedName>
    <definedName name="increase" localSheetId="8">#REF!</definedName>
    <definedName name="increase" localSheetId="9">#REF!</definedName>
    <definedName name="increase" localSheetId="5">#REF!</definedName>
    <definedName name="increase" localSheetId="12">#REF!</definedName>
    <definedName name="increase" localSheetId="3">#REF!</definedName>
    <definedName name="increase" localSheetId="13">#REF!</definedName>
    <definedName name="increase" localSheetId="7">#REF!</definedName>
    <definedName name="increase" localSheetId="6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0">'[5]E&amp;O Comparison'!#REF!</definedName>
    <definedName name="jjj" localSheetId="10">'[5]E&amp;O Comparison'!#REF!</definedName>
    <definedName name="jjj" localSheetId="11">'[5]E&amp;O Comparison'!#REF!</definedName>
    <definedName name="jjj" localSheetId="8">'[5]E&amp;O Comparison'!#REF!</definedName>
    <definedName name="jjj" localSheetId="9">'[5]E&amp;O Comparison'!#REF!</definedName>
    <definedName name="jjj" localSheetId="5">'[5]E&amp;O Comparison'!#REF!</definedName>
    <definedName name="jjj" localSheetId="12">'[5]E&amp;O Comparison'!#REF!</definedName>
    <definedName name="jjj" localSheetId="3">'[5]E&amp;O Comparison'!#REF!</definedName>
    <definedName name="jjj" localSheetId="13">'[5]E&amp;O Comparison'!#REF!</definedName>
    <definedName name="jjj" localSheetId="7">'[5]E&amp;O Comparison'!#REF!</definedName>
    <definedName name="jjj" localSheetId="6">'[5]E&amp;O Comparison'!#REF!</definedName>
    <definedName name="jjj">'[5]E&amp;O Comparison'!#REF!</definedName>
    <definedName name="john" localSheetId="0">'[5]E&amp;O Comparison'!#REF!</definedName>
    <definedName name="john" localSheetId="10">'[5]E&amp;O Comparison'!#REF!</definedName>
    <definedName name="john" localSheetId="11">'[5]E&amp;O Comparison'!#REF!</definedName>
    <definedName name="john" localSheetId="8">'[5]E&amp;O Comparison'!#REF!</definedName>
    <definedName name="john" localSheetId="9">'[5]E&amp;O Comparison'!#REF!</definedName>
    <definedName name="john" localSheetId="5">'[5]E&amp;O Comparison'!#REF!</definedName>
    <definedName name="john" localSheetId="12">'[5]E&amp;O Comparison'!#REF!</definedName>
    <definedName name="john" localSheetId="3">'[5]E&amp;O Comparison'!#REF!</definedName>
    <definedName name="john" localSheetId="13">'[5]E&amp;O Comparison'!#REF!</definedName>
    <definedName name="john" localSheetId="7">'[5]E&amp;O Comparison'!#REF!</definedName>
    <definedName name="john" localSheetId="6">'[5]E&amp;O Comparison'!#REF!</definedName>
    <definedName name="john">'[5]E&amp;O Comparison'!#REF!</definedName>
    <definedName name="LastSheet" localSheetId="1" hidden="1">"Details"</definedName>
    <definedName name="LastSheet" hidden="1">"Total Bill Impacts_All Customer"</definedName>
    <definedName name="LIMIT" localSheetId="0">#REF!</definedName>
    <definedName name="LIMIT" localSheetId="10">#REF!</definedName>
    <definedName name="LIMIT" localSheetId="11">#REF!</definedName>
    <definedName name="LIMIT" localSheetId="8">#REF!</definedName>
    <definedName name="LIMIT" localSheetId="9">#REF!</definedName>
    <definedName name="LIMIT" localSheetId="5">#REF!</definedName>
    <definedName name="LIMIT" localSheetId="12">#REF!</definedName>
    <definedName name="LIMIT" localSheetId="1">#REF!</definedName>
    <definedName name="LIMIT" localSheetId="3">#REF!</definedName>
    <definedName name="LIMIT" localSheetId="13">#REF!</definedName>
    <definedName name="LIMIT" localSheetId="7">#REF!</definedName>
    <definedName name="LIMIT" localSheetId="6">#REF!</definedName>
    <definedName name="LIMIT">#REF!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0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1">[2]List99!$A$1:$F$59,[2]List99!$A$60:$F$111,[2]List99!#REF!,[2]List99!$A$112:$F$164,[2]List99!$A$165:$F$228,[2]List99!$A$229:$F$287,[2]List99!$A$467:$F$519,[2]List99!$A$288:$F$346,[2]List99!#REF!,[2]List99!$A$350:$F$466</definedName>
    <definedName name="list" localSheetId="8">[2]List99!$A$1:$F$59,[2]List99!$A$60:$F$111,[2]List99!#REF!,[2]List99!$A$112:$F$164,[2]List99!$A$165:$F$228,[2]List99!$A$229:$F$287,[2]List99!$A$467:$F$519,[2]List99!$A$288:$F$346,[2]List99!#REF!,[2]List99!$A$350:$F$466</definedName>
    <definedName name="list" localSheetId="9">[2]List99!$A$1:$F$59,[2]List99!$A$60:$F$111,[2]List99!#REF!,[2]List99!$A$112:$F$164,[2]List99!$A$165:$F$228,[2]List99!$A$229:$F$287,[2]List99!$A$467:$F$519,[2]List99!$A$288:$F$346,[2]List99!#REF!,[2]List99!$A$350:$F$466</definedName>
    <definedName name="list" localSheetId="5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3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3">[2]List99!$A$1:$F$59,[2]List99!$A$60:$F$111,[2]List99!#REF!,[2]List99!$A$112:$F$164,[2]List99!$A$165:$F$228,[2]List99!$A$229:$F$287,[2]List99!$A$467:$F$519,[2]List99!$A$288:$F$346,[2]List99!#REF!,[2]List99!$A$350:$F$466</definedName>
    <definedName name="list" localSheetId="7">[2]List99!$A$1:$F$59,[2]List99!$A$60:$F$111,[2]List99!#REF!,[2]List99!$A$112:$F$164,[2]List99!$A$165:$F$228,[2]List99!$A$229:$F$287,[2]List99!$A$467:$F$519,[2]List99!$A$288:$F$346,[2]List99!#REF!,[2]List99!$A$350:$F$466</definedName>
    <definedName name="list" localSheetId="6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0">#REF!</definedName>
    <definedName name="man_beg_bud" localSheetId="10">#REF!</definedName>
    <definedName name="man_beg_bud" localSheetId="11">#REF!</definedName>
    <definedName name="man_beg_bud" localSheetId="8">#REF!</definedName>
    <definedName name="man_beg_bud" localSheetId="9">#REF!</definedName>
    <definedName name="man_beg_bud" localSheetId="5">#REF!</definedName>
    <definedName name="man_beg_bud" localSheetId="12">#REF!</definedName>
    <definedName name="man_beg_bud" localSheetId="1">#REF!</definedName>
    <definedName name="man_beg_bud" localSheetId="3">#REF!</definedName>
    <definedName name="man_beg_bud" localSheetId="13">#REF!</definedName>
    <definedName name="man_beg_bud" localSheetId="7">#REF!</definedName>
    <definedName name="man_beg_bud" localSheetId="6">#REF!</definedName>
    <definedName name="man_beg_bud">#REF!</definedName>
    <definedName name="man_end_bud" localSheetId="0">#REF!</definedName>
    <definedName name="man_end_bud" localSheetId="10">#REF!</definedName>
    <definedName name="man_end_bud" localSheetId="11">#REF!</definedName>
    <definedName name="man_end_bud" localSheetId="8">#REF!</definedName>
    <definedName name="man_end_bud" localSheetId="9">#REF!</definedName>
    <definedName name="man_end_bud" localSheetId="5">#REF!</definedName>
    <definedName name="man_end_bud" localSheetId="12">#REF!</definedName>
    <definedName name="man_end_bud" localSheetId="1">#REF!</definedName>
    <definedName name="man_end_bud" localSheetId="3">#REF!</definedName>
    <definedName name="man_end_bud" localSheetId="13">#REF!</definedName>
    <definedName name="man_end_bud" localSheetId="7">#REF!</definedName>
    <definedName name="man_end_bud" localSheetId="6">#REF!</definedName>
    <definedName name="man_end_bud">#REF!</definedName>
    <definedName name="man12ACT" localSheetId="0">#REF!</definedName>
    <definedName name="man12ACT" localSheetId="10">#REF!</definedName>
    <definedName name="man12ACT" localSheetId="11">#REF!</definedName>
    <definedName name="man12ACT" localSheetId="8">#REF!</definedName>
    <definedName name="man12ACT" localSheetId="9">#REF!</definedName>
    <definedName name="man12ACT" localSheetId="5">#REF!</definedName>
    <definedName name="man12ACT" localSheetId="12">#REF!</definedName>
    <definedName name="man12ACT" localSheetId="1">#REF!</definedName>
    <definedName name="man12ACT" localSheetId="3">#REF!</definedName>
    <definedName name="man12ACT" localSheetId="13">#REF!</definedName>
    <definedName name="man12ACT" localSheetId="7">#REF!</definedName>
    <definedName name="man12ACT" localSheetId="6">#REF!</definedName>
    <definedName name="man12ACT">#REF!</definedName>
    <definedName name="MANBUD" localSheetId="0">#REF!</definedName>
    <definedName name="MANBUD" localSheetId="10">#REF!</definedName>
    <definedName name="MANBUD" localSheetId="11">#REF!</definedName>
    <definedName name="MANBUD" localSheetId="8">#REF!</definedName>
    <definedName name="MANBUD" localSheetId="9">#REF!</definedName>
    <definedName name="MANBUD" localSheetId="5">#REF!</definedName>
    <definedName name="MANBUD" localSheetId="12">#REF!</definedName>
    <definedName name="MANBUD" localSheetId="1">#REF!</definedName>
    <definedName name="MANBUD" localSheetId="3">#REF!</definedName>
    <definedName name="MANBUD" localSheetId="13">#REF!</definedName>
    <definedName name="MANBUD" localSheetId="7">#REF!</definedName>
    <definedName name="MANBUD" localSheetId="6">#REF!</definedName>
    <definedName name="MANBUD">#REF!</definedName>
    <definedName name="manCYACT" localSheetId="0">#REF!</definedName>
    <definedName name="manCYACT" localSheetId="10">#REF!</definedName>
    <definedName name="manCYACT" localSheetId="11">#REF!</definedName>
    <definedName name="manCYACT" localSheetId="8">#REF!</definedName>
    <definedName name="manCYACT" localSheetId="9">#REF!</definedName>
    <definedName name="manCYACT" localSheetId="5">#REF!</definedName>
    <definedName name="manCYACT" localSheetId="12">#REF!</definedName>
    <definedName name="manCYACT" localSheetId="1">#REF!</definedName>
    <definedName name="manCYACT" localSheetId="3">#REF!</definedName>
    <definedName name="manCYACT" localSheetId="13">#REF!</definedName>
    <definedName name="manCYACT" localSheetId="7">#REF!</definedName>
    <definedName name="manCYACT" localSheetId="6">#REF!</definedName>
    <definedName name="manCYACT">#REF!</definedName>
    <definedName name="manCYBUD" localSheetId="0">#REF!</definedName>
    <definedName name="manCYBUD" localSheetId="10">#REF!</definedName>
    <definedName name="manCYBUD" localSheetId="11">#REF!</definedName>
    <definedName name="manCYBUD" localSheetId="8">#REF!</definedName>
    <definedName name="manCYBUD" localSheetId="9">#REF!</definedName>
    <definedName name="manCYBUD" localSheetId="5">#REF!</definedName>
    <definedName name="manCYBUD" localSheetId="12">#REF!</definedName>
    <definedName name="manCYBUD" localSheetId="1">#REF!</definedName>
    <definedName name="manCYBUD" localSheetId="3">#REF!</definedName>
    <definedName name="manCYBUD" localSheetId="13">#REF!</definedName>
    <definedName name="manCYBUD" localSheetId="7">#REF!</definedName>
    <definedName name="manCYBUD" localSheetId="6">#REF!</definedName>
    <definedName name="manCYBUD">#REF!</definedName>
    <definedName name="manCYF" localSheetId="0">#REF!</definedName>
    <definedName name="manCYF" localSheetId="10">#REF!</definedName>
    <definedName name="manCYF" localSheetId="11">#REF!</definedName>
    <definedName name="manCYF" localSheetId="8">#REF!</definedName>
    <definedName name="manCYF" localSheetId="9">#REF!</definedName>
    <definedName name="manCYF" localSheetId="5">#REF!</definedName>
    <definedName name="manCYF" localSheetId="12">#REF!</definedName>
    <definedName name="manCYF" localSheetId="1">#REF!</definedName>
    <definedName name="manCYF" localSheetId="3">#REF!</definedName>
    <definedName name="manCYF" localSheetId="13">#REF!</definedName>
    <definedName name="manCYF" localSheetId="7">#REF!</definedName>
    <definedName name="manCYF" localSheetId="6">#REF!</definedName>
    <definedName name="manCYF">#REF!</definedName>
    <definedName name="MANEND" localSheetId="0">#REF!</definedName>
    <definedName name="MANEND" localSheetId="10">#REF!</definedName>
    <definedName name="MANEND" localSheetId="11">#REF!</definedName>
    <definedName name="MANEND" localSheetId="8">#REF!</definedName>
    <definedName name="MANEND" localSheetId="9">#REF!</definedName>
    <definedName name="MANEND" localSheetId="5">#REF!</definedName>
    <definedName name="MANEND" localSheetId="12">#REF!</definedName>
    <definedName name="MANEND" localSheetId="1">#REF!</definedName>
    <definedName name="MANEND" localSheetId="3">#REF!</definedName>
    <definedName name="MANEND" localSheetId="13">#REF!</definedName>
    <definedName name="MANEND" localSheetId="7">#REF!</definedName>
    <definedName name="MANEND" localSheetId="6">#REF!</definedName>
    <definedName name="MANEND">#REF!</definedName>
    <definedName name="manNYbud" localSheetId="0">#REF!</definedName>
    <definedName name="manNYbud" localSheetId="10">#REF!</definedName>
    <definedName name="manNYbud" localSheetId="11">#REF!</definedName>
    <definedName name="manNYbud" localSheetId="8">#REF!</definedName>
    <definedName name="manNYbud" localSheetId="9">#REF!</definedName>
    <definedName name="manNYbud" localSheetId="5">#REF!</definedName>
    <definedName name="manNYbud" localSheetId="12">#REF!</definedName>
    <definedName name="manNYbud" localSheetId="1">#REF!</definedName>
    <definedName name="manNYbud" localSheetId="3">#REF!</definedName>
    <definedName name="manNYbud" localSheetId="13">#REF!</definedName>
    <definedName name="manNYbud" localSheetId="7">#REF!</definedName>
    <definedName name="manNYbud" localSheetId="6">#REF!</definedName>
    <definedName name="manNYbud">#REF!</definedName>
    <definedName name="manpower_costs" localSheetId="0">#REF!</definedName>
    <definedName name="manpower_costs" localSheetId="10">#REF!</definedName>
    <definedName name="manpower_costs" localSheetId="11">#REF!</definedName>
    <definedName name="manpower_costs" localSheetId="8">#REF!</definedName>
    <definedName name="manpower_costs" localSheetId="9">#REF!</definedName>
    <definedName name="manpower_costs" localSheetId="5">#REF!</definedName>
    <definedName name="manpower_costs" localSheetId="12">#REF!</definedName>
    <definedName name="manpower_costs" localSheetId="1">#REF!</definedName>
    <definedName name="manpower_costs" localSheetId="3">#REF!</definedName>
    <definedName name="manpower_costs" localSheetId="13">#REF!</definedName>
    <definedName name="manpower_costs" localSheetId="7">#REF!</definedName>
    <definedName name="manpower_costs" localSheetId="6">#REF!</definedName>
    <definedName name="manpower_costs">#REF!</definedName>
    <definedName name="manPYACT" localSheetId="0">#REF!</definedName>
    <definedName name="manPYACT" localSheetId="10">#REF!</definedName>
    <definedName name="manPYACT" localSheetId="11">#REF!</definedName>
    <definedName name="manPYACT" localSheetId="8">#REF!</definedName>
    <definedName name="manPYACT" localSheetId="9">#REF!</definedName>
    <definedName name="manPYACT" localSheetId="5">#REF!</definedName>
    <definedName name="manPYACT" localSheetId="12">#REF!</definedName>
    <definedName name="manPYACT" localSheetId="1">#REF!</definedName>
    <definedName name="manPYACT" localSheetId="3">#REF!</definedName>
    <definedName name="manPYACT" localSheetId="13">#REF!</definedName>
    <definedName name="manPYACT" localSheetId="7">#REF!</definedName>
    <definedName name="manPYACT" localSheetId="6">#REF!</definedName>
    <definedName name="manPYACT">#REF!</definedName>
    <definedName name="MANSTART" localSheetId="0">#REF!</definedName>
    <definedName name="MANSTART" localSheetId="10">#REF!</definedName>
    <definedName name="MANSTART" localSheetId="11">#REF!</definedName>
    <definedName name="MANSTART" localSheetId="8">#REF!</definedName>
    <definedName name="MANSTART" localSheetId="9">#REF!</definedName>
    <definedName name="MANSTART" localSheetId="5">#REF!</definedName>
    <definedName name="MANSTART" localSheetId="12">#REF!</definedName>
    <definedName name="MANSTART" localSheetId="1">#REF!</definedName>
    <definedName name="MANSTART" localSheetId="3">#REF!</definedName>
    <definedName name="MANSTART" localSheetId="13">#REF!</definedName>
    <definedName name="MANSTART" localSheetId="7">#REF!</definedName>
    <definedName name="MANSTART" localSheetId="6">#REF!</definedName>
    <definedName name="MANSTART">#REF!</definedName>
    <definedName name="mat_beg_bud" localSheetId="0">#REF!</definedName>
    <definedName name="mat_beg_bud" localSheetId="10">#REF!</definedName>
    <definedName name="mat_beg_bud" localSheetId="11">#REF!</definedName>
    <definedName name="mat_beg_bud" localSheetId="8">#REF!</definedName>
    <definedName name="mat_beg_bud" localSheetId="9">#REF!</definedName>
    <definedName name="mat_beg_bud" localSheetId="5">#REF!</definedName>
    <definedName name="mat_beg_bud" localSheetId="12">#REF!</definedName>
    <definedName name="mat_beg_bud" localSheetId="1">#REF!</definedName>
    <definedName name="mat_beg_bud" localSheetId="3">#REF!</definedName>
    <definedName name="mat_beg_bud" localSheetId="13">#REF!</definedName>
    <definedName name="mat_beg_bud" localSheetId="7">#REF!</definedName>
    <definedName name="mat_beg_bud" localSheetId="6">#REF!</definedName>
    <definedName name="mat_beg_bud">#REF!</definedName>
    <definedName name="mat_end_bud" localSheetId="0">#REF!</definedName>
    <definedName name="mat_end_bud" localSheetId="10">#REF!</definedName>
    <definedName name="mat_end_bud" localSheetId="11">#REF!</definedName>
    <definedName name="mat_end_bud" localSheetId="8">#REF!</definedName>
    <definedName name="mat_end_bud" localSheetId="9">#REF!</definedName>
    <definedName name="mat_end_bud" localSheetId="5">#REF!</definedName>
    <definedName name="mat_end_bud" localSheetId="12">#REF!</definedName>
    <definedName name="mat_end_bud" localSheetId="1">#REF!</definedName>
    <definedName name="mat_end_bud" localSheetId="3">#REF!</definedName>
    <definedName name="mat_end_bud" localSheetId="13">#REF!</definedName>
    <definedName name="mat_end_bud" localSheetId="7">#REF!</definedName>
    <definedName name="mat_end_bud" localSheetId="6">#REF!</definedName>
    <definedName name="mat_end_bud">#REF!</definedName>
    <definedName name="mat12ACT" localSheetId="0">#REF!</definedName>
    <definedName name="mat12ACT" localSheetId="10">#REF!</definedName>
    <definedName name="mat12ACT" localSheetId="11">#REF!</definedName>
    <definedName name="mat12ACT" localSheetId="8">#REF!</definedName>
    <definedName name="mat12ACT" localSheetId="9">#REF!</definedName>
    <definedName name="mat12ACT" localSheetId="5">#REF!</definedName>
    <definedName name="mat12ACT" localSheetId="12">#REF!</definedName>
    <definedName name="mat12ACT" localSheetId="1">#REF!</definedName>
    <definedName name="mat12ACT" localSheetId="3">#REF!</definedName>
    <definedName name="mat12ACT" localSheetId="13">#REF!</definedName>
    <definedName name="mat12ACT" localSheetId="7">#REF!</definedName>
    <definedName name="mat12ACT" localSheetId="6">#REF!</definedName>
    <definedName name="mat12ACT">#REF!</definedName>
    <definedName name="MATBUD" localSheetId="0">#REF!</definedName>
    <definedName name="MATBUD" localSheetId="10">#REF!</definedName>
    <definedName name="MATBUD" localSheetId="11">#REF!</definedName>
    <definedName name="MATBUD" localSheetId="8">#REF!</definedName>
    <definedName name="MATBUD" localSheetId="9">#REF!</definedName>
    <definedName name="MATBUD" localSheetId="5">#REF!</definedName>
    <definedName name="MATBUD" localSheetId="12">#REF!</definedName>
    <definedName name="MATBUD" localSheetId="1">#REF!</definedName>
    <definedName name="MATBUD" localSheetId="3">#REF!</definedName>
    <definedName name="MATBUD" localSheetId="13">#REF!</definedName>
    <definedName name="MATBUD" localSheetId="7">#REF!</definedName>
    <definedName name="MATBUD" localSheetId="6">#REF!</definedName>
    <definedName name="MATBUD">#REF!</definedName>
    <definedName name="matCYACT" localSheetId="0">#REF!</definedName>
    <definedName name="matCYACT" localSheetId="10">#REF!</definedName>
    <definedName name="matCYACT" localSheetId="11">#REF!</definedName>
    <definedName name="matCYACT" localSheetId="8">#REF!</definedName>
    <definedName name="matCYACT" localSheetId="9">#REF!</definedName>
    <definedName name="matCYACT" localSheetId="5">#REF!</definedName>
    <definedName name="matCYACT" localSheetId="12">#REF!</definedName>
    <definedName name="matCYACT" localSheetId="1">#REF!</definedName>
    <definedName name="matCYACT" localSheetId="3">#REF!</definedName>
    <definedName name="matCYACT" localSheetId="13">#REF!</definedName>
    <definedName name="matCYACT" localSheetId="7">#REF!</definedName>
    <definedName name="matCYACT" localSheetId="6">#REF!</definedName>
    <definedName name="matCYACT">#REF!</definedName>
    <definedName name="matCYBUD" localSheetId="0">#REF!</definedName>
    <definedName name="matCYBUD" localSheetId="10">#REF!</definedName>
    <definedName name="matCYBUD" localSheetId="11">#REF!</definedName>
    <definedName name="matCYBUD" localSheetId="8">#REF!</definedName>
    <definedName name="matCYBUD" localSheetId="9">#REF!</definedName>
    <definedName name="matCYBUD" localSheetId="5">#REF!</definedName>
    <definedName name="matCYBUD" localSheetId="12">#REF!</definedName>
    <definedName name="matCYBUD" localSheetId="1">#REF!</definedName>
    <definedName name="matCYBUD" localSheetId="3">#REF!</definedName>
    <definedName name="matCYBUD" localSheetId="13">#REF!</definedName>
    <definedName name="matCYBUD" localSheetId="7">#REF!</definedName>
    <definedName name="matCYBUD" localSheetId="6">#REF!</definedName>
    <definedName name="matCYBUD">#REF!</definedName>
    <definedName name="matCYF" localSheetId="0">#REF!</definedName>
    <definedName name="matCYF" localSheetId="10">#REF!</definedName>
    <definedName name="matCYF" localSheetId="11">#REF!</definedName>
    <definedName name="matCYF" localSheetId="8">#REF!</definedName>
    <definedName name="matCYF" localSheetId="9">#REF!</definedName>
    <definedName name="matCYF" localSheetId="5">#REF!</definedName>
    <definedName name="matCYF" localSheetId="12">#REF!</definedName>
    <definedName name="matCYF" localSheetId="1">#REF!</definedName>
    <definedName name="matCYF" localSheetId="3">#REF!</definedName>
    <definedName name="matCYF" localSheetId="13">#REF!</definedName>
    <definedName name="matCYF" localSheetId="7">#REF!</definedName>
    <definedName name="matCYF" localSheetId="6">#REF!</definedName>
    <definedName name="matCYF">#REF!</definedName>
    <definedName name="MATEND" localSheetId="0">#REF!</definedName>
    <definedName name="MATEND" localSheetId="10">#REF!</definedName>
    <definedName name="MATEND" localSheetId="11">#REF!</definedName>
    <definedName name="MATEND" localSheetId="8">#REF!</definedName>
    <definedName name="MATEND" localSheetId="9">#REF!</definedName>
    <definedName name="MATEND" localSheetId="5">#REF!</definedName>
    <definedName name="MATEND" localSheetId="12">#REF!</definedName>
    <definedName name="MATEND" localSheetId="1">#REF!</definedName>
    <definedName name="MATEND" localSheetId="3">#REF!</definedName>
    <definedName name="MATEND" localSheetId="13">#REF!</definedName>
    <definedName name="MATEND" localSheetId="7">#REF!</definedName>
    <definedName name="MATEND" localSheetId="6">#REF!</definedName>
    <definedName name="MATEND">#REF!</definedName>
    <definedName name="material_costs" localSheetId="0">#REF!</definedName>
    <definedName name="material_costs" localSheetId="10">#REF!</definedName>
    <definedName name="material_costs" localSheetId="11">#REF!</definedName>
    <definedName name="material_costs" localSheetId="8">#REF!</definedName>
    <definedName name="material_costs" localSheetId="9">#REF!</definedName>
    <definedName name="material_costs" localSheetId="5">#REF!</definedName>
    <definedName name="material_costs" localSheetId="12">#REF!</definedName>
    <definedName name="material_costs" localSheetId="1">#REF!</definedName>
    <definedName name="material_costs" localSheetId="3">#REF!</definedName>
    <definedName name="material_costs" localSheetId="13">#REF!</definedName>
    <definedName name="material_costs" localSheetId="7">#REF!</definedName>
    <definedName name="material_costs" localSheetId="6">#REF!</definedName>
    <definedName name="material_costs">#REF!</definedName>
    <definedName name="matNYbud" localSheetId="0">#REF!</definedName>
    <definedName name="matNYbud" localSheetId="10">#REF!</definedName>
    <definedName name="matNYbud" localSheetId="11">#REF!</definedName>
    <definedName name="matNYbud" localSheetId="8">#REF!</definedName>
    <definedName name="matNYbud" localSheetId="9">#REF!</definedName>
    <definedName name="matNYbud" localSheetId="5">#REF!</definedName>
    <definedName name="matNYbud" localSheetId="12">#REF!</definedName>
    <definedName name="matNYbud" localSheetId="1">#REF!</definedName>
    <definedName name="matNYbud" localSheetId="3">#REF!</definedName>
    <definedName name="matNYbud" localSheetId="13">#REF!</definedName>
    <definedName name="matNYbud" localSheetId="7">#REF!</definedName>
    <definedName name="matNYbud" localSheetId="6">#REF!</definedName>
    <definedName name="matNYbud">#REF!</definedName>
    <definedName name="matPYACT" localSheetId="0">#REF!</definedName>
    <definedName name="matPYACT" localSheetId="10">#REF!</definedName>
    <definedName name="matPYACT" localSheetId="11">#REF!</definedName>
    <definedName name="matPYACT" localSheetId="8">#REF!</definedName>
    <definedName name="matPYACT" localSheetId="9">#REF!</definedName>
    <definedName name="matPYACT" localSheetId="5">#REF!</definedName>
    <definedName name="matPYACT" localSheetId="12">#REF!</definedName>
    <definedName name="matPYACT" localSheetId="1">#REF!</definedName>
    <definedName name="matPYACT" localSheetId="3">#REF!</definedName>
    <definedName name="matPYACT" localSheetId="13">#REF!</definedName>
    <definedName name="matPYACT" localSheetId="7">#REF!</definedName>
    <definedName name="matPYACT" localSheetId="6">#REF!</definedName>
    <definedName name="matPYACT">#REF!</definedName>
    <definedName name="MATSTART" localSheetId="0">#REF!</definedName>
    <definedName name="MATSTART" localSheetId="10">#REF!</definedName>
    <definedName name="MATSTART" localSheetId="11">#REF!</definedName>
    <definedName name="MATSTART" localSheetId="8">#REF!</definedName>
    <definedName name="MATSTART" localSheetId="9">#REF!</definedName>
    <definedName name="MATSTART" localSheetId="5">#REF!</definedName>
    <definedName name="MATSTART" localSheetId="12">#REF!</definedName>
    <definedName name="MATSTART" localSheetId="1">#REF!</definedName>
    <definedName name="MATSTART" localSheetId="3">#REF!</definedName>
    <definedName name="MATSTART" localSheetId="13">#REF!</definedName>
    <definedName name="MATSTART" localSheetId="7">#REF!</definedName>
    <definedName name="MATSTART" localSheetId="6">#REF!</definedName>
    <definedName name="MATSTART">#REF!</definedName>
    <definedName name="Model_Organization" localSheetId="0">#REF!</definedName>
    <definedName name="Model_Organization" localSheetId="10">#REF!</definedName>
    <definedName name="Model_Organization" localSheetId="11">#REF!</definedName>
    <definedName name="Model_Organization" localSheetId="8">#REF!</definedName>
    <definedName name="Model_Organization" localSheetId="9">#REF!</definedName>
    <definedName name="Model_Organization" localSheetId="5">#REF!</definedName>
    <definedName name="Model_Organization" localSheetId="12">#REF!</definedName>
    <definedName name="Model_Organization" localSheetId="3">#REF!</definedName>
    <definedName name="Model_Organization" localSheetId="13">#REF!</definedName>
    <definedName name="Model_Organization" localSheetId="7">#REF!</definedName>
    <definedName name="Model_Organization" localSheetId="6">#REF!</definedName>
    <definedName name="Model_Organization">#REF!</definedName>
    <definedName name="MofF" localSheetId="0">#REF!</definedName>
    <definedName name="MofF" localSheetId="10">#REF!</definedName>
    <definedName name="MofF" localSheetId="11">#REF!</definedName>
    <definedName name="MofF" localSheetId="8">#REF!</definedName>
    <definedName name="MofF" localSheetId="9">#REF!</definedName>
    <definedName name="MofF" localSheetId="5">#REF!</definedName>
    <definedName name="MofF" localSheetId="12">#REF!</definedName>
    <definedName name="MofF" localSheetId="1">#REF!</definedName>
    <definedName name="MofF" localSheetId="3">#REF!</definedName>
    <definedName name="MofF" localSheetId="13">#REF!</definedName>
    <definedName name="MofF" localSheetId="7">#REF!</definedName>
    <definedName name="MofF" localSheetId="6">#REF!</definedName>
    <definedName name="MofF">#REF!</definedName>
    <definedName name="NONBENF" localSheetId="0">#REF!</definedName>
    <definedName name="NONBENF" localSheetId="10">#REF!</definedName>
    <definedName name="NONBENF" localSheetId="11">#REF!</definedName>
    <definedName name="NONBENF" localSheetId="8">#REF!</definedName>
    <definedName name="NONBENF" localSheetId="9">#REF!</definedName>
    <definedName name="NONBENF" localSheetId="5">#REF!</definedName>
    <definedName name="NONBENF" localSheetId="12">#REF!</definedName>
    <definedName name="NONBENF" localSheetId="3">#REF!</definedName>
    <definedName name="NONBENF" localSheetId="13">#REF!</definedName>
    <definedName name="NONBENF" localSheetId="7">#REF!</definedName>
    <definedName name="NONBENF" localSheetId="6">#REF!</definedName>
    <definedName name="NONBENF">#REF!</definedName>
    <definedName name="nonreg" localSheetId="0">#REF!</definedName>
    <definedName name="nonreg" localSheetId="10">#REF!</definedName>
    <definedName name="nonreg" localSheetId="11">#REF!</definedName>
    <definedName name="nonreg" localSheetId="8">#REF!</definedName>
    <definedName name="nonreg" localSheetId="9">#REF!</definedName>
    <definedName name="nonreg" localSheetId="5">#REF!</definedName>
    <definedName name="nonreg" localSheetId="12">#REF!</definedName>
    <definedName name="nonreg" localSheetId="3">#REF!</definedName>
    <definedName name="nonreg" localSheetId="13">#REF!</definedName>
    <definedName name="nonreg" localSheetId="7">#REF!</definedName>
    <definedName name="nonreg" localSheetId="6">#REF!</definedName>
    <definedName name="nonreg">#REF!</definedName>
    <definedName name="nonregf" localSheetId="0">#REF!</definedName>
    <definedName name="nonregf" localSheetId="10">#REF!</definedName>
    <definedName name="nonregf" localSheetId="11">#REF!</definedName>
    <definedName name="nonregf" localSheetId="8">#REF!</definedName>
    <definedName name="nonregf" localSheetId="9">#REF!</definedName>
    <definedName name="nonregf" localSheetId="5">#REF!</definedName>
    <definedName name="nonregf" localSheetId="12">#REF!</definedName>
    <definedName name="nonregf" localSheetId="3">#REF!</definedName>
    <definedName name="nonregf" localSheetId="13">#REF!</definedName>
    <definedName name="nonregf" localSheetId="7">#REF!</definedName>
    <definedName name="nonregf" localSheetId="6">#REF!</definedName>
    <definedName name="nonregf">#REF!</definedName>
    <definedName name="note5d" localSheetId="0">#REF!</definedName>
    <definedName name="note5d" localSheetId="10">#REF!</definedName>
    <definedName name="note5d" localSheetId="11">#REF!</definedName>
    <definedName name="note5d" localSheetId="8">#REF!</definedName>
    <definedName name="note5d" localSheetId="9">#REF!</definedName>
    <definedName name="note5d" localSheetId="5">#REF!</definedName>
    <definedName name="note5d" localSheetId="12">#REF!</definedName>
    <definedName name="note5d" localSheetId="3">#REF!</definedName>
    <definedName name="note5d" localSheetId="13">#REF!</definedName>
    <definedName name="note5d" localSheetId="7">#REF!</definedName>
    <definedName name="note5d" localSheetId="6">#REF!</definedName>
    <definedName name="note5d">#REF!</definedName>
    <definedName name="oth_beg_bud" localSheetId="0">#REF!</definedName>
    <definedName name="oth_beg_bud" localSheetId="10">#REF!</definedName>
    <definedName name="oth_beg_bud" localSheetId="11">#REF!</definedName>
    <definedName name="oth_beg_bud" localSheetId="8">#REF!</definedName>
    <definedName name="oth_beg_bud" localSheetId="9">#REF!</definedName>
    <definedName name="oth_beg_bud" localSheetId="5">#REF!</definedName>
    <definedName name="oth_beg_bud" localSheetId="12">#REF!</definedName>
    <definedName name="oth_beg_bud" localSheetId="1">#REF!</definedName>
    <definedName name="oth_beg_bud" localSheetId="3">#REF!</definedName>
    <definedName name="oth_beg_bud" localSheetId="13">#REF!</definedName>
    <definedName name="oth_beg_bud" localSheetId="7">#REF!</definedName>
    <definedName name="oth_beg_bud" localSheetId="6">#REF!</definedName>
    <definedName name="oth_beg_bud">#REF!</definedName>
    <definedName name="oth_end_bud" localSheetId="0">#REF!</definedName>
    <definedName name="oth_end_bud" localSheetId="10">#REF!</definedName>
    <definedName name="oth_end_bud" localSheetId="11">#REF!</definedName>
    <definedName name="oth_end_bud" localSheetId="8">#REF!</definedName>
    <definedName name="oth_end_bud" localSheetId="9">#REF!</definedName>
    <definedName name="oth_end_bud" localSheetId="5">#REF!</definedName>
    <definedName name="oth_end_bud" localSheetId="12">#REF!</definedName>
    <definedName name="oth_end_bud" localSheetId="1">#REF!</definedName>
    <definedName name="oth_end_bud" localSheetId="3">#REF!</definedName>
    <definedName name="oth_end_bud" localSheetId="13">#REF!</definedName>
    <definedName name="oth_end_bud" localSheetId="7">#REF!</definedName>
    <definedName name="oth_end_bud" localSheetId="6">#REF!</definedName>
    <definedName name="oth_end_bud">#REF!</definedName>
    <definedName name="oth12ACT" localSheetId="0">#REF!</definedName>
    <definedName name="oth12ACT" localSheetId="10">#REF!</definedName>
    <definedName name="oth12ACT" localSheetId="11">#REF!</definedName>
    <definedName name="oth12ACT" localSheetId="8">#REF!</definedName>
    <definedName name="oth12ACT" localSheetId="9">#REF!</definedName>
    <definedName name="oth12ACT" localSheetId="5">#REF!</definedName>
    <definedName name="oth12ACT" localSheetId="12">#REF!</definedName>
    <definedName name="oth12ACT" localSheetId="1">#REF!</definedName>
    <definedName name="oth12ACT" localSheetId="3">#REF!</definedName>
    <definedName name="oth12ACT" localSheetId="13">#REF!</definedName>
    <definedName name="oth12ACT" localSheetId="7">#REF!</definedName>
    <definedName name="oth12ACT" localSheetId="6">#REF!</definedName>
    <definedName name="oth12ACT">#REF!</definedName>
    <definedName name="othCYACT" localSheetId="0">#REF!</definedName>
    <definedName name="othCYACT" localSheetId="10">#REF!</definedName>
    <definedName name="othCYACT" localSheetId="11">#REF!</definedName>
    <definedName name="othCYACT" localSheetId="8">#REF!</definedName>
    <definedName name="othCYACT" localSheetId="9">#REF!</definedName>
    <definedName name="othCYACT" localSheetId="5">#REF!</definedName>
    <definedName name="othCYACT" localSheetId="12">#REF!</definedName>
    <definedName name="othCYACT" localSheetId="1">#REF!</definedName>
    <definedName name="othCYACT" localSheetId="3">#REF!</definedName>
    <definedName name="othCYACT" localSheetId="13">#REF!</definedName>
    <definedName name="othCYACT" localSheetId="7">#REF!</definedName>
    <definedName name="othCYACT" localSheetId="6">#REF!</definedName>
    <definedName name="othCYACT">#REF!</definedName>
    <definedName name="othCYBUD" localSheetId="0">#REF!</definedName>
    <definedName name="othCYBUD" localSheetId="10">#REF!</definedName>
    <definedName name="othCYBUD" localSheetId="11">#REF!</definedName>
    <definedName name="othCYBUD" localSheetId="8">#REF!</definedName>
    <definedName name="othCYBUD" localSheetId="9">#REF!</definedName>
    <definedName name="othCYBUD" localSheetId="5">#REF!</definedName>
    <definedName name="othCYBUD" localSheetId="12">#REF!</definedName>
    <definedName name="othCYBUD" localSheetId="1">#REF!</definedName>
    <definedName name="othCYBUD" localSheetId="3">#REF!</definedName>
    <definedName name="othCYBUD" localSheetId="13">#REF!</definedName>
    <definedName name="othCYBUD" localSheetId="7">#REF!</definedName>
    <definedName name="othCYBUD" localSheetId="6">#REF!</definedName>
    <definedName name="othCYBUD">#REF!</definedName>
    <definedName name="othCYF" localSheetId="0">#REF!</definedName>
    <definedName name="othCYF" localSheetId="10">#REF!</definedName>
    <definedName name="othCYF" localSheetId="11">#REF!</definedName>
    <definedName name="othCYF" localSheetId="8">#REF!</definedName>
    <definedName name="othCYF" localSheetId="9">#REF!</definedName>
    <definedName name="othCYF" localSheetId="5">#REF!</definedName>
    <definedName name="othCYF" localSheetId="12">#REF!</definedName>
    <definedName name="othCYF" localSheetId="1">#REF!</definedName>
    <definedName name="othCYF" localSheetId="3">#REF!</definedName>
    <definedName name="othCYF" localSheetId="13">#REF!</definedName>
    <definedName name="othCYF" localSheetId="7">#REF!</definedName>
    <definedName name="othCYF" localSheetId="6">#REF!</definedName>
    <definedName name="othCYF">#REF!</definedName>
    <definedName name="OTHEND" localSheetId="0">#REF!</definedName>
    <definedName name="OTHEND" localSheetId="10">#REF!</definedName>
    <definedName name="OTHEND" localSheetId="11">#REF!</definedName>
    <definedName name="OTHEND" localSheetId="8">#REF!</definedName>
    <definedName name="OTHEND" localSheetId="9">#REF!</definedName>
    <definedName name="OTHEND" localSheetId="5">#REF!</definedName>
    <definedName name="OTHEND" localSheetId="12">#REF!</definedName>
    <definedName name="OTHEND" localSheetId="1">#REF!</definedName>
    <definedName name="OTHEND" localSheetId="3">#REF!</definedName>
    <definedName name="OTHEND" localSheetId="13">#REF!</definedName>
    <definedName name="OTHEND" localSheetId="7">#REF!</definedName>
    <definedName name="OTHEND" localSheetId="6">#REF!</definedName>
    <definedName name="OTHEND">#REF!</definedName>
    <definedName name="other_costs" localSheetId="0">#REF!</definedName>
    <definedName name="other_costs" localSheetId="10">#REF!</definedName>
    <definedName name="other_costs" localSheetId="11">#REF!</definedName>
    <definedName name="other_costs" localSheetId="8">#REF!</definedName>
    <definedName name="other_costs" localSheetId="9">#REF!</definedName>
    <definedName name="other_costs" localSheetId="5">#REF!</definedName>
    <definedName name="other_costs" localSheetId="12">#REF!</definedName>
    <definedName name="other_costs" localSheetId="1">#REF!</definedName>
    <definedName name="other_costs" localSheetId="3">#REF!</definedName>
    <definedName name="other_costs" localSheetId="13">#REF!</definedName>
    <definedName name="other_costs" localSheetId="7">#REF!</definedName>
    <definedName name="other_costs" localSheetId="6">#REF!</definedName>
    <definedName name="other_costs">#REF!</definedName>
    <definedName name="OTHERBUD" localSheetId="0">#REF!</definedName>
    <definedName name="OTHERBUD" localSheetId="10">#REF!</definedName>
    <definedName name="OTHERBUD" localSheetId="11">#REF!</definedName>
    <definedName name="OTHERBUD" localSheetId="8">#REF!</definedName>
    <definedName name="OTHERBUD" localSheetId="9">#REF!</definedName>
    <definedName name="OTHERBUD" localSheetId="5">#REF!</definedName>
    <definedName name="OTHERBUD" localSheetId="12">#REF!</definedName>
    <definedName name="OTHERBUD" localSheetId="1">#REF!</definedName>
    <definedName name="OTHERBUD" localSheetId="3">#REF!</definedName>
    <definedName name="OTHERBUD" localSheetId="13">#REF!</definedName>
    <definedName name="OTHERBUD" localSheetId="7">#REF!</definedName>
    <definedName name="OTHERBUD" localSheetId="6">#REF!</definedName>
    <definedName name="OTHERBUD">#REF!</definedName>
    <definedName name="OtherRateCharges" localSheetId="0">#REF!</definedName>
    <definedName name="OtherRateCharges" localSheetId="10">#REF!</definedName>
    <definedName name="OtherRateCharges" localSheetId="11">#REF!</definedName>
    <definedName name="OtherRateCharges" localSheetId="8">#REF!</definedName>
    <definedName name="OtherRateCharges" localSheetId="9">#REF!</definedName>
    <definedName name="OtherRateCharges" localSheetId="5">#REF!</definedName>
    <definedName name="OtherRateCharges" localSheetId="12">#REF!</definedName>
    <definedName name="OtherRateCharges" localSheetId="3">#REF!</definedName>
    <definedName name="OtherRateCharges" localSheetId="13">#REF!</definedName>
    <definedName name="OtherRateCharges" localSheetId="7">#REF!</definedName>
    <definedName name="OtherRateCharges" localSheetId="6">#REF!</definedName>
    <definedName name="OtherRateCharges">#REF!</definedName>
    <definedName name="othNYbud" localSheetId="0">#REF!</definedName>
    <definedName name="othNYbud" localSheetId="10">#REF!</definedName>
    <definedName name="othNYbud" localSheetId="11">#REF!</definedName>
    <definedName name="othNYbud" localSheetId="8">#REF!</definedName>
    <definedName name="othNYbud" localSheetId="9">#REF!</definedName>
    <definedName name="othNYbud" localSheetId="5">#REF!</definedName>
    <definedName name="othNYbud" localSheetId="12">#REF!</definedName>
    <definedName name="othNYbud" localSheetId="1">#REF!</definedName>
    <definedName name="othNYbud" localSheetId="3">#REF!</definedName>
    <definedName name="othNYbud" localSheetId="13">#REF!</definedName>
    <definedName name="othNYbud" localSheetId="7">#REF!</definedName>
    <definedName name="othNYbud" localSheetId="6">#REF!</definedName>
    <definedName name="othNYbud">#REF!</definedName>
    <definedName name="othPYACT" localSheetId="0">#REF!</definedName>
    <definedName name="othPYACT" localSheetId="10">#REF!</definedName>
    <definedName name="othPYACT" localSheetId="11">#REF!</definedName>
    <definedName name="othPYACT" localSheetId="8">#REF!</definedName>
    <definedName name="othPYACT" localSheetId="9">#REF!</definedName>
    <definedName name="othPYACT" localSheetId="5">#REF!</definedName>
    <definedName name="othPYACT" localSheetId="12">#REF!</definedName>
    <definedName name="othPYACT" localSheetId="1">#REF!</definedName>
    <definedName name="othPYACT" localSheetId="3">#REF!</definedName>
    <definedName name="othPYACT" localSheetId="13">#REF!</definedName>
    <definedName name="othPYACT" localSheetId="7">#REF!</definedName>
    <definedName name="othPYACT" localSheetId="6">#REF!</definedName>
    <definedName name="othPYACT">#REF!</definedName>
    <definedName name="OTHSTART" localSheetId="0">#REF!</definedName>
    <definedName name="OTHSTART" localSheetId="10">#REF!</definedName>
    <definedName name="OTHSTART" localSheetId="11">#REF!</definedName>
    <definedName name="OTHSTART" localSheetId="8">#REF!</definedName>
    <definedName name="OTHSTART" localSheetId="9">#REF!</definedName>
    <definedName name="OTHSTART" localSheetId="5">#REF!</definedName>
    <definedName name="OTHSTART" localSheetId="12">#REF!</definedName>
    <definedName name="OTHSTART" localSheetId="1">#REF!</definedName>
    <definedName name="OTHSTART" localSheetId="3">#REF!</definedName>
    <definedName name="OTHSTART" localSheetId="13">#REF!</definedName>
    <definedName name="OTHSTART" localSheetId="7">#REF!</definedName>
    <definedName name="OTHSTART" localSheetId="6">#REF!</definedName>
    <definedName name="OTHSTART">#REF!</definedName>
    <definedName name="page3" localSheetId="0">[8]RPCAP97!#REF!</definedName>
    <definedName name="page3" localSheetId="10">[8]RPCAP97!#REF!</definedName>
    <definedName name="page3" localSheetId="11">[8]RPCAP97!#REF!</definedName>
    <definedName name="page3" localSheetId="8">[8]RPCAP97!#REF!</definedName>
    <definedName name="page3" localSheetId="9">[8]RPCAP97!#REF!</definedName>
    <definedName name="page3" localSheetId="5">[8]RPCAP97!#REF!</definedName>
    <definedName name="page3" localSheetId="12">[8]RPCAP97!#REF!</definedName>
    <definedName name="page3" localSheetId="3">[8]RPCAP97!#REF!</definedName>
    <definedName name="page3" localSheetId="13">[8]RPCAP97!#REF!</definedName>
    <definedName name="page3" localSheetId="7">[8]RPCAP97!#REF!</definedName>
    <definedName name="page3" localSheetId="6">[8]RPCAP97!#REF!</definedName>
    <definedName name="page3">[8]RPCAP97!#REF!</definedName>
    <definedName name="page7a" localSheetId="0">[8]RPCAP97!#REF!</definedName>
    <definedName name="page7a" localSheetId="10">[8]RPCAP97!#REF!</definedName>
    <definedName name="page7a" localSheetId="11">[8]RPCAP97!#REF!</definedName>
    <definedName name="page7a" localSheetId="8">[8]RPCAP97!#REF!</definedName>
    <definedName name="page7a" localSheetId="9">[8]RPCAP97!#REF!</definedName>
    <definedName name="page7a" localSheetId="5">[8]RPCAP97!#REF!</definedName>
    <definedName name="page7a" localSheetId="12">[8]RPCAP97!#REF!</definedName>
    <definedName name="page7a" localSheetId="3">[8]RPCAP97!#REF!</definedName>
    <definedName name="page7a" localSheetId="13">[8]RPCAP97!#REF!</definedName>
    <definedName name="page7a" localSheetId="7">[8]RPCAP97!#REF!</definedName>
    <definedName name="page7a" localSheetId="6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0">#REF!</definedName>
    <definedName name="PriceCapParams" localSheetId="10">#REF!</definedName>
    <definedName name="PriceCapParams" localSheetId="11">#REF!</definedName>
    <definedName name="PriceCapParams" localSheetId="8">#REF!</definedName>
    <definedName name="PriceCapParams" localSheetId="9">#REF!</definedName>
    <definedName name="PriceCapParams" localSheetId="5">#REF!</definedName>
    <definedName name="PriceCapParams" localSheetId="12">#REF!</definedName>
    <definedName name="PriceCapParams" localSheetId="3">#REF!</definedName>
    <definedName name="PriceCapParams" localSheetId="13">#REF!</definedName>
    <definedName name="PriceCapParams" localSheetId="7">#REF!</definedName>
    <definedName name="PriceCapParams" localSheetId="6">#REF!</definedName>
    <definedName name="PriceCapParams">#REF!</definedName>
    <definedName name="primary" localSheetId="0">[2]List99!$A$288:$F$346,[2]List99!#REF!,[2]List99!$A$350:$F$466</definedName>
    <definedName name="primary" localSheetId="10">[2]List99!$A$288:$F$346,[2]List99!#REF!,[2]List99!$A$350:$F$466</definedName>
    <definedName name="primary" localSheetId="11">[2]List99!$A$288:$F$346,[2]List99!#REF!,[2]List99!$A$350:$F$466</definedName>
    <definedName name="primary" localSheetId="8">[2]List99!$A$288:$F$346,[2]List99!#REF!,[2]List99!$A$350:$F$466</definedName>
    <definedName name="primary" localSheetId="9">[2]List99!$A$288:$F$346,[2]List99!#REF!,[2]List99!$A$350:$F$466</definedName>
    <definedName name="primary" localSheetId="5">[2]List99!$A$288:$F$346,[2]List99!#REF!,[2]List99!$A$350:$F$466</definedName>
    <definedName name="primary" localSheetId="12">[2]List99!$A$288:$F$346,[2]List99!#REF!,[2]List99!$A$350:$F$466</definedName>
    <definedName name="primary" localSheetId="3">[2]List99!$A$288:$F$346,[2]List99!#REF!,[2]List99!$A$350:$F$466</definedName>
    <definedName name="primary" localSheetId="13">[2]List99!$A$288:$F$346,[2]List99!#REF!,[2]List99!$A$350:$F$466</definedName>
    <definedName name="primary" localSheetId="7">[2]List99!$A$288:$F$346,[2]List99!#REF!,[2]List99!$A$350:$F$466</definedName>
    <definedName name="primary" localSheetId="6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 localSheetId="0">'Bill Impact'!$A$1:$K$18</definedName>
    <definedName name="_xlnm.Print_Area" localSheetId="10">'GS500-4999INT'!$A$1:$Q$61</definedName>
    <definedName name="_xlnm.Print_Area" localSheetId="11">'GS500-499NI'!$A$1:$Q$61</definedName>
    <definedName name="_xlnm.Print_Area" localSheetId="8">'GS50-499INT'!$A$1:$Q$63</definedName>
    <definedName name="_xlnm.Print_Area" localSheetId="9">'GS50-499NI'!$A$1:$Q$64</definedName>
    <definedName name="_xlnm.Print_Area" localSheetId="5">'GSLT50 NonRPP'!$A$1:$Q$65</definedName>
    <definedName name="_xlnm.Print_Area" localSheetId="4">'GSLT50 RPP'!$A$1:$Q$65</definedName>
    <definedName name="_xlnm.Print_Area" localSheetId="12">'LU - Class A'!$A$1:$Q$61</definedName>
    <definedName name="_xlnm.Print_Area" localSheetId="3">'RES-NonRPP'!$A$1:$Q$67</definedName>
    <definedName name="_xlnm.Print_Area" localSheetId="2">'RES-RPP'!$A$1:$Q$70</definedName>
    <definedName name="_xlnm.Print_Area" localSheetId="13">SL!$A$1:$Q$61</definedName>
    <definedName name="_xlnm.Print_Area" localSheetId="7">'USL NonRPP'!$A$1:$Q$65</definedName>
    <definedName name="_xlnm.Print_Area" localSheetId="6">'USL RPP'!$A$1:$Q$65</definedName>
    <definedName name="_xlnm.Print_Area">#REF!</definedName>
    <definedName name="print_end" localSheetId="0">#REF!</definedName>
    <definedName name="print_end" localSheetId="10">#REF!</definedName>
    <definedName name="print_end" localSheetId="11">#REF!</definedName>
    <definedName name="print_end" localSheetId="8">#REF!</definedName>
    <definedName name="print_end" localSheetId="9">#REF!</definedName>
    <definedName name="print_end" localSheetId="5">#REF!</definedName>
    <definedName name="print_end" localSheetId="12">#REF!</definedName>
    <definedName name="print_end" localSheetId="1">#REF!</definedName>
    <definedName name="print_end" localSheetId="3">#REF!</definedName>
    <definedName name="print_end" localSheetId="13">#REF!</definedName>
    <definedName name="print_end" localSheetId="7">#REF!</definedName>
    <definedName name="print_end" localSheetId="6">#REF!</definedName>
    <definedName name="print_end">#REF!</definedName>
    <definedName name="_xlnm.Print_Titles" localSheetId="0">'Bill Impact'!$A:$A</definedName>
    <definedName name="_xlnm.Print_Titles" localSheetId="1">'Rates Detail'!$1:$2</definedName>
    <definedName name="Qend" localSheetId="1">'[15]RSVA &amp; Other'!$A$3</definedName>
    <definedName name="Qend">'[15]RSVA &amp; Other'!$A$3</definedName>
    <definedName name="Rate_Riders" localSheetId="0">#REF!</definedName>
    <definedName name="Rate_Riders" localSheetId="10">#REF!</definedName>
    <definedName name="Rate_Riders" localSheetId="11">#REF!</definedName>
    <definedName name="Rate_Riders" localSheetId="8">#REF!</definedName>
    <definedName name="Rate_Riders" localSheetId="9">#REF!</definedName>
    <definedName name="Rate_Riders" localSheetId="5">#REF!</definedName>
    <definedName name="Rate_Riders" localSheetId="12">#REF!</definedName>
    <definedName name="Rate_Riders" localSheetId="3">#REF!</definedName>
    <definedName name="Rate_Riders" localSheetId="13">#REF!</definedName>
    <definedName name="Rate_Riders" localSheetId="7">#REF!</definedName>
    <definedName name="Rate_Riders" localSheetId="6">#REF!</definedName>
    <definedName name="Rate_Riders">#REF!</definedName>
    <definedName name="Ratebase" localSheetId="0">#REF!</definedName>
    <definedName name="Ratebase" localSheetId="10">#REF!</definedName>
    <definedName name="Ratebase" localSheetId="11">#REF!</definedName>
    <definedName name="Ratebase" localSheetId="8">#REF!</definedName>
    <definedName name="Ratebase" localSheetId="9">#REF!</definedName>
    <definedName name="Ratebase" localSheetId="5">#REF!</definedName>
    <definedName name="Ratebase" localSheetId="12">#REF!</definedName>
    <definedName name="Ratebase" localSheetId="3">#REF!</definedName>
    <definedName name="Ratebase" localSheetId="13">#REF!</definedName>
    <definedName name="Ratebase" localSheetId="7">#REF!</definedName>
    <definedName name="Ratebase" localSheetId="6">#REF!</definedName>
    <definedName name="Ratebase">#REF!</definedName>
    <definedName name="rearrange95">[6]SUM95!$A$75:$I$109,[6]SUM95!$A$110:$I$141,[6]SUM95!$A$142:$I$177</definedName>
    <definedName name="RPP_Data" localSheetId="0">#REF!</definedName>
    <definedName name="RPP_Data" localSheetId="10">#REF!</definedName>
    <definedName name="RPP_Data" localSheetId="11">#REF!</definedName>
    <definedName name="RPP_Data" localSheetId="8">#REF!</definedName>
    <definedName name="RPP_Data" localSheetId="9">#REF!</definedName>
    <definedName name="RPP_Data" localSheetId="5">#REF!</definedName>
    <definedName name="RPP_Data" localSheetId="12">#REF!</definedName>
    <definedName name="RPP_Data" localSheetId="3">#REF!</definedName>
    <definedName name="RPP_Data" localSheetId="13">#REF!</definedName>
    <definedName name="RPP_Data" localSheetId="7">#REF!</definedName>
    <definedName name="RPP_Data" localSheetId="6">#REF!</definedName>
    <definedName name="RPP_Data">#REF!</definedName>
    <definedName name="SALBENF" localSheetId="0">#REF!</definedName>
    <definedName name="SALBENF" localSheetId="10">#REF!</definedName>
    <definedName name="SALBENF" localSheetId="11">#REF!</definedName>
    <definedName name="SALBENF" localSheetId="8">#REF!</definedName>
    <definedName name="SALBENF" localSheetId="9">#REF!</definedName>
    <definedName name="SALBENF" localSheetId="5">#REF!</definedName>
    <definedName name="SALBENF" localSheetId="12">#REF!</definedName>
    <definedName name="SALBENF" localSheetId="1">#REF!</definedName>
    <definedName name="SALBENF" localSheetId="3">#REF!</definedName>
    <definedName name="SALBENF" localSheetId="13">#REF!</definedName>
    <definedName name="SALBENF" localSheetId="7">#REF!</definedName>
    <definedName name="SALBENF" localSheetId="6">#REF!</definedName>
    <definedName name="SALBENF">#REF!</definedName>
    <definedName name="salreg" localSheetId="0">#REF!</definedName>
    <definedName name="salreg" localSheetId="10">#REF!</definedName>
    <definedName name="salreg" localSheetId="11">#REF!</definedName>
    <definedName name="salreg" localSheetId="8">#REF!</definedName>
    <definedName name="salreg" localSheetId="9">#REF!</definedName>
    <definedName name="salreg" localSheetId="5">#REF!</definedName>
    <definedName name="salreg" localSheetId="12">#REF!</definedName>
    <definedName name="salreg" localSheetId="1">#REF!</definedName>
    <definedName name="salreg" localSheetId="3">#REF!</definedName>
    <definedName name="salreg" localSheetId="13">#REF!</definedName>
    <definedName name="salreg" localSheetId="7">#REF!</definedName>
    <definedName name="salreg" localSheetId="6">#REF!</definedName>
    <definedName name="salreg">#REF!</definedName>
    <definedName name="SALREGF" localSheetId="0">#REF!</definedName>
    <definedName name="SALREGF" localSheetId="10">#REF!</definedName>
    <definedName name="SALREGF" localSheetId="11">#REF!</definedName>
    <definedName name="SALREGF" localSheetId="8">#REF!</definedName>
    <definedName name="SALREGF" localSheetId="9">#REF!</definedName>
    <definedName name="SALREGF" localSheetId="5">#REF!</definedName>
    <definedName name="SALREGF" localSheetId="12">#REF!</definedName>
    <definedName name="SALREGF" localSheetId="1">#REF!</definedName>
    <definedName name="SALREGF" localSheetId="3">#REF!</definedName>
    <definedName name="SALREGF" localSheetId="13">#REF!</definedName>
    <definedName name="SALREGF" localSheetId="7">#REF!</definedName>
    <definedName name="SALREGF" localSheetId="6">#REF!</definedName>
    <definedName name="SALREGF">#REF!</definedName>
    <definedName name="subtrans" localSheetId="0">[2]List99!$A$1:$F$59,[2]List99!$A$60:$F$111,[2]List99!#REF!,[2]List99!$A$112:$F$164,[2]List99!$A$165:$F$228</definedName>
    <definedName name="subtrans" localSheetId="10">[2]List99!$A$1:$F$59,[2]List99!$A$60:$F$111,[2]List99!#REF!,[2]List99!$A$112:$F$164,[2]List99!$A$165:$F$228</definedName>
    <definedName name="subtrans" localSheetId="11">[2]List99!$A$1:$F$59,[2]List99!$A$60:$F$111,[2]List99!#REF!,[2]List99!$A$112:$F$164,[2]List99!$A$165:$F$228</definedName>
    <definedName name="subtrans" localSheetId="8">[2]List99!$A$1:$F$59,[2]List99!$A$60:$F$111,[2]List99!#REF!,[2]List99!$A$112:$F$164,[2]List99!$A$165:$F$228</definedName>
    <definedName name="subtrans" localSheetId="9">[2]List99!$A$1:$F$59,[2]List99!$A$60:$F$111,[2]List99!#REF!,[2]List99!$A$112:$F$164,[2]List99!$A$165:$F$228</definedName>
    <definedName name="subtrans" localSheetId="5">[2]List99!$A$1:$F$59,[2]List99!$A$60:$F$111,[2]List99!#REF!,[2]List99!$A$112:$F$164,[2]List99!$A$165:$F$228</definedName>
    <definedName name="subtrans" localSheetId="12">[2]List99!$A$1:$F$59,[2]List99!$A$60:$F$111,[2]List99!#REF!,[2]List99!$A$112:$F$164,[2]List99!$A$165:$F$228</definedName>
    <definedName name="subtrans" localSheetId="3">[2]List99!$A$1:$F$59,[2]List99!$A$60:$F$111,[2]List99!#REF!,[2]List99!$A$112:$F$164,[2]List99!$A$165:$F$228</definedName>
    <definedName name="subtrans" localSheetId="13">[2]List99!$A$1:$F$59,[2]List99!$A$60:$F$111,[2]List99!#REF!,[2]List99!$A$112:$F$164,[2]List99!$A$165:$F$228</definedName>
    <definedName name="subtrans" localSheetId="7">[2]List99!$A$1:$F$59,[2]List99!$A$60:$F$111,[2]List99!#REF!,[2]List99!$A$112:$F$164,[2]List99!$A$165:$F$228</definedName>
    <definedName name="subtrans" localSheetId="6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0">#REF!</definedName>
    <definedName name="Surtax" localSheetId="10">#REF!</definedName>
    <definedName name="Surtax" localSheetId="11">#REF!</definedName>
    <definedName name="Surtax" localSheetId="8">#REF!</definedName>
    <definedName name="Surtax" localSheetId="9">#REF!</definedName>
    <definedName name="Surtax" localSheetId="5">#REF!</definedName>
    <definedName name="Surtax" localSheetId="12">#REF!</definedName>
    <definedName name="Surtax" localSheetId="1">#REF!</definedName>
    <definedName name="Surtax" localSheetId="3">#REF!</definedName>
    <definedName name="Surtax" localSheetId="13">#REF!</definedName>
    <definedName name="Surtax" localSheetId="7">#REF!</definedName>
    <definedName name="Surtax" localSheetId="6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0">#REF!</definedName>
    <definedName name="TEMPA" localSheetId="10">#REF!</definedName>
    <definedName name="TEMPA" localSheetId="11">#REF!</definedName>
    <definedName name="TEMPA" localSheetId="8">#REF!</definedName>
    <definedName name="TEMPA" localSheetId="9">#REF!</definedName>
    <definedName name="TEMPA" localSheetId="5">#REF!</definedName>
    <definedName name="TEMPA" localSheetId="12">#REF!</definedName>
    <definedName name="TEMPA" localSheetId="1">#REF!</definedName>
    <definedName name="TEMPA" localSheetId="3">#REF!</definedName>
    <definedName name="TEMPA" localSheetId="13">#REF!</definedName>
    <definedName name="TEMPA" localSheetId="7">#REF!</definedName>
    <definedName name="TEMPA" localSheetId="6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0">#REF!</definedName>
    <definedName name="total_dept" localSheetId="10">#REF!</definedName>
    <definedName name="total_dept" localSheetId="11">#REF!</definedName>
    <definedName name="total_dept" localSheetId="8">#REF!</definedName>
    <definedName name="total_dept" localSheetId="9">#REF!</definedName>
    <definedName name="total_dept" localSheetId="5">#REF!</definedName>
    <definedName name="total_dept" localSheetId="12">#REF!</definedName>
    <definedName name="total_dept" localSheetId="1">#REF!</definedName>
    <definedName name="total_dept" localSheetId="3">#REF!</definedName>
    <definedName name="total_dept" localSheetId="13">#REF!</definedName>
    <definedName name="total_dept" localSheetId="7">#REF!</definedName>
    <definedName name="total_dept" localSheetId="6">#REF!</definedName>
    <definedName name="total_dept">#REF!</definedName>
    <definedName name="total_manpower" localSheetId="0">#REF!</definedName>
    <definedName name="total_manpower" localSheetId="10">#REF!</definedName>
    <definedName name="total_manpower" localSheetId="11">#REF!</definedName>
    <definedName name="total_manpower" localSheetId="8">#REF!</definedName>
    <definedName name="total_manpower" localSheetId="9">#REF!</definedName>
    <definedName name="total_manpower" localSheetId="5">#REF!</definedName>
    <definedName name="total_manpower" localSheetId="12">#REF!</definedName>
    <definedName name="total_manpower" localSheetId="1">#REF!</definedName>
    <definedName name="total_manpower" localSheetId="3">#REF!</definedName>
    <definedName name="total_manpower" localSheetId="13">#REF!</definedName>
    <definedName name="total_manpower" localSheetId="7">#REF!</definedName>
    <definedName name="total_manpower" localSheetId="6">#REF!</definedName>
    <definedName name="total_manpower">#REF!</definedName>
    <definedName name="total_material" localSheetId="0">#REF!</definedName>
    <definedName name="total_material" localSheetId="10">#REF!</definedName>
    <definedName name="total_material" localSheetId="11">#REF!</definedName>
    <definedName name="total_material" localSheetId="8">#REF!</definedName>
    <definedName name="total_material" localSheetId="9">#REF!</definedName>
    <definedName name="total_material" localSheetId="5">#REF!</definedName>
    <definedName name="total_material" localSheetId="12">#REF!</definedName>
    <definedName name="total_material" localSheetId="1">#REF!</definedName>
    <definedName name="total_material" localSheetId="3">#REF!</definedName>
    <definedName name="total_material" localSheetId="13">#REF!</definedName>
    <definedName name="total_material" localSheetId="7">#REF!</definedName>
    <definedName name="total_material" localSheetId="6">#REF!</definedName>
    <definedName name="total_material">#REF!</definedName>
    <definedName name="total_other" localSheetId="0">#REF!</definedName>
    <definedName name="total_other" localSheetId="10">#REF!</definedName>
    <definedName name="total_other" localSheetId="11">#REF!</definedName>
    <definedName name="total_other" localSheetId="8">#REF!</definedName>
    <definedName name="total_other" localSheetId="9">#REF!</definedName>
    <definedName name="total_other" localSheetId="5">#REF!</definedName>
    <definedName name="total_other" localSheetId="12">#REF!</definedName>
    <definedName name="total_other" localSheetId="1">#REF!</definedName>
    <definedName name="total_other" localSheetId="3">#REF!</definedName>
    <definedName name="total_other" localSheetId="13">#REF!</definedName>
    <definedName name="total_other" localSheetId="7">#REF!</definedName>
    <definedName name="total_other" localSheetId="6">#REF!</definedName>
    <definedName name="total_other">#REF!</definedName>
    <definedName name="total_transportation" localSheetId="0">#REF!</definedName>
    <definedName name="total_transportation" localSheetId="10">#REF!</definedName>
    <definedName name="total_transportation" localSheetId="11">#REF!</definedName>
    <definedName name="total_transportation" localSheetId="8">#REF!</definedName>
    <definedName name="total_transportation" localSheetId="9">#REF!</definedName>
    <definedName name="total_transportation" localSheetId="5">#REF!</definedName>
    <definedName name="total_transportation" localSheetId="12">#REF!</definedName>
    <definedName name="total_transportation" localSheetId="1">#REF!</definedName>
    <definedName name="total_transportation" localSheetId="3">#REF!</definedName>
    <definedName name="total_transportation" localSheetId="13">#REF!</definedName>
    <definedName name="total_transportation" localSheetId="7">#REF!</definedName>
    <definedName name="total_transportation" localSheetId="6">#REF!</definedName>
    <definedName name="total_transportation">#REF!</definedName>
    <definedName name="TRANBUD" localSheetId="0">#REF!</definedName>
    <definedName name="TRANBUD" localSheetId="10">#REF!</definedName>
    <definedName name="TRANBUD" localSheetId="11">#REF!</definedName>
    <definedName name="TRANBUD" localSheetId="8">#REF!</definedName>
    <definedName name="TRANBUD" localSheetId="9">#REF!</definedName>
    <definedName name="TRANBUD" localSheetId="5">#REF!</definedName>
    <definedName name="TRANBUD" localSheetId="12">#REF!</definedName>
    <definedName name="TRANBUD" localSheetId="1">#REF!</definedName>
    <definedName name="TRANBUD" localSheetId="3">#REF!</definedName>
    <definedName name="TRANBUD" localSheetId="13">#REF!</definedName>
    <definedName name="TRANBUD" localSheetId="7">#REF!</definedName>
    <definedName name="TRANBUD" localSheetId="6">#REF!</definedName>
    <definedName name="TRANBUD">#REF!</definedName>
    <definedName name="TRANEND" localSheetId="0">#REF!</definedName>
    <definedName name="TRANEND" localSheetId="10">#REF!</definedName>
    <definedName name="TRANEND" localSheetId="11">#REF!</definedName>
    <definedName name="TRANEND" localSheetId="8">#REF!</definedName>
    <definedName name="TRANEND" localSheetId="9">#REF!</definedName>
    <definedName name="TRANEND" localSheetId="5">#REF!</definedName>
    <definedName name="TRANEND" localSheetId="12">#REF!</definedName>
    <definedName name="TRANEND" localSheetId="1">#REF!</definedName>
    <definedName name="TRANEND" localSheetId="3">#REF!</definedName>
    <definedName name="TRANEND" localSheetId="13">#REF!</definedName>
    <definedName name="TRANEND" localSheetId="7">#REF!</definedName>
    <definedName name="TRANEND" localSheetId="6">#REF!</definedName>
    <definedName name="TRANEND">#REF!</definedName>
    <definedName name="transportation_costs" localSheetId="0">#REF!</definedName>
    <definedName name="transportation_costs" localSheetId="10">#REF!</definedName>
    <definedName name="transportation_costs" localSheetId="11">#REF!</definedName>
    <definedName name="transportation_costs" localSheetId="8">#REF!</definedName>
    <definedName name="transportation_costs" localSheetId="9">#REF!</definedName>
    <definedName name="transportation_costs" localSheetId="5">#REF!</definedName>
    <definedName name="transportation_costs" localSheetId="12">#REF!</definedName>
    <definedName name="transportation_costs" localSheetId="1">#REF!</definedName>
    <definedName name="transportation_costs" localSheetId="3">#REF!</definedName>
    <definedName name="transportation_costs" localSheetId="13">#REF!</definedName>
    <definedName name="transportation_costs" localSheetId="7">#REF!</definedName>
    <definedName name="transportation_costs" localSheetId="6">#REF!</definedName>
    <definedName name="transportation_costs">#REF!</definedName>
    <definedName name="TRANSTART" localSheetId="0">#REF!</definedName>
    <definedName name="TRANSTART" localSheetId="10">#REF!</definedName>
    <definedName name="TRANSTART" localSheetId="11">#REF!</definedName>
    <definedName name="TRANSTART" localSheetId="8">#REF!</definedName>
    <definedName name="TRANSTART" localSheetId="9">#REF!</definedName>
    <definedName name="TRANSTART" localSheetId="5">#REF!</definedName>
    <definedName name="TRANSTART" localSheetId="12">#REF!</definedName>
    <definedName name="TRANSTART" localSheetId="1">#REF!</definedName>
    <definedName name="TRANSTART" localSheetId="3">#REF!</definedName>
    <definedName name="TRANSTART" localSheetId="13">#REF!</definedName>
    <definedName name="TRANSTART" localSheetId="7">#REF!</definedName>
    <definedName name="TRANSTART" localSheetId="6">#REF!</definedName>
    <definedName name="TRANSTART">#REF!</definedName>
    <definedName name="trn_beg_bud" localSheetId="0">#REF!</definedName>
    <definedName name="trn_beg_bud" localSheetId="10">#REF!</definedName>
    <definedName name="trn_beg_bud" localSheetId="11">#REF!</definedName>
    <definedName name="trn_beg_bud" localSheetId="8">#REF!</definedName>
    <definedName name="trn_beg_bud" localSheetId="9">#REF!</definedName>
    <definedName name="trn_beg_bud" localSheetId="5">#REF!</definedName>
    <definedName name="trn_beg_bud" localSheetId="12">#REF!</definedName>
    <definedName name="trn_beg_bud" localSheetId="1">#REF!</definedName>
    <definedName name="trn_beg_bud" localSheetId="3">#REF!</definedName>
    <definedName name="trn_beg_bud" localSheetId="13">#REF!</definedName>
    <definedName name="trn_beg_bud" localSheetId="7">#REF!</definedName>
    <definedName name="trn_beg_bud" localSheetId="6">#REF!</definedName>
    <definedName name="trn_beg_bud">#REF!</definedName>
    <definedName name="trn_end_bud" localSheetId="0">#REF!</definedName>
    <definedName name="trn_end_bud" localSheetId="10">#REF!</definedName>
    <definedName name="trn_end_bud" localSheetId="11">#REF!</definedName>
    <definedName name="trn_end_bud" localSheetId="8">#REF!</definedName>
    <definedName name="trn_end_bud" localSheetId="9">#REF!</definedName>
    <definedName name="trn_end_bud" localSheetId="5">#REF!</definedName>
    <definedName name="trn_end_bud" localSheetId="12">#REF!</definedName>
    <definedName name="trn_end_bud" localSheetId="1">#REF!</definedName>
    <definedName name="trn_end_bud" localSheetId="3">#REF!</definedName>
    <definedName name="trn_end_bud" localSheetId="13">#REF!</definedName>
    <definedName name="trn_end_bud" localSheetId="7">#REF!</definedName>
    <definedName name="trn_end_bud" localSheetId="6">#REF!</definedName>
    <definedName name="trn_end_bud">#REF!</definedName>
    <definedName name="trn12ACT" localSheetId="0">#REF!</definedName>
    <definedName name="trn12ACT" localSheetId="10">#REF!</definedName>
    <definedName name="trn12ACT" localSheetId="11">#REF!</definedName>
    <definedName name="trn12ACT" localSheetId="8">#REF!</definedName>
    <definedName name="trn12ACT" localSheetId="9">#REF!</definedName>
    <definedName name="trn12ACT" localSheetId="5">#REF!</definedName>
    <definedName name="trn12ACT" localSheetId="12">#REF!</definedName>
    <definedName name="trn12ACT" localSheetId="1">#REF!</definedName>
    <definedName name="trn12ACT" localSheetId="3">#REF!</definedName>
    <definedName name="trn12ACT" localSheetId="13">#REF!</definedName>
    <definedName name="trn12ACT" localSheetId="7">#REF!</definedName>
    <definedName name="trn12ACT" localSheetId="6">#REF!</definedName>
    <definedName name="trn12ACT">#REF!</definedName>
    <definedName name="trnCYACT" localSheetId="0">#REF!</definedName>
    <definedName name="trnCYACT" localSheetId="10">#REF!</definedName>
    <definedName name="trnCYACT" localSheetId="11">#REF!</definedName>
    <definedName name="trnCYACT" localSheetId="8">#REF!</definedName>
    <definedName name="trnCYACT" localSheetId="9">#REF!</definedName>
    <definedName name="trnCYACT" localSheetId="5">#REF!</definedName>
    <definedName name="trnCYACT" localSheetId="12">#REF!</definedName>
    <definedName name="trnCYACT" localSheetId="1">#REF!</definedName>
    <definedName name="trnCYACT" localSheetId="3">#REF!</definedName>
    <definedName name="trnCYACT" localSheetId="13">#REF!</definedName>
    <definedName name="trnCYACT" localSheetId="7">#REF!</definedName>
    <definedName name="trnCYACT" localSheetId="6">#REF!</definedName>
    <definedName name="trnCYACT">#REF!</definedName>
    <definedName name="trnCYBUD" localSheetId="0">#REF!</definedName>
    <definedName name="trnCYBUD" localSheetId="10">#REF!</definedName>
    <definedName name="trnCYBUD" localSheetId="11">#REF!</definedName>
    <definedName name="trnCYBUD" localSheetId="8">#REF!</definedName>
    <definedName name="trnCYBUD" localSheetId="9">#REF!</definedName>
    <definedName name="trnCYBUD" localSheetId="5">#REF!</definedName>
    <definedName name="trnCYBUD" localSheetId="12">#REF!</definedName>
    <definedName name="trnCYBUD" localSheetId="1">#REF!</definedName>
    <definedName name="trnCYBUD" localSheetId="3">#REF!</definedName>
    <definedName name="trnCYBUD" localSheetId="13">#REF!</definedName>
    <definedName name="trnCYBUD" localSheetId="7">#REF!</definedName>
    <definedName name="trnCYBUD" localSheetId="6">#REF!</definedName>
    <definedName name="trnCYBUD">#REF!</definedName>
    <definedName name="trnCYF" localSheetId="0">#REF!</definedName>
    <definedName name="trnCYF" localSheetId="10">#REF!</definedName>
    <definedName name="trnCYF" localSheetId="11">#REF!</definedName>
    <definedName name="trnCYF" localSheetId="8">#REF!</definedName>
    <definedName name="trnCYF" localSheetId="9">#REF!</definedName>
    <definedName name="trnCYF" localSheetId="5">#REF!</definedName>
    <definedName name="trnCYF" localSheetId="12">#REF!</definedName>
    <definedName name="trnCYF" localSheetId="1">#REF!</definedName>
    <definedName name="trnCYF" localSheetId="3">#REF!</definedName>
    <definedName name="trnCYF" localSheetId="13">#REF!</definedName>
    <definedName name="trnCYF" localSheetId="7">#REF!</definedName>
    <definedName name="trnCYF" localSheetId="6">#REF!</definedName>
    <definedName name="trnCYF">#REF!</definedName>
    <definedName name="trnNYbud" localSheetId="0">#REF!</definedName>
    <definedName name="trnNYbud" localSheetId="10">#REF!</definedName>
    <definedName name="trnNYbud" localSheetId="11">#REF!</definedName>
    <definedName name="trnNYbud" localSheetId="8">#REF!</definedName>
    <definedName name="trnNYbud" localSheetId="9">#REF!</definedName>
    <definedName name="trnNYbud" localSheetId="5">#REF!</definedName>
    <definedName name="trnNYbud" localSheetId="12">#REF!</definedName>
    <definedName name="trnNYbud" localSheetId="1">#REF!</definedName>
    <definedName name="trnNYbud" localSheetId="3">#REF!</definedName>
    <definedName name="trnNYbud" localSheetId="13">#REF!</definedName>
    <definedName name="trnNYbud" localSheetId="7">#REF!</definedName>
    <definedName name="trnNYbud" localSheetId="6">#REF!</definedName>
    <definedName name="trnNYbud">#REF!</definedName>
    <definedName name="trnPYACT" localSheetId="0">#REF!</definedName>
    <definedName name="trnPYACT" localSheetId="10">#REF!</definedName>
    <definedName name="trnPYACT" localSheetId="11">#REF!</definedName>
    <definedName name="trnPYACT" localSheetId="8">#REF!</definedName>
    <definedName name="trnPYACT" localSheetId="9">#REF!</definedName>
    <definedName name="trnPYACT" localSheetId="5">#REF!</definedName>
    <definedName name="trnPYACT" localSheetId="12">#REF!</definedName>
    <definedName name="trnPYACT" localSheetId="1">#REF!</definedName>
    <definedName name="trnPYACT" localSheetId="3">#REF!</definedName>
    <definedName name="trnPYACT" localSheetId="13">#REF!</definedName>
    <definedName name="trnPYACT" localSheetId="7">#REF!</definedName>
    <definedName name="trnPYACT" localSheetId="6">#REF!</definedName>
    <definedName name="trnPYACT">#REF!</definedName>
    <definedName name="Utility">[10]Financials!$A$1</definedName>
    <definedName name="UtilityInfo" localSheetId="0">#REF!</definedName>
    <definedName name="UtilityInfo" localSheetId="10">#REF!</definedName>
    <definedName name="UtilityInfo" localSheetId="11">#REF!</definedName>
    <definedName name="UtilityInfo" localSheetId="8">#REF!</definedName>
    <definedName name="UtilityInfo" localSheetId="9">#REF!</definedName>
    <definedName name="UtilityInfo" localSheetId="5">#REF!</definedName>
    <definedName name="UtilityInfo" localSheetId="12">#REF!</definedName>
    <definedName name="UtilityInfo" localSheetId="3">#REF!</definedName>
    <definedName name="UtilityInfo" localSheetId="13">#REF!</definedName>
    <definedName name="UtilityInfo" localSheetId="7">#REF!</definedName>
    <definedName name="UtilityInfo" localSheetId="6">#REF!</definedName>
    <definedName name="UtilityInfo">#REF!</definedName>
    <definedName name="utitliy1">[18]Financials!$A$1</definedName>
    <definedName name="WAGBENF" localSheetId="0">#REF!</definedName>
    <definedName name="WAGBENF" localSheetId="10">#REF!</definedName>
    <definedName name="WAGBENF" localSheetId="11">#REF!</definedName>
    <definedName name="WAGBENF" localSheetId="8">#REF!</definedName>
    <definedName name="WAGBENF" localSheetId="9">#REF!</definedName>
    <definedName name="WAGBENF" localSheetId="5">#REF!</definedName>
    <definedName name="WAGBENF" localSheetId="12">#REF!</definedName>
    <definedName name="WAGBENF" localSheetId="1">#REF!</definedName>
    <definedName name="WAGBENF" localSheetId="3">#REF!</definedName>
    <definedName name="WAGBENF" localSheetId="13">#REF!</definedName>
    <definedName name="WAGBENF" localSheetId="7">#REF!</definedName>
    <definedName name="WAGBENF" localSheetId="6">#REF!</definedName>
    <definedName name="WAGBENF">#REF!</definedName>
    <definedName name="wagdob" localSheetId="0">#REF!</definedName>
    <definedName name="wagdob" localSheetId="10">#REF!</definedName>
    <definedName name="wagdob" localSheetId="11">#REF!</definedName>
    <definedName name="wagdob" localSheetId="8">#REF!</definedName>
    <definedName name="wagdob" localSheetId="9">#REF!</definedName>
    <definedName name="wagdob" localSheetId="5">#REF!</definedName>
    <definedName name="wagdob" localSheetId="12">#REF!</definedName>
    <definedName name="wagdob" localSheetId="1">#REF!</definedName>
    <definedName name="wagdob" localSheetId="3">#REF!</definedName>
    <definedName name="wagdob" localSheetId="13">#REF!</definedName>
    <definedName name="wagdob" localSheetId="7">#REF!</definedName>
    <definedName name="wagdob" localSheetId="6">#REF!</definedName>
    <definedName name="wagdob">#REF!</definedName>
    <definedName name="wagdobf" localSheetId="0">#REF!</definedName>
    <definedName name="wagdobf" localSheetId="10">#REF!</definedName>
    <definedName name="wagdobf" localSheetId="11">#REF!</definedName>
    <definedName name="wagdobf" localSheetId="8">#REF!</definedName>
    <definedName name="wagdobf" localSheetId="9">#REF!</definedName>
    <definedName name="wagdobf" localSheetId="5">#REF!</definedName>
    <definedName name="wagdobf" localSheetId="12">#REF!</definedName>
    <definedName name="wagdobf" localSheetId="1">#REF!</definedName>
    <definedName name="wagdobf" localSheetId="3">#REF!</definedName>
    <definedName name="wagdobf" localSheetId="13">#REF!</definedName>
    <definedName name="wagdobf" localSheetId="7">#REF!</definedName>
    <definedName name="wagdobf" localSheetId="6">#REF!</definedName>
    <definedName name="wagdobf">#REF!</definedName>
    <definedName name="wagreg" localSheetId="0">#REF!</definedName>
    <definedName name="wagreg" localSheetId="10">#REF!</definedName>
    <definedName name="wagreg" localSheetId="11">#REF!</definedName>
    <definedName name="wagreg" localSheetId="8">#REF!</definedName>
    <definedName name="wagreg" localSheetId="9">#REF!</definedName>
    <definedName name="wagreg" localSheetId="5">#REF!</definedName>
    <definedName name="wagreg" localSheetId="12">#REF!</definedName>
    <definedName name="wagreg" localSheetId="1">#REF!</definedName>
    <definedName name="wagreg" localSheetId="3">#REF!</definedName>
    <definedName name="wagreg" localSheetId="13">#REF!</definedName>
    <definedName name="wagreg" localSheetId="7">#REF!</definedName>
    <definedName name="wagreg" localSheetId="6">#REF!</definedName>
    <definedName name="wagreg">#REF!</definedName>
    <definedName name="wagregf" localSheetId="0">#REF!</definedName>
    <definedName name="wagregf" localSheetId="10">#REF!</definedName>
    <definedName name="wagregf" localSheetId="11">#REF!</definedName>
    <definedName name="wagregf" localSheetId="8">#REF!</definedName>
    <definedName name="wagregf" localSheetId="9">#REF!</definedName>
    <definedName name="wagregf" localSheetId="5">#REF!</definedName>
    <definedName name="wagregf" localSheetId="12">#REF!</definedName>
    <definedName name="wagregf" localSheetId="1">#REF!</definedName>
    <definedName name="wagregf" localSheetId="3">#REF!</definedName>
    <definedName name="wagregf" localSheetId="13">#REF!</definedName>
    <definedName name="wagregf" localSheetId="7">#REF!</definedName>
    <definedName name="wagregf" localSheetId="6">#REF!</definedName>
    <definedName name="wagregf">#REF!</definedName>
    <definedName name="Z_Factor_Analysis" localSheetId="0">#REF!</definedName>
    <definedName name="Z_Factor_Analysis" localSheetId="10">#REF!</definedName>
    <definedName name="Z_Factor_Analysis" localSheetId="11">#REF!</definedName>
    <definedName name="Z_Factor_Analysis" localSheetId="8">#REF!</definedName>
    <definedName name="Z_Factor_Analysis" localSheetId="9">#REF!</definedName>
    <definedName name="Z_Factor_Analysis" localSheetId="5">#REF!</definedName>
    <definedName name="Z_Factor_Analysis" localSheetId="12">#REF!</definedName>
    <definedName name="Z_Factor_Analysis" localSheetId="3">#REF!</definedName>
    <definedName name="Z_Factor_Analysis" localSheetId="13">#REF!</definedName>
    <definedName name="Z_Factor_Analysis" localSheetId="7">#REF!</definedName>
    <definedName name="Z_Factor_Analysis" localSheetId="6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J229" i="10" l="1"/>
  <c r="J188" i="10"/>
  <c r="J187" i="10"/>
  <c r="J146" i="10"/>
  <c r="J145" i="10"/>
  <c r="J271" i="10" l="1"/>
  <c r="J105" i="10"/>
  <c r="J64" i="10"/>
  <c r="J24" i="10"/>
  <c r="I37" i="19" l="1"/>
  <c r="I38" i="19" s="1"/>
  <c r="I26" i="19" s="1"/>
  <c r="M26" i="19" s="1"/>
  <c r="I41" i="15" l="1"/>
  <c r="H42" i="15"/>
  <c r="H41" i="15"/>
  <c r="I41" i="49"/>
  <c r="L34" i="19" l="1"/>
  <c r="L33" i="19"/>
  <c r="L31" i="19"/>
  <c r="L30" i="19"/>
  <c r="L25" i="19"/>
  <c r="L22" i="19"/>
  <c r="L21" i="19"/>
  <c r="L34" i="18"/>
  <c r="L33" i="18"/>
  <c r="L31" i="18"/>
  <c r="L30" i="18"/>
  <c r="L25" i="18"/>
  <c r="L22" i="18"/>
  <c r="L21" i="18"/>
  <c r="H24" i="18"/>
  <c r="L47" i="51"/>
  <c r="Q44" i="51"/>
  <c r="P44" i="51"/>
  <c r="N40" i="51"/>
  <c r="J40" i="51"/>
  <c r="Q40" i="51" s="1"/>
  <c r="L39" i="51"/>
  <c r="M38" i="51"/>
  <c r="L38" i="51"/>
  <c r="J38" i="51"/>
  <c r="L37" i="51"/>
  <c r="I37" i="51"/>
  <c r="I39" i="51" s="1"/>
  <c r="N36" i="51"/>
  <c r="J36" i="51"/>
  <c r="L34" i="51"/>
  <c r="H34" i="51"/>
  <c r="L33" i="51"/>
  <c r="I33" i="51"/>
  <c r="I34" i="51" s="1"/>
  <c r="H33" i="51"/>
  <c r="L31" i="51"/>
  <c r="L30" i="51"/>
  <c r="I30" i="51"/>
  <c r="I31" i="51" s="1"/>
  <c r="N28" i="51"/>
  <c r="J28" i="51"/>
  <c r="Q28" i="51" s="1"/>
  <c r="M27" i="51"/>
  <c r="L25" i="51"/>
  <c r="N25" i="51" s="1"/>
  <c r="M24" i="51"/>
  <c r="H24" i="51"/>
  <c r="J24" i="51" s="1"/>
  <c r="M22" i="51"/>
  <c r="M23" i="51" s="1"/>
  <c r="L22" i="51"/>
  <c r="I22" i="51"/>
  <c r="I23" i="51" s="1"/>
  <c r="L21" i="51"/>
  <c r="N21" i="51" s="1"/>
  <c r="H18" i="51"/>
  <c r="L36" i="16"/>
  <c r="L35" i="16"/>
  <c r="L37" i="50"/>
  <c r="L36" i="50"/>
  <c r="L34" i="17"/>
  <c r="L33" i="17"/>
  <c r="L31" i="17"/>
  <c r="L30" i="17"/>
  <c r="L25" i="17"/>
  <c r="L22" i="17"/>
  <c r="L21" i="17"/>
  <c r="H24" i="17"/>
  <c r="L34" i="50"/>
  <c r="L33" i="50"/>
  <c r="L33" i="16"/>
  <c r="L32" i="16"/>
  <c r="J37" i="51" l="1"/>
  <c r="N38" i="51"/>
  <c r="P38" i="51" s="1"/>
  <c r="Q38" i="51" s="1"/>
  <c r="P28" i="51"/>
  <c r="P40" i="51"/>
  <c r="N22" i="51"/>
  <c r="P36" i="51"/>
  <c r="Q36" i="51" s="1"/>
  <c r="I35" i="51"/>
  <c r="J35" i="51" s="1"/>
  <c r="Q35" i="51" s="1"/>
  <c r="J34" i="51"/>
  <c r="M39" i="51"/>
  <c r="J39" i="51"/>
  <c r="I26" i="51"/>
  <c r="M30" i="51"/>
  <c r="J33" i="51"/>
  <c r="M33" i="51"/>
  <c r="M37" i="51"/>
  <c r="N37" i="51" s="1"/>
  <c r="P37" i="51" s="1"/>
  <c r="Q37" i="51" s="1"/>
  <c r="N39" i="51" l="1"/>
  <c r="M26" i="51"/>
  <c r="N33" i="51"/>
  <c r="P33" i="51" s="1"/>
  <c r="Q33" i="51" s="1"/>
  <c r="M34" i="51"/>
  <c r="N34" i="51" s="1"/>
  <c r="P34" i="51" s="1"/>
  <c r="Q34" i="51" s="1"/>
  <c r="N30" i="51"/>
  <c r="M31" i="51"/>
  <c r="J26" i="51"/>
  <c r="H26" i="51" s="1"/>
  <c r="P39" i="51" l="1"/>
  <c r="Q39" i="51" s="1"/>
  <c r="N26" i="51"/>
  <c r="P26" i="51" s="1"/>
  <c r="Q26" i="51" s="1"/>
  <c r="N31" i="51"/>
  <c r="M35" i="51"/>
  <c r="N35" i="51" s="1"/>
  <c r="P35" i="51" s="1"/>
  <c r="L26" i="51" l="1"/>
  <c r="L50" i="50" l="1"/>
  <c r="Q47" i="50"/>
  <c r="P47" i="50"/>
  <c r="N43" i="50"/>
  <c r="J43" i="50"/>
  <c r="Q43" i="50" s="1"/>
  <c r="L42" i="50"/>
  <c r="M41" i="50"/>
  <c r="L41" i="50"/>
  <c r="J41" i="50"/>
  <c r="L40" i="50"/>
  <c r="I40" i="50"/>
  <c r="I42" i="50" s="1"/>
  <c r="N39" i="50"/>
  <c r="J39" i="50"/>
  <c r="H37" i="50"/>
  <c r="I36" i="50"/>
  <c r="I37" i="50" s="1"/>
  <c r="H36" i="50"/>
  <c r="I33" i="50"/>
  <c r="I34" i="50" s="1"/>
  <c r="N31" i="50"/>
  <c r="J31" i="50"/>
  <c r="Q31" i="50" s="1"/>
  <c r="I30" i="50"/>
  <c r="M30" i="50" s="1"/>
  <c r="L28" i="50"/>
  <c r="N28" i="50" s="1"/>
  <c r="I28" i="50"/>
  <c r="M27" i="50"/>
  <c r="H27" i="50"/>
  <c r="J27" i="50" s="1"/>
  <c r="M25" i="50"/>
  <c r="L25" i="50"/>
  <c r="I25" i="50"/>
  <c r="I26" i="50" s="1"/>
  <c r="N24" i="50"/>
  <c r="H24" i="50"/>
  <c r="J24" i="50" s="1"/>
  <c r="Q24" i="50" s="1"/>
  <c r="L23" i="50"/>
  <c r="N23" i="50" s="1"/>
  <c r="L22" i="50"/>
  <c r="N22" i="50" s="1"/>
  <c r="L21" i="50"/>
  <c r="N21" i="50" s="1"/>
  <c r="L18" i="50"/>
  <c r="L27" i="16"/>
  <c r="L24" i="16"/>
  <c r="L23" i="16"/>
  <c r="L22" i="16"/>
  <c r="L21" i="16"/>
  <c r="H26" i="16"/>
  <c r="L18" i="16"/>
  <c r="L18" i="51" s="1"/>
  <c r="L51" i="49"/>
  <c r="N44" i="49"/>
  <c r="J44" i="49"/>
  <c r="Q44" i="49" s="1"/>
  <c r="L43" i="49"/>
  <c r="L42" i="49"/>
  <c r="M41" i="49"/>
  <c r="L41" i="49"/>
  <c r="L40" i="49"/>
  <c r="N39" i="49"/>
  <c r="J39" i="49"/>
  <c r="L37" i="49"/>
  <c r="H37" i="49"/>
  <c r="L36" i="49"/>
  <c r="I36" i="49"/>
  <c r="M36" i="49" s="1"/>
  <c r="H36" i="49"/>
  <c r="L34" i="49"/>
  <c r="L33" i="49"/>
  <c r="I33" i="49"/>
  <c r="M33" i="49" s="1"/>
  <c r="N31" i="49"/>
  <c r="J31" i="49"/>
  <c r="Q31" i="49" s="1"/>
  <c r="N30" i="49"/>
  <c r="J30" i="49"/>
  <c r="Q30" i="49" s="1"/>
  <c r="I29" i="49"/>
  <c r="M29" i="49" s="1"/>
  <c r="L28" i="49"/>
  <c r="N28" i="49" s="1"/>
  <c r="M27" i="49"/>
  <c r="L27" i="49"/>
  <c r="H27" i="49"/>
  <c r="J27" i="49" s="1"/>
  <c r="Q27" i="49" s="1"/>
  <c r="N26" i="49"/>
  <c r="J26" i="49"/>
  <c r="Q26" i="49" s="1"/>
  <c r="M23" i="49"/>
  <c r="L23" i="49"/>
  <c r="I23" i="49"/>
  <c r="I24" i="49" s="1"/>
  <c r="N22" i="49"/>
  <c r="J22" i="49"/>
  <c r="Q22" i="49" s="1"/>
  <c r="L21" i="49"/>
  <c r="N21" i="49" s="1"/>
  <c r="L18" i="49"/>
  <c r="L37" i="15"/>
  <c r="L36" i="15"/>
  <c r="L34" i="15"/>
  <c r="L33" i="15"/>
  <c r="L28" i="15"/>
  <c r="L23" i="15"/>
  <c r="L21" i="15"/>
  <c r="I43" i="15"/>
  <c r="I25" i="15" s="1"/>
  <c r="M42" i="15"/>
  <c r="J42" i="15"/>
  <c r="L43" i="15"/>
  <c r="L18" i="15"/>
  <c r="L51" i="48"/>
  <c r="N44" i="48"/>
  <c r="J44" i="48"/>
  <c r="Q44" i="48" s="1"/>
  <c r="H43" i="48"/>
  <c r="L43" i="48" s="1"/>
  <c r="I42" i="48"/>
  <c r="I43" i="48" s="1"/>
  <c r="H42" i="48"/>
  <c r="L42" i="48" s="1"/>
  <c r="I41" i="48"/>
  <c r="M41" i="48" s="1"/>
  <c r="H41" i="48"/>
  <c r="L41" i="48" s="1"/>
  <c r="L40" i="48"/>
  <c r="N39" i="48"/>
  <c r="J39" i="48"/>
  <c r="L37" i="48"/>
  <c r="H37" i="48"/>
  <c r="L36" i="48"/>
  <c r="I36" i="48"/>
  <c r="M36" i="48" s="1"/>
  <c r="H36" i="48"/>
  <c r="L34" i="48"/>
  <c r="L33" i="48"/>
  <c r="I33" i="48"/>
  <c r="M33" i="48" s="1"/>
  <c r="N31" i="48"/>
  <c r="J31" i="48"/>
  <c r="Q31" i="48" s="1"/>
  <c r="I30" i="48"/>
  <c r="M30" i="48" s="1"/>
  <c r="J29" i="48"/>
  <c r="Q29" i="48" s="1"/>
  <c r="M28" i="48"/>
  <c r="H28" i="48"/>
  <c r="J28" i="48" s="1"/>
  <c r="M25" i="48"/>
  <c r="M26" i="48" s="1"/>
  <c r="L25" i="48"/>
  <c r="N25" i="48" s="1"/>
  <c r="I25" i="48"/>
  <c r="L24" i="48"/>
  <c r="N24" i="48" s="1"/>
  <c r="L23" i="48"/>
  <c r="N23" i="48" s="1"/>
  <c r="L22" i="48"/>
  <c r="N22" i="48" s="1"/>
  <c r="H22" i="48"/>
  <c r="J22" i="48" s="1"/>
  <c r="L21" i="48"/>
  <c r="N21" i="48" s="1"/>
  <c r="L18" i="48"/>
  <c r="L37" i="13"/>
  <c r="L36" i="13"/>
  <c r="L34" i="13"/>
  <c r="L33" i="13"/>
  <c r="L25" i="13"/>
  <c r="L24" i="13"/>
  <c r="L23" i="13"/>
  <c r="L22" i="13"/>
  <c r="L21" i="13"/>
  <c r="I42" i="13"/>
  <c r="I43" i="13" s="1"/>
  <c r="M43" i="13" s="1"/>
  <c r="I41" i="13"/>
  <c r="H42" i="13"/>
  <c r="L42" i="13" s="1"/>
  <c r="H43" i="13"/>
  <c r="L43" i="13" s="1"/>
  <c r="L18" i="13"/>
  <c r="H28" i="13"/>
  <c r="L24" i="11"/>
  <c r="N24" i="11" s="1"/>
  <c r="H24" i="11"/>
  <c r="J24" i="11" s="1"/>
  <c r="L23" i="11"/>
  <c r="N23" i="11" s="1"/>
  <c r="L22" i="11"/>
  <c r="N22" i="11" s="1"/>
  <c r="J40" i="50" l="1"/>
  <c r="P43" i="50"/>
  <c r="P44" i="48"/>
  <c r="P39" i="50"/>
  <c r="Q39" i="50" s="1"/>
  <c r="M40" i="50"/>
  <c r="N40" i="50" s="1"/>
  <c r="P40" i="50" s="1"/>
  <c r="I27" i="13"/>
  <c r="P22" i="48"/>
  <c r="P31" i="48"/>
  <c r="P31" i="49"/>
  <c r="P39" i="48"/>
  <c r="Q39" i="48" s="1"/>
  <c r="Q40" i="50"/>
  <c r="M42" i="49"/>
  <c r="N42" i="49" s="1"/>
  <c r="P24" i="50"/>
  <c r="N25" i="50"/>
  <c r="P31" i="50"/>
  <c r="N41" i="50"/>
  <c r="N23" i="49"/>
  <c r="N27" i="49"/>
  <c r="P27" i="49" s="1"/>
  <c r="P30" i="49"/>
  <c r="P39" i="49"/>
  <c r="Q39" i="49" s="1"/>
  <c r="I38" i="50"/>
  <c r="J38" i="50" s="1"/>
  <c r="Q38" i="50" s="1"/>
  <c r="J37" i="50"/>
  <c r="I29" i="50"/>
  <c r="M42" i="50"/>
  <c r="J42" i="50"/>
  <c r="P41" i="50"/>
  <c r="Q41" i="50" s="1"/>
  <c r="M26" i="50"/>
  <c r="M33" i="50"/>
  <c r="J36" i="50"/>
  <c r="M36" i="50"/>
  <c r="M37" i="49"/>
  <c r="N37" i="49" s="1"/>
  <c r="N36" i="49"/>
  <c r="M34" i="49"/>
  <c r="N33" i="49"/>
  <c r="I25" i="49"/>
  <c r="M43" i="49"/>
  <c r="J43" i="49"/>
  <c r="N41" i="49"/>
  <c r="M24" i="49"/>
  <c r="P26" i="49"/>
  <c r="I34" i="49"/>
  <c r="I37" i="49"/>
  <c r="J37" i="49" s="1"/>
  <c r="J41" i="49"/>
  <c r="J42" i="49"/>
  <c r="P44" i="49"/>
  <c r="P22" i="49"/>
  <c r="J36" i="49"/>
  <c r="L42" i="15"/>
  <c r="N42" i="15" s="1"/>
  <c r="P42" i="15" s="1"/>
  <c r="Q42" i="15" s="1"/>
  <c r="M43" i="15"/>
  <c r="N43" i="15" s="1"/>
  <c r="J43" i="15"/>
  <c r="M37" i="48"/>
  <c r="N37" i="48" s="1"/>
  <c r="N36" i="48"/>
  <c r="N41" i="48"/>
  <c r="M43" i="48"/>
  <c r="N43" i="48" s="1"/>
  <c r="J43" i="48"/>
  <c r="I27" i="48"/>
  <c r="M34" i="48"/>
  <c r="N33" i="48"/>
  <c r="Q22" i="48"/>
  <c r="I26" i="48"/>
  <c r="I34" i="48"/>
  <c r="I37" i="48"/>
  <c r="J37" i="48" s="1"/>
  <c r="J41" i="48"/>
  <c r="J42" i="48"/>
  <c r="M42" i="48"/>
  <c r="N42" i="48" s="1"/>
  <c r="J36" i="48"/>
  <c r="N43" i="13"/>
  <c r="J43" i="13"/>
  <c r="J42" i="13"/>
  <c r="P24" i="11"/>
  <c r="Q24" i="11" s="1"/>
  <c r="P43" i="48" l="1"/>
  <c r="P43" i="13"/>
  <c r="Q43" i="13" s="1"/>
  <c r="J29" i="50"/>
  <c r="N36" i="50"/>
  <c r="P36" i="50" s="1"/>
  <c r="Q36" i="50" s="1"/>
  <c r="M37" i="50"/>
  <c r="N37" i="50" s="1"/>
  <c r="P37" i="50" s="1"/>
  <c r="Q37" i="50" s="1"/>
  <c r="N33" i="50"/>
  <c r="M34" i="50"/>
  <c r="N42" i="50"/>
  <c r="M29" i="50"/>
  <c r="J25" i="49"/>
  <c r="I40" i="49"/>
  <c r="J40" i="49" s="1"/>
  <c r="I38" i="49"/>
  <c r="J38" i="49" s="1"/>
  <c r="Q38" i="49" s="1"/>
  <c r="N43" i="49"/>
  <c r="P43" i="49" s="1"/>
  <c r="Q43" i="49" s="1"/>
  <c r="M25" i="49"/>
  <c r="P42" i="49"/>
  <c r="P37" i="49"/>
  <c r="Q37" i="49" s="1"/>
  <c r="P41" i="49"/>
  <c r="Q41" i="49" s="1"/>
  <c r="M38" i="49"/>
  <c r="N38" i="49" s="1"/>
  <c r="P38" i="49" s="1"/>
  <c r="M40" i="49"/>
  <c r="N40" i="49" s="1"/>
  <c r="P40" i="49" s="1"/>
  <c r="N34" i="49"/>
  <c r="Q42" i="49"/>
  <c r="P36" i="49"/>
  <c r="Q36" i="49" s="1"/>
  <c r="P43" i="15"/>
  <c r="Q43" i="15" s="1"/>
  <c r="P41" i="48"/>
  <c r="Q41" i="48" s="1"/>
  <c r="N27" i="48"/>
  <c r="J27" i="48"/>
  <c r="I40" i="48"/>
  <c r="J40" i="48" s="1"/>
  <c r="I38" i="48"/>
  <c r="J38" i="48" s="1"/>
  <c r="Q38" i="48" s="1"/>
  <c r="M38" i="48"/>
  <c r="N38" i="48" s="1"/>
  <c r="P38" i="48" s="1"/>
  <c r="M40" i="48"/>
  <c r="N40" i="48" s="1"/>
  <c r="N34" i="48"/>
  <c r="P37" i="48"/>
  <c r="Q37" i="48" s="1"/>
  <c r="P42" i="48"/>
  <c r="Q42" i="48" s="1"/>
  <c r="Q43" i="48"/>
  <c r="M27" i="48"/>
  <c r="P36" i="48"/>
  <c r="Q36" i="48" s="1"/>
  <c r="P40" i="48" l="1"/>
  <c r="H29" i="50"/>
  <c r="N25" i="49"/>
  <c r="P42" i="50"/>
  <c r="Q42" i="50" s="1"/>
  <c r="N29" i="50"/>
  <c r="P29" i="50" s="1"/>
  <c r="Q29" i="50" s="1"/>
  <c r="N34" i="50"/>
  <c r="M38" i="50"/>
  <c r="N38" i="50" s="1"/>
  <c r="P38" i="50" s="1"/>
  <c r="Q40" i="49"/>
  <c r="H25" i="49"/>
  <c r="Q40" i="48"/>
  <c r="H27" i="48"/>
  <c r="P27" i="48"/>
  <c r="Q27" i="48" s="1"/>
  <c r="L27" i="48"/>
  <c r="P25" i="49" l="1"/>
  <c r="Q25" i="49" s="1"/>
  <c r="L25" i="49"/>
  <c r="L29" i="50"/>
  <c r="L39" i="12" l="1"/>
  <c r="L38" i="12"/>
  <c r="L36" i="12"/>
  <c r="L35" i="12"/>
  <c r="L24" i="12"/>
  <c r="L27" i="12"/>
  <c r="L26" i="12"/>
  <c r="L23" i="12"/>
  <c r="L22" i="12"/>
  <c r="L25" i="12"/>
  <c r="L21" i="12"/>
  <c r="H26" i="12"/>
  <c r="H44" i="12"/>
  <c r="L44" i="12" s="1"/>
  <c r="H45" i="12"/>
  <c r="L45" i="12" s="1"/>
  <c r="H43" i="12"/>
  <c r="I46" i="11"/>
  <c r="I45" i="11"/>
  <c r="I47" i="11" l="1"/>
  <c r="I28" i="11" s="1"/>
  <c r="L43" i="11"/>
  <c r="L41" i="11"/>
  <c r="L40" i="11"/>
  <c r="L38" i="11"/>
  <c r="L37" i="11"/>
  <c r="L27" i="11"/>
  <c r="L26" i="11"/>
  <c r="L25" i="11"/>
  <c r="L21" i="11"/>
  <c r="H26" i="11"/>
  <c r="L47" i="11"/>
  <c r="L46" i="11"/>
  <c r="A222" i="10"/>
  <c r="A265" i="10" s="1"/>
  <c r="J289" i="10"/>
  <c r="J283" i="10"/>
  <c r="J247" i="10"/>
  <c r="J241" i="10"/>
  <c r="J205" i="10"/>
  <c r="J199" i="10"/>
  <c r="J163" i="10"/>
  <c r="J157" i="10"/>
  <c r="J122" i="10"/>
  <c r="J116" i="10"/>
  <c r="J112" i="10"/>
  <c r="J81" i="10"/>
  <c r="J75" i="10"/>
  <c r="J71" i="10"/>
  <c r="J41" i="10"/>
  <c r="J35" i="10"/>
  <c r="J31" i="10"/>
  <c r="J47" i="11" l="1"/>
  <c r="M47" i="11"/>
  <c r="N47" i="11" s="1"/>
  <c r="J46" i="11"/>
  <c r="M46" i="11"/>
  <c r="N46" i="11" s="1"/>
  <c r="L18" i="17"/>
  <c r="L18" i="18" s="1"/>
  <c r="L18" i="19" s="1"/>
  <c r="H18" i="17"/>
  <c r="H18" i="18" s="1"/>
  <c r="H18" i="19" s="1"/>
  <c r="L18" i="12"/>
  <c r="H18" i="12"/>
  <c r="H22" i="13"/>
  <c r="H24" i="12"/>
  <c r="P47" i="11" l="1"/>
  <c r="Q47" i="11" s="1"/>
  <c r="P46" i="11"/>
  <c r="Q46" i="11" s="1"/>
  <c r="H34" i="19"/>
  <c r="H33" i="19"/>
  <c r="H27" i="19"/>
  <c r="H34" i="18"/>
  <c r="H33" i="18"/>
  <c r="H34" i="17"/>
  <c r="H33" i="17"/>
  <c r="H36" i="16"/>
  <c r="H35" i="16"/>
  <c r="H37" i="15"/>
  <c r="H36" i="15"/>
  <c r="H27" i="15"/>
  <c r="H37" i="13"/>
  <c r="H36" i="13"/>
  <c r="H39" i="12"/>
  <c r="H38" i="12"/>
  <c r="H41" i="11" l="1"/>
  <c r="H40" i="11"/>
  <c r="L27" i="19" l="1"/>
  <c r="I25" i="18"/>
  <c r="I27" i="16" l="1"/>
  <c r="L27" i="15" l="1"/>
  <c r="L44" i="11" l="1"/>
  <c r="J60" i="10" l="1"/>
  <c r="J141" i="10"/>
  <c r="L27" i="50" l="1"/>
  <c r="N27" i="50" s="1"/>
  <c r="P27" i="50" s="1"/>
  <c r="Q27" i="50" s="1"/>
  <c r="L26" i="16"/>
  <c r="L28" i="13"/>
  <c r="L28" i="48"/>
  <c r="N28" i="48" s="1"/>
  <c r="P28" i="48" s="1"/>
  <c r="Q28" i="48" s="1"/>
  <c r="J224" i="10"/>
  <c r="J182" i="10"/>
  <c r="L24" i="51" l="1"/>
  <c r="N24" i="51" s="1"/>
  <c r="P24" i="51" s="1"/>
  <c r="Q24" i="51" s="1"/>
  <c r="L24" i="17"/>
  <c r="L24" i="18"/>
  <c r="H41" i="13"/>
  <c r="I128" i="10" l="1"/>
  <c r="H23" i="50" s="1"/>
  <c r="J23" i="50" s="1"/>
  <c r="I127" i="10"/>
  <c r="H22" i="50" s="1"/>
  <c r="J22" i="50" s="1"/>
  <c r="I47" i="10"/>
  <c r="H23" i="48" s="1"/>
  <c r="J23" i="48" s="1"/>
  <c r="I7" i="10"/>
  <c r="H22" i="11" s="1"/>
  <c r="J22" i="11" s="1"/>
  <c r="P22" i="11" s="1"/>
  <c r="Q22" i="11" s="1"/>
  <c r="P23" i="48" l="1"/>
  <c r="Q23" i="48" s="1"/>
  <c r="P22" i="50"/>
  <c r="Q22" i="50" s="1"/>
  <c r="P23" i="50"/>
  <c r="Q23" i="50" s="1"/>
  <c r="H22" i="16"/>
  <c r="H23" i="13"/>
  <c r="H22" i="12"/>
  <c r="H23" i="16"/>
  <c r="I6" i="10"/>
  <c r="H23" i="11" s="1"/>
  <c r="J23" i="11" s="1"/>
  <c r="P23" i="11" s="1"/>
  <c r="Q23" i="11" s="1"/>
  <c r="I46" i="10"/>
  <c r="H24" i="48" s="1"/>
  <c r="J24" i="48" s="1"/>
  <c r="P24" i="48" l="1"/>
  <c r="Q24" i="48" s="1"/>
  <c r="H24" i="13"/>
  <c r="H23" i="12"/>
  <c r="L47" i="19" l="1"/>
  <c r="Q44" i="19"/>
  <c r="P44" i="19"/>
  <c r="N40" i="19"/>
  <c r="J40" i="19"/>
  <c r="Q40" i="19" s="1"/>
  <c r="M39" i="19"/>
  <c r="L39" i="19"/>
  <c r="J39" i="19"/>
  <c r="Q39" i="19" s="1"/>
  <c r="L38" i="19"/>
  <c r="L37" i="19"/>
  <c r="N36" i="19"/>
  <c r="J36" i="19"/>
  <c r="I33" i="19"/>
  <c r="M33" i="19" s="1"/>
  <c r="I30" i="19"/>
  <c r="M30" i="19" s="1"/>
  <c r="N28" i="19"/>
  <c r="J28" i="19"/>
  <c r="Q28" i="19" s="1"/>
  <c r="M22" i="19"/>
  <c r="M23" i="19" s="1"/>
  <c r="I22" i="19"/>
  <c r="L47" i="18"/>
  <c r="Q44" i="18"/>
  <c r="P44" i="18"/>
  <c r="N40" i="18"/>
  <c r="J40" i="18"/>
  <c r="L39" i="18"/>
  <c r="M38" i="18"/>
  <c r="L38" i="18"/>
  <c r="J38" i="18"/>
  <c r="L37" i="18"/>
  <c r="I37" i="18"/>
  <c r="J37" i="18" s="1"/>
  <c r="N36" i="18"/>
  <c r="J36" i="18"/>
  <c r="I33" i="18"/>
  <c r="I30" i="18"/>
  <c r="M30" i="18" s="1"/>
  <c r="M31" i="18" s="1"/>
  <c r="M35" i="18" s="1"/>
  <c r="N35" i="18" s="1"/>
  <c r="N28" i="18"/>
  <c r="J28" i="18"/>
  <c r="Q28" i="18" s="1"/>
  <c r="M22" i="18"/>
  <c r="I22" i="18"/>
  <c r="I23" i="18" s="1"/>
  <c r="L47" i="17"/>
  <c r="Q44" i="17"/>
  <c r="P44" i="17"/>
  <c r="N40" i="17"/>
  <c r="J40" i="17"/>
  <c r="Q40" i="17" s="1"/>
  <c r="L39" i="17"/>
  <c r="M38" i="17"/>
  <c r="L38" i="17"/>
  <c r="J38" i="17"/>
  <c r="L37" i="17"/>
  <c r="I37" i="17"/>
  <c r="N36" i="17"/>
  <c r="J36" i="17"/>
  <c r="I33" i="17"/>
  <c r="M33" i="17" s="1"/>
  <c r="M34" i="17" s="1"/>
  <c r="I30" i="17"/>
  <c r="N28" i="17"/>
  <c r="J28" i="17"/>
  <c r="Q28" i="17" s="1"/>
  <c r="M22" i="17"/>
  <c r="M23" i="17" s="1"/>
  <c r="I22" i="17"/>
  <c r="L49" i="16"/>
  <c r="Q46" i="16"/>
  <c r="P46" i="16"/>
  <c r="N42" i="16"/>
  <c r="J42" i="16"/>
  <c r="Q42" i="16" s="1"/>
  <c r="L41" i="16"/>
  <c r="M40" i="16"/>
  <c r="L40" i="16"/>
  <c r="J40" i="16"/>
  <c r="L39" i="16"/>
  <c r="I39" i="16"/>
  <c r="N38" i="16"/>
  <c r="J38" i="16"/>
  <c r="I35" i="16"/>
  <c r="I36" i="16" s="1"/>
  <c r="I32" i="16"/>
  <c r="M32" i="16" s="1"/>
  <c r="M33" i="16" s="1"/>
  <c r="M37" i="16" s="1"/>
  <c r="N37" i="16" s="1"/>
  <c r="N30" i="16"/>
  <c r="J30" i="16"/>
  <c r="Q30" i="16" s="1"/>
  <c r="N22" i="16"/>
  <c r="J22" i="16"/>
  <c r="N23" i="16"/>
  <c r="J23" i="16"/>
  <c r="M24" i="16"/>
  <c r="I24" i="16"/>
  <c r="L51" i="15"/>
  <c r="N44" i="15"/>
  <c r="J44" i="15"/>
  <c r="Q44" i="15" s="1"/>
  <c r="L41" i="15"/>
  <c r="L40" i="15"/>
  <c r="N39" i="15"/>
  <c r="J39" i="15"/>
  <c r="I36" i="15"/>
  <c r="I33" i="15"/>
  <c r="M33" i="15" s="1"/>
  <c r="N31" i="15"/>
  <c r="J31" i="15"/>
  <c r="Q31" i="15" s="1"/>
  <c r="N30" i="15"/>
  <c r="J30" i="15"/>
  <c r="Q30" i="15" s="1"/>
  <c r="N26" i="15"/>
  <c r="M23" i="15"/>
  <c r="M24" i="15" s="1"/>
  <c r="I23" i="15"/>
  <c r="I24" i="15" s="1"/>
  <c r="N22" i="15"/>
  <c r="J22" i="15"/>
  <c r="Q22" i="15" s="1"/>
  <c r="L51" i="13"/>
  <c r="N44" i="13"/>
  <c r="J44" i="13"/>
  <c r="Q44" i="13" s="1"/>
  <c r="M41" i="13"/>
  <c r="L41" i="13"/>
  <c r="J41" i="13"/>
  <c r="J27" i="13" s="1"/>
  <c r="H27" i="13" s="1"/>
  <c r="L40" i="13"/>
  <c r="N39" i="13"/>
  <c r="J39" i="13"/>
  <c r="I36" i="13"/>
  <c r="M36" i="13" s="1"/>
  <c r="I33" i="13"/>
  <c r="N31" i="13"/>
  <c r="J31" i="13"/>
  <c r="Q31" i="13" s="1"/>
  <c r="J29" i="13"/>
  <c r="Q29" i="13" s="1"/>
  <c r="J24" i="13"/>
  <c r="M25" i="13"/>
  <c r="I25" i="13"/>
  <c r="N22" i="13"/>
  <c r="L53" i="12"/>
  <c r="N46" i="12"/>
  <c r="J46" i="12"/>
  <c r="Q46" i="12" s="1"/>
  <c r="L43" i="12"/>
  <c r="L42" i="12"/>
  <c r="N41" i="12"/>
  <c r="J41" i="12"/>
  <c r="I38" i="12"/>
  <c r="I39" i="12" s="1"/>
  <c r="I35" i="12"/>
  <c r="I36" i="12" s="1"/>
  <c r="I40" i="12" s="1"/>
  <c r="J40" i="12" s="1"/>
  <c r="Q40" i="12" s="1"/>
  <c r="J33" i="12"/>
  <c r="Q33" i="12" s="1"/>
  <c r="J23" i="12"/>
  <c r="N22" i="12"/>
  <c r="M25" i="12"/>
  <c r="M30" i="12" s="1"/>
  <c r="I25" i="12"/>
  <c r="I30" i="12" s="1"/>
  <c r="N24" i="12"/>
  <c r="J24" i="12"/>
  <c r="L56" i="11"/>
  <c r="N49" i="11"/>
  <c r="J49" i="11"/>
  <c r="Q49" i="11" s="1"/>
  <c r="L48" i="11"/>
  <c r="L45" i="11"/>
  <c r="N43" i="11"/>
  <c r="J43" i="11"/>
  <c r="I40" i="11"/>
  <c r="I41" i="11" s="1"/>
  <c r="M45" i="11" s="1"/>
  <c r="I37" i="11"/>
  <c r="I38" i="11" s="1"/>
  <c r="I42" i="11" s="1"/>
  <c r="J42" i="11" s="1"/>
  <c r="Q42" i="11" s="1"/>
  <c r="N35" i="11"/>
  <c r="J35" i="11"/>
  <c r="Q35" i="11" s="1"/>
  <c r="M28" i="11"/>
  <c r="M25" i="11"/>
  <c r="M30" i="11" s="1"/>
  <c r="I25" i="11"/>
  <c r="I30" i="11" s="1"/>
  <c r="J33" i="11" s="1"/>
  <c r="Q33" i="11" s="1"/>
  <c r="N32" i="11"/>
  <c r="J32" i="11"/>
  <c r="Q32" i="11" s="1"/>
  <c r="N31" i="11"/>
  <c r="J31" i="11"/>
  <c r="Q31" i="11" s="1"/>
  <c r="I289" i="10"/>
  <c r="H289" i="10"/>
  <c r="G289" i="10"/>
  <c r="E289" i="10"/>
  <c r="C289" i="10"/>
  <c r="D287" i="10"/>
  <c r="D289" i="10" s="1"/>
  <c r="G283" i="10"/>
  <c r="E283" i="10"/>
  <c r="C283" i="10"/>
  <c r="H282" i="10"/>
  <c r="D282" i="10"/>
  <c r="D281" i="10"/>
  <c r="G279" i="10"/>
  <c r="E279" i="10"/>
  <c r="D279" i="10"/>
  <c r="C279" i="10"/>
  <c r="H278" i="10"/>
  <c r="H277" i="10"/>
  <c r="E273" i="10"/>
  <c r="C273" i="10"/>
  <c r="G270" i="10"/>
  <c r="H270" i="10" s="1"/>
  <c r="H263" i="10"/>
  <c r="I263" i="10" s="1"/>
  <c r="G262" i="10"/>
  <c r="D261" i="10"/>
  <c r="D273" i="10" s="1"/>
  <c r="G257" i="10"/>
  <c r="E257" i="10"/>
  <c r="D257" i="10"/>
  <c r="C257" i="10"/>
  <c r="I247" i="10"/>
  <c r="H247" i="10"/>
  <c r="G247" i="10"/>
  <c r="E247" i="10"/>
  <c r="C247" i="10"/>
  <c r="D245" i="10"/>
  <c r="D247" i="10" s="1"/>
  <c r="G241" i="10"/>
  <c r="E241" i="10"/>
  <c r="C241" i="10"/>
  <c r="H240" i="10"/>
  <c r="D240" i="10"/>
  <c r="D239" i="10"/>
  <c r="G237" i="10"/>
  <c r="E237" i="10"/>
  <c r="D237" i="10"/>
  <c r="C237" i="10"/>
  <c r="H236" i="10"/>
  <c r="H235" i="10"/>
  <c r="E231" i="10"/>
  <c r="C231" i="10"/>
  <c r="G227" i="10"/>
  <c r="H227" i="10" s="1"/>
  <c r="H224" i="10"/>
  <c r="H220" i="10"/>
  <c r="I220" i="10" s="1"/>
  <c r="G219" i="10"/>
  <c r="D218" i="10"/>
  <c r="D231" i="10" s="1"/>
  <c r="G214" i="10"/>
  <c r="E214" i="10"/>
  <c r="D214" i="10"/>
  <c r="C214" i="10"/>
  <c r="I205" i="10"/>
  <c r="H205" i="10"/>
  <c r="G205" i="10"/>
  <c r="E205" i="10"/>
  <c r="C205" i="10"/>
  <c r="D203" i="10"/>
  <c r="D205" i="10" s="1"/>
  <c r="G199" i="10"/>
  <c r="E199" i="10"/>
  <c r="C199" i="10"/>
  <c r="H198" i="10"/>
  <c r="D198" i="10"/>
  <c r="D197" i="10"/>
  <c r="G195" i="10"/>
  <c r="E195" i="10"/>
  <c r="D195" i="10"/>
  <c r="C195" i="10"/>
  <c r="H194" i="10"/>
  <c r="H193" i="10"/>
  <c r="E189" i="10"/>
  <c r="C189" i="10"/>
  <c r="G185" i="10"/>
  <c r="H182" i="10"/>
  <c r="H178" i="10"/>
  <c r="I178" i="10" s="1"/>
  <c r="G177" i="10"/>
  <c r="D176" i="10"/>
  <c r="D189" i="10" s="1"/>
  <c r="G172" i="10"/>
  <c r="E172" i="10"/>
  <c r="D172" i="10"/>
  <c r="C172" i="10"/>
  <c r="I163" i="10"/>
  <c r="H163" i="10"/>
  <c r="G163" i="10"/>
  <c r="E163" i="10"/>
  <c r="C163" i="10"/>
  <c r="D161" i="10"/>
  <c r="D163" i="10" s="1"/>
  <c r="G157" i="10"/>
  <c r="E157" i="10"/>
  <c r="C157" i="10"/>
  <c r="H156" i="10"/>
  <c r="D156" i="10"/>
  <c r="D155" i="10"/>
  <c r="G153" i="10"/>
  <c r="E153" i="10"/>
  <c r="D153" i="10"/>
  <c r="C153" i="10"/>
  <c r="H152" i="10"/>
  <c r="H151" i="10"/>
  <c r="E147" i="10"/>
  <c r="C147" i="10"/>
  <c r="G144" i="10"/>
  <c r="H141" i="10"/>
  <c r="H137" i="10"/>
  <c r="G136" i="10"/>
  <c r="D135" i="10"/>
  <c r="D147" i="10" s="1"/>
  <c r="E131" i="10"/>
  <c r="D131" i="10"/>
  <c r="C131" i="10"/>
  <c r="I122" i="10"/>
  <c r="H122" i="10"/>
  <c r="G122" i="10"/>
  <c r="E122" i="10"/>
  <c r="C122" i="10"/>
  <c r="D120" i="10"/>
  <c r="D122" i="10" s="1"/>
  <c r="G116" i="10"/>
  <c r="E116" i="10"/>
  <c r="C116" i="10"/>
  <c r="H115" i="10"/>
  <c r="D115" i="10"/>
  <c r="D114" i="10"/>
  <c r="G112" i="10"/>
  <c r="E112" i="10"/>
  <c r="D112" i="10"/>
  <c r="C112" i="10"/>
  <c r="H111" i="10"/>
  <c r="H110" i="10"/>
  <c r="C106" i="10"/>
  <c r="E104" i="10"/>
  <c r="E106" i="10" s="1"/>
  <c r="H97" i="10"/>
  <c r="I97" i="10" s="1"/>
  <c r="G96" i="10"/>
  <c r="A96" i="10"/>
  <c r="A136" i="10" s="1"/>
  <c r="A177" i="10" s="1"/>
  <c r="A219" i="10" s="1"/>
  <c r="A262" i="10" s="1"/>
  <c r="D95" i="10"/>
  <c r="D106" i="10" s="1"/>
  <c r="E91" i="10"/>
  <c r="D91" i="10"/>
  <c r="C91" i="10"/>
  <c r="I81" i="10"/>
  <c r="H81" i="10"/>
  <c r="G81" i="10"/>
  <c r="E81" i="10"/>
  <c r="C81" i="10"/>
  <c r="D79" i="10"/>
  <c r="D81" i="10" s="1"/>
  <c r="G75" i="10"/>
  <c r="C75" i="10"/>
  <c r="H74" i="10"/>
  <c r="D74" i="10"/>
  <c r="E74" i="10" s="1"/>
  <c r="D73" i="10"/>
  <c r="E73" i="10" s="1"/>
  <c r="G71" i="10"/>
  <c r="E71" i="10"/>
  <c r="D71" i="10"/>
  <c r="C71" i="10"/>
  <c r="H70" i="10"/>
  <c r="H69" i="10"/>
  <c r="E65" i="10"/>
  <c r="C65" i="10"/>
  <c r="G63" i="10"/>
  <c r="A63" i="10"/>
  <c r="A104" i="10" s="1"/>
  <c r="A144" i="10" s="1"/>
  <c r="A185" i="10" s="1"/>
  <c r="A227" i="10" s="1"/>
  <c r="A270" i="10" s="1"/>
  <c r="H56" i="10"/>
  <c r="G55" i="10"/>
  <c r="D54" i="10"/>
  <c r="D65" i="10" s="1"/>
  <c r="E50" i="10"/>
  <c r="D50" i="10"/>
  <c r="C50" i="10"/>
  <c r="G49" i="10"/>
  <c r="J22" i="13" s="1"/>
  <c r="A47" i="10"/>
  <c r="I41" i="10"/>
  <c r="H41" i="10"/>
  <c r="G41" i="10"/>
  <c r="E41" i="10"/>
  <c r="C41" i="10"/>
  <c r="D39" i="10"/>
  <c r="D41" i="10" s="1"/>
  <c r="C35" i="10"/>
  <c r="H34" i="10"/>
  <c r="D34" i="10"/>
  <c r="E34" i="10" s="1"/>
  <c r="D33" i="10"/>
  <c r="G31" i="10"/>
  <c r="E31" i="10"/>
  <c r="D31" i="10"/>
  <c r="C31" i="10"/>
  <c r="H30" i="10"/>
  <c r="H29" i="10"/>
  <c r="E25" i="10"/>
  <c r="C25" i="10"/>
  <c r="G23" i="10"/>
  <c r="G25" i="10" s="1"/>
  <c r="H20" i="10"/>
  <c r="H16" i="10"/>
  <c r="H15" i="10"/>
  <c r="D14" i="10"/>
  <c r="D25" i="10" s="1"/>
  <c r="G10" i="10"/>
  <c r="E10" i="10"/>
  <c r="D10" i="10"/>
  <c r="C10" i="10"/>
  <c r="M37" i="17" l="1"/>
  <c r="N37" i="17" s="1"/>
  <c r="I39" i="17"/>
  <c r="I26" i="17" s="1"/>
  <c r="H177" i="10"/>
  <c r="G189" i="10"/>
  <c r="J39" i="16"/>
  <c r="I41" i="16"/>
  <c r="I28" i="16" s="1"/>
  <c r="P40" i="18"/>
  <c r="N38" i="17"/>
  <c r="P38" i="17" s="1"/>
  <c r="Q38" i="17" s="1"/>
  <c r="P31" i="15"/>
  <c r="P43" i="11"/>
  <c r="Q43" i="11" s="1"/>
  <c r="N39" i="19"/>
  <c r="G147" i="10"/>
  <c r="G65" i="10"/>
  <c r="P23" i="16"/>
  <c r="Q23" i="16" s="1"/>
  <c r="P39" i="13"/>
  <c r="Q39" i="13" s="1"/>
  <c r="P44" i="13"/>
  <c r="P39" i="15"/>
  <c r="Q39" i="15" s="1"/>
  <c r="P30" i="16"/>
  <c r="P28" i="18"/>
  <c r="N38" i="18"/>
  <c r="P38" i="18" s="1"/>
  <c r="Q38" i="18" s="1"/>
  <c r="D283" i="10"/>
  <c r="N23" i="12"/>
  <c r="P23" i="12" s="1"/>
  <c r="Q23" i="12" s="1"/>
  <c r="I193" i="10"/>
  <c r="H30" i="51" s="1"/>
  <c r="J30" i="51" s="1"/>
  <c r="P30" i="51" s="1"/>
  <c r="Q30" i="51" s="1"/>
  <c r="P49" i="11"/>
  <c r="J37" i="17"/>
  <c r="I31" i="18"/>
  <c r="I235" i="10"/>
  <c r="P35" i="11"/>
  <c r="J45" i="11"/>
  <c r="J28" i="11" s="1"/>
  <c r="H28" i="11" s="1"/>
  <c r="L28" i="11" s="1"/>
  <c r="N28" i="11" s="1"/>
  <c r="P28" i="11" s="1"/>
  <c r="Q28" i="11" s="1"/>
  <c r="I33" i="16"/>
  <c r="P42" i="16"/>
  <c r="P28" i="19"/>
  <c r="I226" i="10"/>
  <c r="H63" i="10"/>
  <c r="D35" i="10"/>
  <c r="D199" i="10"/>
  <c r="N41" i="13"/>
  <c r="P41" i="13" s="1"/>
  <c r="Q41" i="13" s="1"/>
  <c r="N34" i="17"/>
  <c r="J36" i="15"/>
  <c r="I75" i="10"/>
  <c r="H185" i="10"/>
  <c r="I227" i="10"/>
  <c r="I270" i="10"/>
  <c r="N36" i="13"/>
  <c r="P22" i="15"/>
  <c r="P30" i="15"/>
  <c r="I23" i="17"/>
  <c r="P36" i="17"/>
  <c r="Q36" i="17" s="1"/>
  <c r="P40" i="17"/>
  <c r="M33" i="18"/>
  <c r="J33" i="18"/>
  <c r="M37" i="18"/>
  <c r="N37" i="18" s="1"/>
  <c r="P37" i="18" s="1"/>
  <c r="Q37" i="18" s="1"/>
  <c r="Q40" i="18"/>
  <c r="I29" i="10"/>
  <c r="I30" i="10"/>
  <c r="I69" i="10"/>
  <c r="H33" i="48" s="1"/>
  <c r="J33" i="48" s="1"/>
  <c r="E75" i="10"/>
  <c r="G104" i="10"/>
  <c r="G106" i="10" s="1"/>
  <c r="I110" i="10"/>
  <c r="H33" i="49" s="1"/>
  <c r="J33" i="49" s="1"/>
  <c r="P33" i="49" s="1"/>
  <c r="Q33" i="49" s="1"/>
  <c r="I111" i="10"/>
  <c r="H34" i="49" s="1"/>
  <c r="J34" i="49" s="1"/>
  <c r="D116" i="10"/>
  <c r="H144" i="10"/>
  <c r="I151" i="10"/>
  <c r="H33" i="50" s="1"/>
  <c r="J33" i="50" s="1"/>
  <c r="P33" i="50" s="1"/>
  <c r="Q33" i="50" s="1"/>
  <c r="I152" i="10"/>
  <c r="H34" i="50" s="1"/>
  <c r="J34" i="50" s="1"/>
  <c r="P34" i="50" s="1"/>
  <c r="Q34" i="50" s="1"/>
  <c r="D157" i="10"/>
  <c r="I177" i="10"/>
  <c r="H199" i="10"/>
  <c r="H219" i="10"/>
  <c r="D241" i="10"/>
  <c r="H241" i="10"/>
  <c r="I277" i="10"/>
  <c r="I278" i="10"/>
  <c r="H283" i="10"/>
  <c r="P32" i="11"/>
  <c r="J41" i="11"/>
  <c r="I44" i="11"/>
  <c r="J44" i="11" s="1"/>
  <c r="N45" i="11"/>
  <c r="P24" i="12"/>
  <c r="Q24" i="12" s="1"/>
  <c r="M36" i="15"/>
  <c r="M37" i="15" s="1"/>
  <c r="N37" i="15" s="1"/>
  <c r="M35" i="16"/>
  <c r="J35" i="16"/>
  <c r="M39" i="16"/>
  <c r="N39" i="16" s="1"/>
  <c r="M30" i="17"/>
  <c r="M31" i="17" s="1"/>
  <c r="I34" i="18"/>
  <c r="I39" i="18" s="1"/>
  <c r="I27" i="18" s="1"/>
  <c r="I23" i="19"/>
  <c r="I24" i="19" s="1"/>
  <c r="P39" i="19"/>
  <c r="N33" i="12"/>
  <c r="P33" i="12" s="1"/>
  <c r="J39" i="12"/>
  <c r="J36" i="13"/>
  <c r="P38" i="16"/>
  <c r="Q38" i="16" s="1"/>
  <c r="N40" i="16"/>
  <c r="P40" i="16" s="1"/>
  <c r="Q40" i="16" s="1"/>
  <c r="P36" i="18"/>
  <c r="Q36" i="18" s="1"/>
  <c r="P36" i="19"/>
  <c r="Q36" i="19" s="1"/>
  <c r="P40" i="19"/>
  <c r="J48" i="11"/>
  <c r="M48" i="11"/>
  <c r="N48" i="11" s="1"/>
  <c r="N34" i="11"/>
  <c r="N33" i="11"/>
  <c r="P33" i="11" s="1"/>
  <c r="N32" i="12"/>
  <c r="N31" i="12"/>
  <c r="J32" i="12"/>
  <c r="Q32" i="12" s="1"/>
  <c r="I37" i="16"/>
  <c r="J37" i="16" s="1"/>
  <c r="Q37" i="16" s="1"/>
  <c r="J36" i="16"/>
  <c r="E33" i="10"/>
  <c r="D75" i="10"/>
  <c r="H96" i="10"/>
  <c r="H136" i="10"/>
  <c r="H153" i="10"/>
  <c r="I194" i="10"/>
  <c r="H31" i="51" s="1"/>
  <c r="J31" i="51" s="1"/>
  <c r="P31" i="51" s="1"/>
  <c r="Q31" i="51" s="1"/>
  <c r="H23" i="10"/>
  <c r="H55" i="10"/>
  <c r="I70" i="10"/>
  <c r="H34" i="48" s="1"/>
  <c r="J34" i="48" s="1"/>
  <c r="G231" i="10"/>
  <c r="G273" i="10"/>
  <c r="H262" i="10"/>
  <c r="J31" i="12"/>
  <c r="Q31" i="12" s="1"/>
  <c r="M37" i="13"/>
  <c r="N37" i="13" s="1"/>
  <c r="N33" i="17"/>
  <c r="I35" i="18"/>
  <c r="J35" i="18" s="1"/>
  <c r="Q35" i="18" s="1"/>
  <c r="M31" i="19"/>
  <c r="H157" i="10"/>
  <c r="I236" i="10"/>
  <c r="P31" i="11"/>
  <c r="M25" i="16"/>
  <c r="I15" i="10"/>
  <c r="H75" i="10"/>
  <c r="H112" i="10"/>
  <c r="H116" i="10"/>
  <c r="M26" i="13"/>
  <c r="M23" i="18"/>
  <c r="P46" i="12"/>
  <c r="P22" i="13"/>
  <c r="Q22" i="13" s="1"/>
  <c r="I34" i="13"/>
  <c r="P44" i="15"/>
  <c r="H31" i="10"/>
  <c r="G90" i="10"/>
  <c r="H237" i="10"/>
  <c r="H279" i="10"/>
  <c r="M37" i="11"/>
  <c r="M40" i="11"/>
  <c r="P41" i="12"/>
  <c r="Q41" i="12" s="1"/>
  <c r="I26" i="13"/>
  <c r="N23" i="13"/>
  <c r="M33" i="13"/>
  <c r="M34" i="15"/>
  <c r="I25" i="16"/>
  <c r="P28" i="17"/>
  <c r="J33" i="17"/>
  <c r="J33" i="19"/>
  <c r="P31" i="13"/>
  <c r="P22" i="16"/>
  <c r="Q22" i="16" s="1"/>
  <c r="G50" i="10"/>
  <c r="H71" i="10"/>
  <c r="H195" i="10"/>
  <c r="I42" i="12"/>
  <c r="I37" i="13"/>
  <c r="M35" i="12"/>
  <c r="M38" i="12"/>
  <c r="I34" i="15"/>
  <c r="I37" i="15"/>
  <c r="I31" i="17"/>
  <c r="I34" i="17"/>
  <c r="N33" i="19"/>
  <c r="M34" i="19"/>
  <c r="N34" i="19" s="1"/>
  <c r="I31" i="19"/>
  <c r="I34" i="19"/>
  <c r="P39" i="16" l="1"/>
  <c r="Q39" i="16" s="1"/>
  <c r="J34" i="18"/>
  <c r="M24" i="19"/>
  <c r="N36" i="15"/>
  <c r="P34" i="48"/>
  <c r="Q34" i="48" s="1"/>
  <c r="P34" i="49"/>
  <c r="Q34" i="49" s="1"/>
  <c r="P33" i="48"/>
  <c r="Q33" i="48" s="1"/>
  <c r="P37" i="17"/>
  <c r="Q37" i="17" s="1"/>
  <c r="P37" i="16"/>
  <c r="J42" i="12"/>
  <c r="I45" i="12"/>
  <c r="I44" i="12"/>
  <c r="I43" i="12"/>
  <c r="P45" i="11"/>
  <c r="Q45" i="11" s="1"/>
  <c r="I195" i="10"/>
  <c r="J15" i="10"/>
  <c r="H30" i="19"/>
  <c r="J30" i="19" s="1"/>
  <c r="N30" i="19"/>
  <c r="J177" i="10"/>
  <c r="H34" i="15"/>
  <c r="J34" i="15" s="1"/>
  <c r="N34" i="15"/>
  <c r="I237" i="10"/>
  <c r="H31" i="18"/>
  <c r="J31" i="18" s="1"/>
  <c r="N31" i="18"/>
  <c r="H34" i="13"/>
  <c r="J34" i="13" s="1"/>
  <c r="H31" i="17"/>
  <c r="J31" i="17" s="1"/>
  <c r="N31" i="17"/>
  <c r="H33" i="16"/>
  <c r="J33" i="16" s="1"/>
  <c r="N33" i="16"/>
  <c r="H33" i="13"/>
  <c r="J33" i="13" s="1"/>
  <c r="N33" i="13"/>
  <c r="H35" i="12"/>
  <c r="J35" i="12" s="1"/>
  <c r="H37" i="11"/>
  <c r="J37" i="11" s="1"/>
  <c r="N35" i="12"/>
  <c r="N37" i="11"/>
  <c r="J270" i="10"/>
  <c r="H33" i="15"/>
  <c r="J33" i="15" s="1"/>
  <c r="N33" i="15"/>
  <c r="H30" i="18"/>
  <c r="J30" i="18" s="1"/>
  <c r="N30" i="18"/>
  <c r="H30" i="17"/>
  <c r="J30" i="17" s="1"/>
  <c r="N30" i="17"/>
  <c r="H31" i="19"/>
  <c r="J31" i="19" s="1"/>
  <c r="N31" i="19"/>
  <c r="H32" i="16"/>
  <c r="J32" i="16" s="1"/>
  <c r="N32" i="16"/>
  <c r="H36" i="12"/>
  <c r="J36" i="12" s="1"/>
  <c r="H38" i="11"/>
  <c r="J38" i="11" s="1"/>
  <c r="J227" i="10"/>
  <c r="N24" i="13"/>
  <c r="P24" i="13" s="1"/>
  <c r="Q24" i="13" s="1"/>
  <c r="I63" i="10"/>
  <c r="J63" i="10" s="1"/>
  <c r="I103" i="10"/>
  <c r="I269" i="10"/>
  <c r="I184" i="10"/>
  <c r="I62" i="10"/>
  <c r="I143" i="10"/>
  <c r="I71" i="10"/>
  <c r="P36" i="15"/>
  <c r="Q36" i="15" s="1"/>
  <c r="I279" i="10"/>
  <c r="I112" i="10"/>
  <c r="I185" i="10"/>
  <c r="I31" i="10"/>
  <c r="I153" i="10"/>
  <c r="P33" i="19"/>
  <c r="Q33" i="19" s="1"/>
  <c r="I283" i="10"/>
  <c r="I241" i="10"/>
  <c r="I219" i="10"/>
  <c r="I199" i="10"/>
  <c r="M34" i="18"/>
  <c r="N34" i="18" s="1"/>
  <c r="N33" i="18"/>
  <c r="P33" i="18" s="1"/>
  <c r="Q33" i="18" s="1"/>
  <c r="I23" i="10"/>
  <c r="P48" i="11"/>
  <c r="M36" i="16"/>
  <c r="N36" i="16" s="1"/>
  <c r="P36" i="16" s="1"/>
  <c r="Q36" i="16" s="1"/>
  <c r="N35" i="16"/>
  <c r="P35" i="16" s="1"/>
  <c r="Q35" i="16" s="1"/>
  <c r="I144" i="10"/>
  <c r="I116" i="10"/>
  <c r="H104" i="10"/>
  <c r="P36" i="13"/>
  <c r="Q36" i="13" s="1"/>
  <c r="I157" i="10"/>
  <c r="J34" i="19"/>
  <c r="P34" i="19" s="1"/>
  <c r="I35" i="19"/>
  <c r="M36" i="12"/>
  <c r="M38" i="11"/>
  <c r="M35" i="19"/>
  <c r="N35" i="19" s="1"/>
  <c r="E35" i="10"/>
  <c r="H33" i="10"/>
  <c r="G33" i="10"/>
  <c r="J22" i="12"/>
  <c r="J34" i="17"/>
  <c r="I35" i="17"/>
  <c r="G91" i="10"/>
  <c r="G130" i="10"/>
  <c r="I40" i="13"/>
  <c r="J40" i="13" s="1"/>
  <c r="I38" i="13"/>
  <c r="J38" i="13" s="1"/>
  <c r="Q38" i="13" s="1"/>
  <c r="I96" i="10"/>
  <c r="M34" i="13"/>
  <c r="P33" i="17"/>
  <c r="Q33" i="17" s="1"/>
  <c r="J41" i="16"/>
  <c r="J28" i="16" s="1"/>
  <c r="M41" i="16"/>
  <c r="J34" i="11"/>
  <c r="Q34" i="11" s="1"/>
  <c r="P31" i="12"/>
  <c r="I40" i="15"/>
  <c r="J40" i="15" s="1"/>
  <c r="I38" i="15"/>
  <c r="J38" i="15" s="1"/>
  <c r="Q38" i="15" s="1"/>
  <c r="I136" i="10"/>
  <c r="J37" i="13"/>
  <c r="J37" i="15"/>
  <c r="P37" i="15" s="1"/>
  <c r="M39" i="12"/>
  <c r="N39" i="12" s="1"/>
  <c r="P39" i="12" s="1"/>
  <c r="Q39" i="12" s="1"/>
  <c r="M38" i="15"/>
  <c r="N38" i="15" s="1"/>
  <c r="P38" i="15" s="1"/>
  <c r="M40" i="15"/>
  <c r="N40" i="15" s="1"/>
  <c r="M41" i="11"/>
  <c r="N41" i="11" s="1"/>
  <c r="P41" i="11" s="1"/>
  <c r="Q41" i="11" s="1"/>
  <c r="P35" i="18"/>
  <c r="J39" i="18"/>
  <c r="J27" i="18" s="1"/>
  <c r="M39" i="18"/>
  <c r="N39" i="18" s="1"/>
  <c r="I262" i="10"/>
  <c r="I55" i="10"/>
  <c r="P32" i="12"/>
  <c r="Q48" i="11"/>
  <c r="L29" i="11" l="1"/>
  <c r="J35" i="17"/>
  <c r="Q35" i="17" s="1"/>
  <c r="M35" i="17"/>
  <c r="N35" i="17" s="1"/>
  <c r="P34" i="18"/>
  <c r="Q34" i="18" s="1"/>
  <c r="P40" i="15"/>
  <c r="N41" i="16"/>
  <c r="N28" i="16" s="1"/>
  <c r="P28" i="16" s="1"/>
  <c r="Q28" i="16" s="1"/>
  <c r="M28" i="16"/>
  <c r="P33" i="15"/>
  <c r="Q33" i="15" s="1"/>
  <c r="M44" i="12"/>
  <c r="N44" i="12" s="1"/>
  <c r="J44" i="12"/>
  <c r="M45" i="12"/>
  <c r="N45" i="12" s="1"/>
  <c r="J45" i="12"/>
  <c r="I28" i="12"/>
  <c r="M28" i="12" s="1"/>
  <c r="M43" i="12"/>
  <c r="N43" i="12" s="1"/>
  <c r="J43" i="12"/>
  <c r="P34" i="11"/>
  <c r="J195" i="10"/>
  <c r="P30" i="17"/>
  <c r="Q30" i="17" s="1"/>
  <c r="P31" i="18"/>
  <c r="Q31" i="18" s="1"/>
  <c r="J153" i="10"/>
  <c r="P31" i="19"/>
  <c r="Q31" i="19" s="1"/>
  <c r="P33" i="13"/>
  <c r="Q33" i="13" s="1"/>
  <c r="P33" i="16"/>
  <c r="Q33" i="16" s="1"/>
  <c r="P30" i="19"/>
  <c r="Q30" i="19" s="1"/>
  <c r="P37" i="11"/>
  <c r="Q37" i="11" s="1"/>
  <c r="P31" i="17"/>
  <c r="Q31" i="17" s="1"/>
  <c r="P32" i="16"/>
  <c r="Q32" i="16" s="1"/>
  <c r="J55" i="10"/>
  <c r="J144" i="10"/>
  <c r="J23" i="10"/>
  <c r="L29" i="12" s="1"/>
  <c r="P30" i="18"/>
  <c r="Q30" i="18" s="1"/>
  <c r="J262" i="10"/>
  <c r="L24" i="19" s="1"/>
  <c r="N24" i="19" s="1"/>
  <c r="J96" i="10"/>
  <c r="L29" i="15" s="1"/>
  <c r="P35" i="12"/>
  <c r="Q35" i="12" s="1"/>
  <c r="J279" i="10"/>
  <c r="J136" i="10"/>
  <c r="J219" i="10"/>
  <c r="L26" i="18" s="1"/>
  <c r="J185" i="10"/>
  <c r="J237" i="10"/>
  <c r="J25" i="10"/>
  <c r="P39" i="18"/>
  <c r="Q39" i="18" s="1"/>
  <c r="P34" i="15"/>
  <c r="Q34" i="15" s="1"/>
  <c r="I35" i="10"/>
  <c r="I104" i="10"/>
  <c r="M38" i="13"/>
  <c r="N38" i="13" s="1"/>
  <c r="P38" i="13" s="1"/>
  <c r="M40" i="13"/>
  <c r="N40" i="13" s="1"/>
  <c r="P40" i="13" s="1"/>
  <c r="N34" i="13"/>
  <c r="P34" i="13" s="1"/>
  <c r="Q34" i="13" s="1"/>
  <c r="J41" i="15"/>
  <c r="J25" i="15" s="1"/>
  <c r="H25" i="15" s="1"/>
  <c r="M41" i="15"/>
  <c r="M42" i="13"/>
  <c r="P22" i="12"/>
  <c r="Q22" i="12" s="1"/>
  <c r="G35" i="10"/>
  <c r="J35" i="19"/>
  <c r="Q35" i="19" s="1"/>
  <c r="Q37" i="15"/>
  <c r="P37" i="13"/>
  <c r="Q37" i="13" s="1"/>
  <c r="I29" i="12"/>
  <c r="J26" i="12"/>
  <c r="M26" i="12"/>
  <c r="N26" i="12" s="1"/>
  <c r="H35" i="10"/>
  <c r="P35" i="17"/>
  <c r="M42" i="12"/>
  <c r="N42" i="12" s="1"/>
  <c r="P42" i="12" s="1"/>
  <c r="Q42" i="12" s="1"/>
  <c r="N36" i="12"/>
  <c r="P36" i="12" s="1"/>
  <c r="Q36" i="12" s="1"/>
  <c r="M40" i="12"/>
  <c r="N40" i="12" s="1"/>
  <c r="P40" i="12" s="1"/>
  <c r="Q34" i="19"/>
  <c r="J26" i="15"/>
  <c r="G131" i="10"/>
  <c r="M39" i="17"/>
  <c r="J39" i="17"/>
  <c r="J26" i="17" s="1"/>
  <c r="H26" i="17" s="1"/>
  <c r="Q40" i="13"/>
  <c r="P34" i="17"/>
  <c r="Q34" i="17" s="1"/>
  <c r="Q40" i="15"/>
  <c r="M44" i="11"/>
  <c r="N44" i="11" s="1"/>
  <c r="P44" i="11" s="1"/>
  <c r="Q44" i="11" s="1"/>
  <c r="N38" i="11"/>
  <c r="P38" i="11" s="1"/>
  <c r="Q38" i="11" s="1"/>
  <c r="M42" i="11"/>
  <c r="N42" i="11" s="1"/>
  <c r="P42" i="11" s="1"/>
  <c r="L30" i="50" l="1"/>
  <c r="N30" i="50" s="1"/>
  <c r="L29" i="16"/>
  <c r="L30" i="48"/>
  <c r="L30" i="13"/>
  <c r="J189" i="10"/>
  <c r="L27" i="51"/>
  <c r="N27" i="51" s="1"/>
  <c r="L27" i="17"/>
  <c r="P41" i="16"/>
  <c r="Q41" i="16" s="1"/>
  <c r="J231" i="10"/>
  <c r="J147" i="10"/>
  <c r="N39" i="17"/>
  <c r="N26" i="17" s="1"/>
  <c r="P26" i="17" s="1"/>
  <c r="Q26" i="17" s="1"/>
  <c r="M26" i="17"/>
  <c r="N42" i="13"/>
  <c r="N27" i="13" s="1"/>
  <c r="M27" i="13"/>
  <c r="N30" i="48"/>
  <c r="L28" i="16"/>
  <c r="N41" i="15"/>
  <c r="N25" i="15" s="1"/>
  <c r="M25" i="15"/>
  <c r="P44" i="12"/>
  <c r="Q44" i="12" s="1"/>
  <c r="J28" i="12"/>
  <c r="P45" i="12"/>
  <c r="Q45" i="12" s="1"/>
  <c r="P43" i="12"/>
  <c r="Q43" i="12" s="1"/>
  <c r="J104" i="10"/>
  <c r="J106" i="10" s="1"/>
  <c r="J65" i="10"/>
  <c r="J26" i="11"/>
  <c r="M26" i="11"/>
  <c r="N26" i="11" s="1"/>
  <c r="J26" i="16"/>
  <c r="N40" i="11"/>
  <c r="J40" i="11"/>
  <c r="P27" i="13"/>
  <c r="Q27" i="13" s="1"/>
  <c r="J38" i="12"/>
  <c r="Q26" i="15"/>
  <c r="P26" i="15"/>
  <c r="M37" i="19"/>
  <c r="N37" i="19" s="1"/>
  <c r="J37" i="19"/>
  <c r="P39" i="17"/>
  <c r="Q39" i="17" s="1"/>
  <c r="M27" i="15"/>
  <c r="N27" i="15" s="1"/>
  <c r="I29" i="15"/>
  <c r="J27" i="15"/>
  <c r="Q27" i="15" s="1"/>
  <c r="P26" i="12"/>
  <c r="Q26" i="12" s="1"/>
  <c r="J38" i="19"/>
  <c r="J26" i="19" s="1"/>
  <c r="H26" i="19" s="1"/>
  <c r="L26" i="19" s="1"/>
  <c r="N26" i="19" s="1"/>
  <c r="P26" i="19" s="1"/>
  <c r="Q26" i="19" s="1"/>
  <c r="M38" i="19"/>
  <c r="N38" i="19" s="1"/>
  <c r="P35" i="19"/>
  <c r="L27" i="13" l="1"/>
  <c r="L26" i="17"/>
  <c r="P41" i="15"/>
  <c r="Q41" i="15" s="1"/>
  <c r="L29" i="49"/>
  <c r="N29" i="49" s="1"/>
  <c r="P42" i="13"/>
  <c r="Q42" i="13" s="1"/>
  <c r="L25" i="15"/>
  <c r="P25" i="15"/>
  <c r="Q25" i="15" s="1"/>
  <c r="H28" i="12"/>
  <c r="L28" i="12" s="1"/>
  <c r="N28" i="12" s="1"/>
  <c r="P28" i="12" s="1"/>
  <c r="Q28" i="12" s="1"/>
  <c r="I149" i="10"/>
  <c r="N38" i="12"/>
  <c r="P38" i="12" s="1"/>
  <c r="Q38" i="12" s="1"/>
  <c r="P37" i="19"/>
  <c r="Q37" i="19" s="1"/>
  <c r="P38" i="19"/>
  <c r="Q38" i="19" s="1"/>
  <c r="I22" i="10"/>
  <c r="I27" i="10"/>
  <c r="J27" i="10" s="1"/>
  <c r="J23" i="13"/>
  <c r="P26" i="11"/>
  <c r="Q26" i="11" s="1"/>
  <c r="J24" i="18"/>
  <c r="M24" i="18"/>
  <c r="N24" i="18" s="1"/>
  <c r="M29" i="15"/>
  <c r="M26" i="16"/>
  <c r="N26" i="16" s="1"/>
  <c r="I29" i="16"/>
  <c r="P27" i="15"/>
  <c r="P40" i="11"/>
  <c r="Q40" i="11" s="1"/>
  <c r="J149" i="10" l="1"/>
  <c r="H26" i="50"/>
  <c r="J26" i="50" s="1"/>
  <c r="L30" i="11"/>
  <c r="N30" i="11" s="1"/>
  <c r="L30" i="12"/>
  <c r="N30" i="12" s="1"/>
  <c r="H30" i="12"/>
  <c r="J30" i="12" s="1"/>
  <c r="H30" i="11"/>
  <c r="J30" i="11" s="1"/>
  <c r="H25" i="16"/>
  <c r="J25" i="16" s="1"/>
  <c r="I191" i="10"/>
  <c r="M24" i="17"/>
  <c r="N24" i="17" s="1"/>
  <c r="J24" i="17"/>
  <c r="I27" i="19"/>
  <c r="I25" i="19" s="1"/>
  <c r="P26" i="16"/>
  <c r="Q26" i="16" s="1"/>
  <c r="P24" i="18"/>
  <c r="Q24" i="18" s="1"/>
  <c r="P23" i="13"/>
  <c r="Q23" i="13" s="1"/>
  <c r="M29" i="16"/>
  <c r="M26" i="18"/>
  <c r="J28" i="13"/>
  <c r="I30" i="13"/>
  <c r="M28" i="13"/>
  <c r="N28" i="13" s="1"/>
  <c r="J191" i="10" l="1"/>
  <c r="H23" i="51"/>
  <c r="J23" i="51" s="1"/>
  <c r="L25" i="16"/>
  <c r="N25" i="16" s="1"/>
  <c r="P25" i="16" s="1"/>
  <c r="Q25" i="16" s="1"/>
  <c r="L26" i="50"/>
  <c r="N26" i="50" s="1"/>
  <c r="I275" i="10"/>
  <c r="J275" i="10" s="1"/>
  <c r="L23" i="19" s="1"/>
  <c r="P30" i="12"/>
  <c r="Q30" i="12" s="1"/>
  <c r="P30" i="11"/>
  <c r="Q30" i="11" s="1"/>
  <c r="H23" i="17"/>
  <c r="J23" i="17" s="1"/>
  <c r="I233" i="10"/>
  <c r="J233" i="10" s="1"/>
  <c r="L23" i="18" s="1"/>
  <c r="I108" i="10"/>
  <c r="M27" i="17"/>
  <c r="P24" i="17"/>
  <c r="Q24" i="17" s="1"/>
  <c r="P28" i="13"/>
  <c r="Q28" i="13" s="1"/>
  <c r="M27" i="18"/>
  <c r="M30" i="13"/>
  <c r="M27" i="19"/>
  <c r="N27" i="19" s="1"/>
  <c r="J27" i="19"/>
  <c r="Q27" i="19" s="1"/>
  <c r="J108" i="10" l="1"/>
  <c r="H24" i="49"/>
  <c r="J24" i="49" s="1"/>
  <c r="P26" i="50"/>
  <c r="Q26" i="50" s="1"/>
  <c r="N32" i="50"/>
  <c r="L23" i="17"/>
  <c r="N23" i="17" s="1"/>
  <c r="P23" i="17" s="1"/>
  <c r="Q23" i="17" s="1"/>
  <c r="L23" i="51"/>
  <c r="N23" i="51" s="1"/>
  <c r="H23" i="19"/>
  <c r="J23" i="19" s="1"/>
  <c r="N23" i="19"/>
  <c r="H24" i="15"/>
  <c r="J24" i="15" s="1"/>
  <c r="H23" i="18"/>
  <c r="J23" i="18" s="1"/>
  <c r="N23" i="18"/>
  <c r="P27" i="19"/>
  <c r="N35" i="50" l="1"/>
  <c r="P23" i="51"/>
  <c r="Q23" i="51" s="1"/>
  <c r="N29" i="51"/>
  <c r="L24" i="49"/>
  <c r="N24" i="49" s="1"/>
  <c r="L24" i="15"/>
  <c r="N24" i="15" s="1"/>
  <c r="P24" i="15" s="1"/>
  <c r="Q24" i="15" s="1"/>
  <c r="P23" i="19"/>
  <c r="Q23" i="19" s="1"/>
  <c r="P23" i="18"/>
  <c r="Q23" i="18" s="1"/>
  <c r="N32" i="51" l="1"/>
  <c r="P24" i="49"/>
  <c r="Q24" i="49" s="1"/>
  <c r="N32" i="49"/>
  <c r="N44" i="50"/>
  <c r="I67" i="10"/>
  <c r="N41" i="51" l="1"/>
  <c r="N45" i="50"/>
  <c r="N35" i="49"/>
  <c r="N45" i="49" s="1"/>
  <c r="N46" i="49" s="1"/>
  <c r="J67" i="10"/>
  <c r="H26" i="48"/>
  <c r="J26" i="48" s="1"/>
  <c r="H26" i="13"/>
  <c r="J26" i="13" s="1"/>
  <c r="N47" i="49" l="1"/>
  <c r="L26" i="48"/>
  <c r="N26" i="48" s="1"/>
  <c r="L26" i="13"/>
  <c r="N26" i="13" s="1"/>
  <c r="P26" i="13" s="1"/>
  <c r="Q26" i="13" s="1"/>
  <c r="N46" i="50"/>
  <c r="N42" i="51"/>
  <c r="N48" i="50" l="1"/>
  <c r="N48" i="49"/>
  <c r="P26" i="48"/>
  <c r="Q26" i="48" s="1"/>
  <c r="N43" i="51"/>
  <c r="I45" i="10"/>
  <c r="H50" i="10"/>
  <c r="N45" i="51" l="1"/>
  <c r="N49" i="49"/>
  <c r="J50" i="10"/>
  <c r="H21" i="48"/>
  <c r="J21" i="48" s="1"/>
  <c r="H21" i="13"/>
  <c r="J21" i="13" s="1"/>
  <c r="I167" i="10"/>
  <c r="H21" i="51" s="1"/>
  <c r="J21" i="51" s="1"/>
  <c r="I126" i="10"/>
  <c r="H21" i="50" s="1"/>
  <c r="J21" i="50" s="1"/>
  <c r="I252" i="10"/>
  <c r="I209" i="10"/>
  <c r="N21" i="13"/>
  <c r="H91" i="10"/>
  <c r="H172" i="10"/>
  <c r="H214" i="10"/>
  <c r="H131" i="10"/>
  <c r="H257" i="10"/>
  <c r="P21" i="48" l="1"/>
  <c r="Q21" i="48" s="1"/>
  <c r="P21" i="50"/>
  <c r="Q21" i="50" s="1"/>
  <c r="P21" i="51"/>
  <c r="Q21" i="51" s="1"/>
  <c r="H21" i="18"/>
  <c r="J21" i="18" s="1"/>
  <c r="J214" i="10"/>
  <c r="H21" i="17"/>
  <c r="J21" i="17" s="1"/>
  <c r="J172" i="10"/>
  <c r="P21" i="13"/>
  <c r="Q21" i="13" s="1"/>
  <c r="H21" i="19"/>
  <c r="J21" i="19" s="1"/>
  <c r="J257" i="10"/>
  <c r="H21" i="16"/>
  <c r="J21" i="16" s="1"/>
  <c r="J131" i="10"/>
  <c r="N21" i="18"/>
  <c r="N21" i="19"/>
  <c r="I86" i="10"/>
  <c r="H21" i="49" s="1"/>
  <c r="J21" i="49" s="1"/>
  <c r="N21" i="16"/>
  <c r="N21" i="17"/>
  <c r="P21" i="49" l="1"/>
  <c r="Q21" i="49" s="1"/>
  <c r="P21" i="17"/>
  <c r="Q21" i="17" s="1"/>
  <c r="P21" i="19"/>
  <c r="Q21" i="19" s="1"/>
  <c r="J91" i="10"/>
  <c r="P21" i="16"/>
  <c r="Q21" i="16" s="1"/>
  <c r="P21" i="18"/>
  <c r="Q21" i="18" s="1"/>
  <c r="H21" i="15"/>
  <c r="J21" i="15" s="1"/>
  <c r="N21" i="15"/>
  <c r="I5" i="10"/>
  <c r="J10" i="10" s="1"/>
  <c r="I12" i="10"/>
  <c r="H10" i="10"/>
  <c r="I257" i="10"/>
  <c r="I91" i="10"/>
  <c r="I172" i="10"/>
  <c r="I214" i="10"/>
  <c r="I50" i="10"/>
  <c r="I131" i="10"/>
  <c r="P21" i="15" l="1"/>
  <c r="Q21" i="15" s="1"/>
  <c r="H21" i="11"/>
  <c r="J21" i="11" s="1"/>
  <c r="H21" i="12"/>
  <c r="J21" i="12" s="1"/>
  <c r="H25" i="11"/>
  <c r="J25" i="11" s="1"/>
  <c r="H25" i="12"/>
  <c r="J25" i="12" s="1"/>
  <c r="N25" i="11"/>
  <c r="N25" i="12"/>
  <c r="N21" i="11"/>
  <c r="N21" i="12"/>
  <c r="P25" i="11" l="1"/>
  <c r="Q25" i="11" s="1"/>
  <c r="P25" i="12"/>
  <c r="Q25" i="12" s="1"/>
  <c r="P21" i="12"/>
  <c r="Q21" i="12" s="1"/>
  <c r="P21" i="11"/>
  <c r="Q21" i="11" s="1"/>
  <c r="I133" i="10"/>
  <c r="H25" i="50" s="1"/>
  <c r="J25" i="50" s="1"/>
  <c r="I174" i="10"/>
  <c r="H22" i="51" s="1"/>
  <c r="J22" i="51" s="1"/>
  <c r="I52" i="10"/>
  <c r="H25" i="48" s="1"/>
  <c r="J25" i="48" s="1"/>
  <c r="I216" i="10"/>
  <c r="I259" i="10"/>
  <c r="I93" i="10"/>
  <c r="H23" i="49" s="1"/>
  <c r="J23" i="49" s="1"/>
  <c r="P23" i="49" l="1"/>
  <c r="Q23" i="49" s="1"/>
  <c r="P25" i="48"/>
  <c r="Q25" i="48" s="1"/>
  <c r="P22" i="51"/>
  <c r="Q22" i="51" s="1"/>
  <c r="P25" i="50"/>
  <c r="Q25" i="50" s="1"/>
  <c r="H22" i="19"/>
  <c r="J22" i="19" s="1"/>
  <c r="H22" i="18"/>
  <c r="J22" i="18" s="1"/>
  <c r="H22" i="17"/>
  <c r="J22" i="17" s="1"/>
  <c r="H24" i="16"/>
  <c r="J24" i="16" s="1"/>
  <c r="H23" i="15"/>
  <c r="J23" i="15" s="1"/>
  <c r="H25" i="13"/>
  <c r="J25" i="13" s="1"/>
  <c r="N22" i="19"/>
  <c r="N22" i="18"/>
  <c r="N23" i="15"/>
  <c r="N25" i="13"/>
  <c r="N22" i="17"/>
  <c r="N24" i="16"/>
  <c r="I10" i="10"/>
  <c r="P22" i="19" l="1"/>
  <c r="Q22" i="19" s="1"/>
  <c r="P23" i="15"/>
  <c r="Q23" i="15" s="1"/>
  <c r="P22" i="18"/>
  <c r="Q22" i="18" s="1"/>
  <c r="P24" i="16"/>
  <c r="Q24" i="16" s="1"/>
  <c r="P22" i="17"/>
  <c r="Q22" i="17" s="1"/>
  <c r="P25" i="13"/>
  <c r="Q25" i="13" s="1"/>
  <c r="I19" i="10"/>
  <c r="H27" i="11" l="1"/>
  <c r="J27" i="11" s="1"/>
  <c r="H27" i="12"/>
  <c r="J27" i="12" s="1"/>
  <c r="I181" i="10"/>
  <c r="H25" i="51" s="1"/>
  <c r="J25" i="51" s="1"/>
  <c r="I223" i="10"/>
  <c r="I266" i="10"/>
  <c r="I140" i="10"/>
  <c r="H28" i="50" s="1"/>
  <c r="J28" i="50" s="1"/>
  <c r="N27" i="12"/>
  <c r="I100" i="10"/>
  <c r="H28" i="49" s="1"/>
  <c r="J28" i="49" s="1"/>
  <c r="N27" i="11"/>
  <c r="I59" i="10"/>
  <c r="L29" i="48" s="1"/>
  <c r="N29" i="48" s="1"/>
  <c r="P25" i="51" l="1"/>
  <c r="Q25" i="51" s="1"/>
  <c r="P29" i="48"/>
  <c r="N32" i="48"/>
  <c r="P28" i="49"/>
  <c r="Q28" i="49" s="1"/>
  <c r="P28" i="50"/>
  <c r="Q28" i="50" s="1"/>
  <c r="P27" i="12"/>
  <c r="Q27" i="12" s="1"/>
  <c r="H25" i="18"/>
  <c r="J25" i="18" s="1"/>
  <c r="H27" i="16"/>
  <c r="J27" i="16" s="1"/>
  <c r="H25" i="19"/>
  <c r="J25" i="19" s="1"/>
  <c r="P27" i="11"/>
  <c r="Q27" i="11" s="1"/>
  <c r="H25" i="17"/>
  <c r="J25" i="17" s="1"/>
  <c r="H28" i="15"/>
  <c r="J28" i="15" s="1"/>
  <c r="L29" i="13"/>
  <c r="N29" i="13" s="1"/>
  <c r="P29" i="13" s="1"/>
  <c r="N28" i="15"/>
  <c r="N27" i="16"/>
  <c r="N25" i="19"/>
  <c r="N25" i="18"/>
  <c r="N25" i="17"/>
  <c r="N35" i="48" l="1"/>
  <c r="P27" i="16"/>
  <c r="Q27" i="16" s="1"/>
  <c r="P25" i="17"/>
  <c r="Q25" i="17" s="1"/>
  <c r="P25" i="19"/>
  <c r="Q25" i="19" s="1"/>
  <c r="P28" i="15"/>
  <c r="Q28" i="15" s="1"/>
  <c r="P25" i="18"/>
  <c r="Q25" i="18" s="1"/>
  <c r="N45" i="48" l="1"/>
  <c r="I17" i="10"/>
  <c r="H29" i="12" s="1"/>
  <c r="H25" i="10"/>
  <c r="I264" i="10"/>
  <c r="H24" i="19" s="1"/>
  <c r="J24" i="19" s="1"/>
  <c r="P24" i="19" s="1"/>
  <c r="Q24" i="19" s="1"/>
  <c r="N46" i="48" l="1"/>
  <c r="N47" i="48" s="1"/>
  <c r="I25" i="10"/>
  <c r="I221" i="10"/>
  <c r="I231" i="10" s="1"/>
  <c r="H231" i="10"/>
  <c r="I179" i="10"/>
  <c r="H189" i="10"/>
  <c r="N29" i="11"/>
  <c r="I138" i="10"/>
  <c r="H147" i="10"/>
  <c r="H29" i="11"/>
  <c r="J29" i="11" s="1"/>
  <c r="J36" i="11" s="1"/>
  <c r="J39" i="11" s="1"/>
  <c r="J50" i="11" s="1"/>
  <c r="J51" i="11" s="1"/>
  <c r="J52" i="11" s="1"/>
  <c r="J53" i="11" s="1"/>
  <c r="J54" i="11" s="1"/>
  <c r="I98" i="10"/>
  <c r="H106" i="10"/>
  <c r="I57" i="10"/>
  <c r="H65" i="10"/>
  <c r="J29" i="12"/>
  <c r="J273" i="10"/>
  <c r="J29" i="19"/>
  <c r="J32" i="19" s="1"/>
  <c r="J41" i="19" s="1"/>
  <c r="J42" i="19" s="1"/>
  <c r="J43" i="19" s="1"/>
  <c r="J45" i="19" s="1"/>
  <c r="I273" i="10"/>
  <c r="N26" i="18"/>
  <c r="H273" i="10"/>
  <c r="H26" i="18" l="1"/>
  <c r="J26" i="18" s="1"/>
  <c r="I147" i="10"/>
  <c r="H30" i="50"/>
  <c r="J30" i="50" s="1"/>
  <c r="H29" i="16"/>
  <c r="J29" i="16" s="1"/>
  <c r="I189" i="10"/>
  <c r="H27" i="51"/>
  <c r="J27" i="51" s="1"/>
  <c r="I106" i="10"/>
  <c r="H29" i="49"/>
  <c r="J29" i="49" s="1"/>
  <c r="H29" i="15"/>
  <c r="J29" i="15" s="1"/>
  <c r="J32" i="15" s="1"/>
  <c r="J35" i="15" s="1"/>
  <c r="J45" i="15" s="1"/>
  <c r="J46" i="15" s="1"/>
  <c r="J47" i="15" s="1"/>
  <c r="J48" i="15" s="1"/>
  <c r="J49" i="15" s="1"/>
  <c r="N48" i="48"/>
  <c r="N49" i="48" s="1"/>
  <c r="I65" i="10"/>
  <c r="H30" i="48"/>
  <c r="J30" i="48" s="1"/>
  <c r="J34" i="12"/>
  <c r="J37" i="12" s="1"/>
  <c r="J47" i="12" s="1"/>
  <c r="J48" i="12" s="1"/>
  <c r="J49" i="12" s="1"/>
  <c r="J50" i="12" s="1"/>
  <c r="J51" i="12" s="1"/>
  <c r="H27" i="17"/>
  <c r="J27" i="17" s="1"/>
  <c r="J29" i="17" s="1"/>
  <c r="J32" i="17" s="1"/>
  <c r="J41" i="17" s="1"/>
  <c r="J42" i="17" s="1"/>
  <c r="J43" i="17" s="1"/>
  <c r="J45" i="17" s="1"/>
  <c r="N27" i="17"/>
  <c r="N29" i="17" s="1"/>
  <c r="H30" i="13"/>
  <c r="J30" i="13" s="1"/>
  <c r="J32" i="13" s="1"/>
  <c r="J35" i="13" s="1"/>
  <c r="J45" i="13" s="1"/>
  <c r="J46" i="13" s="1"/>
  <c r="J47" i="13" s="1"/>
  <c r="J48" i="13" s="1"/>
  <c r="J49" i="13" s="1"/>
  <c r="N29" i="12"/>
  <c r="P29" i="12" s="1"/>
  <c r="Q29" i="12" s="1"/>
  <c r="N29" i="15"/>
  <c r="N32" i="15" s="1"/>
  <c r="N29" i="16"/>
  <c r="N36" i="11"/>
  <c r="P29" i="11"/>
  <c r="Q29" i="11" s="1"/>
  <c r="N29" i="19"/>
  <c r="P26" i="18" l="1"/>
  <c r="Q26" i="18" s="1"/>
  <c r="P29" i="49"/>
  <c r="Q29" i="49" s="1"/>
  <c r="J32" i="49"/>
  <c r="P30" i="50"/>
  <c r="Q30" i="50" s="1"/>
  <c r="J32" i="50"/>
  <c r="P30" i="48"/>
  <c r="Q30" i="48" s="1"/>
  <c r="J32" i="48"/>
  <c r="P27" i="51"/>
  <c r="Q27" i="51" s="1"/>
  <c r="J29" i="51"/>
  <c r="P27" i="17"/>
  <c r="Q27" i="17" s="1"/>
  <c r="N30" i="13"/>
  <c r="N32" i="13" s="1"/>
  <c r="N35" i="13" s="1"/>
  <c r="P29" i="16"/>
  <c r="Q29" i="16" s="1"/>
  <c r="N34" i="12"/>
  <c r="N37" i="12" s="1"/>
  <c r="P29" i="15"/>
  <c r="Q29" i="15" s="1"/>
  <c r="P36" i="11"/>
  <c r="Q36" i="11" s="1"/>
  <c r="N39" i="11"/>
  <c r="N32" i="17"/>
  <c r="P29" i="17"/>
  <c r="Q29" i="17" s="1"/>
  <c r="N35" i="15"/>
  <c r="P32" i="15"/>
  <c r="Q32" i="15" s="1"/>
  <c r="P29" i="19"/>
  <c r="Q29" i="19" s="1"/>
  <c r="N32" i="19"/>
  <c r="J32" i="51" l="1"/>
  <c r="P29" i="51"/>
  <c r="Q29" i="51" s="1"/>
  <c r="J35" i="49"/>
  <c r="P32" i="49"/>
  <c r="Q32" i="49" s="1"/>
  <c r="J35" i="48"/>
  <c r="P32" i="48"/>
  <c r="Q32" i="48" s="1"/>
  <c r="J35" i="50"/>
  <c r="P32" i="50"/>
  <c r="Q32" i="50" s="1"/>
  <c r="P30" i="13"/>
  <c r="Q30" i="13" s="1"/>
  <c r="P32" i="13"/>
  <c r="Q32" i="13" s="1"/>
  <c r="P34" i="12"/>
  <c r="Q34" i="12" s="1"/>
  <c r="N50" i="11"/>
  <c r="P39" i="11"/>
  <c r="Q39" i="11" s="1"/>
  <c r="P37" i="12"/>
  <c r="Q37" i="12" s="1"/>
  <c r="N47" i="12"/>
  <c r="P35" i="15"/>
  <c r="Q35" i="15" s="1"/>
  <c r="N45" i="15"/>
  <c r="N41" i="19"/>
  <c r="P32" i="19"/>
  <c r="Q32" i="19" s="1"/>
  <c r="P35" i="13"/>
  <c r="Q35" i="13" s="1"/>
  <c r="N45" i="13"/>
  <c r="P32" i="17"/>
  <c r="Q32" i="17" s="1"/>
  <c r="N41" i="17"/>
  <c r="J44" i="50" l="1"/>
  <c r="P35" i="50"/>
  <c r="Q35" i="50" s="1"/>
  <c r="P35" i="49"/>
  <c r="Q35" i="49" s="1"/>
  <c r="J45" i="49"/>
  <c r="J45" i="48"/>
  <c r="P35" i="48"/>
  <c r="Q35" i="48" s="1"/>
  <c r="J41" i="51"/>
  <c r="P32" i="51"/>
  <c r="Q32" i="51" s="1"/>
  <c r="N48" i="12"/>
  <c r="P48" i="12" s="1"/>
  <c r="Q48" i="12" s="1"/>
  <c r="P47" i="12"/>
  <c r="Q47" i="12" s="1"/>
  <c r="N51" i="11"/>
  <c r="P51" i="11" s="1"/>
  <c r="Q51" i="11" s="1"/>
  <c r="P50" i="11"/>
  <c r="Q50" i="11" s="1"/>
  <c r="N42" i="19"/>
  <c r="P42" i="19" s="1"/>
  <c r="Q42" i="19" s="1"/>
  <c r="P41" i="19"/>
  <c r="Q41" i="19" s="1"/>
  <c r="N46" i="13"/>
  <c r="P46" i="13" s="1"/>
  <c r="Q46" i="13" s="1"/>
  <c r="P45" i="13"/>
  <c r="Q45" i="13" s="1"/>
  <c r="N42" i="17"/>
  <c r="P41" i="17"/>
  <c r="Q41" i="17" s="1"/>
  <c r="N46" i="15"/>
  <c r="P45" i="15"/>
  <c r="Q45" i="15" s="1"/>
  <c r="J46" i="48" l="1"/>
  <c r="P46" i="48" s="1"/>
  <c r="Q46" i="48" s="1"/>
  <c r="P45" i="48"/>
  <c r="Q45" i="48" s="1"/>
  <c r="J42" i="51"/>
  <c r="P42" i="51" s="1"/>
  <c r="Q42" i="51" s="1"/>
  <c r="P41" i="51"/>
  <c r="Q41" i="51" s="1"/>
  <c r="P45" i="49"/>
  <c r="Q45" i="49" s="1"/>
  <c r="J46" i="49"/>
  <c r="P46" i="49" s="1"/>
  <c r="Q46" i="49" s="1"/>
  <c r="J45" i="50"/>
  <c r="P45" i="50" s="1"/>
  <c r="Q45" i="50" s="1"/>
  <c r="P44" i="50"/>
  <c r="Q44" i="50" s="1"/>
  <c r="N49" i="12"/>
  <c r="P49" i="12" s="1"/>
  <c r="Q49" i="12" s="1"/>
  <c r="N52" i="11"/>
  <c r="P52" i="11" s="1"/>
  <c r="Q52" i="11" s="1"/>
  <c r="P42" i="17"/>
  <c r="Q42" i="17" s="1"/>
  <c r="N43" i="17"/>
  <c r="N47" i="13"/>
  <c r="P46" i="15"/>
  <c r="Q46" i="15" s="1"/>
  <c r="N47" i="15"/>
  <c r="N43" i="19"/>
  <c r="J47" i="48" l="1"/>
  <c r="J48" i="48" s="1"/>
  <c r="P48" i="48" s="1"/>
  <c r="Q48" i="48" s="1"/>
  <c r="J47" i="49"/>
  <c r="J48" i="49" s="1"/>
  <c r="J49" i="49" s="1"/>
  <c r="J43" i="51"/>
  <c r="J45" i="51" s="1"/>
  <c r="P47" i="48"/>
  <c r="Q47" i="48" s="1"/>
  <c r="J46" i="50"/>
  <c r="N50" i="12"/>
  <c r="P50" i="12" s="1"/>
  <c r="Q50" i="12" s="1"/>
  <c r="N53" i="11"/>
  <c r="P53" i="11" s="1"/>
  <c r="Q53" i="11" s="1"/>
  <c r="N45" i="17"/>
  <c r="P45" i="17" s="1"/>
  <c r="D14" i="47" s="1"/>
  <c r="P43" i="17"/>
  <c r="Q43" i="17" s="1"/>
  <c r="N45" i="19"/>
  <c r="P45" i="19" s="1"/>
  <c r="P43" i="19"/>
  <c r="Q43" i="19" s="1"/>
  <c r="N48" i="15"/>
  <c r="P48" i="15" s="1"/>
  <c r="Q48" i="15" s="1"/>
  <c r="P47" i="15"/>
  <c r="Q47" i="15" s="1"/>
  <c r="P47" i="13"/>
  <c r="Q47" i="13" s="1"/>
  <c r="N48" i="13"/>
  <c r="P43" i="51" l="1"/>
  <c r="Q43" i="51" s="1"/>
  <c r="P47" i="49"/>
  <c r="Q47" i="49" s="1"/>
  <c r="J49" i="48"/>
  <c r="P49" i="48" s="1"/>
  <c r="D9" i="47" s="1"/>
  <c r="P49" i="49"/>
  <c r="Q49" i="49" s="1"/>
  <c r="P45" i="51"/>
  <c r="D15" i="47" s="1"/>
  <c r="J48" i="50"/>
  <c r="P46" i="50"/>
  <c r="Q46" i="50" s="1"/>
  <c r="P48" i="49"/>
  <c r="Q48" i="49" s="1"/>
  <c r="Q45" i="19"/>
  <c r="Q45" i="17"/>
  <c r="C14" i="47" s="1"/>
  <c r="N54" i="11"/>
  <c r="P54" i="11" s="1"/>
  <c r="D5" i="47" s="1"/>
  <c r="N51" i="12"/>
  <c r="P51" i="12" s="1"/>
  <c r="D6" i="47" s="1"/>
  <c r="N49" i="15"/>
  <c r="P49" i="15" s="1"/>
  <c r="P48" i="13"/>
  <c r="Q48" i="13" s="1"/>
  <c r="N49" i="13"/>
  <c r="P49" i="13" s="1"/>
  <c r="D8" i="47" s="1"/>
  <c r="Q49" i="48" l="1"/>
  <c r="C9" i="47" s="1"/>
  <c r="P48" i="50"/>
  <c r="D12" i="47" s="1"/>
  <c r="Q45" i="51"/>
  <c r="C15" i="47" s="1"/>
  <c r="Q49" i="13"/>
  <c r="C8" i="47" s="1"/>
  <c r="Q49" i="15"/>
  <c r="Q51" i="12"/>
  <c r="C6" i="47" s="1"/>
  <c r="Q54" i="11"/>
  <c r="C5" i="47" s="1"/>
  <c r="Q48" i="50" l="1"/>
  <c r="C12" i="47" s="1"/>
  <c r="N31" i="16"/>
  <c r="N34" i="16" l="1"/>
  <c r="N43" i="16" l="1"/>
  <c r="N44" i="16" l="1"/>
  <c r="N45" i="16" s="1"/>
  <c r="N47" i="16" l="1"/>
  <c r="J31" i="16"/>
  <c r="H28" i="16"/>
  <c r="J34" i="16" l="1"/>
  <c r="P31" i="16"/>
  <c r="Q31" i="16" s="1"/>
  <c r="P34" i="16" l="1"/>
  <c r="Q34" i="16" s="1"/>
  <c r="J43" i="16"/>
  <c r="P43" i="16" l="1"/>
  <c r="Q43" i="16" s="1"/>
  <c r="J44" i="16"/>
  <c r="P44" i="16" l="1"/>
  <c r="Q44" i="16" s="1"/>
  <c r="J45" i="16"/>
  <c r="J47" i="16" l="1"/>
  <c r="P45" i="16"/>
  <c r="Q45" i="16" s="1"/>
  <c r="P47" i="16" l="1"/>
  <c r="Q47" i="16" l="1"/>
  <c r="C11" i="47" s="1"/>
  <c r="D11" i="47"/>
  <c r="J29" i="18"/>
  <c r="H27" i="18"/>
  <c r="L27" i="18" s="1"/>
  <c r="N27" i="18" s="1"/>
  <c r="N29" i="18" s="1"/>
  <c r="N32" i="18" s="1"/>
  <c r="N41" i="18" s="1"/>
  <c r="N42" i="18" l="1"/>
  <c r="N43" i="18" s="1"/>
  <c r="N45" i="18" s="1"/>
  <c r="P27" i="18"/>
  <c r="Q27" i="18" s="1"/>
  <c r="P29" i="18"/>
  <c r="Q29" i="18" s="1"/>
  <c r="J32" i="18"/>
  <c r="J41" i="18" l="1"/>
  <c r="P32" i="18"/>
  <c r="Q32" i="18" s="1"/>
  <c r="P41" i="18" l="1"/>
  <c r="Q41" i="18" s="1"/>
  <c r="J42" i="18"/>
  <c r="J43" i="18" s="1"/>
  <c r="J45" i="18" l="1"/>
  <c r="P43" i="18"/>
  <c r="Q43" i="18" s="1"/>
  <c r="P42" i="18"/>
  <c r="Q42" i="18" s="1"/>
  <c r="P45" i="18" l="1"/>
  <c r="D17" i="47" s="1"/>
  <c r="Q45" i="18" l="1"/>
  <c r="C17" i="47" s="1"/>
</calcChain>
</file>

<file path=xl/comments1.xml><?xml version="1.0" encoding="utf-8"?>
<comments xmlns="http://schemas.openxmlformats.org/spreadsheetml/2006/main">
  <authors>
    <author>Author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Effective date January 1, 2013
Implementation date February 1, 2013</t>
        </r>
      </text>
    </comment>
  </commentList>
</comments>
</file>

<file path=xl/sharedStrings.xml><?xml version="1.0" encoding="utf-8"?>
<sst xmlns="http://schemas.openxmlformats.org/spreadsheetml/2006/main" count="1248" uniqueCount="138">
  <si>
    <t>Residential</t>
  </si>
  <si>
    <t>Monthly</t>
  </si>
  <si>
    <t>August 1, 2011</t>
  </si>
  <si>
    <t>November 1, 2011</t>
  </si>
  <si>
    <t>February 1, 2012</t>
  </si>
  <si>
    <t>May 1, 2012</t>
  </si>
  <si>
    <t>Monthly Service Charge</t>
  </si>
  <si>
    <t>$</t>
  </si>
  <si>
    <t>Stranded Meters</t>
  </si>
  <si>
    <t>Smart Meter Disposition Rate Rider</t>
  </si>
  <si>
    <t>Late Payment Penalty</t>
  </si>
  <si>
    <t>Service Charge Smart Meters</t>
  </si>
  <si>
    <t>Distribution Volumetric Rate</t>
  </si>
  <si>
    <t>$/kWh</t>
  </si>
  <si>
    <t>Distribution Volumetric Def Var Disp 2010 – effective until January 31, 2012</t>
  </si>
  <si>
    <t>Distribution Volumetric Def Var Disp 2011 – effective until January 31, 2014</t>
  </si>
  <si>
    <t>Distribution Volumetric Def Var Disp 2012  - effective until April 30, 2013</t>
  </si>
  <si>
    <t>Distribution Volumetric Lost Revenue Adjustment Mechanism (LRAM) Recovery/Shared Savings Mechanism (SSM) Recovery</t>
  </si>
  <si>
    <t>Distribution Volumetric Tax Change</t>
  </si>
  <si>
    <t>Rate Rider for Global Adjustment Sub-Account Disposition - effective until Dec 31, 2013 NON-RPP</t>
  </si>
  <si>
    <t>Rate Rider for Global Adjustment Sub-Account Disposition - effective until Jan 31, 2014 NON-RPP</t>
  </si>
  <si>
    <t>Low Voltage Service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</si>
  <si>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</si>
  <si>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</si>
  <si>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</si>
  <si>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</si>
  <si>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</si>
  <si>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Rate Rider for Global Adjustment Sub-Account Disposition – effective until January 31, 2012</t>
  </si>
  <si>
    <t>Rate Rider for Global Adjustment Sub-Account Disposition – effective until 2015</t>
  </si>
  <si>
    <t>Applicable only for Non-RPP Customers</t>
  </si>
  <si>
    <t>Low Voltage</t>
  </si>
  <si>
    <t>USL ONLY</t>
  </si>
  <si>
    <t>General Service 50 to 499kW</t>
  </si>
  <si>
    <t>$/kW</t>
  </si>
  <si>
    <t>General Service 500 to 4999kW</t>
  </si>
  <si>
    <t>Large User &gt; 5000 kW</t>
  </si>
  <si>
    <t>Street Lighting</t>
  </si>
  <si>
    <t>Monthly Service Charge (per connection)</t>
  </si>
  <si>
    <t>Customer Class:</t>
  </si>
  <si>
    <t>Residential - RPP</t>
  </si>
  <si>
    <t>Consumption</t>
  </si>
  <si>
    <t xml:space="preserve"> kWh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</si>
  <si>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</si>
  <si>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</si>
  <si>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</si>
  <si>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</si>
  <si>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</si>
  <si>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</si>
  <si>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</si>
  <si>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</si>
  <si>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Smart Meter Rate Adder</t>
  </si>
  <si>
    <t>per kWh</t>
  </si>
  <si>
    <t>Low Voltage Rate Adder</t>
  </si>
  <si>
    <t>Smart Meter Disposition Rider</t>
  </si>
  <si>
    <t>LRAM &amp; SSM Rate Rider</t>
  </si>
  <si>
    <t>Deferral/Variance Account Disposition Rate Rider</t>
  </si>
  <si>
    <t>Stranded Meters Disposition</t>
  </si>
  <si>
    <t>Sub-Total A - Distribution</t>
  </si>
  <si>
    <t>RTSR - Network</t>
  </si>
  <si>
    <t>RTSR - Line and Transformation Connection</t>
  </si>
  <si>
    <t>Sub-Total B - Delivery (including Sub-Total A)</t>
  </si>
  <si>
    <t>Wholesale Market Service Charge (WMSC)</t>
  </si>
  <si>
    <t>Rural and Remote Rate Protection (RRRP)</t>
  </si>
  <si>
    <t>Special Purpose Charge</t>
  </si>
  <si>
    <t>Standard Supply Service Charge</t>
  </si>
  <si>
    <t>Debt Retirement Charge (DRC)</t>
  </si>
  <si>
    <t>Energy</t>
  </si>
  <si>
    <t>Total Bill (before Taxes)</t>
  </si>
  <si>
    <t>HST</t>
  </si>
  <si>
    <t>Total Bill (including Sub-total B)</t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</si>
  <si>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</si>
  <si>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</si>
  <si>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</si>
  <si>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</si>
  <si>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</si>
  <si>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</si>
  <si>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</si>
  <si>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</si>
  <si>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</si>
  <si>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</si>
  <si>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</si>
  <si>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</si>
  <si>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</si>
  <si>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Residential - Non-RPP</t>
  </si>
  <si>
    <t>GS &lt; 50 - RPP</t>
  </si>
  <si>
    <t>kW</t>
  </si>
  <si>
    <t>per kW</t>
  </si>
  <si>
    <t>Streetlighting</t>
  </si>
  <si>
    <t>BOARD-APPROVED RATES</t>
  </si>
  <si>
    <t>Group 1 &amp; 2 - effective until December 31, 2013</t>
  </si>
  <si>
    <t>Stranded Meters - effective until December 31, 2013</t>
  </si>
  <si>
    <t>Smart Meter Disposition Rate Rider - effective until December 31, 2013</t>
  </si>
  <si>
    <t>January 1, 2014</t>
  </si>
  <si>
    <t>Forgone Revenue</t>
  </si>
  <si>
    <t>Rate Rider for Foregone Revenue - effective until December 31, 2013</t>
  </si>
  <si>
    <t>Feb 1, 2013</t>
  </si>
  <si>
    <t>Foregone Revenue</t>
  </si>
  <si>
    <t>BOARD APPROVED RATES</t>
  </si>
  <si>
    <t>Residential  RPP</t>
  </si>
  <si>
    <t>Residential  Non- RPP</t>
  </si>
  <si>
    <t>GS&lt;50 RPP</t>
  </si>
  <si>
    <t>GS&lt;50 Non- RPP</t>
  </si>
  <si>
    <t>Bill Impact Analysis</t>
  </si>
  <si>
    <t>Smart Metering Entity Charge</t>
  </si>
  <si>
    <t>Smart Meter Entity Charge</t>
  </si>
  <si>
    <t>Current Board-Approved (July 1 2013)</t>
  </si>
  <si>
    <t>July 1, 2013</t>
  </si>
  <si>
    <t>PROPOSED RATES 2014 IRM</t>
  </si>
  <si>
    <t>Proposed January 1, 2014</t>
  </si>
  <si>
    <t>Distribution Volumetric Def Var Disp 2012 – effective until January 31, 2014</t>
  </si>
  <si>
    <t>Distribution Volumetric Lost Revenue Adjustment Mechanism (LRAM) Recovery/Shared Savings Mechanism (SSM) Recovery - effective until December 31, 2014</t>
  </si>
  <si>
    <t>Rate Rider for Global Adjustment Sub-Account Disposition - effective until December 31, 2014 NON-RPP</t>
  </si>
  <si>
    <t>Distribution Volumetric Def Var Disp 2014  - effective until December 31, 2014</t>
  </si>
  <si>
    <t>Rate Rider for Global Adjustment Sub-Account Disposition - effective until December 31, 2014 NON-RPP (NON-INTERVAL)</t>
  </si>
  <si>
    <t>Rate Rider for Global Adjustment Sub-Account Disposition - effective until December 31, 2014 NON-RPP (INTERVAL)</t>
  </si>
  <si>
    <t>TOU - Off Peak</t>
  </si>
  <si>
    <t>TOU - Mid Peak</t>
  </si>
  <si>
    <t>TOU - On Peak</t>
  </si>
  <si>
    <t>Line Losses on Cost of Power</t>
  </si>
  <si>
    <t>GS &lt; 50 - Non RPP</t>
  </si>
  <si>
    <t>GS 50 - 499 kW Non Interval</t>
  </si>
  <si>
    <t>GS 500 - 4999 kW Interval</t>
  </si>
  <si>
    <t>2014 Bill Impacts</t>
  </si>
  <si>
    <t>GS 500 - 4999 kW Non Interval</t>
  </si>
  <si>
    <t>GS 50-499 Non RPP Interval</t>
  </si>
  <si>
    <t>GS 50-499 Non RPP Non Interval</t>
  </si>
  <si>
    <t>GS 500-4999 Non RPP Interval</t>
  </si>
  <si>
    <t>GS 500-4999 Non RPP Non Interval</t>
  </si>
  <si>
    <t>Unmetered Scattered Load - Non RPP</t>
  </si>
  <si>
    <t>Unmetered Scattered Load - RPP</t>
  </si>
  <si>
    <t>GS 50 - 499 kW - Interval</t>
  </si>
  <si>
    <t>Disposition Period</t>
  </si>
  <si>
    <t>Rate Rider for Global Adjustment Sub-Account Disposition - effective until December 31, 2014 NON-RPP Class B</t>
  </si>
  <si>
    <t>Rate Rider for Global Adjustment Sub-Account Disposition - effective until December 31, 2014 NON-RPP Class A</t>
  </si>
  <si>
    <t>Large Use - Class A</t>
  </si>
  <si>
    <t>Large User Non RPP Class A</t>
  </si>
  <si>
    <t>EB-2013-0024</t>
  </si>
  <si>
    <t xml:space="preserve">Enersource 2014 IRM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</si>
</sst>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$&quot;* #,##0_-;\-&quot;$&quot;* #,##0_-;_-&quot;$&quot;* &quot;-&quot;??_-;_-@_-"/>
    <numFmt numFmtId="170" formatCode="0.0%"/>
    <numFmt numFmtId="171" formatCode="0.000%"/>
    <numFmt numFmtId="172" formatCode="_(&quot;$&quot;* #,##0_);_(&quot;$&quot;* \(#,##0\);_(&quot;$&quot;* &quot;-&quot;??_);_(@_)"/>
    <numFmt numFmtId="173" formatCode="_(* #,##0_);_(* \(#,##0\);_(* &quot;-&quot;??_);_(@_)"/>
    <numFmt numFmtId="174" formatCode="_(* #,##0.0_);_(* \(#,##0.0\);_(* &quot;-&quot;??_);_(@_)"/>
    <numFmt numFmtId="175" formatCode="#,##0.0"/>
    <numFmt numFmtId="176" formatCode="mm/dd/yyyy"/>
    <numFmt numFmtId="177" formatCode="0\-0"/>
    <numFmt numFmtId="178" formatCode="#,##0.0000_);\(#,##0.0000\)"/>
    <numFmt numFmtId="179" formatCode="&quot;$&quot;#,##0\ ;\(&quot;$&quot;#,##0\)"/>
    <numFmt numFmtId="180" formatCode="_([$€-2]* #,##0.00_);_([$€-2]* \(#,##0.00\);_([$€-2]* &quot;-&quot;??_)"/>
    <numFmt numFmtId="181" formatCode="##\-#"/>
    <numFmt numFmtId="182" formatCode="&quot;£ &quot;#,##0.00;[Red]\-&quot;£ &quot;#,##0.00"/>
    <numFmt numFmtId="183" formatCode="0.0000"/>
    <numFmt numFmtId="184" formatCode="0.00000"/>
    <numFmt numFmtId="185" formatCode="_-&quot;$&quot;* #,##0.0000_-;\-&quot;$&quot;* #,##0.0000_-;_-&quot;$&quot;* &quot;-&quot;??_-;_-@_-"/>
    <numFmt numFmtId="186" formatCode="_-&quot;$&quot;* #,##0.0000000_-;\-&quot;$&quot;* #,##0.0000000_-;_-&quot;$&quot;* &quot;-&quot;??_-;_-@_-"/>
    <numFmt numFmtId="187" formatCode="0.0000%"/>
    <numFmt numFmtId="188" formatCode="_-&quot;$&quot;* #,##0.0000_-;\-&quot;$&quot;* #,##0.0000_-;_-&quot;$&quot;* &quot;-&quot;??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8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74" fontId="3" fillId="0" borderId="0"/>
    <xf numFmtId="174" fontId="3" fillId="0" borderId="0"/>
    <xf numFmtId="174" fontId="3" fillId="0" borderId="0"/>
    <xf numFmtId="175" fontId="3" fillId="0" borderId="0"/>
    <xf numFmtId="175" fontId="3" fillId="0" borderId="0"/>
    <xf numFmtId="175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6" fontId="3" fillId="0" borderId="0"/>
    <xf numFmtId="176" fontId="3" fillId="0" borderId="0"/>
    <xf numFmtId="176" fontId="3" fillId="0" borderId="0"/>
    <xf numFmtId="177" fontId="3" fillId="0" borderId="0"/>
    <xf numFmtId="177" fontId="3" fillId="0" borderId="0"/>
    <xf numFmtId="177" fontId="3" fillId="0" borderId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3" fillId="24" borderId="5" applyNumberFormat="0" applyAlignment="0" applyProtection="0"/>
    <xf numFmtId="0" fontId="14" fillId="24" borderId="5" applyNumberFormat="0" applyAlignment="0" applyProtection="0"/>
    <xf numFmtId="166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16" fillId="0" borderId="0" applyFont="0" applyFill="0" applyBorder="0" applyAlignment="0" applyProtection="0"/>
    <xf numFmtId="4" fontId="18" fillId="0" borderId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6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38" fontId="2" fillId="4" borderId="0" applyNumberFormat="0" applyBorder="0" applyAlignment="0" applyProtection="0"/>
    <xf numFmtId="38" fontId="2" fillId="4" borderId="0" applyNumberFormat="0" applyBorder="0" applyAlignment="0" applyProtection="0"/>
    <xf numFmtId="0" fontId="23" fillId="0" borderId="0"/>
    <xf numFmtId="0" fontId="24" fillId="0" borderId="1" applyNumberFormat="0" applyAlignment="0" applyProtection="0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6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ont="0" applyFill="0" applyAlignment="0" applyProtection="0"/>
    <xf numFmtId="0" fontId="28" fillId="0" borderId="7" applyNumberForma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4" fillId="10" borderId="4" applyNumberFormat="0" applyAlignment="0" applyProtection="0"/>
    <xf numFmtId="0" fontId="36" fillId="0" borderId="10" applyNumberFormat="0" applyFill="0" applyAlignment="0" applyProtection="0"/>
    <xf numFmtId="0" fontId="37" fillId="0" borderId="10" applyNumberFormat="0" applyFill="0" applyAlignment="0" applyProtection="0"/>
    <xf numFmtId="181" fontId="3" fillId="0" borderId="0"/>
    <xf numFmtId="181" fontId="3" fillId="0" borderId="0"/>
    <xf numFmtId="181" fontId="3" fillId="0" borderId="0"/>
    <xf numFmtId="173" fontId="3" fillId="0" borderId="0"/>
    <xf numFmtId="173" fontId="3" fillId="0" borderId="0"/>
    <xf numFmtId="173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38" fillId="26" borderId="0" applyNumberFormat="0" applyBorder="0" applyAlignment="0" applyProtection="0"/>
    <xf numFmtId="0" fontId="39" fillId="26" borderId="0" applyNumberFormat="0" applyBorder="0" applyAlignment="0" applyProtection="0"/>
    <xf numFmtId="182" fontId="3" fillId="0" borderId="0"/>
    <xf numFmtId="0" fontId="3" fillId="0" borderId="0"/>
    <xf numFmtId="0" fontId="3" fillId="0" borderId="0"/>
    <xf numFmtId="182" fontId="3" fillId="0" borderId="0"/>
    <xf numFmtId="182" fontId="3" fillId="0" borderId="0"/>
    <xf numFmtId="0" fontId="3" fillId="0" borderId="0"/>
    <xf numFmtId="182" fontId="3" fillId="0" borderId="0"/>
    <xf numFmtId="182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8" fillId="27" borderId="11" applyNumberFormat="0" applyFon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2" fillId="23" borderId="12" applyNumberFormat="0" applyAlignment="0" applyProtection="0"/>
    <xf numFmtId="0" fontId="13" fillId="28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6" fillId="0" borderId="15" applyNumberFormat="0" applyFon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" fillId="0" borderId="0"/>
    <xf numFmtId="174" fontId="3" fillId="0" borderId="0"/>
    <xf numFmtId="176" fontId="3" fillId="0" borderId="0"/>
    <xf numFmtId="43" fontId="1" fillId="0" borderId="0" applyFont="0" applyFill="0" applyBorder="0" applyAlignment="0" applyProtection="0"/>
    <xf numFmtId="167" fontId="60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181" fontId="3" fillId="0" borderId="0"/>
    <xf numFmtId="181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</cellStyleXfs>
  <cellXfs count="295">
    <xf numFmtId="0" fontId="0" fillId="0" borderId="0" xfId="0"/>
    <xf numFmtId="0" fontId="0" fillId="0" borderId="0" xfId="0" applyBorder="1"/>
    <xf numFmtId="0" fontId="4" fillId="0" borderId="0" xfId="3"/>
    <xf numFmtId="0" fontId="4" fillId="0" borderId="0" xfId="3" applyFill="1"/>
    <xf numFmtId="0" fontId="3" fillId="0" borderId="0" xfId="3" applyFont="1"/>
    <xf numFmtId="0" fontId="3" fillId="0" borderId="0" xfId="3" applyFont="1" applyFill="1"/>
    <xf numFmtId="0" fontId="47" fillId="0" borderId="0" xfId="0" applyFont="1"/>
    <xf numFmtId="15" fontId="48" fillId="0" borderId="0" xfId="3" quotePrefix="1" applyNumberFormat="1" applyFont="1" applyAlignment="1">
      <alignment horizontal="center" wrapText="1"/>
    </xf>
    <xf numFmtId="2" fontId="4" fillId="0" borderId="0" xfId="3" applyNumberFormat="1"/>
    <xf numFmtId="2" fontId="4" fillId="0" borderId="0" xfId="3" applyNumberFormat="1" applyFill="1"/>
    <xf numFmtId="183" fontId="4" fillId="0" borderId="0" xfId="3" applyNumberFormat="1" applyFill="1"/>
    <xf numFmtId="2" fontId="3" fillId="0" borderId="0" xfId="3" applyNumberFormat="1" applyFont="1"/>
    <xf numFmtId="0" fontId="4" fillId="31" borderId="16" xfId="3" applyFill="1" applyBorder="1"/>
    <xf numFmtId="2" fontId="4" fillId="31" borderId="16" xfId="3" applyNumberFormat="1" applyFill="1" applyBorder="1"/>
    <xf numFmtId="0" fontId="4" fillId="31" borderId="0" xfId="3" applyFill="1" applyBorder="1"/>
    <xf numFmtId="183" fontId="4" fillId="31" borderId="0" xfId="3" applyNumberFormat="1" applyFill="1" applyBorder="1"/>
    <xf numFmtId="183" fontId="4" fillId="0" borderId="0" xfId="3" applyNumberFormat="1"/>
    <xf numFmtId="0" fontId="3" fillId="0" borderId="0" xfId="268" applyFont="1"/>
    <xf numFmtId="183" fontId="53" fillId="0" borderId="0" xfId="3" applyNumberFormat="1" applyFont="1" applyFill="1"/>
    <xf numFmtId="0" fontId="4" fillId="0" borderId="0" xfId="3" applyAlignment="1">
      <alignment wrapText="1"/>
    </xf>
    <xf numFmtId="183" fontId="3" fillId="0" borderId="0" xfId="3" applyNumberFormat="1" applyFont="1"/>
    <xf numFmtId="183" fontId="53" fillId="0" borderId="0" xfId="3" applyNumberFormat="1" applyFont="1"/>
    <xf numFmtId="183" fontId="4" fillId="31" borderId="16" xfId="3" applyNumberFormat="1" applyFill="1" applyBorder="1"/>
    <xf numFmtId="183" fontId="53" fillId="31" borderId="16" xfId="3" applyNumberFormat="1" applyFont="1" applyFill="1" applyBorder="1"/>
    <xf numFmtId="0" fontId="53" fillId="0" borderId="0" xfId="3" applyFont="1"/>
    <xf numFmtId="0" fontId="53" fillId="31" borderId="0" xfId="3" applyFont="1" applyFill="1" applyBorder="1"/>
    <xf numFmtId="44" fontId="4" fillId="0" borderId="0" xfId="3" applyNumberFormat="1"/>
    <xf numFmtId="0" fontId="53" fillId="31" borderId="16" xfId="3" applyFont="1" applyFill="1" applyBorder="1"/>
    <xf numFmtId="0" fontId="4" fillId="31" borderId="0" xfId="3" applyFill="1"/>
    <xf numFmtId="0" fontId="53" fillId="31" borderId="0" xfId="3" applyFont="1" applyFill="1"/>
    <xf numFmtId="0" fontId="4" fillId="32" borderId="0" xfId="3" applyFill="1"/>
    <xf numFmtId="0" fontId="53" fillId="32" borderId="0" xfId="3" applyFont="1" applyFill="1"/>
    <xf numFmtId="2" fontId="53" fillId="0" borderId="0" xfId="3" applyNumberFormat="1" applyFont="1"/>
    <xf numFmtId="2" fontId="53" fillId="0" borderId="0" xfId="3" applyNumberFormat="1" applyFont="1" applyFill="1"/>
    <xf numFmtId="43" fontId="3" fillId="31" borderId="16" xfId="121" applyFont="1" applyFill="1" applyBorder="1"/>
    <xf numFmtId="43" fontId="53" fillId="31" borderId="16" xfId="121" applyFont="1" applyFill="1" applyBorder="1"/>
    <xf numFmtId="0" fontId="53" fillId="0" borderId="0" xfId="3" applyFont="1" applyFill="1" applyBorder="1"/>
    <xf numFmtId="183" fontId="53" fillId="31" borderId="0" xfId="3" applyNumberFormat="1" applyFont="1" applyFill="1" applyBorder="1"/>
    <xf numFmtId="2" fontId="53" fillId="31" borderId="16" xfId="3" applyNumberFormat="1" applyFont="1" applyFill="1" applyBorder="1"/>
    <xf numFmtId="183" fontId="3" fillId="0" borderId="0" xfId="3" applyNumberFormat="1" applyFont="1" applyFill="1"/>
    <xf numFmtId="43" fontId="0" fillId="0" borderId="0" xfId="121" applyFont="1"/>
    <xf numFmtId="43" fontId="53" fillId="0" borderId="0" xfId="121" applyFont="1"/>
    <xf numFmtId="43" fontId="0" fillId="0" borderId="0" xfId="121" applyFont="1" applyFill="1"/>
    <xf numFmtId="184" fontId="3" fillId="0" borderId="0" xfId="3" applyNumberFormat="1" applyFont="1"/>
    <xf numFmtId="0" fontId="4" fillId="34" borderId="0" xfId="3" applyFill="1" applyBorder="1" applyProtection="1"/>
    <xf numFmtId="0" fontId="55" fillId="34" borderId="0" xfId="3" applyFont="1" applyFill="1" applyAlignment="1" applyProtection="1">
      <alignment vertical="top" wrapText="1"/>
    </xf>
    <xf numFmtId="0" fontId="56" fillId="34" borderId="0" xfId="3" applyFont="1" applyFill="1" applyBorder="1" applyAlignment="1" applyProtection="1"/>
    <xf numFmtId="0" fontId="4" fillId="34" borderId="0" xfId="3" applyFill="1" applyBorder="1" applyAlignment="1" applyProtection="1">
      <alignment horizontal="left" indent="1"/>
    </xf>
    <xf numFmtId="0" fontId="24" fillId="34" borderId="0" xfId="3" applyFont="1" applyFill="1" applyBorder="1" applyAlignment="1" applyProtection="1"/>
    <xf numFmtId="0" fontId="4" fillId="0" borderId="0" xfId="3" applyProtection="1"/>
    <xf numFmtId="0" fontId="7" fillId="0" borderId="0" xfId="3" applyFont="1" applyFill="1" applyProtection="1"/>
    <xf numFmtId="0" fontId="48" fillId="0" borderId="0" xfId="3" applyFont="1" applyAlignment="1" applyProtection="1">
      <alignment horizontal="right"/>
    </xf>
    <xf numFmtId="0" fontId="3" fillId="0" borderId="0" xfId="3" applyFont="1" applyAlignment="1" applyProtection="1">
      <alignment horizontal="right"/>
    </xf>
    <xf numFmtId="0" fontId="24" fillId="0" borderId="0" xfId="3" applyFont="1" applyAlignment="1" applyProtection="1">
      <alignment horizontal="center"/>
    </xf>
    <xf numFmtId="0" fontId="3" fillId="0" borderId="0" xfId="3" applyFont="1" applyProtection="1"/>
    <xf numFmtId="0" fontId="48" fillId="0" borderId="0" xfId="3" applyFont="1" applyProtection="1"/>
    <xf numFmtId="0" fontId="48" fillId="3" borderId="9" xfId="3" applyFont="1" applyFill="1" applyBorder="1" applyProtection="1">
      <protection locked="0"/>
    </xf>
    <xf numFmtId="0" fontId="7" fillId="0" borderId="0" xfId="3" applyFont="1" applyProtection="1"/>
    <xf numFmtId="0" fontId="48" fillId="0" borderId="0" xfId="3" applyFont="1" applyAlignment="1" applyProtection="1"/>
    <xf numFmtId="0" fontId="48" fillId="0" borderId="0" xfId="3" applyFont="1" applyAlignment="1" applyProtection="1">
      <alignment horizontal="center"/>
    </xf>
    <xf numFmtId="0" fontId="48" fillId="0" borderId="24" xfId="3" applyFont="1" applyBorder="1" applyAlignment="1" applyProtection="1">
      <alignment horizontal="center"/>
    </xf>
    <xf numFmtId="0" fontId="48" fillId="0" borderId="25" xfId="3" applyFont="1" applyBorder="1" applyAlignment="1" applyProtection="1">
      <alignment horizontal="center"/>
    </xf>
    <xf numFmtId="0" fontId="48" fillId="0" borderId="26" xfId="3" applyFont="1" applyBorder="1" applyAlignment="1" applyProtection="1">
      <alignment horizontal="center"/>
    </xf>
    <xf numFmtId="0" fontId="48" fillId="0" borderId="28" xfId="3" quotePrefix="1" applyFont="1" applyBorder="1" applyAlignment="1" applyProtection="1">
      <alignment horizontal="center"/>
    </xf>
    <xf numFmtId="0" fontId="48" fillId="0" borderId="29" xfId="3" quotePrefix="1" applyFont="1" applyBorder="1" applyAlignment="1" applyProtection="1">
      <alignment horizontal="center"/>
    </xf>
    <xf numFmtId="0" fontId="4" fillId="0" borderId="0" xfId="3" applyAlignment="1" applyProtection="1">
      <alignment vertical="top"/>
    </xf>
    <xf numFmtId="0" fontId="4" fillId="29" borderId="0" xfId="3" applyFill="1" applyAlignment="1" applyProtection="1">
      <alignment vertical="top"/>
      <protection locked="0"/>
    </xf>
    <xf numFmtId="0" fontId="4" fillId="0" borderId="0" xfId="3" applyFill="1" applyAlignment="1" applyProtection="1">
      <alignment vertical="top"/>
    </xf>
    <xf numFmtId="44" fontId="0" fillId="3" borderId="27" xfId="318" applyNumberFormat="1" applyFont="1" applyFill="1" applyBorder="1" applyAlignment="1" applyProtection="1">
      <alignment vertical="top"/>
      <protection locked="0"/>
    </xf>
    <xf numFmtId="0" fontId="4" fillId="0" borderId="27" xfId="3" applyFill="1" applyBorder="1" applyAlignment="1" applyProtection="1">
      <alignment vertical="top"/>
    </xf>
    <xf numFmtId="44" fontId="0" fillId="0" borderId="25" xfId="318" applyFont="1" applyBorder="1" applyAlignment="1" applyProtection="1">
      <alignment vertical="top"/>
    </xf>
    <xf numFmtId="0" fontId="4" fillId="0" borderId="25" xfId="3" applyFill="1" applyBorder="1" applyAlignment="1" applyProtection="1">
      <alignment vertical="top"/>
    </xf>
    <xf numFmtId="44" fontId="4" fillId="0" borderId="27" xfId="3" applyNumberFormat="1" applyBorder="1" applyAlignment="1" applyProtection="1">
      <alignment vertical="top"/>
    </xf>
    <xf numFmtId="10" fontId="0" fillId="0" borderId="25" xfId="319" applyNumberFormat="1" applyFont="1" applyBorder="1" applyAlignment="1" applyProtection="1">
      <alignment vertical="top"/>
    </xf>
    <xf numFmtId="185" fontId="0" fillId="3" borderId="27" xfId="318" applyNumberFormat="1" applyFont="1" applyFill="1" applyBorder="1" applyAlignment="1" applyProtection="1">
      <alignment vertical="top"/>
      <protection locked="0"/>
    </xf>
    <xf numFmtId="0" fontId="4" fillId="0" borderId="0" xfId="3" applyAlignment="1" applyProtection="1">
      <alignment vertical="top" wrapText="1"/>
    </xf>
    <xf numFmtId="0" fontId="4" fillId="3" borderId="0" xfId="3" applyFill="1" applyAlignment="1" applyProtection="1">
      <alignment vertical="top"/>
      <protection locked="0"/>
    </xf>
    <xf numFmtId="0" fontId="4" fillId="3" borderId="27" xfId="3" applyFill="1" applyBorder="1" applyAlignment="1" applyProtection="1">
      <alignment vertical="top"/>
      <protection locked="0"/>
    </xf>
    <xf numFmtId="0" fontId="4" fillId="3" borderId="25" xfId="3" applyFill="1" applyBorder="1" applyAlignment="1" applyProtection="1">
      <alignment vertical="top"/>
      <protection locked="0"/>
    </xf>
    <xf numFmtId="0" fontId="4" fillId="0" borderId="0" xfId="3" applyFill="1" applyProtection="1"/>
    <xf numFmtId="0" fontId="4" fillId="0" borderId="30" xfId="3" applyBorder="1" applyProtection="1"/>
    <xf numFmtId="0" fontId="4" fillId="0" borderId="31" xfId="3" applyBorder="1" applyProtection="1"/>
    <xf numFmtId="44" fontId="48" fillId="0" borderId="17" xfId="3" applyNumberFormat="1" applyFont="1" applyBorder="1" applyProtection="1"/>
    <xf numFmtId="0" fontId="4" fillId="0" borderId="32" xfId="3" applyBorder="1" applyProtection="1"/>
    <xf numFmtId="44" fontId="48" fillId="0" borderId="30" xfId="3" applyNumberFormat="1" applyFont="1" applyBorder="1" applyProtection="1"/>
    <xf numFmtId="10" fontId="48" fillId="0" borderId="17" xfId="319" applyNumberFormat="1" applyFont="1" applyBorder="1" applyProtection="1"/>
    <xf numFmtId="0" fontId="4" fillId="0" borderId="0" xfId="3" applyAlignment="1" applyProtection="1">
      <alignment vertical="center"/>
    </xf>
    <xf numFmtId="0" fontId="4" fillId="29" borderId="0" xfId="3" applyFill="1" applyAlignment="1" applyProtection="1">
      <alignment vertical="center"/>
      <protection locked="0"/>
    </xf>
    <xf numFmtId="0" fontId="4" fillId="0" borderId="0" xfId="3" applyFill="1" applyAlignment="1" applyProtection="1">
      <alignment vertical="center"/>
    </xf>
    <xf numFmtId="185" fontId="0" fillId="3" borderId="27" xfId="318" applyNumberFormat="1" applyFont="1" applyFill="1" applyBorder="1" applyAlignment="1" applyProtection="1">
      <alignment vertical="center"/>
      <protection locked="0"/>
    </xf>
    <xf numFmtId="0" fontId="4" fillId="0" borderId="27" xfId="3" applyFill="1" applyBorder="1" applyAlignment="1" applyProtection="1">
      <alignment vertical="center"/>
    </xf>
    <xf numFmtId="44" fontId="0" fillId="0" borderId="25" xfId="318" applyFont="1" applyBorder="1" applyAlignment="1" applyProtection="1">
      <alignment vertical="center"/>
    </xf>
    <xf numFmtId="0" fontId="4" fillId="0" borderId="25" xfId="3" applyFill="1" applyBorder="1" applyAlignment="1" applyProtection="1">
      <alignment vertical="center"/>
    </xf>
    <xf numFmtId="44" fontId="4" fillId="0" borderId="27" xfId="3" applyNumberFormat="1" applyBorder="1" applyAlignment="1" applyProtection="1">
      <alignment vertical="center"/>
    </xf>
    <xf numFmtId="10" fontId="0" fillId="0" borderId="25" xfId="319" applyNumberFormat="1" applyFont="1" applyBorder="1" applyAlignment="1" applyProtection="1">
      <alignment vertical="center"/>
    </xf>
    <xf numFmtId="0" fontId="4" fillId="0" borderId="0" xfId="3" applyAlignment="1" applyProtection="1">
      <alignment vertical="center" wrapText="1"/>
    </xf>
    <xf numFmtId="0" fontId="48" fillId="0" borderId="0" xfId="3" applyFont="1" applyAlignment="1" applyProtection="1">
      <alignment vertical="top" wrapText="1"/>
    </xf>
    <xf numFmtId="0" fontId="4" fillId="0" borderId="30" xfId="3" applyBorder="1" applyAlignment="1" applyProtection="1">
      <alignment vertical="top"/>
    </xf>
    <xf numFmtId="0" fontId="4" fillId="0" borderId="31" xfId="3" applyBorder="1" applyAlignment="1" applyProtection="1">
      <alignment vertical="top"/>
    </xf>
    <xf numFmtId="44" fontId="48" fillId="0" borderId="17" xfId="3" applyNumberFormat="1" applyFont="1" applyBorder="1" applyAlignment="1" applyProtection="1">
      <alignment vertical="top"/>
    </xf>
    <xf numFmtId="0" fontId="48" fillId="0" borderId="0" xfId="3" applyFont="1" applyAlignment="1" applyProtection="1">
      <alignment vertical="top"/>
    </xf>
    <xf numFmtId="0" fontId="48" fillId="0" borderId="30" xfId="3" applyFont="1" applyBorder="1" applyAlignment="1" applyProtection="1">
      <alignment vertical="top"/>
    </xf>
    <xf numFmtId="0" fontId="48" fillId="0" borderId="32" xfId="3" applyFont="1" applyBorder="1" applyAlignment="1" applyProtection="1">
      <alignment vertical="top"/>
    </xf>
    <xf numFmtId="44" fontId="48" fillId="0" borderId="30" xfId="3" applyNumberFormat="1" applyFont="1" applyBorder="1" applyAlignment="1" applyProtection="1">
      <alignment vertical="top"/>
    </xf>
    <xf numFmtId="10" fontId="48" fillId="0" borderId="17" xfId="319" applyNumberFormat="1" applyFont="1" applyBorder="1" applyAlignment="1" applyProtection="1">
      <alignment vertical="top"/>
    </xf>
    <xf numFmtId="185" fontId="3" fillId="3" borderId="27" xfId="318" applyNumberFormat="1" applyFill="1" applyBorder="1" applyAlignment="1" applyProtection="1">
      <alignment vertical="top"/>
      <protection locked="0"/>
    </xf>
    <xf numFmtId="1" fontId="4" fillId="0" borderId="27" xfId="3" applyNumberFormat="1" applyFill="1" applyBorder="1" applyAlignment="1" applyProtection="1">
      <alignment vertical="top"/>
    </xf>
    <xf numFmtId="44" fontId="3" fillId="0" borderId="25" xfId="318" applyBorder="1" applyAlignment="1" applyProtection="1">
      <alignment vertical="top"/>
    </xf>
    <xf numFmtId="10" fontId="3" fillId="0" borderId="25" xfId="319" applyNumberFormat="1" applyBorder="1" applyAlignment="1" applyProtection="1">
      <alignment vertical="top"/>
    </xf>
    <xf numFmtId="186" fontId="3" fillId="3" borderId="27" xfId="318" applyNumberFormat="1" applyFill="1" applyBorder="1" applyAlignment="1" applyProtection="1">
      <alignment vertical="top"/>
      <protection locked="0"/>
    </xf>
    <xf numFmtId="0" fontId="4" fillId="3" borderId="0" xfId="3" applyFill="1" applyAlignment="1" applyProtection="1">
      <alignment vertical="top"/>
    </xf>
    <xf numFmtId="0" fontId="4" fillId="3" borderId="27" xfId="3" applyFill="1" applyBorder="1" applyAlignment="1" applyProtection="1">
      <alignment vertical="top"/>
    </xf>
    <xf numFmtId="0" fontId="4" fillId="3" borderId="25" xfId="3" applyFill="1" applyBorder="1" applyAlignment="1" applyProtection="1">
      <alignment vertical="top"/>
    </xf>
    <xf numFmtId="0" fontId="48" fillId="0" borderId="0" xfId="3" applyFont="1" applyFill="1" applyAlignment="1" applyProtection="1">
      <alignment vertical="top"/>
    </xf>
    <xf numFmtId="9" fontId="4" fillId="0" borderId="30" xfId="3" applyNumberFormat="1" applyBorder="1" applyAlignment="1" applyProtection="1">
      <alignment vertical="top"/>
    </xf>
    <xf numFmtId="9" fontId="4" fillId="0" borderId="31" xfId="3" applyNumberFormat="1" applyBorder="1" applyAlignment="1" applyProtection="1">
      <alignment vertical="top"/>
    </xf>
    <xf numFmtId="9" fontId="48" fillId="0" borderId="30" xfId="3" applyNumberFormat="1" applyFont="1" applyBorder="1" applyAlignment="1" applyProtection="1">
      <alignment vertical="top"/>
    </xf>
    <xf numFmtId="9" fontId="48" fillId="0" borderId="32" xfId="3" applyNumberFormat="1" applyFont="1" applyBorder="1" applyAlignment="1" applyProtection="1">
      <alignment vertical="top"/>
    </xf>
    <xf numFmtId="9" fontId="4" fillId="3" borderId="27" xfId="3" applyNumberFormat="1" applyFill="1" applyBorder="1" applyAlignment="1" applyProtection="1">
      <alignment vertical="top"/>
      <protection locked="0"/>
    </xf>
    <xf numFmtId="0" fontId="4" fillId="0" borderId="27" xfId="3" applyBorder="1" applyAlignment="1" applyProtection="1">
      <alignment vertical="top"/>
    </xf>
    <xf numFmtId="44" fontId="4" fillId="0" borderId="25" xfId="3" applyNumberFormat="1" applyBorder="1" applyAlignment="1" applyProtection="1">
      <alignment vertical="top"/>
    </xf>
    <xf numFmtId="0" fontId="4" fillId="0" borderId="25" xfId="3" applyBorder="1" applyAlignment="1" applyProtection="1">
      <alignment vertical="top"/>
    </xf>
    <xf numFmtId="0" fontId="57" fillId="0" borderId="0" xfId="3" applyFont="1" applyAlignment="1" applyProtection="1">
      <alignment vertical="top" wrapText="1"/>
    </xf>
    <xf numFmtId="0" fontId="4" fillId="0" borderId="32" xfId="3" applyBorder="1" applyAlignment="1" applyProtection="1">
      <alignment vertical="top"/>
    </xf>
    <xf numFmtId="0" fontId="4" fillId="0" borderId="33" xfId="3" applyBorder="1" applyAlignment="1" applyProtection="1">
      <alignment vertical="top"/>
    </xf>
    <xf numFmtId="0" fontId="4" fillId="0" borderId="34" xfId="3" applyBorder="1" applyAlignment="1" applyProtection="1">
      <alignment vertical="top"/>
    </xf>
    <xf numFmtId="44" fontId="48" fillId="0" borderId="18" xfId="3" applyNumberFormat="1" applyFont="1" applyBorder="1" applyAlignment="1" applyProtection="1">
      <alignment vertical="top"/>
    </xf>
    <xf numFmtId="0" fontId="48" fillId="0" borderId="33" xfId="3" applyFont="1" applyBorder="1" applyAlignment="1" applyProtection="1">
      <alignment vertical="top"/>
    </xf>
    <xf numFmtId="0" fontId="48" fillId="0" borderId="34" xfId="3" applyFont="1" applyBorder="1" applyAlignment="1" applyProtection="1">
      <alignment vertical="top"/>
    </xf>
    <xf numFmtId="44" fontId="48" fillId="0" borderId="33" xfId="3" applyNumberFormat="1" applyFont="1" applyBorder="1" applyAlignment="1" applyProtection="1">
      <alignment vertical="top"/>
    </xf>
    <xf numFmtId="10" fontId="48" fillId="0" borderId="18" xfId="319" applyNumberFormat="1" applyFont="1" applyBorder="1" applyAlignment="1" applyProtection="1">
      <alignment vertical="top"/>
    </xf>
    <xf numFmtId="171" fontId="3" fillId="3" borderId="9" xfId="319" applyNumberFormat="1" applyFill="1" applyBorder="1" applyProtection="1">
      <protection locked="0"/>
    </xf>
    <xf numFmtId="10" fontId="3" fillId="3" borderId="9" xfId="319" applyNumberFormat="1" applyFill="1" applyBorder="1" applyProtection="1">
      <protection locked="0"/>
    </xf>
    <xf numFmtId="0" fontId="59" fillId="0" borderId="0" xfId="3" applyFont="1" applyProtection="1"/>
    <xf numFmtId="2" fontId="48" fillId="0" borderId="0" xfId="3" applyNumberFormat="1" applyFont="1" applyFill="1"/>
    <xf numFmtId="0" fontId="4" fillId="0" borderId="0" xfId="3"/>
    <xf numFmtId="172" fontId="0" fillId="0" borderId="0" xfId="0" applyNumberFormat="1" applyFill="1" applyBorder="1"/>
    <xf numFmtId="188" fontId="4" fillId="0" borderId="0" xfId="3" applyNumberFormat="1" applyProtection="1"/>
    <xf numFmtId="185" fontId="4" fillId="0" borderId="0" xfId="3" applyNumberFormat="1" applyProtection="1"/>
    <xf numFmtId="0" fontId="48" fillId="0" borderId="0" xfId="3" applyFont="1" applyBorder="1" applyAlignment="1" applyProtection="1">
      <alignment horizontal="center"/>
    </xf>
    <xf numFmtId="2" fontId="48" fillId="0" borderId="0" xfId="3" applyNumberFormat="1" applyFont="1"/>
    <xf numFmtId="183" fontId="48" fillId="31" borderId="0" xfId="3" applyNumberFormat="1" applyFont="1" applyFill="1" applyBorder="1"/>
    <xf numFmtId="183" fontId="54" fillId="31" borderId="0" xfId="3" applyNumberFormat="1" applyFont="1" applyFill="1" applyBorder="1"/>
    <xf numFmtId="183" fontId="48" fillId="0" borderId="0" xfId="3" applyNumberFormat="1" applyFont="1" applyFill="1"/>
    <xf numFmtId="183" fontId="54" fillId="0" borderId="0" xfId="3" applyNumberFormat="1" applyFont="1" applyFill="1"/>
    <xf numFmtId="183" fontId="54" fillId="0" borderId="0" xfId="3" applyNumberFormat="1" applyFont="1"/>
    <xf numFmtId="0" fontId="63" fillId="0" borderId="0" xfId="3" applyFont="1" applyProtection="1"/>
    <xf numFmtId="185" fontId="3" fillId="3" borderId="27" xfId="318" applyNumberFormat="1" applyFont="1" applyFill="1" applyBorder="1" applyAlignment="1" applyProtection="1">
      <alignment vertical="top"/>
      <protection locked="0"/>
    </xf>
    <xf numFmtId="186" fontId="3" fillId="3" borderId="27" xfId="318" applyNumberFormat="1" applyFont="1" applyFill="1" applyBorder="1" applyAlignment="1" applyProtection="1">
      <alignment vertical="top"/>
      <protection locked="0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</xf>
    <xf numFmtId="44" fontId="48" fillId="0" borderId="0" xfId="3" applyNumberFormat="1" applyFont="1" applyBorder="1" applyAlignment="1" applyProtection="1">
      <alignment vertical="top"/>
    </xf>
    <xf numFmtId="10" fontId="48" fillId="0" borderId="0" xfId="319" applyNumberFormat="1" applyFont="1" applyBorder="1" applyAlignment="1" applyProtection="1">
      <alignment vertical="top"/>
    </xf>
    <xf numFmtId="0" fontId="4" fillId="0" borderId="0" xfId="3"/>
    <xf numFmtId="44" fontId="0" fillId="0" borderId="0" xfId="0" applyNumberFormat="1"/>
    <xf numFmtId="0" fontId="47" fillId="0" borderId="0" xfId="0" applyFont="1" applyFill="1" applyBorder="1" applyAlignment="1"/>
    <xf numFmtId="0" fontId="47" fillId="0" borderId="0" xfId="0" applyFont="1" applyFill="1" applyBorder="1"/>
    <xf numFmtId="170" fontId="0" fillId="0" borderId="0" xfId="0" applyNumberFormat="1" applyFill="1" applyBorder="1"/>
    <xf numFmtId="170" fontId="64" fillId="0" borderId="0" xfId="0" applyNumberFormat="1" applyFont="1" applyAlignment="1">
      <alignment horizontal="center"/>
    </xf>
    <xf numFmtId="44" fontId="4" fillId="0" borderId="0" xfId="3" applyNumberFormat="1" applyProtection="1"/>
    <xf numFmtId="183" fontId="63" fillId="2" borderId="0" xfId="3" applyNumberFormat="1" applyFont="1" applyFill="1"/>
    <xf numFmtId="0" fontId="4" fillId="0" borderId="0" xfId="3" applyBorder="1" applyProtection="1"/>
    <xf numFmtId="185" fontId="4" fillId="0" borderId="0" xfId="3" applyNumberFormat="1" applyBorder="1" applyProtection="1"/>
    <xf numFmtId="0" fontId="47" fillId="0" borderId="0" xfId="0" applyFont="1" applyBorder="1" applyAlignment="1">
      <alignment horizontal="center"/>
    </xf>
    <xf numFmtId="170" fontId="47" fillId="0" borderId="0" xfId="0" applyNumberFormat="1" applyFont="1" applyFill="1" applyBorder="1" applyAlignment="1">
      <alignment horizontal="center"/>
    </xf>
    <xf numFmtId="10" fontId="62" fillId="0" borderId="0" xfId="0" applyNumberFormat="1" applyFont="1" applyAlignment="1">
      <alignment horizontal="center"/>
    </xf>
    <xf numFmtId="44" fontId="0" fillId="0" borderId="0" xfId="0" applyNumberFormat="1" applyBorder="1"/>
    <xf numFmtId="44" fontId="62" fillId="0" borderId="0" xfId="0" applyNumberFormat="1" applyFont="1" applyBorder="1" applyAlignment="1">
      <alignment horizontal="center"/>
    </xf>
    <xf numFmtId="10" fontId="62" fillId="2" borderId="0" xfId="0" applyNumberFormat="1" applyFont="1" applyFill="1" applyAlignment="1">
      <alignment horizontal="center"/>
    </xf>
    <xf numFmtId="44" fontId="0" fillId="2" borderId="0" xfId="0" applyNumberFormat="1" applyFill="1"/>
    <xf numFmtId="44" fontId="62" fillId="2" borderId="0" xfId="0" applyNumberFormat="1" applyFont="1" applyFill="1" applyAlignment="1">
      <alignment horizontal="center"/>
    </xf>
    <xf numFmtId="0" fontId="4" fillId="0" borderId="0" xfId="3"/>
    <xf numFmtId="9" fontId="0" fillId="0" borderId="0" xfId="1" applyFont="1"/>
    <xf numFmtId="0" fontId="4" fillId="0" borderId="0" xfId="3"/>
    <xf numFmtId="0" fontId="54" fillId="33" borderId="0" xfId="3" applyFont="1" applyFill="1" applyBorder="1" applyAlignment="1">
      <alignment horizontal="center"/>
    </xf>
    <xf numFmtId="183" fontId="63" fillId="0" borderId="0" xfId="3" applyNumberFormat="1" applyFont="1" applyFill="1"/>
    <xf numFmtId="0" fontId="2" fillId="0" borderId="0" xfId="268" applyFont="1"/>
    <xf numFmtId="0" fontId="4" fillId="0" borderId="0" xfId="3" applyFill="1" applyAlignment="1" applyProtection="1">
      <alignment vertical="top"/>
      <protection locked="0"/>
    </xf>
    <xf numFmtId="0" fontId="4" fillId="0" borderId="0" xfId="3" applyFill="1" applyAlignment="1" applyProtection="1">
      <alignment vertical="top" wrapText="1"/>
    </xf>
    <xf numFmtId="0" fontId="4" fillId="0" borderId="0" xfId="3"/>
    <xf numFmtId="0" fontId="4" fillId="0" borderId="0" xfId="3"/>
    <xf numFmtId="0" fontId="61" fillId="0" borderId="0" xfId="0" applyFont="1" applyFill="1"/>
    <xf numFmtId="0" fontId="0" fillId="0" borderId="0" xfId="0" applyFill="1"/>
    <xf numFmtId="0" fontId="0" fillId="0" borderId="0" xfId="0" quotePrefix="1" applyFill="1" applyAlignment="1">
      <alignment horizontal="left"/>
    </xf>
    <xf numFmtId="0" fontId="53" fillId="0" borderId="0" xfId="3" applyFont="1" applyFill="1"/>
    <xf numFmtId="0" fontId="3" fillId="0" borderId="27" xfId="3" applyFont="1" applyFill="1" applyBorder="1" applyAlignment="1" applyProtection="1">
      <alignment vertical="top"/>
    </xf>
    <xf numFmtId="0" fontId="3" fillId="0" borderId="0" xfId="3" applyFont="1" applyFill="1" applyAlignment="1" applyProtection="1">
      <alignment vertical="top"/>
    </xf>
    <xf numFmtId="0" fontId="3" fillId="0" borderId="25" xfId="3" applyFont="1" applyFill="1" applyBorder="1" applyAlignment="1" applyProtection="1">
      <alignment vertical="top"/>
    </xf>
    <xf numFmtId="44" fontId="3" fillId="0" borderId="27" xfId="3" applyNumberFormat="1" applyFont="1" applyFill="1" applyBorder="1" applyAlignment="1" applyProtection="1">
      <alignment vertical="top"/>
    </xf>
    <xf numFmtId="0" fontId="3" fillId="0" borderId="27" xfId="3" applyFont="1" applyFill="1" applyBorder="1" applyAlignment="1" applyProtection="1">
      <alignment vertical="top"/>
      <protection locked="0"/>
    </xf>
    <xf numFmtId="0" fontId="3" fillId="0" borderId="25" xfId="3" applyFont="1" applyFill="1" applyBorder="1" applyAlignment="1" applyProtection="1">
      <alignment vertical="top"/>
      <protection locked="0"/>
    </xf>
    <xf numFmtId="0" fontId="3" fillId="35" borderId="27" xfId="3" applyFont="1" applyFill="1" applyBorder="1" applyAlignment="1" applyProtection="1">
      <alignment vertical="top"/>
    </xf>
    <xf numFmtId="0" fontId="3" fillId="35" borderId="25" xfId="3" applyFont="1" applyFill="1" applyBorder="1" applyAlignment="1" applyProtection="1">
      <alignment vertical="top"/>
    </xf>
    <xf numFmtId="44" fontId="3" fillId="0" borderId="27" xfId="3" applyNumberFormat="1" applyFont="1" applyBorder="1" applyAlignment="1" applyProtection="1">
      <alignment vertical="top"/>
    </xf>
    <xf numFmtId="0" fontId="3" fillId="3" borderId="27" xfId="3" applyFont="1" applyFill="1" applyBorder="1" applyAlignment="1" applyProtection="1">
      <alignment vertical="top"/>
      <protection locked="0"/>
    </xf>
    <xf numFmtId="0" fontId="3" fillId="3" borderId="25" xfId="3" applyFont="1" applyFill="1" applyBorder="1" applyAlignment="1" applyProtection="1">
      <alignment vertical="top"/>
      <protection locked="0"/>
    </xf>
    <xf numFmtId="0" fontId="3" fillId="0" borderId="30" xfId="3" applyFont="1" applyBorder="1" applyProtection="1"/>
    <xf numFmtId="0" fontId="3" fillId="0" borderId="31" xfId="3" applyFont="1" applyBorder="1" applyProtection="1"/>
    <xf numFmtId="0" fontId="3" fillId="0" borderId="32" xfId="3" applyFont="1" applyBorder="1" applyProtection="1"/>
    <xf numFmtId="0" fontId="3" fillId="0" borderId="27" xfId="3" applyFont="1" applyFill="1" applyBorder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3" fillId="0" borderId="25" xfId="3" applyFont="1" applyFill="1" applyBorder="1" applyAlignment="1" applyProtection="1">
      <alignment vertical="center"/>
    </xf>
    <xf numFmtId="44" fontId="3" fillId="0" borderId="27" xfId="3" applyNumberFormat="1" applyFont="1" applyBorder="1" applyAlignment="1" applyProtection="1">
      <alignment vertical="center"/>
    </xf>
    <xf numFmtId="0" fontId="3" fillId="0" borderId="30" xfId="3" applyFont="1" applyBorder="1" applyAlignment="1" applyProtection="1">
      <alignment vertical="top"/>
    </xf>
    <xf numFmtId="0" fontId="3" fillId="0" borderId="31" xfId="3" applyFont="1" applyBorder="1" applyAlignment="1" applyProtection="1">
      <alignment vertical="top"/>
    </xf>
    <xf numFmtId="44" fontId="3" fillId="0" borderId="25" xfId="318" applyFont="1" applyBorder="1" applyAlignment="1" applyProtection="1">
      <alignment vertical="top"/>
    </xf>
    <xf numFmtId="10" fontId="3" fillId="0" borderId="25" xfId="319" applyNumberFormat="1" applyFont="1" applyBorder="1" applyAlignment="1" applyProtection="1">
      <alignment vertical="top"/>
    </xf>
    <xf numFmtId="0" fontId="3" fillId="3" borderId="27" xfId="3" applyFont="1" applyFill="1" applyBorder="1" applyAlignment="1" applyProtection="1">
      <alignment vertical="top"/>
    </xf>
    <xf numFmtId="0" fontId="3" fillId="3" borderId="25" xfId="3" applyFont="1" applyFill="1" applyBorder="1" applyAlignment="1" applyProtection="1">
      <alignment vertical="top"/>
    </xf>
    <xf numFmtId="9" fontId="3" fillId="0" borderId="30" xfId="3" applyNumberFormat="1" applyFont="1" applyBorder="1" applyAlignment="1" applyProtection="1">
      <alignment vertical="top"/>
    </xf>
    <xf numFmtId="9" fontId="3" fillId="0" borderId="31" xfId="3" applyNumberFormat="1" applyFont="1" applyBorder="1" applyAlignment="1" applyProtection="1">
      <alignment vertical="top"/>
    </xf>
    <xf numFmtId="9" fontId="3" fillId="3" borderId="27" xfId="3" applyNumberFormat="1" applyFont="1" applyFill="1" applyBorder="1" applyAlignment="1" applyProtection="1">
      <alignment vertical="top"/>
      <protection locked="0"/>
    </xf>
    <xf numFmtId="0" fontId="3" fillId="0" borderId="27" xfId="3" applyFont="1" applyBorder="1" applyAlignment="1" applyProtection="1">
      <alignment vertical="top"/>
    </xf>
    <xf numFmtId="44" fontId="3" fillId="0" borderId="25" xfId="3" applyNumberFormat="1" applyFont="1" applyBorder="1" applyAlignment="1" applyProtection="1">
      <alignment vertical="top"/>
    </xf>
    <xf numFmtId="0" fontId="3" fillId="0" borderId="25" xfId="3" applyFont="1" applyBorder="1" applyAlignment="1" applyProtection="1">
      <alignment vertical="top"/>
    </xf>
    <xf numFmtId="0" fontId="3" fillId="0" borderId="32" xfId="3" applyFont="1" applyBorder="1" applyAlignment="1" applyProtection="1">
      <alignment vertical="top"/>
    </xf>
    <xf numFmtId="0" fontId="3" fillId="0" borderId="33" xfId="3" applyFont="1" applyBorder="1" applyAlignment="1" applyProtection="1">
      <alignment vertical="top"/>
    </xf>
    <xf numFmtId="0" fontId="3" fillId="0" borderId="34" xfId="3" applyFont="1" applyBorder="1" applyAlignment="1" applyProtection="1">
      <alignment vertical="top"/>
    </xf>
    <xf numFmtId="171" fontId="3" fillId="3" borderId="9" xfId="319" applyNumberFormat="1" applyFont="1" applyFill="1" applyBorder="1" applyProtection="1">
      <protection locked="0"/>
    </xf>
    <xf numFmtId="10" fontId="3" fillId="3" borderId="9" xfId="319" applyNumberFormat="1" applyFont="1" applyFill="1" applyBorder="1" applyProtection="1">
      <protection locked="0"/>
    </xf>
    <xf numFmtId="44" fontId="53" fillId="0" borderId="27" xfId="318" applyNumberFormat="1" applyFont="1" applyFill="1" applyBorder="1" applyAlignment="1" applyProtection="1">
      <alignment vertical="top"/>
      <protection locked="0"/>
    </xf>
    <xf numFmtId="44" fontId="53" fillId="0" borderId="25" xfId="318" applyFont="1" applyFill="1" applyBorder="1" applyAlignment="1" applyProtection="1">
      <alignment vertical="top"/>
    </xf>
    <xf numFmtId="10" fontId="53" fillId="0" borderId="25" xfId="319" applyNumberFormat="1" applyFont="1" applyFill="1" applyBorder="1" applyAlignment="1" applyProtection="1">
      <alignment vertical="top"/>
    </xf>
    <xf numFmtId="185" fontId="53" fillId="0" borderId="27" xfId="318" applyNumberFormat="1" applyFont="1" applyFill="1" applyBorder="1" applyAlignment="1" applyProtection="1">
      <alignment vertical="top"/>
      <protection locked="0"/>
    </xf>
    <xf numFmtId="185" fontId="53" fillId="3" borderId="27" xfId="318" applyNumberFormat="1" applyFont="1" applyFill="1" applyBorder="1" applyAlignment="1" applyProtection="1">
      <alignment vertical="top"/>
      <protection locked="0"/>
    </xf>
    <xf numFmtId="44" fontId="53" fillId="0" borderId="25" xfId="318" applyFont="1" applyBorder="1" applyAlignment="1" applyProtection="1">
      <alignment vertical="top"/>
    </xf>
    <xf numFmtId="185" fontId="53" fillId="3" borderId="27" xfId="318" applyNumberFormat="1" applyFont="1" applyFill="1" applyBorder="1" applyAlignment="1" applyProtection="1">
      <alignment vertical="center"/>
      <protection locked="0"/>
    </xf>
    <xf numFmtId="44" fontId="53" fillId="0" borderId="25" xfId="318" applyFont="1" applyBorder="1" applyAlignment="1" applyProtection="1">
      <alignment vertical="center"/>
    </xf>
    <xf numFmtId="10" fontId="53" fillId="0" borderId="25" xfId="319" applyNumberFormat="1" applyFont="1" applyBorder="1" applyAlignment="1" applyProtection="1">
      <alignment vertical="center"/>
    </xf>
    <xf numFmtId="0" fontId="3" fillId="29" borderId="0" xfId="3" applyFont="1" applyFill="1" applyAlignment="1" applyProtection="1">
      <alignment vertical="top"/>
      <protection locked="0"/>
    </xf>
    <xf numFmtId="0" fontId="3" fillId="0" borderId="0" xfId="3" applyFont="1" applyFill="1" applyProtection="1"/>
    <xf numFmtId="0" fontId="3" fillId="29" borderId="0" xfId="3" applyFont="1" applyFill="1" applyAlignment="1" applyProtection="1">
      <alignment vertical="center"/>
      <protection locked="0"/>
    </xf>
    <xf numFmtId="0" fontId="3" fillId="0" borderId="0" xfId="3" applyFont="1" applyFill="1" applyAlignment="1" applyProtection="1">
      <alignment vertical="center"/>
    </xf>
    <xf numFmtId="1" fontId="3" fillId="0" borderId="27" xfId="3" applyNumberFormat="1" applyFont="1" applyFill="1" applyBorder="1" applyAlignment="1" applyProtection="1">
      <alignment vertical="top"/>
    </xf>
    <xf numFmtId="10" fontId="53" fillId="0" borderId="25" xfId="319" applyNumberFormat="1" applyFont="1" applyBorder="1" applyAlignment="1" applyProtection="1">
      <alignment vertical="top"/>
    </xf>
    <xf numFmtId="44" fontId="53" fillId="3" borderId="27" xfId="318" applyNumberFormat="1" applyFont="1" applyFill="1" applyBorder="1" applyAlignment="1" applyProtection="1">
      <alignment vertical="top"/>
      <protection locked="0"/>
    </xf>
    <xf numFmtId="185" fontId="53" fillId="35" borderId="27" xfId="318" applyNumberFormat="1" applyFont="1" applyFill="1" applyBorder="1" applyAlignment="1" applyProtection="1">
      <alignment vertical="top"/>
      <protection locked="0"/>
    </xf>
    <xf numFmtId="0" fontId="4" fillId="0" borderId="0" xfId="3"/>
    <xf numFmtId="0" fontId="3" fillId="0" borderId="0" xfId="3" applyFont="1" applyFill="1" applyAlignment="1" applyProtection="1">
      <alignment vertical="top"/>
      <protection locked="0"/>
    </xf>
    <xf numFmtId="0" fontId="3" fillId="3" borderId="0" xfId="3" applyFont="1" applyFill="1" applyAlignment="1" applyProtection="1">
      <alignment vertical="top"/>
      <protection locked="0"/>
    </xf>
    <xf numFmtId="0" fontId="3" fillId="0" borderId="0" xfId="3" applyFont="1" applyAlignment="1" applyProtection="1">
      <alignment vertical="center" wrapText="1"/>
    </xf>
    <xf numFmtId="0" fontId="3" fillId="3" borderId="0" xfId="3" applyFont="1" applyFill="1" applyAlignment="1" applyProtection="1">
      <alignment vertical="top"/>
    </xf>
    <xf numFmtId="187" fontId="3" fillId="3" borderId="9" xfId="319" applyNumberFormat="1" applyFont="1" applyFill="1" applyBorder="1" applyProtection="1">
      <protection locked="0"/>
    </xf>
    <xf numFmtId="0" fontId="2" fillId="0" borderId="0" xfId="268" applyFont="1" applyAlignment="1">
      <alignment shrinkToFit="1"/>
    </xf>
    <xf numFmtId="183" fontId="53" fillId="2" borderId="0" xfId="3" applyNumberFormat="1" applyFont="1" applyFill="1"/>
    <xf numFmtId="183" fontId="53" fillId="37" borderId="0" xfId="3" applyNumberFormat="1" applyFont="1" applyFill="1"/>
    <xf numFmtId="15" fontId="48" fillId="30" borderId="20" xfId="3" quotePrefix="1" applyNumberFormat="1" applyFont="1" applyFill="1" applyBorder="1" applyAlignment="1">
      <alignment horizontal="center" vertical="top"/>
    </xf>
    <xf numFmtId="15" fontId="48" fillId="2" borderId="20" xfId="3" quotePrefix="1" applyNumberFormat="1" applyFont="1" applyFill="1" applyBorder="1" applyAlignment="1">
      <alignment horizontal="center" vertical="top"/>
    </xf>
    <xf numFmtId="9" fontId="48" fillId="36" borderId="20" xfId="1" quotePrefix="1" applyFont="1" applyFill="1" applyBorder="1" applyAlignment="1">
      <alignment horizontal="center" vertical="top"/>
    </xf>
    <xf numFmtId="0" fontId="3" fillId="0" borderId="0" xfId="3" applyFont="1" applyAlignment="1">
      <alignment vertical="top"/>
    </xf>
    <xf numFmtId="15" fontId="48" fillId="0" borderId="0" xfId="3" quotePrefix="1" applyNumberFormat="1" applyFont="1" applyAlignment="1">
      <alignment horizontal="center" vertical="top" wrapText="1"/>
    </xf>
    <xf numFmtId="0" fontId="4" fillId="0" borderId="0" xfId="3" applyAlignment="1">
      <alignment vertical="top"/>
    </xf>
    <xf numFmtId="15" fontId="48" fillId="30" borderId="19" xfId="3" applyNumberFormat="1" applyFont="1" applyFill="1" applyBorder="1" applyAlignment="1">
      <alignment horizontal="center" vertical="top" wrapText="1"/>
    </xf>
    <xf numFmtId="15" fontId="48" fillId="2" borderId="19" xfId="3" applyNumberFormat="1" applyFont="1" applyFill="1" applyBorder="1" applyAlignment="1">
      <alignment horizontal="center" vertical="top" wrapText="1"/>
    </xf>
    <xf numFmtId="9" fontId="48" fillId="36" borderId="19" xfId="1" applyFont="1" applyFill="1" applyBorder="1" applyAlignment="1">
      <alignment horizontal="center" vertical="top" wrapText="1"/>
    </xf>
    <xf numFmtId="0" fontId="4" fillId="0" borderId="0" xfId="3" applyFill="1" applyAlignment="1">
      <alignment vertical="top"/>
    </xf>
    <xf numFmtId="183" fontId="53" fillId="0" borderId="0" xfId="3" applyNumberFormat="1" applyFont="1" applyFill="1" applyAlignment="1">
      <alignment horizontal="right"/>
    </xf>
    <xf numFmtId="0" fontId="4" fillId="0" borderId="0" xfId="3" applyAlignment="1">
      <alignment vertical="top" wrapText="1"/>
    </xf>
    <xf numFmtId="183" fontId="4" fillId="0" borderId="0" xfId="3" applyNumberFormat="1" applyAlignment="1">
      <alignment vertical="top"/>
    </xf>
    <xf numFmtId="183" fontId="3" fillId="0" borderId="0" xfId="3" applyNumberFormat="1" applyFont="1" applyFill="1" applyAlignment="1">
      <alignment vertical="top"/>
    </xf>
    <xf numFmtId="183" fontId="53" fillId="0" borderId="0" xfId="3" applyNumberFormat="1" applyFont="1" applyFill="1" applyAlignment="1">
      <alignment vertical="top"/>
    </xf>
    <xf numFmtId="0" fontId="4" fillId="0" borderId="0" xfId="3" applyAlignment="1">
      <alignment horizontal="left" wrapText="1"/>
    </xf>
    <xf numFmtId="0" fontId="3" fillId="0" borderId="0" xfId="3" applyFont="1" applyAlignment="1">
      <alignment horizontal="left"/>
    </xf>
    <xf numFmtId="183" fontId="4" fillId="0" borderId="0" xfId="3" applyNumberFormat="1" applyAlignment="1">
      <alignment horizontal="left"/>
    </xf>
    <xf numFmtId="0" fontId="4" fillId="0" borderId="0" xfId="3" applyAlignment="1">
      <alignment horizontal="left"/>
    </xf>
    <xf numFmtId="0" fontId="4" fillId="0" borderId="0" xfId="3" applyFill="1" applyAlignment="1">
      <alignment horizontal="left"/>
    </xf>
    <xf numFmtId="183" fontId="3" fillId="0" borderId="0" xfId="3" applyNumberFormat="1" applyFont="1" applyAlignment="1">
      <alignment horizontal="right"/>
    </xf>
    <xf numFmtId="183" fontId="53" fillId="0" borderId="0" xfId="3" applyNumberFormat="1" applyFont="1" applyAlignment="1">
      <alignment horizontal="right"/>
    </xf>
    <xf numFmtId="0" fontId="47" fillId="0" borderId="0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54" fillId="33" borderId="21" xfId="3" applyFont="1" applyFill="1" applyBorder="1" applyAlignment="1">
      <alignment horizontal="center"/>
    </xf>
    <xf numFmtId="0" fontId="54" fillId="33" borderId="17" xfId="3" applyFont="1" applyFill="1" applyBorder="1" applyAlignment="1">
      <alignment horizontal="center"/>
    </xf>
    <xf numFmtId="0" fontId="4" fillId="0" borderId="0" xfId="3"/>
    <xf numFmtId="0" fontId="56" fillId="34" borderId="0" xfId="3" applyFont="1" applyFill="1" applyBorder="1" applyAlignment="1" applyProtection="1">
      <alignment horizontal="left" indent="7"/>
    </xf>
    <xf numFmtId="0" fontId="48" fillId="0" borderId="0" xfId="3" applyFont="1" applyAlignment="1" applyProtection="1">
      <alignment horizontal="center" wrapText="1"/>
    </xf>
    <xf numFmtId="0" fontId="4" fillId="0" borderId="0" xfId="3" applyAlignment="1">
      <alignment horizontal="center" wrapText="1"/>
    </xf>
    <xf numFmtId="0" fontId="48" fillId="0" borderId="27" xfId="3" applyFont="1" applyFill="1" applyBorder="1" applyAlignment="1" applyProtection="1">
      <alignment horizontal="center" wrapText="1"/>
    </xf>
    <xf numFmtId="0" fontId="4" fillId="0" borderId="28" xfId="3" applyBorder="1" applyAlignment="1">
      <alignment wrapText="1"/>
    </xf>
    <xf numFmtId="0" fontId="48" fillId="0" borderId="25" xfId="3" applyFont="1" applyFill="1" applyBorder="1" applyAlignment="1" applyProtection="1">
      <alignment horizontal="center" wrapText="1"/>
    </xf>
    <xf numFmtId="0" fontId="4" fillId="0" borderId="29" xfId="3" applyBorder="1" applyAlignment="1">
      <alignment wrapText="1"/>
    </xf>
    <xf numFmtId="0" fontId="49" fillId="0" borderId="0" xfId="3" applyFont="1" applyAlignment="1" applyProtection="1">
      <alignment horizontal="center"/>
    </xf>
    <xf numFmtId="0" fontId="49" fillId="0" borderId="0" xfId="3" quotePrefix="1" applyFont="1" applyAlignment="1" applyProtection="1">
      <alignment horizontal="center"/>
    </xf>
    <xf numFmtId="0" fontId="24" fillId="3" borderId="0" xfId="3" applyFont="1" applyFill="1" applyAlignment="1" applyProtection="1">
      <alignment horizontal="center"/>
    </xf>
    <xf numFmtId="0" fontId="48" fillId="0" borderId="22" xfId="3" applyFont="1" applyBorder="1" applyAlignment="1" applyProtection="1">
      <alignment horizontal="center"/>
    </xf>
    <xf numFmtId="0" fontId="48" fillId="0" borderId="3" xfId="3" applyFont="1" applyBorder="1" applyAlignment="1" applyProtection="1">
      <alignment horizontal="center"/>
    </xf>
    <xf numFmtId="0" fontId="48" fillId="0" borderId="23" xfId="3" applyFont="1" applyBorder="1" applyAlignment="1" applyProtection="1">
      <alignment horizontal="center"/>
    </xf>
    <xf numFmtId="15" fontId="48" fillId="0" borderId="22" xfId="3" quotePrefix="1" applyNumberFormat="1" applyFont="1" applyBorder="1" applyAlignment="1" applyProtection="1">
      <alignment horizontal="center"/>
    </xf>
    <xf numFmtId="15" fontId="48" fillId="0" borderId="3" xfId="3" quotePrefix="1" applyNumberFormat="1" applyFont="1" applyBorder="1" applyAlignment="1" applyProtection="1">
      <alignment horizontal="center"/>
    </xf>
    <xf numFmtId="15" fontId="48" fillId="0" borderId="23" xfId="3" quotePrefix="1" applyNumberFormat="1" applyFont="1" applyBorder="1" applyAlignment="1" applyProtection="1">
      <alignment horizontal="center"/>
    </xf>
    <xf numFmtId="0" fontId="3" fillId="0" borderId="0" xfId="3" applyFont="1" applyAlignment="1">
      <alignment horizontal="center" wrapText="1"/>
    </xf>
    <xf numFmtId="0" fontId="3" fillId="0" borderId="28" xfId="3" applyFont="1" applyBorder="1" applyAlignment="1">
      <alignment wrapText="1"/>
    </xf>
    <xf numFmtId="0" fontId="3" fillId="0" borderId="29" xfId="3" applyFont="1" applyBorder="1" applyAlignment="1">
      <alignment wrapText="1"/>
    </xf>
    <xf numFmtId="0" fontId="24" fillId="3" borderId="0" xfId="3" quotePrefix="1" applyFont="1" applyFill="1" applyAlignment="1" applyProtection="1">
      <alignment horizontal="center"/>
    </xf>
    <xf numFmtId="15" fontId="48" fillId="0" borderId="22" xfId="3" applyNumberFormat="1" applyFont="1" applyBorder="1" applyAlignment="1" applyProtection="1">
      <alignment horizontal="center"/>
    </xf>
    <xf numFmtId="0" fontId="24" fillId="0" borderId="0" xfId="3" applyFont="1"/>
  </cellXfs>
  <cellStyles count="386">
    <cellStyle name="$" xfId="6"/>
    <cellStyle name="$ 2" xfId="7"/>
    <cellStyle name="$ 2 2" xfId="8"/>
    <cellStyle name="$.00" xfId="9"/>
    <cellStyle name="$.00 2" xfId="10"/>
    <cellStyle name="$.00 2 2" xfId="11"/>
    <cellStyle name="$_2. 2011-2014  Rev_ FCast_IRM 2012_COS2013_Ongoing Operations_with CDM" xfId="325"/>
    <cellStyle name="$_2. 2011-2014  Rev_ FCast_IRM 2012_COS2013_Ongoing Operations_with CDM_1. Creation and Assumptions Budget_Revised with CDM" xfId="326"/>
    <cellStyle name="$_CGAAP FA Budget Model v2 james" xfId="12"/>
    <cellStyle name="$_CGAAP FA Budget Model v2 james 2" xfId="13"/>
    <cellStyle name="$_Oct 2010 SM PILs Recognition" xfId="14"/>
    <cellStyle name="$_Xl0000180" xfId="15"/>
    <cellStyle name="$M" xfId="16"/>
    <cellStyle name="$M 2" xfId="17"/>
    <cellStyle name="$M 2 2" xfId="18"/>
    <cellStyle name="$M.00" xfId="19"/>
    <cellStyle name="$M.00 2" xfId="20"/>
    <cellStyle name="$M.00 2 2" xfId="21"/>
    <cellStyle name="$M_2. 2011-2014  Rev_ FCast_IRM 2012_COS2013_Ongoing Operations_with CDM" xfId="327"/>
    <cellStyle name="20% - Accent1 2" xfId="22"/>
    <cellStyle name="20% - Accent1 3" xfId="23"/>
    <cellStyle name="20% - Accent2 2" xfId="24"/>
    <cellStyle name="20% - Accent2 3" xfId="25"/>
    <cellStyle name="20% - Accent3 2" xfId="26"/>
    <cellStyle name="20% - Accent3 3" xfId="27"/>
    <cellStyle name="20% - Accent4 2" xfId="28"/>
    <cellStyle name="20% - Accent4 3" xfId="29"/>
    <cellStyle name="20% - Accent5 2" xfId="30"/>
    <cellStyle name="20% - Accent5 3" xfId="31"/>
    <cellStyle name="20% - Accent6 2" xfId="32"/>
    <cellStyle name="20% - Accent6 3" xfId="33"/>
    <cellStyle name="40% - Accent1 2" xfId="34"/>
    <cellStyle name="40% - Accent1 3" xfId="35"/>
    <cellStyle name="40% - Accent2 2" xfId="36"/>
    <cellStyle name="40% - Accent2 3" xfId="37"/>
    <cellStyle name="40% - Accent3 2" xfId="38"/>
    <cellStyle name="40% - Accent3 3" xfId="39"/>
    <cellStyle name="40% - Accent4 2" xfId="40"/>
    <cellStyle name="40% - Accent4 3" xfId="41"/>
    <cellStyle name="40% - Accent5 2" xfId="42"/>
    <cellStyle name="40% - Accent5 3" xfId="43"/>
    <cellStyle name="40% - Accent6 2" xfId="44"/>
    <cellStyle name="40% - Accent6 3" xfId="45"/>
    <cellStyle name="60% - Accent1 2" xfId="46"/>
    <cellStyle name="60% - Accent1 3" xfId="47"/>
    <cellStyle name="60% - Accent2 2" xfId="48"/>
    <cellStyle name="60% - Accent2 3" xfId="49"/>
    <cellStyle name="60% - Accent3 2" xfId="50"/>
    <cellStyle name="60% - Accent3 3" xfId="51"/>
    <cellStyle name="60% - Accent4 2" xfId="52"/>
    <cellStyle name="60% - Accent4 3" xfId="53"/>
    <cellStyle name="60% - Accent5 2" xfId="54"/>
    <cellStyle name="60% - Accent5 3" xfId="55"/>
    <cellStyle name="60% - Accent6 2" xfId="56"/>
    <cellStyle name="60% - Accent6 3" xfId="57"/>
    <cellStyle name="Accent1 2" xfId="58"/>
    <cellStyle name="Accent1 3" xfId="59"/>
    <cellStyle name="Accent2 2" xfId="60"/>
    <cellStyle name="Accent2 3" xfId="61"/>
    <cellStyle name="Accent3 2" xfId="62"/>
    <cellStyle name="Accent3 3" xfId="63"/>
    <cellStyle name="Accent4 2" xfId="64"/>
    <cellStyle name="Accent4 3" xfId="65"/>
    <cellStyle name="Accent5 2" xfId="66"/>
    <cellStyle name="Accent5 3" xfId="67"/>
    <cellStyle name="Accent6 2" xfId="68"/>
    <cellStyle name="Accent6 3" xfId="69"/>
    <cellStyle name="Bad 2" xfId="70"/>
    <cellStyle name="Bad 3" xfId="71"/>
    <cellStyle name="Calculation 2" xfId="72"/>
    <cellStyle name="Calculation 2 2" xfId="73"/>
    <cellStyle name="Calculation 3" xfId="74"/>
    <cellStyle name="Calculation 4" xfId="75"/>
    <cellStyle name="Check Cell 2" xfId="76"/>
    <cellStyle name="Check Cell 3" xfId="77"/>
    <cellStyle name="Comma [0] 2" xfId="78"/>
    <cellStyle name="Comma 10" xfId="79"/>
    <cellStyle name="Comma 10 2" xfId="80"/>
    <cellStyle name="Comma 10 2 2" xfId="81"/>
    <cellStyle name="Comma 10 3" xfId="82"/>
    <cellStyle name="Comma 10 4" xfId="324"/>
    <cellStyle name="Comma 10 5" xfId="328"/>
    <cellStyle name="Comma 10 6" xfId="329"/>
    <cellStyle name="Comma 11" xfId="83"/>
    <cellStyle name="Comma 11 2" xfId="84"/>
    <cellStyle name="Comma 11 2 2" xfId="85"/>
    <cellStyle name="Comma 11 3" xfId="86"/>
    <cellStyle name="Comma 12" xfId="87"/>
    <cellStyle name="Comma 12 2" xfId="88"/>
    <cellStyle name="Comma 12 3" xfId="89"/>
    <cellStyle name="Comma 13" xfId="90"/>
    <cellStyle name="Comma 13 2" xfId="91"/>
    <cellStyle name="Comma 13 3" xfId="92"/>
    <cellStyle name="Comma 14" xfId="93"/>
    <cellStyle name="Comma 14 2" xfId="94"/>
    <cellStyle name="Comma 14 3" xfId="95"/>
    <cellStyle name="Comma 15" xfId="96"/>
    <cellStyle name="Comma 15 2" xfId="97"/>
    <cellStyle name="Comma 15 3" xfId="98"/>
    <cellStyle name="Comma 16" xfId="99"/>
    <cellStyle name="Comma 16 2" xfId="100"/>
    <cellStyle name="Comma 16 3" xfId="322"/>
    <cellStyle name="Comma 17" xfId="101"/>
    <cellStyle name="Comma 18" xfId="102"/>
    <cellStyle name="Comma 19" xfId="103"/>
    <cellStyle name="Comma 2" xfId="5"/>
    <cellStyle name="Comma 2 2" xfId="104"/>
    <cellStyle name="Comma 2 2 2" xfId="105"/>
    <cellStyle name="Comma 2 3" xfId="106"/>
    <cellStyle name="Comma 2 3 2" xfId="107"/>
    <cellStyle name="Comma 2 4" xfId="108"/>
    <cellStyle name="Comma 2 5" xfId="109"/>
    <cellStyle name="Comma 2 6" xfId="110"/>
    <cellStyle name="Comma 2 7" xfId="111"/>
    <cellStyle name="Comma 2 8" xfId="112"/>
    <cellStyle name="Comma 2 9" xfId="113"/>
    <cellStyle name="Comma 2_2.1556 Regulatory Reporting without PILs YTD March 11" xfId="330"/>
    <cellStyle name="Comma 20" xfId="114"/>
    <cellStyle name="Comma 20 2" xfId="115"/>
    <cellStyle name="Comma 21" xfId="116"/>
    <cellStyle name="Comma 22" xfId="117"/>
    <cellStyle name="Comma 23" xfId="118"/>
    <cellStyle name="Comma 24" xfId="119"/>
    <cellStyle name="Comma 25" xfId="331"/>
    <cellStyle name="Comma 26" xfId="323"/>
    <cellStyle name="Comma 3" xfId="120"/>
    <cellStyle name="Comma 3 2" xfId="121"/>
    <cellStyle name="Comma 3 2 2" xfId="122"/>
    <cellStyle name="Comma 3 2 3" xfId="123"/>
    <cellStyle name="Comma 3 3" xfId="124"/>
    <cellStyle name="Comma 3 4" xfId="125"/>
    <cellStyle name="Comma 3_2. 2011-2014  Rev_ FCast_IRM 2012_COS2013_Ongoing Operations_with CDM" xfId="332"/>
    <cellStyle name="Comma 4" xfId="126"/>
    <cellStyle name="Comma 4 2" xfId="127"/>
    <cellStyle name="Comma 4 2 2" xfId="128"/>
    <cellStyle name="Comma 4 3" xfId="129"/>
    <cellStyle name="Comma 5" xfId="130"/>
    <cellStyle name="Comma 5 2" xfId="131"/>
    <cellStyle name="Comma 6" xfId="132"/>
    <cellStyle name="Comma 6 2" xfId="133"/>
    <cellStyle name="Comma 6 2 2" xfId="134"/>
    <cellStyle name="Comma 6 3" xfId="135"/>
    <cellStyle name="Comma 7" xfId="136"/>
    <cellStyle name="Comma 7 2" xfId="137"/>
    <cellStyle name="Comma 7 2 2" xfId="138"/>
    <cellStyle name="Comma 7 3" xfId="139"/>
    <cellStyle name="Comma 8" xfId="140"/>
    <cellStyle name="Comma 8 2" xfId="141"/>
    <cellStyle name="Comma 8 2 2" xfId="142"/>
    <cellStyle name="Comma 8 3" xfId="143"/>
    <cellStyle name="Comma 9" xfId="144"/>
    <cellStyle name="Comma 9 2" xfId="145"/>
    <cellStyle name="Comma 9 2 2" xfId="146"/>
    <cellStyle name="Comma 9 2 3" xfId="147"/>
    <cellStyle name="Comma 9 3" xfId="148"/>
    <cellStyle name="Comma 9 4" xfId="149"/>
    <cellStyle name="Comma0" xfId="150"/>
    <cellStyle name="Comma0 2" xfId="151"/>
    <cellStyle name="Comma0 2 2" xfId="152"/>
    <cellStyle name="Comma0 3" xfId="153"/>
    <cellStyle name="Currency 10" xfId="154"/>
    <cellStyle name="Currency 10 2" xfId="321"/>
    <cellStyle name="Currency 11" xfId="155"/>
    <cellStyle name="Currency 12" xfId="156"/>
    <cellStyle name="Currency 13" xfId="157"/>
    <cellStyle name="Currency 13 2" xfId="318"/>
    <cellStyle name="Currency 2" xfId="158"/>
    <cellStyle name="Currency 2 2" xfId="159"/>
    <cellStyle name="Currency 2 2 2" xfId="160"/>
    <cellStyle name="Currency 2 3" xfId="161"/>
    <cellStyle name="Currency 2 3 2" xfId="162"/>
    <cellStyle name="Currency 2 4" xfId="320"/>
    <cellStyle name="Currency 3" xfId="163"/>
    <cellStyle name="Currency 3 2" xfId="164"/>
    <cellStyle name="Currency 3 2 2" xfId="333"/>
    <cellStyle name="Currency 3_2.1556 Regulatory Reporting without PILs YTD March 11" xfId="334"/>
    <cellStyle name="Currency 4" xfId="165"/>
    <cellStyle name="Currency 4 2" xfId="166"/>
    <cellStyle name="Currency 4 2 2" xfId="167"/>
    <cellStyle name="Currency 4 3" xfId="168"/>
    <cellStyle name="Currency 5" xfId="169"/>
    <cellStyle name="Currency 5 2" xfId="170"/>
    <cellStyle name="Currency 6" xfId="171"/>
    <cellStyle name="Currency 6 2" xfId="172"/>
    <cellStyle name="Currency 7" xfId="173"/>
    <cellStyle name="Currency 8" xfId="174"/>
    <cellStyle name="Currency 9" xfId="175"/>
    <cellStyle name="Currency0" xfId="176"/>
    <cellStyle name="Currency0 2" xfId="177"/>
    <cellStyle name="Currency0 2 2" xfId="178"/>
    <cellStyle name="Currency0 3" xfId="179"/>
    <cellStyle name="custom" xfId="180"/>
    <cellStyle name="Date" xfId="181"/>
    <cellStyle name="Date 2" xfId="182"/>
    <cellStyle name="Date 2 2" xfId="183"/>
    <cellStyle name="Date 3" xfId="184"/>
    <cellStyle name="Euro" xfId="185"/>
    <cellStyle name="Euro 2" xfId="186"/>
    <cellStyle name="Explanatory Text 2" xfId="187"/>
    <cellStyle name="Explanatory Text 3" xfId="188"/>
    <cellStyle name="Fixed" xfId="189"/>
    <cellStyle name="Fixed 2" xfId="190"/>
    <cellStyle name="Fixed 2 2" xfId="191"/>
    <cellStyle name="Fixed 3" xfId="192"/>
    <cellStyle name="Good 2" xfId="193"/>
    <cellStyle name="Good 3" xfId="194"/>
    <cellStyle name="Grey" xfId="195"/>
    <cellStyle name="Grey 2" xfId="196"/>
    <cellStyle name="header" xfId="197"/>
    <cellStyle name="Header1" xfId="198"/>
    <cellStyle name="Header2" xfId="199"/>
    <cellStyle name="Header2 2" xfId="200"/>
    <cellStyle name="Header2 3" xfId="201"/>
    <cellStyle name="Header2 3 2" xfId="202"/>
    <cellStyle name="Heading 1 10" xfId="335"/>
    <cellStyle name="Heading 1 11" xfId="336"/>
    <cellStyle name="Heading 1 12" xfId="337"/>
    <cellStyle name="Heading 1 13" xfId="338"/>
    <cellStyle name="Heading 1 14" xfId="339"/>
    <cellStyle name="Heading 1 15" xfId="340"/>
    <cellStyle name="Heading 1 2" xfId="203"/>
    <cellStyle name="Heading 1 2 2" xfId="204"/>
    <cellStyle name="Heading 1 2 3" xfId="205"/>
    <cellStyle name="Heading 1 3" xfId="206"/>
    <cellStyle name="Heading 1 4" xfId="341"/>
    <cellStyle name="Heading 1 5" xfId="342"/>
    <cellStyle name="Heading 1 6" xfId="343"/>
    <cellStyle name="Heading 1 7" xfId="344"/>
    <cellStyle name="Heading 1 8" xfId="345"/>
    <cellStyle name="Heading 1 9" xfId="346"/>
    <cellStyle name="Heading 2 10" xfId="347"/>
    <cellStyle name="Heading 2 11" xfId="348"/>
    <cellStyle name="Heading 2 12" xfId="349"/>
    <cellStyle name="Heading 2 13" xfId="350"/>
    <cellStyle name="Heading 2 14" xfId="351"/>
    <cellStyle name="Heading 2 15" xfId="352"/>
    <cellStyle name="Heading 2 2" xfId="207"/>
    <cellStyle name="Heading 2 2 2" xfId="208"/>
    <cellStyle name="Heading 2 3" xfId="209"/>
    <cellStyle name="Heading 2 3 2" xfId="210"/>
    <cellStyle name="Heading 2 4" xfId="211"/>
    <cellStyle name="Heading 2 5" xfId="353"/>
    <cellStyle name="Heading 2 6" xfId="354"/>
    <cellStyle name="Heading 2 7" xfId="355"/>
    <cellStyle name="Heading 2 8" xfId="356"/>
    <cellStyle name="Heading 2 9" xfId="357"/>
    <cellStyle name="Heading 3 2" xfId="212"/>
    <cellStyle name="Heading 3 3" xfId="213"/>
    <cellStyle name="Heading 4 2" xfId="214"/>
    <cellStyle name="Heading 4 3" xfId="215"/>
    <cellStyle name="Hyperlink 2" xfId="216"/>
    <cellStyle name="Hyperlink 3" xfId="217"/>
    <cellStyle name="Input [yellow]" xfId="218"/>
    <cellStyle name="Input [yellow] 2" xfId="219"/>
    <cellStyle name="Input [yellow] 2 2" xfId="220"/>
    <cellStyle name="Input [yellow] 2 3" xfId="221"/>
    <cellStyle name="Input 2" xfId="222"/>
    <cellStyle name="Input 2 2" xfId="223"/>
    <cellStyle name="Input 3" xfId="224"/>
    <cellStyle name="Input 4" xfId="225"/>
    <cellStyle name="Input 5" xfId="226"/>
    <cellStyle name="Linked Cell 2" xfId="227"/>
    <cellStyle name="Linked Cell 3" xfId="228"/>
    <cellStyle name="M" xfId="229"/>
    <cellStyle name="M 2" xfId="230"/>
    <cellStyle name="M 2 2" xfId="231"/>
    <cellStyle name="M.00" xfId="232"/>
    <cellStyle name="M.00 2" xfId="233"/>
    <cellStyle name="M.00 2 2" xfId="234"/>
    <cellStyle name="M_2. 2011-2014  Rev_ FCast_IRM 2012_COS2013_Ongoing Operations_with CDM" xfId="358"/>
    <cellStyle name="M_2. 2011-2014  Rev_ FCast_IRM 2012_COS2013_Ongoing Operations_with CDM_1. Creation and Assumptions Budget_Revised with CDM" xfId="359"/>
    <cellStyle name="M_CGAAP FA Budget Model v2 james" xfId="235"/>
    <cellStyle name="M_CGAAP FA Budget Model v2 james 2" xfId="236"/>
    <cellStyle name="M_Oct 2010 SM PILs Recognition" xfId="237"/>
    <cellStyle name="M_Xl0000180" xfId="238"/>
    <cellStyle name="Neutral 2" xfId="239"/>
    <cellStyle name="Neutral 3" xfId="240"/>
    <cellStyle name="Normal" xfId="0" builtinId="0"/>
    <cellStyle name="Normal - Style1" xfId="241"/>
    <cellStyle name="Normal - Style1 2" xfId="242"/>
    <cellStyle name="Normal - Style1 2 2" xfId="243"/>
    <cellStyle name="Normal - Style1 3" xfId="244"/>
    <cellStyle name="Normal - Style1 3 2" xfId="245"/>
    <cellStyle name="Normal - Style1 3 3" xfId="246"/>
    <cellStyle name="Normal - Style1 4" xfId="247"/>
    <cellStyle name="Normal - Style1_1595 FIT Support" xfId="248"/>
    <cellStyle name="Normal 10" xfId="249"/>
    <cellStyle name="Normal 10 2" xfId="250"/>
    <cellStyle name="Normal 10 2 2" xfId="360"/>
    <cellStyle name="Normal 10 2 3" xfId="361"/>
    <cellStyle name="Normal 10 3" xfId="362"/>
    <cellStyle name="Normal 10 4" xfId="363"/>
    <cellStyle name="Normal 11" xfId="251"/>
    <cellStyle name="Normal 11 2" xfId="252"/>
    <cellStyle name="Normal 11 3" xfId="364"/>
    <cellStyle name="Normal 12" xfId="2"/>
    <cellStyle name="Normal 12 2" xfId="253"/>
    <cellStyle name="Normal 13" xfId="254"/>
    <cellStyle name="Normal 14" xfId="255"/>
    <cellStyle name="Normal 15" xfId="256"/>
    <cellStyle name="Normal 16" xfId="257"/>
    <cellStyle name="Normal 17" xfId="258"/>
    <cellStyle name="Normal 18" xfId="259"/>
    <cellStyle name="Normal 19" xfId="260"/>
    <cellStyle name="Normal 2" xfId="3"/>
    <cellStyle name="Normal 2 2" xfId="261"/>
    <cellStyle name="Normal 2 2 2" xfId="262"/>
    <cellStyle name="Normal 2 3" xfId="263"/>
    <cellStyle name="Normal 20" xfId="264"/>
    <cellStyle name="Normal 21" xfId="265"/>
    <cellStyle name="Normal 22" xfId="266"/>
    <cellStyle name="Normal 23" xfId="267"/>
    <cellStyle name="Normal 25" xfId="365"/>
    <cellStyle name="Normal 3" xfId="268"/>
    <cellStyle name="Normal 3 2" xfId="4"/>
    <cellStyle name="Normal 3 3" xfId="269"/>
    <cellStyle name="Normal 4" xfId="270"/>
    <cellStyle name="Normal 4 2" xfId="271"/>
    <cellStyle name="Normal 4 3" xfId="272"/>
    <cellStyle name="Normal 5" xfId="273"/>
    <cellStyle name="Normal 5 2" xfId="274"/>
    <cellStyle name="Normal 6" xfId="275"/>
    <cellStyle name="Normal 6 2" xfId="366"/>
    <cellStyle name="Normal 6 3" xfId="367"/>
    <cellStyle name="Normal 7" xfId="276"/>
    <cellStyle name="Normal 7 2" xfId="277"/>
    <cellStyle name="Normal 8" xfId="278"/>
    <cellStyle name="Normal 8 2" xfId="279"/>
    <cellStyle name="Normal 8 3" xfId="368"/>
    <cellStyle name="Normal 9" xfId="280"/>
    <cellStyle name="Normal 9 2" xfId="281"/>
    <cellStyle name="Normal 9 2 2" xfId="369"/>
    <cellStyle name="Normal 9 2 3" xfId="370"/>
    <cellStyle name="Normal 9 3" xfId="371"/>
    <cellStyle name="Normal 9 4" xfId="372"/>
    <cellStyle name="Note 2" xfId="282"/>
    <cellStyle name="Note 2 2" xfId="283"/>
    <cellStyle name="Note 3" xfId="284"/>
    <cellStyle name="Output 2" xfId="285"/>
    <cellStyle name="Output 2 2" xfId="286"/>
    <cellStyle name="Output 3" xfId="287"/>
    <cellStyle name="Output Line Items" xfId="288"/>
    <cellStyle name="Percent" xfId="1" builtinId="5"/>
    <cellStyle name="Percent [2]" xfId="289"/>
    <cellStyle name="Percent [2] 2" xfId="290"/>
    <cellStyle name="Percent [2] 2 2" xfId="291"/>
    <cellStyle name="Percent [2] 3" xfId="292"/>
    <cellStyle name="Percent 10" xfId="293"/>
    <cellStyle name="Percent 11" xfId="294"/>
    <cellStyle name="Percent 11 2" xfId="319"/>
    <cellStyle name="Percent 2" xfId="295"/>
    <cellStyle name="Percent 2 2" xfId="296"/>
    <cellStyle name="Percent 3" xfId="297"/>
    <cellStyle name="Percent 3 2" xfId="298"/>
    <cellStyle name="Percent 3 2 2" xfId="299"/>
    <cellStyle name="Percent 3 3" xfId="300"/>
    <cellStyle name="Percent 4" xfId="301"/>
    <cellStyle name="Percent 4 2" xfId="302"/>
    <cellStyle name="Percent 5" xfId="303"/>
    <cellStyle name="Percent 5 2" xfId="304"/>
    <cellStyle name="Percent 5 3" xfId="373"/>
    <cellStyle name="Percent 6" xfId="305"/>
    <cellStyle name="Percent 6 2" xfId="306"/>
    <cellStyle name="Percent 7" xfId="307"/>
    <cellStyle name="Percent 8" xfId="308"/>
    <cellStyle name="Percent 9" xfId="309"/>
    <cellStyle name="Title 2" xfId="310"/>
    <cellStyle name="Total 10" xfId="374"/>
    <cellStyle name="Total 11" xfId="375"/>
    <cellStyle name="Total 12" xfId="376"/>
    <cellStyle name="Total 13" xfId="377"/>
    <cellStyle name="Total 14" xfId="378"/>
    <cellStyle name="Total 15" xfId="379"/>
    <cellStyle name="Total 2" xfId="311"/>
    <cellStyle name="Total 2 2" xfId="312"/>
    <cellStyle name="Total 2 3" xfId="313"/>
    <cellStyle name="Total 2 4" xfId="314"/>
    <cellStyle name="Total 3" xfId="315"/>
    <cellStyle name="Total 4" xfId="380"/>
    <cellStyle name="Total 5" xfId="381"/>
    <cellStyle name="Total 6" xfId="382"/>
    <cellStyle name="Total 7" xfId="383"/>
    <cellStyle name="Total 8" xfId="384"/>
    <cellStyle name="Total 9" xfId="385"/>
    <cellStyle name="Warning Text 2" xfId="316"/>
    <cellStyle name="Warning Text 3" xfId="317"/>
  </cellStyles>
  <dxfs count="0"/>
  <tableStyles count="0" defaultTableStyle="TableStyleMedium2" defaultPivotStyle="PivotStyleMedium9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.%20JohnB/2008%20Rates/Models/Rate%20Riders/scenario%20for%20Roland/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Financial%20Analysis/2004/November%202004/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Documents%20and%20Settings/mbenum/My%20Documents/Rates/Rates%20Reporting/OEB%20Quarterly%20Submissions/July%202004/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inance/Budget/Bud2010/Internal%20Budget/7.%202009%20APPENDIX%20C%20HYDRO/Appendix%20C-7%20-%20Capital%20Program/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1"/>
  <sheetViews>
    <sheetView zoomScaleNormal="100" zoomScaleSheetLayoutView="85" workbookViewId="0">
      <selection activeCell="O26" sqref="O26"/>
    </sheetView>
  </sheetViews>
  <sheetFormatPr defaultRowHeight="15" x14ac:dyDescent="0.25"/>
  <cols>
    <col min="1" max="1" width="31.5703125" style="182" bestFit="1" customWidth="1"/>
    <col min="2" max="2" width="0.7109375" style="1" customWidth="1"/>
    <col min="3" max="3" width="10.7109375" customWidth="1"/>
    <col min="4" max="4" width="11.140625" customWidth="1"/>
    <col min="5" max="7" width="14.28515625" bestFit="1" customWidth="1"/>
    <col min="8" max="9" width="14.28515625" customWidth="1"/>
    <col min="10" max="11" width="18.28515625" customWidth="1"/>
    <col min="12" max="12" width="14.85546875" customWidth="1"/>
    <col min="13" max="14" width="14.28515625" bestFit="1" customWidth="1"/>
    <col min="15" max="15" width="15.28515625" bestFit="1" customWidth="1"/>
    <col min="19" max="20" width="14.28515625" bestFit="1" customWidth="1"/>
    <col min="21" max="21" width="15.28515625" bestFit="1" customWidth="1"/>
  </cols>
  <sheetData>
    <row r="1" spans="1:14" ht="15.75" x14ac:dyDescent="0.25">
      <c r="A1" s="181" t="s">
        <v>137</v>
      </c>
      <c r="B1" s="164"/>
      <c r="C1" s="268" t="s">
        <v>136</v>
      </c>
      <c r="D1" s="268"/>
      <c r="F1" s="155"/>
      <c r="N1" s="136"/>
    </row>
    <row r="2" spans="1:14" ht="15.75" x14ac:dyDescent="0.25">
      <c r="A2" s="181" t="s">
        <v>102</v>
      </c>
      <c r="B2" s="164"/>
      <c r="C2" s="163"/>
      <c r="D2" s="164"/>
      <c r="F2" s="155"/>
      <c r="N2" s="136"/>
    </row>
    <row r="3" spans="1:14" ht="15.75" x14ac:dyDescent="0.25">
      <c r="A3" s="181" t="s">
        <v>131</v>
      </c>
      <c r="B3" s="163"/>
      <c r="C3" s="269"/>
      <c r="D3" s="269"/>
      <c r="F3" s="156"/>
      <c r="N3" s="136"/>
    </row>
    <row r="4" spans="1:14" x14ac:dyDescent="0.25">
      <c r="B4" s="156"/>
      <c r="C4" s="6"/>
      <c r="D4" s="156"/>
      <c r="F4" s="156"/>
      <c r="N4" s="136"/>
    </row>
    <row r="5" spans="1:14" x14ac:dyDescent="0.25">
      <c r="A5" s="182" t="s">
        <v>98</v>
      </c>
      <c r="B5" s="166"/>
      <c r="C5" s="168">
        <f>'RES-RPP'!Q54</f>
        <v>-1.2719822434693485E-2</v>
      </c>
      <c r="D5" s="169">
        <f>'RES-RPP'!P54</f>
        <v>-1.4899999999999949</v>
      </c>
      <c r="E5" s="154"/>
      <c r="F5" s="157"/>
      <c r="N5" s="136"/>
    </row>
    <row r="6" spans="1:14" x14ac:dyDescent="0.25">
      <c r="A6" s="182" t="s">
        <v>99</v>
      </c>
      <c r="B6" s="166"/>
      <c r="C6" s="165">
        <f>'RES-NonRPP'!Q51</f>
        <v>-3.0494125777470637E-2</v>
      </c>
      <c r="D6" s="154">
        <f>'RES-NonRPP'!P51</f>
        <v>-3.5300000000000011</v>
      </c>
      <c r="E6" s="154"/>
      <c r="F6" s="157"/>
      <c r="N6" s="136"/>
    </row>
    <row r="7" spans="1:14" x14ac:dyDescent="0.25">
      <c r="B7" s="166"/>
      <c r="C7" s="165"/>
      <c r="D7" s="154"/>
      <c r="F7" s="157"/>
      <c r="N7" s="136"/>
    </row>
    <row r="8" spans="1:14" x14ac:dyDescent="0.25">
      <c r="A8" s="182" t="s">
        <v>100</v>
      </c>
      <c r="B8" s="166"/>
      <c r="C8" s="168">
        <f>'GSLT50 RPP'!Q49</f>
        <v>-0.10256728264913782</v>
      </c>
      <c r="D8" s="169">
        <f>'GSLT50 RPP'!P49</f>
        <v>-33.079999999999927</v>
      </c>
      <c r="E8" s="154"/>
      <c r="F8" s="157"/>
      <c r="N8" s="136"/>
    </row>
    <row r="9" spans="1:14" x14ac:dyDescent="0.25">
      <c r="A9" s="182" t="s">
        <v>101</v>
      </c>
      <c r="B9" s="166"/>
      <c r="C9" s="165">
        <f>'GSLT50 NonRPP'!Q49</f>
        <v>-0.12080684060513044</v>
      </c>
      <c r="D9" s="154">
        <f>'GSLT50 NonRPP'!P49</f>
        <v>-38.569999999999993</v>
      </c>
      <c r="E9" s="154"/>
      <c r="F9" s="157"/>
    </row>
    <row r="10" spans="1:14" x14ac:dyDescent="0.25">
      <c r="B10" s="166"/>
      <c r="C10" s="165"/>
      <c r="D10" s="154"/>
      <c r="F10" s="157"/>
    </row>
    <row r="11" spans="1:14" x14ac:dyDescent="0.25">
      <c r="A11" s="183" t="s">
        <v>124</v>
      </c>
      <c r="B11" s="167"/>
      <c r="C11" s="168">
        <f>'GS50-499INT'!Q47</f>
        <v>4.7614059680318342E-3</v>
      </c>
      <c r="D11" s="170">
        <f>'GS50-499INT'!P47</f>
        <v>67.729999999999563</v>
      </c>
      <c r="E11" s="154"/>
      <c r="F11" s="157"/>
    </row>
    <row r="12" spans="1:14" x14ac:dyDescent="0.25">
      <c r="A12" s="183" t="s">
        <v>125</v>
      </c>
      <c r="B12" s="166"/>
      <c r="C12" s="165">
        <f>'GS50-499NI'!Q48</f>
        <v>-1.8137350358072069E-2</v>
      </c>
      <c r="D12" s="154">
        <f>'GS50-499NI'!P48</f>
        <v>-258</v>
      </c>
      <c r="F12" s="157"/>
    </row>
    <row r="13" spans="1:14" x14ac:dyDescent="0.25">
      <c r="A13" s="183"/>
      <c r="B13" s="166"/>
      <c r="C13" s="165"/>
      <c r="D13" s="154"/>
      <c r="F13" s="157"/>
    </row>
    <row r="14" spans="1:14" x14ac:dyDescent="0.25">
      <c r="A14" s="183" t="s">
        <v>126</v>
      </c>
      <c r="B14" s="167"/>
      <c r="C14" s="168">
        <f>'GS500-4999INT'!Q45</f>
        <v>1.2829522721451046E-2</v>
      </c>
      <c r="D14" s="170">
        <f>'GS500-4999INT'!P45</f>
        <v>816.38999999999942</v>
      </c>
      <c r="E14" s="154"/>
      <c r="F14" s="157"/>
    </row>
    <row r="15" spans="1:14" x14ac:dyDescent="0.25">
      <c r="A15" s="183" t="s">
        <v>127</v>
      </c>
      <c r="B15" s="167"/>
      <c r="C15" s="168">
        <f>'GS500-499NI'!Q45</f>
        <v>-4.3503363783655498E-2</v>
      </c>
      <c r="D15" s="170">
        <f>'GS500-499NI'!P45</f>
        <v>-2768.2799999999988</v>
      </c>
      <c r="E15" s="154"/>
      <c r="F15" s="157"/>
    </row>
    <row r="16" spans="1:14" x14ac:dyDescent="0.25">
      <c r="B16" s="166"/>
      <c r="C16" s="165"/>
      <c r="D16" s="154"/>
      <c r="F16" s="157"/>
    </row>
    <row r="17" spans="1:6" x14ac:dyDescent="0.25">
      <c r="A17" s="182" t="s">
        <v>135</v>
      </c>
      <c r="B17" s="167"/>
      <c r="C17" s="168">
        <f>'LU - Class A'!Q45</f>
        <v>-3.0301143971132889E-3</v>
      </c>
      <c r="D17" s="170">
        <f>'LU - Class A'!P45</f>
        <v>-1229.5900000000256</v>
      </c>
      <c r="E17" s="154"/>
      <c r="F17" s="157"/>
    </row>
    <row r="18" spans="1:6" x14ac:dyDescent="0.25">
      <c r="B18" s="166"/>
      <c r="C18" s="158"/>
      <c r="D18" s="154"/>
      <c r="F18" s="157"/>
    </row>
    <row r="19" spans="1:6" x14ac:dyDescent="0.25">
      <c r="B19" s="166"/>
      <c r="D19" s="154"/>
    </row>
    <row r="21" spans="1:6" x14ac:dyDescent="0.25">
      <c r="F21" s="172"/>
    </row>
  </sheetData>
  <mergeCells count="2">
    <mergeCell ref="C1:D1"/>
    <mergeCell ref="C3:D3"/>
  </mergeCells>
  <printOptions horizontalCentered="1" verticalCentered="1"/>
  <pageMargins left="0.74803149606299213" right="0.74803149606299213" top="1.5748031496062993" bottom="0.98425196850393704" header="0.51181102362204722" footer="0.51181102362204722"/>
  <pageSetup scale="85" orientation="landscape" r:id="rId1"/>
  <headerFooter differentOddEven="1" alignWithMargins="0">
    <oddHeader>&amp;R&amp;"Arial,Regular"&amp;10Enersource Hydro Mississauga Inc.
Filed:  August 16, 2013
2014 IRM Application
EB-2013-0124
Attachment C
Page &amp;P of &amp;N</oddHeader>
    <evenHeader>&amp;L&amp;"Arial,Regular"&amp;10Enersource Hydro Mississauga Inc.
Filed:  August 16, 2013
2014 IRM Application
EB-2013-0124
Attachment C
Page &amp;P of &amp;N</even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4"/>
  <sheetViews>
    <sheetView showGridLines="0" topLeftCell="A26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2851562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28515625" style="49" bestFit="1" customWidth="1"/>
    <col min="15" max="15" width="2.85546875" style="49" customWidth="1"/>
    <col min="16" max="16" width="8.85546875" style="49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80"/>
      <c r="O1" s="180"/>
      <c r="P1" s="272"/>
      <c r="Q1" s="272"/>
      <c r="R1" s="180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80"/>
      <c r="O2" s="180"/>
      <c r="P2" s="272"/>
      <c r="Q2" s="272"/>
      <c r="R2" s="180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80"/>
      <c r="O3" s="180"/>
      <c r="P3" s="272"/>
      <c r="Q3" s="272"/>
      <c r="R3" s="180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180"/>
      <c r="O4" s="180"/>
      <c r="P4" s="272"/>
      <c r="Q4" s="272"/>
      <c r="R4" s="180"/>
    </row>
    <row r="5" spans="2:18" s="44" customFormat="1" ht="15" customHeight="1" x14ac:dyDescent="0.25">
      <c r="E5" s="48"/>
      <c r="F5" s="48"/>
      <c r="G5" s="48"/>
      <c r="N5" s="180"/>
      <c r="O5" s="180"/>
      <c r="P5" s="272"/>
      <c r="Q5" s="272"/>
      <c r="R5" s="180"/>
    </row>
    <row r="6" spans="2:18" s="44" customFormat="1" ht="9" customHeight="1" x14ac:dyDescent="0.2">
      <c r="N6" s="180"/>
      <c r="O6" s="180"/>
      <c r="P6" s="180"/>
      <c r="Q6" s="180"/>
      <c r="R6" s="180"/>
    </row>
    <row r="7" spans="2:18" s="44" customFormat="1" x14ac:dyDescent="0.2">
      <c r="N7" s="180"/>
      <c r="O7" s="180"/>
      <c r="P7" s="272"/>
      <c r="Q7" s="272"/>
      <c r="R7" s="180"/>
    </row>
    <row r="8" spans="2:18" s="44" customFormat="1" ht="15" customHeight="1" x14ac:dyDescent="0.2">
      <c r="R8" s="180"/>
    </row>
    <row r="9" spans="2:18" ht="7.5" customHeight="1" x14ac:dyDescent="0.2">
      <c r="N9" s="180"/>
      <c r="O9" s="180"/>
      <c r="P9" s="180"/>
      <c r="Q9" s="180"/>
      <c r="R9" s="180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180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180"/>
    </row>
    <row r="12" spans="2:18" ht="7.5" customHeight="1" x14ac:dyDescent="0.2">
      <c r="N12" s="180"/>
      <c r="O12" s="180"/>
      <c r="P12" s="180"/>
      <c r="Q12" s="180"/>
      <c r="R12" s="180"/>
    </row>
    <row r="13" spans="2:18" ht="7.5" customHeight="1" x14ac:dyDescent="0.2">
      <c r="N13" s="180"/>
      <c r="O13" s="180"/>
      <c r="P13" s="180"/>
      <c r="Q13" s="180"/>
      <c r="R13" s="180"/>
    </row>
    <row r="14" spans="2:18" ht="15.75" x14ac:dyDescent="0.25">
      <c r="B14" s="50"/>
      <c r="D14" s="51" t="s">
        <v>38</v>
      </c>
      <c r="F14" s="292" t="s">
        <v>120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230</v>
      </c>
      <c r="I16" s="55" t="s">
        <v>85</v>
      </c>
      <c r="L16" s="56">
        <v>100000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K18" s="54"/>
      <c r="L18" s="286" t="str">
        <f>'RES-RPP'!L18:N18</f>
        <v>Proposed January 1, 2014</v>
      </c>
      <c r="M18" s="287"/>
      <c r="N18" s="288"/>
      <c r="O18" s="54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F20" s="275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65" t="s">
        <v>6</v>
      </c>
      <c r="E21" s="65"/>
      <c r="F21" s="66" t="s">
        <v>1</v>
      </c>
      <c r="G21" s="67"/>
      <c r="H21" s="235">
        <f>+'Rates Detail'!I126</f>
        <v>69.540000000000006</v>
      </c>
      <c r="I21" s="185">
        <v>1</v>
      </c>
      <c r="J21" s="225">
        <f>I21*H21</f>
        <v>69.540000000000006</v>
      </c>
      <c r="K21" s="149"/>
      <c r="L21" s="235">
        <f>+'Rates Detail'!J126</f>
        <v>70.22</v>
      </c>
      <c r="M21" s="185">
        <v>1</v>
      </c>
      <c r="N21" s="225">
        <f>M21*L21</f>
        <v>70.22</v>
      </c>
      <c r="O21" s="149"/>
      <c r="P21" s="193">
        <f>N21-J21</f>
        <v>0.67999999999999261</v>
      </c>
      <c r="Q21" s="234">
        <f>IF((J21)=0,"",(P21/J21))</f>
        <v>9.778544722461785E-3</v>
      </c>
    </row>
    <row r="22" spans="2:17" x14ac:dyDescent="0.2">
      <c r="D22" s="65" t="s">
        <v>56</v>
      </c>
      <c r="E22" s="65"/>
      <c r="F22" s="66" t="s">
        <v>1</v>
      </c>
      <c r="G22" s="67"/>
      <c r="H22" s="235">
        <f>+'Rates Detail'!I127</f>
        <v>23.56</v>
      </c>
      <c r="I22" s="185">
        <v>1</v>
      </c>
      <c r="J22" s="225">
        <f>I22*H22</f>
        <v>23.56</v>
      </c>
      <c r="K22" s="149"/>
      <c r="L22" s="235">
        <f>+'Rates Detail'!J127</f>
        <v>0</v>
      </c>
      <c r="M22" s="185">
        <v>1</v>
      </c>
      <c r="N22" s="225">
        <f>M22*L22</f>
        <v>0</v>
      </c>
      <c r="O22" s="149"/>
      <c r="P22" s="193">
        <f>N22-J22</f>
        <v>-23.56</v>
      </c>
      <c r="Q22" s="234">
        <f>IF((J22)=0,"",(P22/J22))</f>
        <v>-1</v>
      </c>
    </row>
    <row r="23" spans="2:17" x14ac:dyDescent="0.2">
      <c r="D23" s="65" t="s">
        <v>53</v>
      </c>
      <c r="E23" s="65"/>
      <c r="F23" s="66" t="s">
        <v>1</v>
      </c>
      <c r="G23" s="67"/>
      <c r="H23" s="235">
        <f>+'Rates Detail'!I128</f>
        <v>-0.13</v>
      </c>
      <c r="I23" s="185">
        <v>1</v>
      </c>
      <c r="J23" s="225">
        <f>I23*H23</f>
        <v>-0.13</v>
      </c>
      <c r="K23" s="149"/>
      <c r="L23" s="235">
        <f>+'Rates Detail'!J128</f>
        <v>0</v>
      </c>
      <c r="M23" s="185">
        <v>1</v>
      </c>
      <c r="N23" s="225">
        <f>M23*L23</f>
        <v>0</v>
      </c>
      <c r="O23" s="149"/>
      <c r="P23" s="193">
        <f>N23-J23</f>
        <v>0.13</v>
      </c>
      <c r="Q23" s="234">
        <f>IF((J23)=0,"",(P23/J23))</f>
        <v>-1</v>
      </c>
    </row>
    <row r="24" spans="2:17" x14ac:dyDescent="0.2">
      <c r="D24" s="65" t="s">
        <v>50</v>
      </c>
      <c r="E24" s="65"/>
      <c r="F24" s="66" t="s">
        <v>1</v>
      </c>
      <c r="G24" s="67"/>
      <c r="H24" s="235">
        <f>+'Rates Detail'!I130</f>
        <v>0</v>
      </c>
      <c r="I24" s="185">
        <v>1</v>
      </c>
      <c r="J24" s="225">
        <f t="shared" ref="J24:J31" si="0">I24*H24</f>
        <v>0</v>
      </c>
      <c r="K24" s="149"/>
      <c r="L24" s="224"/>
      <c r="M24" s="185">
        <v>1</v>
      </c>
      <c r="N24" s="225">
        <f>M24*L24</f>
        <v>0</v>
      </c>
      <c r="O24" s="149"/>
      <c r="P24" s="193">
        <f>N24-J24</f>
        <v>0</v>
      </c>
      <c r="Q24" s="234" t="str">
        <f>IF((J24)=0,"",(P24/J24))</f>
        <v/>
      </c>
    </row>
    <row r="25" spans="2:17" x14ac:dyDescent="0.2">
      <c r="D25" s="65" t="s">
        <v>12</v>
      </c>
      <c r="E25" s="65"/>
      <c r="F25" s="66" t="s">
        <v>86</v>
      </c>
      <c r="G25" s="67"/>
      <c r="H25" s="224">
        <f>+'Rates Detail'!I133</f>
        <v>4.1852999999999998</v>
      </c>
      <c r="I25" s="185">
        <f>H16</f>
        <v>230</v>
      </c>
      <c r="J25" s="225">
        <f t="shared" si="0"/>
        <v>962.61899999999991</v>
      </c>
      <c r="K25" s="149"/>
      <c r="L25" s="224">
        <f>+'Rates Detail'!J133</f>
        <v>4.2263000000000002</v>
      </c>
      <c r="M25" s="185">
        <f>H16</f>
        <v>230</v>
      </c>
      <c r="N25" s="225">
        <f t="shared" ref="N25:N31" si="1">M25*L25</f>
        <v>972.04900000000009</v>
      </c>
      <c r="O25" s="149"/>
      <c r="P25" s="193">
        <f t="shared" ref="P25:P48" si="2">N25-J25</f>
        <v>9.4300000000001774</v>
      </c>
      <c r="Q25" s="234">
        <f t="shared" ref="Q25:Q48" si="3">IF((J25)=0,"",(P25/J25))</f>
        <v>9.7961914319166545E-3</v>
      </c>
    </row>
    <row r="26" spans="2:17" x14ac:dyDescent="0.2">
      <c r="D26" s="65" t="s">
        <v>52</v>
      </c>
      <c r="E26" s="65"/>
      <c r="F26" s="66" t="s">
        <v>86</v>
      </c>
      <c r="G26" s="67"/>
      <c r="H26" s="224">
        <f>+'Rates Detail'!I149</f>
        <v>8.0199999999999994E-2</v>
      </c>
      <c r="I26" s="185">
        <f t="shared" ref="I26" si="4">I25</f>
        <v>230</v>
      </c>
      <c r="J26" s="225">
        <f t="shared" si="0"/>
        <v>18.445999999999998</v>
      </c>
      <c r="K26" s="149"/>
      <c r="L26" s="224">
        <f>+'Rates Detail'!J149</f>
        <v>8.0199999999999994E-2</v>
      </c>
      <c r="M26" s="185">
        <f t="shared" ref="M26" si="5">M25</f>
        <v>230</v>
      </c>
      <c r="N26" s="225">
        <f t="shared" si="1"/>
        <v>18.445999999999998</v>
      </c>
      <c r="O26" s="149"/>
      <c r="P26" s="193">
        <f t="shared" si="2"/>
        <v>0</v>
      </c>
      <c r="Q26" s="234">
        <f t="shared" si="3"/>
        <v>0</v>
      </c>
    </row>
    <row r="27" spans="2:17" x14ac:dyDescent="0.2">
      <c r="D27" s="65" t="s">
        <v>54</v>
      </c>
      <c r="E27" s="65"/>
      <c r="F27" s="66" t="s">
        <v>86</v>
      </c>
      <c r="G27" s="67"/>
      <c r="H27" s="224">
        <f>+'Rates Detail'!I141</f>
        <v>3.9199999999999999E-2</v>
      </c>
      <c r="I27" s="185">
        <v>230</v>
      </c>
      <c r="J27" s="225">
        <f>I27*H27</f>
        <v>9.016</v>
      </c>
      <c r="K27" s="149"/>
      <c r="L27" s="224">
        <f>+'Rates Detail'!J141</f>
        <v>3.9199999999999999E-2</v>
      </c>
      <c r="M27" s="185">
        <f>+I27</f>
        <v>230</v>
      </c>
      <c r="N27" s="225">
        <f t="shared" si="1"/>
        <v>9.016</v>
      </c>
      <c r="O27" s="149"/>
      <c r="P27" s="193">
        <f t="shared" si="2"/>
        <v>0</v>
      </c>
      <c r="Q27" s="234">
        <f t="shared" si="3"/>
        <v>0</v>
      </c>
    </row>
    <row r="28" spans="2:17" x14ac:dyDescent="0.2">
      <c r="D28" s="65" t="s">
        <v>96</v>
      </c>
      <c r="E28" s="65"/>
      <c r="F28" s="66" t="s">
        <v>86</v>
      </c>
      <c r="G28" s="67"/>
      <c r="H28" s="224">
        <f>'Rates Detail'!I140</f>
        <v>3.7000000000000002E-3</v>
      </c>
      <c r="I28" s="185">
        <f>H16</f>
        <v>230</v>
      </c>
      <c r="J28" s="225">
        <f>I28*H28</f>
        <v>0.85100000000000009</v>
      </c>
      <c r="K28" s="149"/>
      <c r="L28" s="224">
        <f>'Rates Detail'!J140</f>
        <v>0</v>
      </c>
      <c r="M28" s="185">
        <v>230</v>
      </c>
      <c r="N28" s="225">
        <f>M28*L28</f>
        <v>0</v>
      </c>
      <c r="O28" s="149"/>
      <c r="P28" s="193">
        <f>N28-J28</f>
        <v>-0.85100000000000009</v>
      </c>
      <c r="Q28" s="234">
        <f>IF((J28)=0,"",(P28/J28))</f>
        <v>-1</v>
      </c>
    </row>
    <row r="29" spans="2:17" x14ac:dyDescent="0.2">
      <c r="D29" s="177" t="s">
        <v>118</v>
      </c>
      <c r="E29" s="65"/>
      <c r="F29" s="66" t="s">
        <v>51</v>
      </c>
      <c r="G29" s="67"/>
      <c r="H29" s="236">
        <f>+J29/I29</f>
        <v>9.0902499999999997E-2</v>
      </c>
      <c r="I29" s="185">
        <f>SUM(I41:I42)*H50</f>
        <v>3599.9999999999995</v>
      </c>
      <c r="J29" s="225">
        <f>SUM(J41:J42)*H50</f>
        <v>327.24899999999997</v>
      </c>
      <c r="K29" s="149"/>
      <c r="L29" s="236">
        <f>+N29/M29</f>
        <v>9.0902499999999997E-2</v>
      </c>
      <c r="M29" s="185">
        <f>SUM(M41:M42)*L50</f>
        <v>3599.9999999999995</v>
      </c>
      <c r="N29" s="225">
        <f>SUM(N41:N42)*L50</f>
        <v>327.24899999999997</v>
      </c>
      <c r="O29" s="149"/>
      <c r="P29" s="193">
        <f>N29-J29</f>
        <v>0</v>
      </c>
      <c r="Q29" s="234">
        <f>IF((J29)=0,"",(P29/J29))</f>
        <v>0</v>
      </c>
    </row>
    <row r="30" spans="2:17" ht="25.5" x14ac:dyDescent="0.2">
      <c r="D30" s="75" t="s">
        <v>55</v>
      </c>
      <c r="E30" s="65"/>
      <c r="F30" s="66" t="s">
        <v>86</v>
      </c>
      <c r="G30" s="67"/>
      <c r="H30" s="224">
        <f>+SUM('Rates Detail'!I135:I138,'Rates Detail'!I143:I144)</f>
        <v>-1.1377999999999999</v>
      </c>
      <c r="I30" s="185">
        <f>I27</f>
        <v>230</v>
      </c>
      <c r="J30" s="225">
        <f>I30*H30</f>
        <v>-261.69399999999996</v>
      </c>
      <c r="K30" s="149"/>
      <c r="L30" s="224">
        <f>+SUM('Rates Detail'!J135:J139,'Rates Detail'!J143:J144)+'Rates Detail'!J145</f>
        <v>-2.2115999999999998</v>
      </c>
      <c r="M30" s="185">
        <f>+I30</f>
        <v>230</v>
      </c>
      <c r="N30" s="225">
        <f t="shared" si="1"/>
        <v>-508.66799999999995</v>
      </c>
      <c r="O30" s="149"/>
      <c r="P30" s="193">
        <f t="shared" si="2"/>
        <v>-246.97399999999999</v>
      </c>
      <c r="Q30" s="234">
        <f t="shared" si="3"/>
        <v>0.94375109861135531</v>
      </c>
    </row>
    <row r="31" spans="2:17" ht="13.5" thickBot="1" x14ac:dyDescent="0.25">
      <c r="D31" s="76"/>
      <c r="E31" s="65"/>
      <c r="F31" s="66"/>
      <c r="G31" s="67"/>
      <c r="H31" s="224"/>
      <c r="I31" s="194"/>
      <c r="J31" s="225">
        <f t="shared" si="0"/>
        <v>0</v>
      </c>
      <c r="K31" s="149"/>
      <c r="L31" s="224"/>
      <c r="M31" s="195"/>
      <c r="N31" s="225">
        <f t="shared" si="1"/>
        <v>0</v>
      </c>
      <c r="O31" s="149"/>
      <c r="P31" s="193">
        <f t="shared" si="2"/>
        <v>0</v>
      </c>
      <c r="Q31" s="234" t="str">
        <f t="shared" si="3"/>
        <v/>
      </c>
    </row>
    <row r="32" spans="2:17" ht="13.5" thickBot="1" x14ac:dyDescent="0.25">
      <c r="D32" s="55" t="s">
        <v>57</v>
      </c>
      <c r="G32" s="79"/>
      <c r="H32" s="196"/>
      <c r="I32" s="197"/>
      <c r="J32" s="82">
        <f>SUM(J21:J31)</f>
        <v>1149.4570000000001</v>
      </c>
      <c r="K32" s="54"/>
      <c r="L32" s="196"/>
      <c r="M32" s="198"/>
      <c r="N32" s="82">
        <f>SUM(N21:N31)</f>
        <v>888.31200000000013</v>
      </c>
      <c r="O32" s="54"/>
      <c r="P32" s="84">
        <f t="shared" si="2"/>
        <v>-261.14499999999998</v>
      </c>
      <c r="Q32" s="85">
        <f t="shared" si="3"/>
        <v>-0.22718988183116023</v>
      </c>
    </row>
    <row r="33" spans="4:17" x14ac:dyDescent="0.2">
      <c r="D33" s="86" t="s">
        <v>58</v>
      </c>
      <c r="E33" s="86"/>
      <c r="F33" s="66" t="s">
        <v>86</v>
      </c>
      <c r="G33" s="88"/>
      <c r="H33" s="226">
        <f>+'Rates Detail'!I151</f>
        <v>2.6160000000000001</v>
      </c>
      <c r="I33" s="199">
        <f>+H16</f>
        <v>230</v>
      </c>
      <c r="J33" s="227">
        <f>I33*H33</f>
        <v>601.68000000000006</v>
      </c>
      <c r="K33" s="200"/>
      <c r="L33" s="226">
        <f>+'Rates Detail'!J151</f>
        <v>2.74</v>
      </c>
      <c r="M33" s="201">
        <f>+I33</f>
        <v>230</v>
      </c>
      <c r="N33" s="227">
        <f>M33*L33</f>
        <v>630.20000000000005</v>
      </c>
      <c r="O33" s="200"/>
      <c r="P33" s="202">
        <f t="shared" si="2"/>
        <v>28.519999999999982</v>
      </c>
      <c r="Q33" s="228">
        <f t="shared" si="3"/>
        <v>4.740061162079507E-2</v>
      </c>
    </row>
    <row r="34" spans="4:17" ht="26.25" thickBot="1" x14ac:dyDescent="0.25">
      <c r="D34" s="95" t="s">
        <v>59</v>
      </c>
      <c r="E34" s="86"/>
      <c r="F34" s="66" t="s">
        <v>86</v>
      </c>
      <c r="G34" s="88"/>
      <c r="H34" s="226">
        <f>+'Rates Detail'!I152</f>
        <v>2.0283000000000002</v>
      </c>
      <c r="I34" s="199">
        <f>I33</f>
        <v>230</v>
      </c>
      <c r="J34" s="227">
        <f>I34*H34</f>
        <v>466.50900000000007</v>
      </c>
      <c r="K34" s="200"/>
      <c r="L34" s="226">
        <f>+'Rates Detail'!J152</f>
        <v>2.0470000000000002</v>
      </c>
      <c r="M34" s="201">
        <f>M33</f>
        <v>230</v>
      </c>
      <c r="N34" s="227">
        <f>M34*L34</f>
        <v>470.81000000000006</v>
      </c>
      <c r="O34" s="200"/>
      <c r="P34" s="202">
        <f t="shared" si="2"/>
        <v>4.3009999999999877</v>
      </c>
      <c r="Q34" s="228">
        <f t="shared" si="3"/>
        <v>9.2195434600404001E-3</v>
      </c>
    </row>
    <row r="35" spans="4:17" ht="26.25" thickBot="1" x14ac:dyDescent="0.25">
      <c r="D35" s="96" t="s">
        <v>60</v>
      </c>
      <c r="E35" s="65"/>
      <c r="F35" s="65"/>
      <c r="G35" s="67"/>
      <c r="H35" s="203"/>
      <c r="I35" s="204"/>
      <c r="J35" s="99">
        <f>SUM(J32:J34)</f>
        <v>2217.6460000000002</v>
      </c>
      <c r="K35" s="100"/>
      <c r="L35" s="101"/>
      <c r="M35" s="102"/>
      <c r="N35" s="99">
        <f>SUM(N32:N34)</f>
        <v>1989.3220000000001</v>
      </c>
      <c r="O35" s="100"/>
      <c r="P35" s="103">
        <f t="shared" si="2"/>
        <v>-228.32400000000007</v>
      </c>
      <c r="Q35" s="104">
        <f t="shared" si="3"/>
        <v>-0.10295782104086948</v>
      </c>
    </row>
    <row r="36" spans="4:17" ht="25.5" x14ac:dyDescent="0.2">
      <c r="D36" s="75" t="s">
        <v>61</v>
      </c>
      <c r="E36" s="65"/>
      <c r="F36" s="66" t="s">
        <v>51</v>
      </c>
      <c r="G36" s="67"/>
      <c r="H36" s="147">
        <f>+'Rates Detail'!I155</f>
        <v>4.4000000000000003E-3</v>
      </c>
      <c r="I36" s="233">
        <f>ROUND(L16*(1+H50),0)+1</f>
        <v>103601</v>
      </c>
      <c r="J36" s="205">
        <f>I36*H36</f>
        <v>455.84440000000001</v>
      </c>
      <c r="K36" s="149"/>
      <c r="L36" s="147">
        <f>+'Rates Detail'!J155</f>
        <v>4.4000000000000003E-3</v>
      </c>
      <c r="M36" s="187">
        <f>+I36</f>
        <v>103601</v>
      </c>
      <c r="N36" s="205">
        <f>M36*L36</f>
        <v>455.84440000000001</v>
      </c>
      <c r="O36" s="149"/>
      <c r="P36" s="193">
        <f t="shared" si="2"/>
        <v>0</v>
      </c>
      <c r="Q36" s="206">
        <f t="shared" si="3"/>
        <v>0</v>
      </c>
    </row>
    <row r="37" spans="4:17" ht="25.5" x14ac:dyDescent="0.2">
      <c r="D37" s="75" t="s">
        <v>62</v>
      </c>
      <c r="E37" s="65"/>
      <c r="F37" s="66" t="s">
        <v>51</v>
      </c>
      <c r="G37" s="67"/>
      <c r="H37" s="147">
        <f>+'Rates Detail'!I156</f>
        <v>1.1999999999999999E-3</v>
      </c>
      <c r="I37" s="185">
        <f>+I36</f>
        <v>103601</v>
      </c>
      <c r="J37" s="205">
        <f t="shared" ref="J37:J43" si="6">I37*H37</f>
        <v>124.32119999999999</v>
      </c>
      <c r="K37" s="149"/>
      <c r="L37" s="147">
        <f>+'Rates Detail'!J156</f>
        <v>1.1999999999999999E-3</v>
      </c>
      <c r="M37" s="187">
        <f>+M36</f>
        <v>103601</v>
      </c>
      <c r="N37" s="205">
        <f t="shared" ref="N37:N43" si="7">M37*L37</f>
        <v>124.32119999999999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75" t="s">
        <v>63</v>
      </c>
      <c r="E38" s="65"/>
      <c r="F38" s="66"/>
      <c r="G38" s="67"/>
      <c r="H38" s="148"/>
      <c r="I38" s="185">
        <f>+I37</f>
        <v>103601</v>
      </c>
      <c r="J38" s="205">
        <f t="shared" si="6"/>
        <v>0</v>
      </c>
      <c r="K38" s="149"/>
      <c r="L38" s="148"/>
      <c r="M38" s="187">
        <f>M34</f>
        <v>230</v>
      </c>
      <c r="N38" s="205">
        <f t="shared" si="7"/>
        <v>0</v>
      </c>
      <c r="O38" s="149"/>
      <c r="P38" s="193">
        <f t="shared" si="2"/>
        <v>0</v>
      </c>
      <c r="Q38" s="206" t="str">
        <f t="shared" si="3"/>
        <v/>
      </c>
    </row>
    <row r="39" spans="4:17" x14ac:dyDescent="0.2">
      <c r="D39" s="65" t="s">
        <v>64</v>
      </c>
      <c r="E39" s="65"/>
      <c r="F39" s="66" t="s">
        <v>1</v>
      </c>
      <c r="G39" s="67"/>
      <c r="H39" s="147">
        <v>0.25</v>
      </c>
      <c r="I39" s="185">
        <v>1</v>
      </c>
      <c r="J39" s="205">
        <f t="shared" si="6"/>
        <v>0.25</v>
      </c>
      <c r="K39" s="149"/>
      <c r="L39" s="147">
        <v>0.25</v>
      </c>
      <c r="M39" s="187">
        <v>1</v>
      </c>
      <c r="N39" s="205">
        <f t="shared" si="7"/>
        <v>0.25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65</v>
      </c>
      <c r="E40" s="65"/>
      <c r="F40" s="66" t="s">
        <v>51</v>
      </c>
      <c r="G40" s="67"/>
      <c r="H40" s="147">
        <v>7.0000000000000001E-3</v>
      </c>
      <c r="I40" s="185">
        <f>+L16</f>
        <v>100000</v>
      </c>
      <c r="J40" s="205">
        <f t="shared" si="6"/>
        <v>700</v>
      </c>
      <c r="K40" s="149"/>
      <c r="L40" s="147">
        <f t="shared" ref="L40:M42" si="8">+H40</f>
        <v>7.0000000000000001E-3</v>
      </c>
      <c r="M40" s="187">
        <f t="shared" si="8"/>
        <v>100000</v>
      </c>
      <c r="N40" s="205">
        <f t="shared" si="7"/>
        <v>700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65" t="s">
        <v>66</v>
      </c>
      <c r="E41" s="65"/>
      <c r="F41" s="66" t="s">
        <v>51</v>
      </c>
      <c r="G41" s="67"/>
      <c r="H41" s="147">
        <v>7.8E-2</v>
      </c>
      <c r="I41" s="185">
        <v>750</v>
      </c>
      <c r="J41" s="205">
        <f t="shared" si="6"/>
        <v>58.5</v>
      </c>
      <c r="K41" s="149"/>
      <c r="L41" s="147">
        <f t="shared" si="8"/>
        <v>7.8E-2</v>
      </c>
      <c r="M41" s="187">
        <f t="shared" si="8"/>
        <v>750</v>
      </c>
      <c r="N41" s="205">
        <f t="shared" si="7"/>
        <v>58.5</v>
      </c>
      <c r="O41" s="149"/>
      <c r="P41" s="193">
        <f t="shared" si="2"/>
        <v>0</v>
      </c>
      <c r="Q41" s="206">
        <f t="shared" si="3"/>
        <v>0</v>
      </c>
    </row>
    <row r="42" spans="4:17" x14ac:dyDescent="0.2">
      <c r="D42" s="110" t="s">
        <v>66</v>
      </c>
      <c r="E42" s="65"/>
      <c r="F42" s="66" t="s">
        <v>51</v>
      </c>
      <c r="G42" s="67"/>
      <c r="H42" s="147">
        <v>9.0999999999999998E-2</v>
      </c>
      <c r="I42" s="207">
        <f>+ROUND(I40-I41,0)</f>
        <v>99250</v>
      </c>
      <c r="J42" s="205">
        <f t="shared" si="6"/>
        <v>9031.75</v>
      </c>
      <c r="K42" s="149"/>
      <c r="L42" s="147">
        <f t="shared" si="8"/>
        <v>9.0999999999999998E-2</v>
      </c>
      <c r="M42" s="208">
        <f t="shared" si="8"/>
        <v>99250</v>
      </c>
      <c r="N42" s="205">
        <f t="shared" si="7"/>
        <v>9031.75</v>
      </c>
      <c r="O42" s="149"/>
      <c r="P42" s="193">
        <f t="shared" si="2"/>
        <v>0</v>
      </c>
      <c r="Q42" s="206">
        <f t="shared" si="3"/>
        <v>0</v>
      </c>
    </row>
    <row r="43" spans="4:17" ht="13.5" thickBot="1" x14ac:dyDescent="0.25">
      <c r="D43" s="76"/>
      <c r="E43" s="65"/>
      <c r="F43" s="66"/>
      <c r="G43" s="67"/>
      <c r="H43" s="147"/>
      <c r="I43" s="194"/>
      <c r="J43" s="205">
        <f t="shared" si="6"/>
        <v>0</v>
      </c>
      <c r="K43" s="149"/>
      <c r="L43" s="147"/>
      <c r="M43" s="195"/>
      <c r="N43" s="205">
        <f t="shared" si="7"/>
        <v>0</v>
      </c>
      <c r="O43" s="149"/>
      <c r="P43" s="193">
        <f t="shared" si="2"/>
        <v>0</v>
      </c>
      <c r="Q43" s="206" t="str">
        <f t="shared" si="3"/>
        <v/>
      </c>
    </row>
    <row r="44" spans="4:17" ht="13.5" thickBot="1" x14ac:dyDescent="0.25">
      <c r="D44" s="113" t="s">
        <v>67</v>
      </c>
      <c r="E44" s="65"/>
      <c r="F44" s="65"/>
      <c r="G44" s="65"/>
      <c r="H44" s="209"/>
      <c r="I44" s="210"/>
      <c r="J44" s="99">
        <f>SUM(J35:J43)</f>
        <v>12588.311600000001</v>
      </c>
      <c r="K44" s="100"/>
      <c r="L44" s="116"/>
      <c r="M44" s="117"/>
      <c r="N44" s="99">
        <f>SUM(N35:N43)</f>
        <v>12359.9876</v>
      </c>
      <c r="O44" s="100"/>
      <c r="P44" s="103">
        <f t="shared" si="2"/>
        <v>-228.32400000000052</v>
      </c>
      <c r="Q44" s="104">
        <f t="shared" si="3"/>
        <v>-1.8137777905021076E-2</v>
      </c>
    </row>
    <row r="45" spans="4:17" ht="13.5" thickBot="1" x14ac:dyDescent="0.25">
      <c r="D45" s="67" t="s">
        <v>68</v>
      </c>
      <c r="E45" s="65"/>
      <c r="F45" s="65"/>
      <c r="G45" s="65"/>
      <c r="H45" s="211">
        <v>0.13</v>
      </c>
      <c r="I45" s="212"/>
      <c r="J45" s="213">
        <f>J44*H45</f>
        <v>1636.4805080000001</v>
      </c>
      <c r="K45" s="149"/>
      <c r="L45" s="211">
        <v>0.13</v>
      </c>
      <c r="M45" s="214"/>
      <c r="N45" s="213">
        <f>N44*L45</f>
        <v>1606.7983880000002</v>
      </c>
      <c r="O45" s="149"/>
      <c r="P45" s="193">
        <f t="shared" si="2"/>
        <v>-29.682119999999941</v>
      </c>
      <c r="Q45" s="206">
        <f t="shared" si="3"/>
        <v>-1.8137777905021E-2</v>
      </c>
    </row>
    <row r="46" spans="4:17" ht="26.25" thickBot="1" x14ac:dyDescent="0.25">
      <c r="D46" s="96" t="s">
        <v>69</v>
      </c>
      <c r="E46" s="65"/>
      <c r="F46" s="65"/>
      <c r="G46" s="65"/>
      <c r="H46" s="203"/>
      <c r="I46" s="204"/>
      <c r="J46" s="99">
        <f>ROUND(SUM(J44:J45),2)</f>
        <v>14224.79</v>
      </c>
      <c r="K46" s="100"/>
      <c r="L46" s="101"/>
      <c r="M46" s="102"/>
      <c r="N46" s="99">
        <f>ROUND(SUM(N44:N45),2)</f>
        <v>13966.79</v>
      </c>
      <c r="O46" s="100"/>
      <c r="P46" s="103">
        <f t="shared" si="2"/>
        <v>-258</v>
      </c>
      <c r="Q46" s="104">
        <f t="shared" si="3"/>
        <v>-1.8137350358072069E-2</v>
      </c>
    </row>
    <row r="47" spans="4:17" ht="27.75" thickBot="1" x14ac:dyDescent="0.25">
      <c r="D47" s="122" t="s">
        <v>70</v>
      </c>
      <c r="E47" s="65"/>
      <c r="F47" s="65"/>
      <c r="G47" s="65"/>
      <c r="H47" s="203"/>
      <c r="I47" s="215"/>
      <c r="J47" s="99">
        <v>0</v>
      </c>
      <c r="K47" s="100"/>
      <c r="L47" s="101"/>
      <c r="M47" s="102"/>
      <c r="N47" s="99">
        <v>0</v>
      </c>
      <c r="O47" s="100"/>
      <c r="P47" s="103">
        <f t="shared" si="2"/>
        <v>0</v>
      </c>
      <c r="Q47" s="104" t="str">
        <f t="shared" si="3"/>
        <v/>
      </c>
    </row>
    <row r="48" spans="4:17" ht="13.5" thickBot="1" x14ac:dyDescent="0.25">
      <c r="D48" s="96" t="s">
        <v>71</v>
      </c>
      <c r="E48" s="65"/>
      <c r="F48" s="65"/>
      <c r="G48" s="65"/>
      <c r="H48" s="216"/>
      <c r="I48" s="217"/>
      <c r="J48" s="126">
        <f>J46+J47</f>
        <v>14224.79</v>
      </c>
      <c r="K48" s="100"/>
      <c r="L48" s="127"/>
      <c r="M48" s="128"/>
      <c r="N48" s="126">
        <f>N46+N47</f>
        <v>13966.79</v>
      </c>
      <c r="O48" s="100"/>
      <c r="P48" s="129">
        <f t="shared" si="2"/>
        <v>-258</v>
      </c>
      <c r="Q48" s="130">
        <f t="shared" si="3"/>
        <v>-1.8137350358072069E-2</v>
      </c>
    </row>
    <row r="49" spans="2:17" ht="10.5" customHeight="1" x14ac:dyDescent="0.2"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2:17" x14ac:dyDescent="0.2">
      <c r="D50" s="55" t="s">
        <v>72</v>
      </c>
      <c r="H50" s="218">
        <v>3.5999999999999997E-2</v>
      </c>
      <c r="I50" s="54"/>
      <c r="J50" s="54"/>
      <c r="K50" s="54"/>
      <c r="L50" s="219">
        <f>+H50</f>
        <v>3.5999999999999997E-2</v>
      </c>
      <c r="M50" s="54"/>
      <c r="N50" s="54"/>
      <c r="O50" s="54"/>
      <c r="P50" s="54"/>
      <c r="Q50" s="54"/>
    </row>
    <row r="51" spans="2:17" ht="10.5" customHeight="1" x14ac:dyDescent="0.2"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2:17" ht="10.5" customHeight="1" x14ac:dyDescent="0.2">
      <c r="C52" s="133" t="s">
        <v>73</v>
      </c>
    </row>
    <row r="53" spans="2:17" ht="10.5" customHeight="1" x14ac:dyDescent="0.2"/>
    <row r="54" spans="2:17" x14ac:dyDescent="0.2">
      <c r="B54" s="55"/>
      <c r="C54" s="49" t="s">
        <v>74</v>
      </c>
    </row>
    <row r="55" spans="2:17" x14ac:dyDescent="0.2">
      <c r="C55" s="49" t="s">
        <v>75</v>
      </c>
    </row>
    <row r="57" spans="2:17" x14ac:dyDescent="0.2">
      <c r="C57" s="49" t="s">
        <v>76</v>
      </c>
    </row>
    <row r="58" spans="2:17" x14ac:dyDescent="0.2">
      <c r="C58" s="49" t="s">
        <v>77</v>
      </c>
    </row>
    <row r="60" spans="2:17" x14ac:dyDescent="0.2">
      <c r="C60" s="49" t="s">
        <v>78</v>
      </c>
    </row>
    <row r="61" spans="2:17" x14ac:dyDescent="0.2">
      <c r="C61" s="49" t="s">
        <v>79</v>
      </c>
    </row>
    <row r="62" spans="2:17" x14ac:dyDescent="0.2">
      <c r="C62" s="49" t="s">
        <v>80</v>
      </c>
    </row>
    <row r="63" spans="2:17" x14ac:dyDescent="0.2">
      <c r="C63" s="49" t="s">
        <v>81</v>
      </c>
    </row>
    <row r="64" spans="2:17" x14ac:dyDescent="0.2">
      <c r="C64" s="49" t="s">
        <v>82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prompt="Select Charge Unit - monthly, per kWh, per kW" sqref="F36:F43 F33:F34 F21:F31">
      <formula1>"Monthly, per kWh, per kW"</formula1>
    </dataValidation>
    <dataValidation type="list" allowBlank="1" showInputMessage="1" showErrorMessage="1" sqref="G33:G34 G36:G43 G21:G31">
      <formula1>$B$14:$B$19</formula1>
    </dataValidation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1"/>
  <sheetViews>
    <sheetView showGridLines="0" topLeftCell="A26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570312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5703125" style="49" bestFit="1" customWidth="1"/>
    <col min="15" max="15" width="2.85546875" style="49" customWidth="1"/>
    <col min="16" max="16" width="10.28515625" style="49" bestFit="1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92" t="s">
        <v>121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2250</v>
      </c>
      <c r="I16" s="55" t="s">
        <v>85</v>
      </c>
      <c r="L16" s="56">
        <v>400000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tr">
        <f>'GS50-499INT'!H18:J18</f>
        <v>Current Board-Approved (July 1 2013)</v>
      </c>
      <c r="I18" s="284"/>
      <c r="J18" s="285"/>
      <c r="L18" s="286" t="str">
        <f>'GS50-499INT'!L18:N18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L19" s="60" t="s">
        <v>44</v>
      </c>
      <c r="M19" s="62" t="s">
        <v>45</v>
      </c>
      <c r="N19" s="61" t="s">
        <v>46</v>
      </c>
      <c r="P19" s="276" t="s">
        <v>47</v>
      </c>
      <c r="Q19" s="278" t="s">
        <v>48</v>
      </c>
    </row>
    <row r="20" spans="2:17" x14ac:dyDescent="0.2">
      <c r="B20" s="57"/>
      <c r="D20" s="54"/>
      <c r="F20" s="275"/>
      <c r="G20" s="59"/>
      <c r="H20" s="63" t="s">
        <v>49</v>
      </c>
      <c r="I20" s="63"/>
      <c r="J20" s="64" t="s">
        <v>49</v>
      </c>
      <c r="L20" s="63" t="s">
        <v>49</v>
      </c>
      <c r="M20" s="64"/>
      <c r="N20" s="64" t="s">
        <v>49</v>
      </c>
      <c r="P20" s="277"/>
      <c r="Q20" s="279"/>
    </row>
    <row r="21" spans="2:17" x14ac:dyDescent="0.2">
      <c r="D21" s="149" t="s">
        <v>6</v>
      </c>
      <c r="E21" s="149"/>
      <c r="F21" s="229" t="s">
        <v>1</v>
      </c>
      <c r="G21" s="186"/>
      <c r="H21" s="235">
        <f>+'Rates Detail'!I167</f>
        <v>1583.69</v>
      </c>
      <c r="I21" s="185">
        <v>1</v>
      </c>
      <c r="J21" s="225">
        <f>I21*H21</f>
        <v>1583.69</v>
      </c>
      <c r="K21" s="149"/>
      <c r="L21" s="235">
        <f>+'Rates Detail'!J167</f>
        <v>1599.21</v>
      </c>
      <c r="M21" s="187">
        <v>1</v>
      </c>
      <c r="N21" s="225">
        <f>M21*L21</f>
        <v>1599.21</v>
      </c>
      <c r="O21" s="149"/>
      <c r="P21" s="193">
        <f>N21-J21</f>
        <v>15.519999999999982</v>
      </c>
      <c r="Q21" s="234">
        <f>IF((J21)=0,"",(P21/J21))</f>
        <v>9.7998977072533012E-3</v>
      </c>
    </row>
    <row r="22" spans="2:17" x14ac:dyDescent="0.2">
      <c r="D22" s="149" t="s">
        <v>12</v>
      </c>
      <c r="E22" s="149"/>
      <c r="F22" s="229" t="s">
        <v>86</v>
      </c>
      <c r="G22" s="186"/>
      <c r="H22" s="224">
        <f>+'Rates Detail'!I174</f>
        <v>2.1536</v>
      </c>
      <c r="I22" s="185">
        <f>H16</f>
        <v>2250</v>
      </c>
      <c r="J22" s="225">
        <f t="shared" ref="J22:J28" si="0">I22*H22</f>
        <v>4845.5999999999995</v>
      </c>
      <c r="K22" s="149"/>
      <c r="L22" s="224">
        <f>+'Rates Detail'!J174</f>
        <v>2.1747000000000001</v>
      </c>
      <c r="M22" s="187">
        <f>H16</f>
        <v>2250</v>
      </c>
      <c r="N22" s="225">
        <f t="shared" ref="N22:N28" si="1">M22*L22</f>
        <v>4893.0749999999998</v>
      </c>
      <c r="O22" s="149"/>
      <c r="P22" s="193">
        <f t="shared" ref="P22:P45" si="2">N22-J22</f>
        <v>47.475000000000364</v>
      </c>
      <c r="Q22" s="234">
        <f t="shared" ref="Q22:Q45" si="3">IF((J22)=0,"",(P22/J22))</f>
        <v>9.79754829123336E-3</v>
      </c>
    </row>
    <row r="23" spans="2:17" x14ac:dyDescent="0.2">
      <c r="D23" s="149" t="s">
        <v>52</v>
      </c>
      <c r="E23" s="149"/>
      <c r="F23" s="229"/>
      <c r="G23" s="186"/>
      <c r="H23" s="224">
        <f>+'Rates Detail'!I191</f>
        <v>7.8399999999999997E-2</v>
      </c>
      <c r="I23" s="185">
        <f t="shared" ref="I23" si="4">I22</f>
        <v>2250</v>
      </c>
      <c r="J23" s="225">
        <f t="shared" si="0"/>
        <v>176.4</v>
      </c>
      <c r="K23" s="149"/>
      <c r="L23" s="224">
        <f>+'Rates Detail'!J191</f>
        <v>7.8399999999999997E-2</v>
      </c>
      <c r="M23" s="187">
        <f t="shared" ref="M23" si="5">M22</f>
        <v>2250</v>
      </c>
      <c r="N23" s="225">
        <f t="shared" si="1"/>
        <v>176.4</v>
      </c>
      <c r="O23" s="149"/>
      <c r="P23" s="193">
        <f t="shared" si="2"/>
        <v>0</v>
      </c>
      <c r="Q23" s="234">
        <f t="shared" si="3"/>
        <v>0</v>
      </c>
    </row>
    <row r="24" spans="2:17" x14ac:dyDescent="0.2">
      <c r="D24" s="149" t="s">
        <v>54</v>
      </c>
      <c r="E24" s="149"/>
      <c r="F24" s="229" t="s">
        <v>86</v>
      </c>
      <c r="G24" s="186"/>
      <c r="H24" s="224">
        <f>+'Rates Detail'!I182</f>
        <v>1.01E-2</v>
      </c>
      <c r="I24" s="185">
        <v>2250</v>
      </c>
      <c r="J24" s="225">
        <f t="shared" si="0"/>
        <v>22.724999999999998</v>
      </c>
      <c r="K24" s="149"/>
      <c r="L24" s="224">
        <f>+'Rates Detail'!J182</f>
        <v>1.01E-2</v>
      </c>
      <c r="M24" s="187">
        <f>+I24</f>
        <v>2250</v>
      </c>
      <c r="N24" s="225">
        <f t="shared" si="1"/>
        <v>22.724999999999998</v>
      </c>
      <c r="O24" s="149"/>
      <c r="P24" s="193">
        <f t="shared" si="2"/>
        <v>0</v>
      </c>
      <c r="Q24" s="234">
        <f t="shared" si="3"/>
        <v>0</v>
      </c>
    </row>
    <row r="25" spans="2:17" x14ac:dyDescent="0.2">
      <c r="D25" s="238" t="s">
        <v>93</v>
      </c>
      <c r="E25" s="149"/>
      <c r="F25" s="229" t="s">
        <v>86</v>
      </c>
      <c r="G25" s="186"/>
      <c r="H25" s="224">
        <f>'Rates Detail'!I181</f>
        <v>1.35E-2</v>
      </c>
      <c r="I25" s="194">
        <v>2250</v>
      </c>
      <c r="J25" s="225">
        <f>I25*H25</f>
        <v>30.375</v>
      </c>
      <c r="K25" s="149"/>
      <c r="L25" s="224">
        <f>'Rates Detail'!J181</f>
        <v>0</v>
      </c>
      <c r="M25" s="195">
        <v>2250</v>
      </c>
      <c r="N25" s="225">
        <f>M25*L25</f>
        <v>0</v>
      </c>
      <c r="O25" s="149"/>
      <c r="P25" s="193">
        <f>N25-J25</f>
        <v>-30.375</v>
      </c>
      <c r="Q25" s="234">
        <f>IF((J25)=0,"",(P25/J25))</f>
        <v>-1</v>
      </c>
    </row>
    <row r="26" spans="2:17" x14ac:dyDescent="0.2">
      <c r="D26" s="238" t="s">
        <v>118</v>
      </c>
      <c r="E26" s="149"/>
      <c r="F26" s="229" t="s">
        <v>51</v>
      </c>
      <c r="G26" s="186"/>
      <c r="H26" s="236">
        <f>+J26/I26</f>
        <v>9.0975625000000004E-2</v>
      </c>
      <c r="I26" s="185">
        <f>SUM(I38:I39)*H47</f>
        <v>14399.999999999998</v>
      </c>
      <c r="J26" s="225">
        <f>SUM(J38:J39)*H47</f>
        <v>1310.049</v>
      </c>
      <c r="K26" s="149"/>
      <c r="L26" s="236">
        <f>+N26/M26</f>
        <v>9.0975625000000004E-2</v>
      </c>
      <c r="M26" s="185">
        <f>SUM(M38:M39)*L47</f>
        <v>14399.999999999998</v>
      </c>
      <c r="N26" s="225">
        <f>SUM(N38:N39)*L47</f>
        <v>1310.049</v>
      </c>
      <c r="O26" s="149"/>
      <c r="P26" s="193">
        <f>N26-J26</f>
        <v>0</v>
      </c>
      <c r="Q26" s="234">
        <f>IF((J26)=0,"",(P26/J26))</f>
        <v>0</v>
      </c>
    </row>
    <row r="27" spans="2:17" ht="25.5" x14ac:dyDescent="0.2">
      <c r="D27" s="150" t="s">
        <v>55</v>
      </c>
      <c r="E27" s="149"/>
      <c r="F27" s="229" t="s">
        <v>86</v>
      </c>
      <c r="G27" s="186"/>
      <c r="H27" s="224">
        <f>+SUM('Rates Detail'!I184:I185,'Rates Detail'!I176:I179)</f>
        <v>-1.4786999999999999</v>
      </c>
      <c r="I27" s="185">
        <v>2250</v>
      </c>
      <c r="J27" s="225">
        <f t="shared" si="0"/>
        <v>-3327.0749999999998</v>
      </c>
      <c r="K27" s="149"/>
      <c r="L27" s="224">
        <f>+SUM('Rates Detail'!J184:J186,'Rates Detail'!J176:J180)+'Rates Detail'!J188</f>
        <v>-1.3103000000000002</v>
      </c>
      <c r="M27" s="187">
        <f>+I27</f>
        <v>2250</v>
      </c>
      <c r="N27" s="225">
        <f t="shared" si="1"/>
        <v>-2948.1750000000006</v>
      </c>
      <c r="O27" s="149"/>
      <c r="P27" s="193">
        <f t="shared" si="2"/>
        <v>378.89999999999918</v>
      </c>
      <c r="Q27" s="234">
        <f t="shared" si="3"/>
        <v>-0.11388381686616598</v>
      </c>
    </row>
    <row r="28" spans="2:17" ht="13.5" thickBot="1" x14ac:dyDescent="0.25">
      <c r="D28" s="239"/>
      <c r="E28" s="149"/>
      <c r="F28" s="229"/>
      <c r="G28" s="186"/>
      <c r="H28" s="224"/>
      <c r="I28" s="194"/>
      <c r="J28" s="225">
        <f t="shared" si="0"/>
        <v>0</v>
      </c>
      <c r="K28" s="149"/>
      <c r="L28" s="224"/>
      <c r="M28" s="195"/>
      <c r="N28" s="225">
        <f t="shared" si="1"/>
        <v>0</v>
      </c>
      <c r="O28" s="149"/>
      <c r="P28" s="193">
        <f t="shared" si="2"/>
        <v>0</v>
      </c>
      <c r="Q28" s="234" t="str">
        <f t="shared" si="3"/>
        <v/>
      </c>
    </row>
    <row r="29" spans="2:17" ht="13.5" thickBot="1" x14ac:dyDescent="0.25">
      <c r="D29" s="55" t="s">
        <v>57</v>
      </c>
      <c r="E29" s="54"/>
      <c r="F29" s="54"/>
      <c r="G29" s="230"/>
      <c r="H29" s="196"/>
      <c r="I29" s="197"/>
      <c r="J29" s="82">
        <f>SUM(J21:J28)</f>
        <v>4641.7639999999992</v>
      </c>
      <c r="K29" s="54"/>
      <c r="L29" s="196"/>
      <c r="M29" s="198"/>
      <c r="N29" s="82">
        <f>SUM(N21:N28)</f>
        <v>5053.2839999999997</v>
      </c>
      <c r="O29" s="54"/>
      <c r="P29" s="84">
        <f t="shared" si="2"/>
        <v>411.52000000000044</v>
      </c>
      <c r="Q29" s="85">
        <f t="shared" si="3"/>
        <v>8.8655950625667418E-2</v>
      </c>
    </row>
    <row r="30" spans="2:17" x14ac:dyDescent="0.2">
      <c r="D30" s="200" t="s">
        <v>58</v>
      </c>
      <c r="E30" s="200"/>
      <c r="F30" s="229" t="s">
        <v>86</v>
      </c>
      <c r="G30" s="232"/>
      <c r="H30" s="226">
        <f>+'Rates Detail'!I193</f>
        <v>2.5308999999999999</v>
      </c>
      <c r="I30" s="199">
        <f>+H16</f>
        <v>2250</v>
      </c>
      <c r="J30" s="227">
        <f>I30*H30</f>
        <v>5694.5249999999996</v>
      </c>
      <c r="K30" s="200"/>
      <c r="L30" s="226">
        <f>+'Rates Detail'!J193</f>
        <v>2.6507999999999998</v>
      </c>
      <c r="M30" s="201">
        <f>+I30</f>
        <v>2250</v>
      </c>
      <c r="N30" s="227">
        <f>M30*L30</f>
        <v>5964.2999999999993</v>
      </c>
      <c r="O30" s="200"/>
      <c r="P30" s="202">
        <f t="shared" si="2"/>
        <v>269.77499999999964</v>
      </c>
      <c r="Q30" s="228">
        <f t="shared" si="3"/>
        <v>4.7374451776047988E-2</v>
      </c>
    </row>
    <row r="31" spans="2:17" ht="26.25" thickBot="1" x14ac:dyDescent="0.25">
      <c r="D31" s="240" t="s">
        <v>59</v>
      </c>
      <c r="E31" s="200"/>
      <c r="F31" s="229" t="s">
        <v>86</v>
      </c>
      <c r="G31" s="232"/>
      <c r="H31" s="226">
        <f>+'Rates Detail'!I194</f>
        <v>1.9846999999999999</v>
      </c>
      <c r="I31" s="199">
        <f>I30</f>
        <v>2250</v>
      </c>
      <c r="J31" s="227">
        <f>I31*H31</f>
        <v>4465.5749999999998</v>
      </c>
      <c r="K31" s="200"/>
      <c r="L31" s="226">
        <f>+'Rates Detail'!J194</f>
        <v>2.0030000000000001</v>
      </c>
      <c r="M31" s="201">
        <f>M30</f>
        <v>2250</v>
      </c>
      <c r="N31" s="227">
        <f>M31*L31</f>
        <v>4506.75</v>
      </c>
      <c r="O31" s="200"/>
      <c r="P31" s="202">
        <f t="shared" si="2"/>
        <v>41.175000000000182</v>
      </c>
      <c r="Q31" s="228">
        <f t="shared" si="3"/>
        <v>9.2205371088829955E-3</v>
      </c>
    </row>
    <row r="32" spans="2:17" ht="26.25" thickBot="1" x14ac:dyDescent="0.25">
      <c r="D32" s="96" t="s">
        <v>60</v>
      </c>
      <c r="E32" s="149"/>
      <c r="F32" s="149"/>
      <c r="G32" s="186"/>
      <c r="H32" s="203"/>
      <c r="I32" s="204"/>
      <c r="J32" s="99">
        <f>SUM(J29:J31)</f>
        <v>14801.863999999998</v>
      </c>
      <c r="K32" s="100"/>
      <c r="L32" s="101"/>
      <c r="M32" s="102"/>
      <c r="N32" s="99">
        <f>SUM(N29:N31)</f>
        <v>15524.333999999999</v>
      </c>
      <c r="O32" s="100"/>
      <c r="P32" s="103">
        <f t="shared" si="2"/>
        <v>722.47000000000116</v>
      </c>
      <c r="Q32" s="104">
        <f t="shared" si="3"/>
        <v>4.8809393195343588E-2</v>
      </c>
    </row>
    <row r="33" spans="4:17" ht="25.5" x14ac:dyDescent="0.2">
      <c r="D33" s="150" t="s">
        <v>61</v>
      </c>
      <c r="E33" s="149"/>
      <c r="F33" s="229" t="s">
        <v>51</v>
      </c>
      <c r="G33" s="186"/>
      <c r="H33" s="147">
        <f>+'Rates Detail'!I197</f>
        <v>4.4000000000000003E-3</v>
      </c>
      <c r="I33" s="233">
        <f>ROUND(L16*(1+H47),0)+1</f>
        <v>414401</v>
      </c>
      <c r="J33" s="205">
        <f>I33*H33</f>
        <v>1823.3644000000002</v>
      </c>
      <c r="K33" s="149"/>
      <c r="L33" s="147">
        <f>+'Rates Detail'!J197</f>
        <v>4.4000000000000003E-3</v>
      </c>
      <c r="M33" s="187">
        <f>+I33</f>
        <v>414401</v>
      </c>
      <c r="N33" s="205">
        <f>M33*L33</f>
        <v>1823.3644000000002</v>
      </c>
      <c r="O33" s="149"/>
      <c r="P33" s="193">
        <f t="shared" si="2"/>
        <v>0</v>
      </c>
      <c r="Q33" s="206">
        <f t="shared" si="3"/>
        <v>0</v>
      </c>
    </row>
    <row r="34" spans="4:17" ht="25.5" x14ac:dyDescent="0.2">
      <c r="D34" s="150" t="s">
        <v>62</v>
      </c>
      <c r="E34" s="149"/>
      <c r="F34" s="229" t="s">
        <v>51</v>
      </c>
      <c r="G34" s="186"/>
      <c r="H34" s="147">
        <f>+'Rates Detail'!I198</f>
        <v>1.1999999999999999E-3</v>
      </c>
      <c r="I34" s="185">
        <f>+I33</f>
        <v>414401</v>
      </c>
      <c r="J34" s="205">
        <f t="shared" ref="J34:J40" si="6">I34*H34</f>
        <v>497.28119999999996</v>
      </c>
      <c r="K34" s="149"/>
      <c r="L34" s="147">
        <f>+'Rates Detail'!J198</f>
        <v>1.1999999999999999E-3</v>
      </c>
      <c r="M34" s="187">
        <f>+M33</f>
        <v>414401</v>
      </c>
      <c r="N34" s="205">
        <f t="shared" ref="N34:N40" si="7">M34*L34</f>
        <v>497.28119999999996</v>
      </c>
      <c r="O34" s="149"/>
      <c r="P34" s="193">
        <f t="shared" si="2"/>
        <v>0</v>
      </c>
      <c r="Q34" s="206">
        <f t="shared" si="3"/>
        <v>0</v>
      </c>
    </row>
    <row r="35" spans="4:17" x14ac:dyDescent="0.2">
      <c r="D35" s="150" t="s">
        <v>63</v>
      </c>
      <c r="E35" s="149"/>
      <c r="F35" s="229"/>
      <c r="G35" s="186"/>
      <c r="H35" s="148"/>
      <c r="I35" s="185">
        <f>+I34</f>
        <v>414401</v>
      </c>
      <c r="J35" s="205">
        <f t="shared" si="6"/>
        <v>0</v>
      </c>
      <c r="K35" s="149"/>
      <c r="L35" s="148"/>
      <c r="M35" s="187">
        <f>+I35</f>
        <v>414401</v>
      </c>
      <c r="N35" s="205">
        <f t="shared" si="7"/>
        <v>0</v>
      </c>
      <c r="O35" s="149"/>
      <c r="P35" s="193">
        <f t="shared" si="2"/>
        <v>0</v>
      </c>
      <c r="Q35" s="206" t="str">
        <f t="shared" si="3"/>
        <v/>
      </c>
    </row>
    <row r="36" spans="4:17" x14ac:dyDescent="0.2">
      <c r="D36" s="149" t="s">
        <v>64</v>
      </c>
      <c r="E36" s="149"/>
      <c r="F36" s="229" t="s">
        <v>1</v>
      </c>
      <c r="G36" s="186"/>
      <c r="H36" s="147">
        <v>0.25</v>
      </c>
      <c r="I36" s="185">
        <v>1</v>
      </c>
      <c r="J36" s="205">
        <f t="shared" si="6"/>
        <v>0.25</v>
      </c>
      <c r="K36" s="149"/>
      <c r="L36" s="147">
        <v>0.25</v>
      </c>
      <c r="M36" s="187">
        <v>1</v>
      </c>
      <c r="N36" s="205">
        <f t="shared" si="7"/>
        <v>0.25</v>
      </c>
      <c r="O36" s="149"/>
      <c r="P36" s="193">
        <f t="shared" si="2"/>
        <v>0</v>
      </c>
      <c r="Q36" s="206">
        <f t="shared" si="3"/>
        <v>0</v>
      </c>
    </row>
    <row r="37" spans="4:17" x14ac:dyDescent="0.2">
      <c r="D37" s="149" t="s">
        <v>65</v>
      </c>
      <c r="E37" s="149"/>
      <c r="F37" s="229" t="s">
        <v>51</v>
      </c>
      <c r="G37" s="186"/>
      <c r="H37" s="147">
        <v>7.0000000000000001E-3</v>
      </c>
      <c r="I37" s="185">
        <f>+L16</f>
        <v>400000</v>
      </c>
      <c r="J37" s="205">
        <f t="shared" si="6"/>
        <v>2800</v>
      </c>
      <c r="K37" s="149"/>
      <c r="L37" s="147">
        <f t="shared" ref="L37:M39" si="8">+H37</f>
        <v>7.0000000000000001E-3</v>
      </c>
      <c r="M37" s="187">
        <f t="shared" si="8"/>
        <v>400000</v>
      </c>
      <c r="N37" s="205">
        <f t="shared" si="7"/>
        <v>2800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149" t="s">
        <v>66</v>
      </c>
      <c r="E38" s="149"/>
      <c r="F38" s="229" t="s">
        <v>51</v>
      </c>
      <c r="G38" s="186"/>
      <c r="H38" s="147">
        <v>7.8E-2</v>
      </c>
      <c r="I38" s="185">
        <v>750</v>
      </c>
      <c r="J38" s="205">
        <f t="shared" si="6"/>
        <v>58.5</v>
      </c>
      <c r="K38" s="149"/>
      <c r="L38" s="147">
        <f t="shared" si="8"/>
        <v>7.8E-2</v>
      </c>
      <c r="M38" s="187">
        <f t="shared" si="8"/>
        <v>750</v>
      </c>
      <c r="N38" s="205">
        <f t="shared" si="7"/>
        <v>58.5</v>
      </c>
      <c r="O38" s="149"/>
      <c r="P38" s="193">
        <f t="shared" si="2"/>
        <v>0</v>
      </c>
      <c r="Q38" s="206">
        <f t="shared" si="3"/>
        <v>0</v>
      </c>
    </row>
    <row r="39" spans="4:17" x14ac:dyDescent="0.2">
      <c r="D39" s="241" t="s">
        <v>66</v>
      </c>
      <c r="E39" s="149"/>
      <c r="F39" s="229" t="s">
        <v>51</v>
      </c>
      <c r="G39" s="186"/>
      <c r="H39" s="147">
        <v>9.0999999999999998E-2</v>
      </c>
      <c r="I39" s="207">
        <f>+ROUND(I37-I38,0)</f>
        <v>399250</v>
      </c>
      <c r="J39" s="205">
        <f t="shared" si="6"/>
        <v>36331.75</v>
      </c>
      <c r="K39" s="149"/>
      <c r="L39" s="147">
        <f t="shared" si="8"/>
        <v>9.0999999999999998E-2</v>
      </c>
      <c r="M39" s="208">
        <f t="shared" si="8"/>
        <v>399250</v>
      </c>
      <c r="N39" s="205">
        <f t="shared" si="7"/>
        <v>36331.75</v>
      </c>
      <c r="O39" s="149"/>
      <c r="P39" s="193">
        <f t="shared" si="2"/>
        <v>0</v>
      </c>
      <c r="Q39" s="206">
        <f t="shared" si="3"/>
        <v>0</v>
      </c>
    </row>
    <row r="40" spans="4:17" ht="13.5" thickBot="1" x14ac:dyDescent="0.25">
      <c r="D40" s="239"/>
      <c r="E40" s="149"/>
      <c r="F40" s="229"/>
      <c r="G40" s="186"/>
      <c r="H40" s="147"/>
      <c r="I40" s="194"/>
      <c r="J40" s="205">
        <f t="shared" si="6"/>
        <v>0</v>
      </c>
      <c r="K40" s="149"/>
      <c r="L40" s="147"/>
      <c r="M40" s="195"/>
      <c r="N40" s="205">
        <f t="shared" si="7"/>
        <v>0</v>
      </c>
      <c r="O40" s="149"/>
      <c r="P40" s="193">
        <f t="shared" si="2"/>
        <v>0</v>
      </c>
      <c r="Q40" s="206" t="str">
        <f t="shared" si="3"/>
        <v/>
      </c>
    </row>
    <row r="41" spans="4:17" ht="13.5" thickBot="1" x14ac:dyDescent="0.25">
      <c r="D41" s="113" t="s">
        <v>67</v>
      </c>
      <c r="E41" s="149"/>
      <c r="F41" s="149"/>
      <c r="G41" s="149"/>
      <c r="H41" s="209"/>
      <c r="I41" s="210"/>
      <c r="J41" s="99">
        <f>SUM(J32:J40)</f>
        <v>56313.009599999998</v>
      </c>
      <c r="K41" s="100"/>
      <c r="L41" s="116"/>
      <c r="M41" s="117"/>
      <c r="N41" s="99">
        <f>SUM(N32:N40)</f>
        <v>57035.479599999999</v>
      </c>
      <c r="O41" s="100"/>
      <c r="P41" s="103">
        <f t="shared" si="2"/>
        <v>722.47000000000116</v>
      </c>
      <c r="Q41" s="104">
        <f t="shared" si="3"/>
        <v>1.2829539836918985E-2</v>
      </c>
    </row>
    <row r="42" spans="4:17" ht="13.5" thickBot="1" x14ac:dyDescent="0.25">
      <c r="D42" s="186" t="s">
        <v>68</v>
      </c>
      <c r="E42" s="149"/>
      <c r="F42" s="149"/>
      <c r="G42" s="149"/>
      <c r="H42" s="211">
        <v>0.13</v>
      </c>
      <c r="I42" s="212"/>
      <c r="J42" s="213">
        <f>J41*H42</f>
        <v>7320.6912480000001</v>
      </c>
      <c r="K42" s="149"/>
      <c r="L42" s="211">
        <v>0.13</v>
      </c>
      <c r="M42" s="214"/>
      <c r="N42" s="213">
        <f>N41*L42</f>
        <v>7414.6123479999997</v>
      </c>
      <c r="O42" s="149"/>
      <c r="P42" s="193">
        <f t="shared" si="2"/>
        <v>93.921099999999569</v>
      </c>
      <c r="Q42" s="206">
        <f t="shared" si="3"/>
        <v>1.2829539836918905E-2</v>
      </c>
    </row>
    <row r="43" spans="4:17" ht="26.25" thickBot="1" x14ac:dyDescent="0.25">
      <c r="D43" s="96" t="s">
        <v>69</v>
      </c>
      <c r="E43" s="149"/>
      <c r="F43" s="149"/>
      <c r="G43" s="149"/>
      <c r="H43" s="203"/>
      <c r="I43" s="204"/>
      <c r="J43" s="99">
        <f>ROUND(SUM(J41:J42),2)</f>
        <v>63633.7</v>
      </c>
      <c r="K43" s="100"/>
      <c r="L43" s="101"/>
      <c r="M43" s="102"/>
      <c r="N43" s="99">
        <f>ROUND(SUM(N41:N42),2)</f>
        <v>64450.09</v>
      </c>
      <c r="O43" s="100"/>
      <c r="P43" s="103">
        <f t="shared" si="2"/>
        <v>816.38999999999942</v>
      </c>
      <c r="Q43" s="104">
        <f t="shared" si="3"/>
        <v>1.2829522721451046E-2</v>
      </c>
    </row>
    <row r="44" spans="4:17" ht="27.75" thickBot="1" x14ac:dyDescent="0.25">
      <c r="D44" s="122" t="s">
        <v>70</v>
      </c>
      <c r="E44" s="149"/>
      <c r="F44" s="149"/>
      <c r="G44" s="149"/>
      <c r="H44" s="203"/>
      <c r="I44" s="215"/>
      <c r="J44" s="99">
        <v>0</v>
      </c>
      <c r="K44" s="100"/>
      <c r="L44" s="101"/>
      <c r="M44" s="102"/>
      <c r="N44" s="99">
        <v>0</v>
      </c>
      <c r="O44" s="100"/>
      <c r="P44" s="103">
        <f t="shared" si="2"/>
        <v>0</v>
      </c>
      <c r="Q44" s="104" t="str">
        <f t="shared" si="3"/>
        <v/>
      </c>
    </row>
    <row r="45" spans="4:17" ht="13.5" thickBot="1" x14ac:dyDescent="0.25">
      <c r="D45" s="96" t="s">
        <v>71</v>
      </c>
      <c r="E45" s="149"/>
      <c r="F45" s="149"/>
      <c r="G45" s="149"/>
      <c r="H45" s="216"/>
      <c r="I45" s="217"/>
      <c r="J45" s="126">
        <f>J43+J44</f>
        <v>63633.7</v>
      </c>
      <c r="K45" s="100"/>
      <c r="L45" s="127"/>
      <c r="M45" s="128"/>
      <c r="N45" s="126">
        <f>N43+N44</f>
        <v>64450.09</v>
      </c>
      <c r="O45" s="100"/>
      <c r="P45" s="129">
        <f t="shared" si="2"/>
        <v>816.38999999999942</v>
      </c>
      <c r="Q45" s="130">
        <f t="shared" si="3"/>
        <v>1.2829522721451046E-2</v>
      </c>
    </row>
    <row r="46" spans="4:17" ht="10.5" customHeight="1" x14ac:dyDescent="0.2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4:17" x14ac:dyDescent="0.2">
      <c r="D47" s="55" t="s">
        <v>72</v>
      </c>
      <c r="E47" s="54"/>
      <c r="F47" s="54"/>
      <c r="G47" s="54"/>
      <c r="H47" s="218">
        <v>3.5999999999999997E-2</v>
      </c>
      <c r="I47" s="54"/>
      <c r="J47" s="54"/>
      <c r="K47" s="54"/>
      <c r="L47" s="219">
        <f>+H47</f>
        <v>3.5999999999999997E-2</v>
      </c>
      <c r="M47" s="54"/>
      <c r="N47" s="54"/>
      <c r="O47" s="54"/>
      <c r="P47" s="54">
        <v>400.67</v>
      </c>
      <c r="Q47" s="54">
        <v>0.65</v>
      </c>
    </row>
    <row r="48" spans="4:17" ht="10.5" customHeight="1" x14ac:dyDescent="0.2"/>
    <row r="49" spans="2:3" ht="10.5" customHeight="1" x14ac:dyDescent="0.2">
      <c r="C49" s="133" t="s">
        <v>73</v>
      </c>
    </row>
    <row r="50" spans="2:3" ht="10.5" customHeight="1" x14ac:dyDescent="0.2"/>
    <row r="51" spans="2:3" x14ac:dyDescent="0.2">
      <c r="B51" s="55"/>
      <c r="C51" s="49" t="s">
        <v>74</v>
      </c>
    </row>
    <row r="52" spans="2:3" x14ac:dyDescent="0.2">
      <c r="C52" s="49" t="s">
        <v>75</v>
      </c>
    </row>
    <row r="54" spans="2:3" x14ac:dyDescent="0.2">
      <c r="C54" s="49" t="s">
        <v>76</v>
      </c>
    </row>
    <row r="55" spans="2:3" x14ac:dyDescent="0.2">
      <c r="C55" s="49" t="s">
        <v>77</v>
      </c>
    </row>
    <row r="57" spans="2:3" x14ac:dyDescent="0.2">
      <c r="C57" s="49" t="s">
        <v>78</v>
      </c>
    </row>
    <row r="58" spans="2:3" x14ac:dyDescent="0.2">
      <c r="C58" s="49" t="s">
        <v>79</v>
      </c>
    </row>
    <row r="59" spans="2:3" x14ac:dyDescent="0.2">
      <c r="C59" s="49" t="s">
        <v>80</v>
      </c>
    </row>
    <row r="60" spans="2:3" x14ac:dyDescent="0.2">
      <c r="C60" s="49" t="s">
        <v>81</v>
      </c>
    </row>
    <row r="61" spans="2:3" x14ac:dyDescent="0.2">
      <c r="C61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3:F40 F30:F31 F21:F28">
      <formula1>"Monthly, per kWh, per kW"</formula1>
    </dataValidation>
    <dataValidation type="list" allowBlank="1" showInputMessage="1" showErrorMessage="1" sqref="G30:G31 G33:G40 G21:G28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1"/>
  <sheetViews>
    <sheetView showGridLines="0" topLeftCell="A26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570312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5703125" style="49" bestFit="1" customWidth="1"/>
    <col min="15" max="15" width="2.85546875" style="49" customWidth="1"/>
    <col min="16" max="16" width="12.140625" style="49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80"/>
      <c r="O1" s="180"/>
      <c r="P1" s="272"/>
      <c r="Q1" s="272"/>
      <c r="R1" s="180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80"/>
      <c r="O2" s="180"/>
      <c r="P2" s="272"/>
      <c r="Q2" s="272"/>
      <c r="R2" s="180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80"/>
      <c r="O3" s="180"/>
      <c r="P3" s="272"/>
      <c r="Q3" s="272"/>
      <c r="R3" s="180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180"/>
      <c r="O4" s="180"/>
      <c r="P4" s="272"/>
      <c r="Q4" s="272"/>
      <c r="R4" s="180"/>
    </row>
    <row r="5" spans="2:18" s="44" customFormat="1" ht="15" customHeight="1" x14ac:dyDescent="0.25">
      <c r="E5" s="48"/>
      <c r="F5" s="48"/>
      <c r="G5" s="48"/>
      <c r="N5" s="180"/>
      <c r="O5" s="180"/>
      <c r="P5" s="272"/>
      <c r="Q5" s="272"/>
      <c r="R5" s="180"/>
    </row>
    <row r="6" spans="2:18" s="44" customFormat="1" ht="9" customHeight="1" x14ac:dyDescent="0.2">
      <c r="N6" s="180"/>
      <c r="O6" s="180"/>
      <c r="P6" s="180"/>
      <c r="Q6" s="180"/>
      <c r="R6" s="180"/>
    </row>
    <row r="7" spans="2:18" s="44" customFormat="1" x14ac:dyDescent="0.2">
      <c r="N7" s="180"/>
      <c r="O7" s="180"/>
      <c r="P7" s="272"/>
      <c r="Q7" s="272"/>
      <c r="R7" s="180"/>
    </row>
    <row r="8" spans="2:18" s="44" customFormat="1" ht="15" customHeight="1" x14ac:dyDescent="0.2">
      <c r="R8" s="180"/>
    </row>
    <row r="9" spans="2:18" ht="7.5" customHeight="1" x14ac:dyDescent="0.2">
      <c r="N9" s="180"/>
      <c r="O9" s="180"/>
      <c r="P9" s="180"/>
      <c r="Q9" s="180"/>
      <c r="R9" s="180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180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180"/>
    </row>
    <row r="12" spans="2:18" ht="7.5" customHeight="1" x14ac:dyDescent="0.2">
      <c r="N12" s="180"/>
      <c r="O12" s="180"/>
      <c r="P12" s="180"/>
      <c r="Q12" s="180"/>
      <c r="R12" s="180"/>
    </row>
    <row r="13" spans="2:18" ht="7.5" customHeight="1" x14ac:dyDescent="0.2">
      <c r="N13" s="180"/>
      <c r="O13" s="180"/>
      <c r="P13" s="180"/>
      <c r="Q13" s="180"/>
      <c r="R13" s="180"/>
    </row>
    <row r="14" spans="2:18" ht="15.75" x14ac:dyDescent="0.25">
      <c r="B14" s="50"/>
      <c r="D14" s="51" t="s">
        <v>38</v>
      </c>
      <c r="F14" s="292" t="s">
        <v>123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2250</v>
      </c>
      <c r="I16" s="55" t="s">
        <v>85</v>
      </c>
      <c r="L16" s="56">
        <v>400000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tr">
        <f>'GS50-499INT'!H18:J18</f>
        <v>Current Board-Approved (July 1 2013)</v>
      </c>
      <c r="I18" s="284"/>
      <c r="J18" s="285"/>
      <c r="L18" s="286" t="str">
        <f>'GS50-499INT'!L18:N18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E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E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149" t="s">
        <v>6</v>
      </c>
      <c r="E21" s="149"/>
      <c r="F21" s="229" t="s">
        <v>1</v>
      </c>
      <c r="G21" s="186"/>
      <c r="H21" s="235">
        <f>+'Rates Detail'!I167</f>
        <v>1583.69</v>
      </c>
      <c r="I21" s="185">
        <v>1</v>
      </c>
      <c r="J21" s="225">
        <f>I21*H21</f>
        <v>1583.69</v>
      </c>
      <c r="K21" s="149"/>
      <c r="L21" s="235">
        <f>+'Rates Detail'!J167</f>
        <v>1599.21</v>
      </c>
      <c r="M21" s="187">
        <v>1</v>
      </c>
      <c r="N21" s="225">
        <f>M21*L21</f>
        <v>1599.21</v>
      </c>
      <c r="O21" s="149"/>
      <c r="P21" s="193">
        <f>N21-J21</f>
        <v>15.519999999999982</v>
      </c>
      <c r="Q21" s="234">
        <f>IF((J21)=0,"",(P21/J21))</f>
        <v>9.7998977072533012E-3</v>
      </c>
    </row>
    <row r="22" spans="2:17" x14ac:dyDescent="0.2">
      <c r="D22" s="149" t="s">
        <v>12</v>
      </c>
      <c r="E22" s="149"/>
      <c r="F22" s="229" t="s">
        <v>86</v>
      </c>
      <c r="G22" s="186"/>
      <c r="H22" s="224">
        <f>+'Rates Detail'!I174</f>
        <v>2.1536</v>
      </c>
      <c r="I22" s="185">
        <f>H16</f>
        <v>2250</v>
      </c>
      <c r="J22" s="225">
        <f t="shared" ref="J22:J28" si="0">I22*H22</f>
        <v>4845.5999999999995</v>
      </c>
      <c r="K22" s="149"/>
      <c r="L22" s="224">
        <f>+'Rates Detail'!J174</f>
        <v>2.1747000000000001</v>
      </c>
      <c r="M22" s="187">
        <f>H16</f>
        <v>2250</v>
      </c>
      <c r="N22" s="225">
        <f t="shared" ref="N22:N28" si="1">M22*L22</f>
        <v>4893.0749999999998</v>
      </c>
      <c r="O22" s="149"/>
      <c r="P22" s="193">
        <f t="shared" ref="P22:P45" si="2">N22-J22</f>
        <v>47.475000000000364</v>
      </c>
      <c r="Q22" s="234">
        <f t="shared" ref="Q22:Q45" si="3">IF((J22)=0,"",(P22/J22))</f>
        <v>9.79754829123336E-3</v>
      </c>
    </row>
    <row r="23" spans="2:17" x14ac:dyDescent="0.2">
      <c r="D23" s="149" t="s">
        <v>52</v>
      </c>
      <c r="E23" s="149"/>
      <c r="F23" s="229" t="s">
        <v>86</v>
      </c>
      <c r="G23" s="186"/>
      <c r="H23" s="224">
        <f>+'Rates Detail'!I191</f>
        <v>7.8399999999999997E-2</v>
      </c>
      <c r="I23" s="185">
        <f t="shared" ref="I23" si="4">I22</f>
        <v>2250</v>
      </c>
      <c r="J23" s="225">
        <f t="shared" si="0"/>
        <v>176.4</v>
      </c>
      <c r="K23" s="149"/>
      <c r="L23" s="224">
        <f>+'Rates Detail'!J191</f>
        <v>7.8399999999999997E-2</v>
      </c>
      <c r="M23" s="187">
        <f t="shared" ref="M23" si="5">M22</f>
        <v>2250</v>
      </c>
      <c r="N23" s="225">
        <f t="shared" si="1"/>
        <v>176.4</v>
      </c>
      <c r="O23" s="149"/>
      <c r="P23" s="193">
        <f t="shared" si="2"/>
        <v>0</v>
      </c>
      <c r="Q23" s="234">
        <f t="shared" si="3"/>
        <v>0</v>
      </c>
    </row>
    <row r="24" spans="2:17" x14ac:dyDescent="0.2">
      <c r="D24" s="149" t="s">
        <v>54</v>
      </c>
      <c r="E24" s="149"/>
      <c r="F24" s="229" t="s">
        <v>86</v>
      </c>
      <c r="G24" s="186"/>
      <c r="H24" s="224">
        <f>+'Rates Detail'!I182</f>
        <v>1.01E-2</v>
      </c>
      <c r="I24" s="185">
        <v>2250</v>
      </c>
      <c r="J24" s="225">
        <f t="shared" si="0"/>
        <v>22.724999999999998</v>
      </c>
      <c r="K24" s="149"/>
      <c r="L24" s="224">
        <f>+'Rates Detail'!J182</f>
        <v>1.01E-2</v>
      </c>
      <c r="M24" s="187">
        <f>+I24</f>
        <v>2250</v>
      </c>
      <c r="N24" s="225">
        <f t="shared" si="1"/>
        <v>22.724999999999998</v>
      </c>
      <c r="O24" s="149"/>
      <c r="P24" s="193">
        <f t="shared" si="2"/>
        <v>0</v>
      </c>
      <c r="Q24" s="234">
        <f t="shared" si="3"/>
        <v>0</v>
      </c>
    </row>
    <row r="25" spans="2:17" x14ac:dyDescent="0.2">
      <c r="D25" s="238" t="s">
        <v>93</v>
      </c>
      <c r="E25" s="149"/>
      <c r="F25" s="229" t="s">
        <v>86</v>
      </c>
      <c r="G25" s="186"/>
      <c r="H25" s="224">
        <f>'Rates Detail'!I181</f>
        <v>1.35E-2</v>
      </c>
      <c r="I25" s="194">
        <v>2250</v>
      </c>
      <c r="J25" s="225">
        <f>I25*H25</f>
        <v>30.375</v>
      </c>
      <c r="K25" s="149"/>
      <c r="L25" s="224">
        <f>'Rates Detail'!J181</f>
        <v>0</v>
      </c>
      <c r="M25" s="195">
        <v>2250</v>
      </c>
      <c r="N25" s="225">
        <f>M25*L25</f>
        <v>0</v>
      </c>
      <c r="O25" s="149"/>
      <c r="P25" s="193">
        <f>N25-J25</f>
        <v>-30.375</v>
      </c>
      <c r="Q25" s="234">
        <f>IF((J25)=0,"",(P25/J25))</f>
        <v>-1</v>
      </c>
    </row>
    <row r="26" spans="2:17" x14ac:dyDescent="0.2">
      <c r="D26" s="238" t="s">
        <v>118</v>
      </c>
      <c r="E26" s="149"/>
      <c r="F26" s="229" t="s">
        <v>51</v>
      </c>
      <c r="G26" s="186"/>
      <c r="H26" s="236">
        <f>+J26/I26</f>
        <v>9.0975625000000004E-2</v>
      </c>
      <c r="I26" s="185">
        <f>SUM(I38:I39)*H47</f>
        <v>14399.999999999998</v>
      </c>
      <c r="J26" s="225">
        <f>SUM(J38:J39)*H47</f>
        <v>1310.049</v>
      </c>
      <c r="K26" s="149"/>
      <c r="L26" s="236">
        <f>+N26/M26</f>
        <v>9.0975625000000004E-2</v>
      </c>
      <c r="M26" s="185">
        <f>SUM(M38:M39)*L47</f>
        <v>14399.999999999998</v>
      </c>
      <c r="N26" s="225">
        <f>SUM(N38:N39)*L47</f>
        <v>1310.049</v>
      </c>
      <c r="O26" s="149"/>
      <c r="P26" s="193">
        <f>N26-J26</f>
        <v>0</v>
      </c>
      <c r="Q26" s="234">
        <f>IF((J26)=0,"",(P26/J26))</f>
        <v>0</v>
      </c>
    </row>
    <row r="27" spans="2:17" ht="25.5" x14ac:dyDescent="0.2">
      <c r="D27" s="150" t="s">
        <v>55</v>
      </c>
      <c r="E27" s="149"/>
      <c r="F27" s="229" t="s">
        <v>86</v>
      </c>
      <c r="G27" s="186"/>
      <c r="H27" s="224">
        <f>+SUM('Rates Detail'!I184:I185,'Rates Detail'!I176:I179)</f>
        <v>-1.4786999999999999</v>
      </c>
      <c r="I27" s="185">
        <v>2250</v>
      </c>
      <c r="J27" s="225">
        <f t="shared" si="0"/>
        <v>-3327.0749999999998</v>
      </c>
      <c r="K27" s="149"/>
      <c r="L27" s="224">
        <f>+SUM('Rates Detail'!J184:J186,'Rates Detail'!J176:J180)+'Rates Detail'!J187</f>
        <v>-2.7202000000000002</v>
      </c>
      <c r="M27" s="187">
        <f>+I27</f>
        <v>2250</v>
      </c>
      <c r="N27" s="225">
        <f t="shared" si="1"/>
        <v>-6120.4500000000007</v>
      </c>
      <c r="O27" s="149"/>
      <c r="P27" s="193">
        <f t="shared" si="2"/>
        <v>-2793.3750000000009</v>
      </c>
      <c r="Q27" s="234">
        <f t="shared" si="3"/>
        <v>0.83958882802461654</v>
      </c>
    </row>
    <row r="28" spans="2:17" ht="13.5" thickBot="1" x14ac:dyDescent="0.25">
      <c r="D28" s="239"/>
      <c r="E28" s="149"/>
      <c r="F28" s="229"/>
      <c r="G28" s="186"/>
      <c r="H28" s="224"/>
      <c r="I28" s="194"/>
      <c r="J28" s="225">
        <f t="shared" si="0"/>
        <v>0</v>
      </c>
      <c r="K28" s="149"/>
      <c r="L28" s="224"/>
      <c r="M28" s="195"/>
      <c r="N28" s="225">
        <f t="shared" si="1"/>
        <v>0</v>
      </c>
      <c r="O28" s="149"/>
      <c r="P28" s="193">
        <f t="shared" si="2"/>
        <v>0</v>
      </c>
      <c r="Q28" s="234" t="str">
        <f t="shared" si="3"/>
        <v/>
      </c>
    </row>
    <row r="29" spans="2:17" ht="13.5" thickBot="1" x14ac:dyDescent="0.25">
      <c r="D29" s="55" t="s">
        <v>57</v>
      </c>
      <c r="E29" s="54"/>
      <c r="F29" s="54"/>
      <c r="G29" s="230"/>
      <c r="H29" s="196"/>
      <c r="I29" s="197"/>
      <c r="J29" s="82">
        <f>SUM(J21:J28)</f>
        <v>4641.7639999999992</v>
      </c>
      <c r="K29" s="54"/>
      <c r="L29" s="196"/>
      <c r="M29" s="198"/>
      <c r="N29" s="82">
        <f>SUM(N21:N28)</f>
        <v>1881.0089999999991</v>
      </c>
      <c r="O29" s="54"/>
      <c r="P29" s="84">
        <f t="shared" si="2"/>
        <v>-2760.7550000000001</v>
      </c>
      <c r="Q29" s="85">
        <f t="shared" si="3"/>
        <v>-0.59476418878684922</v>
      </c>
    </row>
    <row r="30" spans="2:17" x14ac:dyDescent="0.2">
      <c r="D30" s="200" t="s">
        <v>58</v>
      </c>
      <c r="E30" s="200"/>
      <c r="F30" s="229" t="s">
        <v>86</v>
      </c>
      <c r="G30" s="232"/>
      <c r="H30" s="226">
        <f>+'Rates Detail'!I193</f>
        <v>2.5308999999999999</v>
      </c>
      <c r="I30" s="199">
        <f>+H16</f>
        <v>2250</v>
      </c>
      <c r="J30" s="227">
        <f>I30*H30</f>
        <v>5694.5249999999996</v>
      </c>
      <c r="K30" s="200"/>
      <c r="L30" s="226">
        <f>+'Rates Detail'!J193</f>
        <v>2.6507999999999998</v>
      </c>
      <c r="M30" s="201">
        <f>+I30</f>
        <v>2250</v>
      </c>
      <c r="N30" s="227">
        <f>M30*L30</f>
        <v>5964.2999999999993</v>
      </c>
      <c r="O30" s="200"/>
      <c r="P30" s="202">
        <f t="shared" si="2"/>
        <v>269.77499999999964</v>
      </c>
      <c r="Q30" s="228">
        <f t="shared" si="3"/>
        <v>4.7374451776047988E-2</v>
      </c>
    </row>
    <row r="31" spans="2:17" ht="26.25" thickBot="1" x14ac:dyDescent="0.25">
      <c r="D31" s="240" t="s">
        <v>59</v>
      </c>
      <c r="E31" s="200"/>
      <c r="F31" s="229" t="s">
        <v>86</v>
      </c>
      <c r="G31" s="232"/>
      <c r="H31" s="226">
        <f>+'Rates Detail'!I194</f>
        <v>1.9846999999999999</v>
      </c>
      <c r="I31" s="199">
        <f>I30</f>
        <v>2250</v>
      </c>
      <c r="J31" s="227">
        <f>I31*H31</f>
        <v>4465.5749999999998</v>
      </c>
      <c r="K31" s="200"/>
      <c r="L31" s="226">
        <f>+'Rates Detail'!J194</f>
        <v>2.0030000000000001</v>
      </c>
      <c r="M31" s="201">
        <f>M30</f>
        <v>2250</v>
      </c>
      <c r="N31" s="227">
        <f>M31*L31</f>
        <v>4506.75</v>
      </c>
      <c r="O31" s="200"/>
      <c r="P31" s="202">
        <f t="shared" si="2"/>
        <v>41.175000000000182</v>
      </c>
      <c r="Q31" s="228">
        <f t="shared" si="3"/>
        <v>9.2205371088829955E-3</v>
      </c>
    </row>
    <row r="32" spans="2:17" ht="26.25" thickBot="1" x14ac:dyDescent="0.25">
      <c r="D32" s="96" t="s">
        <v>60</v>
      </c>
      <c r="E32" s="149"/>
      <c r="F32" s="149"/>
      <c r="G32" s="186"/>
      <c r="H32" s="203"/>
      <c r="I32" s="204"/>
      <c r="J32" s="99">
        <f>SUM(J29:J31)</f>
        <v>14801.863999999998</v>
      </c>
      <c r="K32" s="100"/>
      <c r="L32" s="101"/>
      <c r="M32" s="102"/>
      <c r="N32" s="99">
        <f>SUM(N29:N31)</f>
        <v>12352.058999999997</v>
      </c>
      <c r="O32" s="100"/>
      <c r="P32" s="103">
        <f t="shared" si="2"/>
        <v>-2449.8050000000003</v>
      </c>
      <c r="Q32" s="104">
        <f t="shared" si="3"/>
        <v>-0.16550651998964458</v>
      </c>
    </row>
    <row r="33" spans="4:17" ht="25.5" x14ac:dyDescent="0.2">
      <c r="D33" s="150" t="s">
        <v>61</v>
      </c>
      <c r="E33" s="149"/>
      <c r="F33" s="229" t="s">
        <v>51</v>
      </c>
      <c r="G33" s="186"/>
      <c r="H33" s="147">
        <f>+'Rates Detail'!I197</f>
        <v>4.4000000000000003E-3</v>
      </c>
      <c r="I33" s="233">
        <f>ROUND(L16*(1+H47),0)+1</f>
        <v>414401</v>
      </c>
      <c r="J33" s="205">
        <f>I33*H33</f>
        <v>1823.3644000000002</v>
      </c>
      <c r="K33" s="149"/>
      <c r="L33" s="147">
        <f>+'Rates Detail'!J197</f>
        <v>4.4000000000000003E-3</v>
      </c>
      <c r="M33" s="187">
        <f>+I33</f>
        <v>414401</v>
      </c>
      <c r="N33" s="205">
        <f>M33*L33</f>
        <v>1823.3644000000002</v>
      </c>
      <c r="O33" s="149"/>
      <c r="P33" s="193">
        <f t="shared" si="2"/>
        <v>0</v>
      </c>
      <c r="Q33" s="206">
        <f t="shared" si="3"/>
        <v>0</v>
      </c>
    </row>
    <row r="34" spans="4:17" ht="25.5" x14ac:dyDescent="0.2">
      <c r="D34" s="150" t="s">
        <v>62</v>
      </c>
      <c r="E34" s="149"/>
      <c r="F34" s="229" t="s">
        <v>51</v>
      </c>
      <c r="G34" s="186"/>
      <c r="H34" s="147">
        <f>+'Rates Detail'!I198</f>
        <v>1.1999999999999999E-3</v>
      </c>
      <c r="I34" s="185">
        <f>+I33</f>
        <v>414401</v>
      </c>
      <c r="J34" s="205">
        <f t="shared" ref="J34:J40" si="6">I34*H34</f>
        <v>497.28119999999996</v>
      </c>
      <c r="K34" s="149"/>
      <c r="L34" s="147">
        <f>+'Rates Detail'!J198</f>
        <v>1.1999999999999999E-3</v>
      </c>
      <c r="M34" s="187">
        <f>+M33</f>
        <v>414401</v>
      </c>
      <c r="N34" s="205">
        <f t="shared" ref="N34:N40" si="7">M34*L34</f>
        <v>497.28119999999996</v>
      </c>
      <c r="O34" s="149"/>
      <c r="P34" s="193">
        <f t="shared" si="2"/>
        <v>0</v>
      </c>
      <c r="Q34" s="206">
        <f t="shared" si="3"/>
        <v>0</v>
      </c>
    </row>
    <row r="35" spans="4:17" x14ac:dyDescent="0.2">
      <c r="D35" s="150" t="s">
        <v>63</v>
      </c>
      <c r="E35" s="149"/>
      <c r="F35" s="229"/>
      <c r="G35" s="186"/>
      <c r="H35" s="148"/>
      <c r="I35" s="185">
        <f>+I34</f>
        <v>414401</v>
      </c>
      <c r="J35" s="205">
        <f t="shared" si="6"/>
        <v>0</v>
      </c>
      <c r="K35" s="149"/>
      <c r="L35" s="148"/>
      <c r="M35" s="187">
        <f>M31</f>
        <v>2250</v>
      </c>
      <c r="N35" s="205">
        <f t="shared" si="7"/>
        <v>0</v>
      </c>
      <c r="O35" s="149"/>
      <c r="P35" s="193">
        <f t="shared" si="2"/>
        <v>0</v>
      </c>
      <c r="Q35" s="206" t="str">
        <f t="shared" si="3"/>
        <v/>
      </c>
    </row>
    <row r="36" spans="4:17" x14ac:dyDescent="0.2">
      <c r="D36" s="149" t="s">
        <v>64</v>
      </c>
      <c r="E36" s="149"/>
      <c r="F36" s="229" t="s">
        <v>1</v>
      </c>
      <c r="G36" s="186"/>
      <c r="H36" s="147">
        <v>0.25</v>
      </c>
      <c r="I36" s="185">
        <v>1</v>
      </c>
      <c r="J36" s="205">
        <f t="shared" si="6"/>
        <v>0.25</v>
      </c>
      <c r="K36" s="149"/>
      <c r="L36" s="147">
        <v>0.25</v>
      </c>
      <c r="M36" s="187">
        <v>1</v>
      </c>
      <c r="N36" s="205">
        <f t="shared" si="7"/>
        <v>0.25</v>
      </c>
      <c r="O36" s="149"/>
      <c r="P36" s="193">
        <f t="shared" si="2"/>
        <v>0</v>
      </c>
      <c r="Q36" s="206">
        <f t="shared" si="3"/>
        <v>0</v>
      </c>
    </row>
    <row r="37" spans="4:17" x14ac:dyDescent="0.2">
      <c r="D37" s="149" t="s">
        <v>65</v>
      </c>
      <c r="E37" s="149"/>
      <c r="F37" s="229" t="s">
        <v>51</v>
      </c>
      <c r="G37" s="186"/>
      <c r="H37" s="147">
        <v>7.0000000000000001E-3</v>
      </c>
      <c r="I37" s="185">
        <f>+L16</f>
        <v>400000</v>
      </c>
      <c r="J37" s="205">
        <f t="shared" si="6"/>
        <v>2800</v>
      </c>
      <c r="K37" s="149"/>
      <c r="L37" s="147">
        <f t="shared" ref="L37:M39" si="8">+H37</f>
        <v>7.0000000000000001E-3</v>
      </c>
      <c r="M37" s="187">
        <f t="shared" si="8"/>
        <v>400000</v>
      </c>
      <c r="N37" s="205">
        <f t="shared" si="7"/>
        <v>2800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149" t="s">
        <v>66</v>
      </c>
      <c r="E38" s="149"/>
      <c r="F38" s="229" t="s">
        <v>51</v>
      </c>
      <c r="G38" s="186"/>
      <c r="H38" s="147">
        <v>7.8E-2</v>
      </c>
      <c r="I38" s="185">
        <v>750</v>
      </c>
      <c r="J38" s="205">
        <f t="shared" si="6"/>
        <v>58.5</v>
      </c>
      <c r="K38" s="149"/>
      <c r="L38" s="147">
        <f t="shared" si="8"/>
        <v>7.8E-2</v>
      </c>
      <c r="M38" s="187">
        <f t="shared" si="8"/>
        <v>750</v>
      </c>
      <c r="N38" s="205">
        <f t="shared" si="7"/>
        <v>58.5</v>
      </c>
      <c r="O38" s="149"/>
      <c r="P38" s="193">
        <f t="shared" si="2"/>
        <v>0</v>
      </c>
      <c r="Q38" s="206">
        <f t="shared" si="3"/>
        <v>0</v>
      </c>
    </row>
    <row r="39" spans="4:17" x14ac:dyDescent="0.2">
      <c r="D39" s="241" t="s">
        <v>66</v>
      </c>
      <c r="E39" s="149"/>
      <c r="F39" s="229" t="s">
        <v>51</v>
      </c>
      <c r="G39" s="186"/>
      <c r="H39" s="147">
        <v>9.0999999999999998E-2</v>
      </c>
      <c r="I39" s="207">
        <f>+ROUND(I37-I38,0)</f>
        <v>399250</v>
      </c>
      <c r="J39" s="205">
        <f t="shared" si="6"/>
        <v>36331.75</v>
      </c>
      <c r="K39" s="149"/>
      <c r="L39" s="147">
        <f t="shared" si="8"/>
        <v>9.0999999999999998E-2</v>
      </c>
      <c r="M39" s="208">
        <f t="shared" si="8"/>
        <v>399250</v>
      </c>
      <c r="N39" s="205">
        <f t="shared" si="7"/>
        <v>36331.75</v>
      </c>
      <c r="O39" s="149"/>
      <c r="P39" s="193">
        <f t="shared" si="2"/>
        <v>0</v>
      </c>
      <c r="Q39" s="206">
        <f t="shared" si="3"/>
        <v>0</v>
      </c>
    </row>
    <row r="40" spans="4:17" ht="13.5" thickBot="1" x14ac:dyDescent="0.25">
      <c r="D40" s="239"/>
      <c r="E40" s="149"/>
      <c r="F40" s="229"/>
      <c r="G40" s="186"/>
      <c r="H40" s="147"/>
      <c r="I40" s="194"/>
      <c r="J40" s="205">
        <f t="shared" si="6"/>
        <v>0</v>
      </c>
      <c r="K40" s="149"/>
      <c r="L40" s="147"/>
      <c r="M40" s="195"/>
      <c r="N40" s="205">
        <f t="shared" si="7"/>
        <v>0</v>
      </c>
      <c r="O40" s="149"/>
      <c r="P40" s="193">
        <f t="shared" si="2"/>
        <v>0</v>
      </c>
      <c r="Q40" s="206" t="str">
        <f t="shared" si="3"/>
        <v/>
      </c>
    </row>
    <row r="41" spans="4:17" ht="13.5" thickBot="1" x14ac:dyDescent="0.25">
      <c r="D41" s="113" t="s">
        <v>67</v>
      </c>
      <c r="E41" s="149"/>
      <c r="F41" s="149"/>
      <c r="G41" s="149"/>
      <c r="H41" s="209"/>
      <c r="I41" s="210"/>
      <c r="J41" s="99">
        <f>SUM(J32:J40)</f>
        <v>56313.009599999998</v>
      </c>
      <c r="K41" s="100"/>
      <c r="L41" s="116"/>
      <c r="M41" s="117"/>
      <c r="N41" s="99">
        <f>SUM(N32:N40)</f>
        <v>53863.204599999997</v>
      </c>
      <c r="O41" s="100"/>
      <c r="P41" s="103">
        <f t="shared" si="2"/>
        <v>-2449.8050000000003</v>
      </c>
      <c r="Q41" s="104">
        <f t="shared" si="3"/>
        <v>-4.3503357703687719E-2</v>
      </c>
    </row>
    <row r="42" spans="4:17" ht="13.5" thickBot="1" x14ac:dyDescent="0.25">
      <c r="D42" s="186" t="s">
        <v>68</v>
      </c>
      <c r="E42" s="149"/>
      <c r="F42" s="149"/>
      <c r="G42" s="149"/>
      <c r="H42" s="211">
        <v>0.13</v>
      </c>
      <c r="I42" s="212"/>
      <c r="J42" s="213">
        <f>J41*H42</f>
        <v>7320.6912480000001</v>
      </c>
      <c r="K42" s="149"/>
      <c r="L42" s="211">
        <v>0.13</v>
      </c>
      <c r="M42" s="214"/>
      <c r="N42" s="213">
        <f>N41*L42</f>
        <v>7002.216598</v>
      </c>
      <c r="O42" s="149"/>
      <c r="P42" s="193">
        <f t="shared" si="2"/>
        <v>-318.47465000000011</v>
      </c>
      <c r="Q42" s="206">
        <f t="shared" si="3"/>
        <v>-4.3503357703687726E-2</v>
      </c>
    </row>
    <row r="43" spans="4:17" ht="26.25" thickBot="1" x14ac:dyDescent="0.25">
      <c r="D43" s="96" t="s">
        <v>69</v>
      </c>
      <c r="E43" s="149"/>
      <c r="F43" s="149"/>
      <c r="G43" s="149"/>
      <c r="H43" s="203"/>
      <c r="I43" s="204"/>
      <c r="J43" s="99">
        <f>ROUND(SUM(J41:J42),2)</f>
        <v>63633.7</v>
      </c>
      <c r="K43" s="100"/>
      <c r="L43" s="101"/>
      <c r="M43" s="102"/>
      <c r="N43" s="99">
        <f>ROUND(SUM(N41:N42),2)</f>
        <v>60865.42</v>
      </c>
      <c r="O43" s="100"/>
      <c r="P43" s="103">
        <f t="shared" si="2"/>
        <v>-2768.2799999999988</v>
      </c>
      <c r="Q43" s="104">
        <f t="shared" si="3"/>
        <v>-4.3503363783655498E-2</v>
      </c>
    </row>
    <row r="44" spans="4:17" ht="27.75" thickBot="1" x14ac:dyDescent="0.25">
      <c r="D44" s="122" t="s">
        <v>70</v>
      </c>
      <c r="E44" s="149"/>
      <c r="F44" s="149"/>
      <c r="G44" s="149"/>
      <c r="H44" s="203"/>
      <c r="I44" s="215"/>
      <c r="J44" s="99">
        <v>0</v>
      </c>
      <c r="K44" s="100"/>
      <c r="L44" s="101"/>
      <c r="M44" s="102"/>
      <c r="N44" s="99">
        <v>0</v>
      </c>
      <c r="O44" s="100"/>
      <c r="P44" s="103">
        <f t="shared" si="2"/>
        <v>0</v>
      </c>
      <c r="Q44" s="104" t="str">
        <f t="shared" si="3"/>
        <v/>
      </c>
    </row>
    <row r="45" spans="4:17" ht="13.5" thickBot="1" x14ac:dyDescent="0.25">
      <c r="D45" s="96" t="s">
        <v>71</v>
      </c>
      <c r="E45" s="149"/>
      <c r="F45" s="149"/>
      <c r="G45" s="149"/>
      <c r="H45" s="216"/>
      <c r="I45" s="217"/>
      <c r="J45" s="126">
        <f>J43+J44</f>
        <v>63633.7</v>
      </c>
      <c r="K45" s="100"/>
      <c r="L45" s="127"/>
      <c r="M45" s="128"/>
      <c r="N45" s="126">
        <f>N43+N44</f>
        <v>60865.42</v>
      </c>
      <c r="O45" s="100"/>
      <c r="P45" s="129">
        <f t="shared" si="2"/>
        <v>-2768.2799999999988</v>
      </c>
      <c r="Q45" s="130">
        <f t="shared" si="3"/>
        <v>-4.3503363783655498E-2</v>
      </c>
    </row>
    <row r="46" spans="4:17" ht="10.5" customHeight="1" x14ac:dyDescent="0.2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4:17" x14ac:dyDescent="0.2">
      <c r="D47" s="55" t="s">
        <v>72</v>
      </c>
      <c r="E47" s="54"/>
      <c r="F47" s="54"/>
      <c r="G47" s="54"/>
      <c r="H47" s="218">
        <v>3.5999999999999997E-2</v>
      </c>
      <c r="I47" s="54"/>
      <c r="J47" s="54"/>
      <c r="K47" s="54"/>
      <c r="L47" s="219">
        <f>+H47</f>
        <v>3.5999999999999997E-2</v>
      </c>
      <c r="M47" s="54"/>
      <c r="N47" s="54"/>
      <c r="O47" s="54"/>
      <c r="P47" s="54">
        <v>400.67</v>
      </c>
      <c r="Q47" s="54">
        <v>0.65</v>
      </c>
    </row>
    <row r="48" spans="4:17" ht="10.5" customHeight="1" x14ac:dyDescent="0.2"/>
    <row r="49" spans="2:3" ht="10.5" customHeight="1" x14ac:dyDescent="0.2">
      <c r="C49" s="133" t="s">
        <v>73</v>
      </c>
    </row>
    <row r="50" spans="2:3" ht="10.5" customHeight="1" x14ac:dyDescent="0.2"/>
    <row r="51" spans="2:3" x14ac:dyDescent="0.2">
      <c r="B51" s="55"/>
      <c r="C51" s="49" t="s">
        <v>74</v>
      </c>
    </row>
    <row r="52" spans="2:3" x14ac:dyDescent="0.2">
      <c r="C52" s="49" t="s">
        <v>75</v>
      </c>
    </row>
    <row r="54" spans="2:3" x14ac:dyDescent="0.2">
      <c r="C54" s="49" t="s">
        <v>76</v>
      </c>
    </row>
    <row r="55" spans="2:3" x14ac:dyDescent="0.2">
      <c r="C55" s="49" t="s">
        <v>77</v>
      </c>
    </row>
    <row r="57" spans="2:3" x14ac:dyDescent="0.2">
      <c r="C57" s="49" t="s">
        <v>78</v>
      </c>
    </row>
    <row r="58" spans="2:3" x14ac:dyDescent="0.2">
      <c r="C58" s="49" t="s">
        <v>79</v>
      </c>
    </row>
    <row r="59" spans="2:3" x14ac:dyDescent="0.2">
      <c r="C59" s="49" t="s">
        <v>80</v>
      </c>
    </row>
    <row r="60" spans="2:3" x14ac:dyDescent="0.2">
      <c r="C60" s="49" t="s">
        <v>81</v>
      </c>
    </row>
    <row r="61" spans="2:3" x14ac:dyDescent="0.2">
      <c r="C61" s="49" t="s">
        <v>82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sqref="G30:G31 G33:G40 G21:G28">
      <formula1>$B$14:$B$19</formula1>
    </dataValidation>
    <dataValidation type="list" allowBlank="1" showInputMessage="1" showErrorMessage="1" prompt="Select Charge Unit - monthly, per kWh, per kW" sqref="F33:F40 F30:F31 F21:F28">
      <formula1>"Monthly, per kWh, per kW"</formula1>
    </dataValidation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1"/>
  <sheetViews>
    <sheetView showGridLines="0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2.710937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2.7109375" style="49" bestFit="1" customWidth="1"/>
    <col min="15" max="15" width="2.85546875" style="49" customWidth="1"/>
    <col min="16" max="16" width="10.42578125" style="49" bestFit="1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82" t="s">
        <v>134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5000</v>
      </c>
      <c r="I16" s="55" t="s">
        <v>85</v>
      </c>
      <c r="L16" s="56">
        <v>3000000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E18" s="54"/>
      <c r="F18" s="58"/>
      <c r="G18" s="58"/>
      <c r="H18" s="283" t="str">
        <f>'GS500-4999INT'!H18:J18</f>
        <v>Current Board-Approved (July 1 2013)</v>
      </c>
      <c r="I18" s="284"/>
      <c r="J18" s="285"/>
      <c r="K18" s="54"/>
      <c r="L18" s="286" t="str">
        <f>'GS500-4999INT'!L18:N18</f>
        <v>Proposed January 1, 2014</v>
      </c>
      <c r="M18" s="287"/>
      <c r="N18" s="288"/>
      <c r="O18" s="54"/>
      <c r="P18" s="283" t="s">
        <v>42</v>
      </c>
      <c r="Q18" s="285"/>
    </row>
    <row r="19" spans="2:17" x14ac:dyDescent="0.2">
      <c r="B19" s="57"/>
      <c r="D19" s="54"/>
      <c r="E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E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149" t="s">
        <v>6</v>
      </c>
      <c r="E21" s="149"/>
      <c r="F21" s="229" t="s">
        <v>1</v>
      </c>
      <c r="G21" s="186"/>
      <c r="H21" s="235">
        <f>+'Rates Detail'!I209</f>
        <v>12486.8</v>
      </c>
      <c r="I21" s="185">
        <v>1</v>
      </c>
      <c r="J21" s="225">
        <f>I21*H21</f>
        <v>12486.8</v>
      </c>
      <c r="K21" s="149"/>
      <c r="L21" s="235">
        <f>+'Rates Detail'!J209</f>
        <v>12609.17</v>
      </c>
      <c r="M21" s="187">
        <v>1</v>
      </c>
      <c r="N21" s="225">
        <f>M21*L21</f>
        <v>12609.17</v>
      </c>
      <c r="O21" s="149"/>
      <c r="P21" s="193">
        <f>N21-J21</f>
        <v>122.3700000000008</v>
      </c>
      <c r="Q21" s="234">
        <f>IF((J21)=0,"",(P21/J21))</f>
        <v>9.7999487458757095E-3</v>
      </c>
    </row>
    <row r="22" spans="2:17" x14ac:dyDescent="0.2">
      <c r="D22" s="149" t="s">
        <v>12</v>
      </c>
      <c r="E22" s="149"/>
      <c r="F22" s="229" t="s">
        <v>86</v>
      </c>
      <c r="G22" s="186"/>
      <c r="H22" s="224">
        <f>+'Rates Detail'!I216</f>
        <v>2.6730999999999998</v>
      </c>
      <c r="I22" s="185">
        <f>H16</f>
        <v>5000</v>
      </c>
      <c r="J22" s="225">
        <f t="shared" ref="J22:J28" si="0">I22*H22</f>
        <v>13365.499999999998</v>
      </c>
      <c r="K22" s="149"/>
      <c r="L22" s="224">
        <f>+'Rates Detail'!J216</f>
        <v>2.6993</v>
      </c>
      <c r="M22" s="187">
        <f>H16</f>
        <v>5000</v>
      </c>
      <c r="N22" s="225">
        <f t="shared" ref="N22:N28" si="1">M22*L22</f>
        <v>13496.5</v>
      </c>
      <c r="O22" s="149"/>
      <c r="P22" s="193">
        <f t="shared" ref="P22:P45" si="2">N22-J22</f>
        <v>131.00000000000182</v>
      </c>
      <c r="Q22" s="234">
        <f t="shared" ref="Q22:Q45" si="3">IF((J22)=0,"",(P22/J22))</f>
        <v>9.8013542329132338E-3</v>
      </c>
    </row>
    <row r="23" spans="2:17" x14ac:dyDescent="0.2">
      <c r="D23" s="149" t="s">
        <v>52</v>
      </c>
      <c r="E23" s="149"/>
      <c r="F23" s="229" t="s">
        <v>86</v>
      </c>
      <c r="G23" s="186"/>
      <c r="H23" s="224">
        <f>+'Rates Detail'!I233</f>
        <v>8.3799999999999999E-2</v>
      </c>
      <c r="I23" s="185">
        <f t="shared" ref="I23" si="4">I22</f>
        <v>5000</v>
      </c>
      <c r="J23" s="225">
        <f t="shared" si="0"/>
        <v>419</v>
      </c>
      <c r="K23" s="149"/>
      <c r="L23" s="224">
        <f>+'Rates Detail'!J233</f>
        <v>8.3799999999999999E-2</v>
      </c>
      <c r="M23" s="187">
        <f t="shared" ref="M23" si="5">M22</f>
        <v>5000</v>
      </c>
      <c r="N23" s="225">
        <f t="shared" si="1"/>
        <v>419</v>
      </c>
      <c r="O23" s="149"/>
      <c r="P23" s="193">
        <f t="shared" si="2"/>
        <v>0</v>
      </c>
      <c r="Q23" s="234">
        <f t="shared" si="3"/>
        <v>0</v>
      </c>
    </row>
    <row r="24" spans="2:17" x14ac:dyDescent="0.2">
      <c r="D24" s="149" t="s">
        <v>54</v>
      </c>
      <c r="E24" s="149"/>
      <c r="F24" s="229" t="s">
        <v>86</v>
      </c>
      <c r="G24" s="186"/>
      <c r="H24" s="224">
        <f>+'Rates Detail'!I224</f>
        <v>5.0000000000000001E-3</v>
      </c>
      <c r="I24" s="185">
        <v>5000</v>
      </c>
      <c r="J24" s="225">
        <f t="shared" si="0"/>
        <v>25</v>
      </c>
      <c r="K24" s="149"/>
      <c r="L24" s="224">
        <f>+'Rates Detail'!J224</f>
        <v>5.0000000000000001E-3</v>
      </c>
      <c r="M24" s="187">
        <f>+I24</f>
        <v>5000</v>
      </c>
      <c r="N24" s="225">
        <f t="shared" si="1"/>
        <v>25</v>
      </c>
      <c r="O24" s="149"/>
      <c r="P24" s="193">
        <f t="shared" si="2"/>
        <v>0</v>
      </c>
      <c r="Q24" s="234">
        <f t="shared" si="3"/>
        <v>0</v>
      </c>
    </row>
    <row r="25" spans="2:17" x14ac:dyDescent="0.2">
      <c r="D25" s="238" t="s">
        <v>96</v>
      </c>
      <c r="E25" s="149"/>
      <c r="F25" s="229" t="s">
        <v>86</v>
      </c>
      <c r="G25" s="186"/>
      <c r="H25" s="224">
        <f>'Rates Detail'!I223</f>
        <v>-2.63E-2</v>
      </c>
      <c r="I25" s="185">
        <f>H16</f>
        <v>5000</v>
      </c>
      <c r="J25" s="225">
        <f>I25*H25</f>
        <v>-131.5</v>
      </c>
      <c r="K25" s="149"/>
      <c r="L25" s="224">
        <f>'Rates Detail'!J223</f>
        <v>0</v>
      </c>
      <c r="M25" s="195">
        <v>5000</v>
      </c>
      <c r="N25" s="225">
        <f>M25*L25</f>
        <v>0</v>
      </c>
      <c r="O25" s="149"/>
      <c r="P25" s="193">
        <f>N25-J25</f>
        <v>131.5</v>
      </c>
      <c r="Q25" s="234">
        <f>IF((J25)=0,"",(P25/J25))</f>
        <v>-1</v>
      </c>
    </row>
    <row r="26" spans="2:17" ht="25.5" x14ac:dyDescent="0.2">
      <c r="D26" s="150" t="s">
        <v>55</v>
      </c>
      <c r="E26" s="149"/>
      <c r="F26" s="229" t="s">
        <v>86</v>
      </c>
      <c r="G26" s="186"/>
      <c r="H26" s="224">
        <f>+SUM('Rates Detail'!I218:I221,'Rates Detail'!I226:I227)</f>
        <v>-2.0338000000000003</v>
      </c>
      <c r="I26" s="185">
        <v>5000</v>
      </c>
      <c r="J26" s="225">
        <f t="shared" si="0"/>
        <v>-10169.000000000002</v>
      </c>
      <c r="K26" s="149"/>
      <c r="L26" s="224">
        <f>+SUM('Rates Detail'!J218:J222,'Rates Detail'!J226:J228)</f>
        <v>-2.476</v>
      </c>
      <c r="M26" s="187">
        <f>+I26</f>
        <v>5000</v>
      </c>
      <c r="N26" s="225">
        <f t="shared" si="1"/>
        <v>-12380</v>
      </c>
      <c r="O26" s="149"/>
      <c r="P26" s="193">
        <f t="shared" si="2"/>
        <v>-2210.9999999999982</v>
      </c>
      <c r="Q26" s="234">
        <f t="shared" si="3"/>
        <v>0.21742550889959661</v>
      </c>
    </row>
    <row r="27" spans="2:17" x14ac:dyDescent="0.2">
      <c r="D27" s="238" t="s">
        <v>118</v>
      </c>
      <c r="E27" s="149"/>
      <c r="F27" s="229" t="s">
        <v>86</v>
      </c>
      <c r="G27" s="186"/>
      <c r="H27" s="224">
        <f>+J27/I27</f>
        <v>9.0996796451453921E-2</v>
      </c>
      <c r="I27" s="194">
        <f>+SUM(I38:I39)*H47</f>
        <v>44130.75</v>
      </c>
      <c r="J27" s="225">
        <f>+SUM(J38:J39)*H47</f>
        <v>4015.756875</v>
      </c>
      <c r="K27" s="149"/>
      <c r="L27" s="224">
        <f>+H27</f>
        <v>9.0996796451453921E-2</v>
      </c>
      <c r="M27" s="195">
        <f>+I27</f>
        <v>44130.75</v>
      </c>
      <c r="N27" s="225">
        <f t="shared" si="1"/>
        <v>4015.756875</v>
      </c>
      <c r="O27" s="149"/>
      <c r="P27" s="193">
        <f t="shared" si="2"/>
        <v>0</v>
      </c>
      <c r="Q27" s="234">
        <f t="shared" si="3"/>
        <v>0</v>
      </c>
    </row>
    <row r="28" spans="2:17" ht="13.5" thickBot="1" x14ac:dyDescent="0.25">
      <c r="D28" s="239"/>
      <c r="E28" s="149"/>
      <c r="F28" s="229"/>
      <c r="G28" s="186"/>
      <c r="H28" s="224"/>
      <c r="I28" s="194"/>
      <c r="J28" s="225">
        <f t="shared" si="0"/>
        <v>0</v>
      </c>
      <c r="K28" s="149"/>
      <c r="L28" s="224"/>
      <c r="M28" s="195"/>
      <c r="N28" s="225">
        <f t="shared" si="1"/>
        <v>0</v>
      </c>
      <c r="O28" s="149"/>
      <c r="P28" s="193">
        <f t="shared" si="2"/>
        <v>0</v>
      </c>
      <c r="Q28" s="234" t="str">
        <f t="shared" si="3"/>
        <v/>
      </c>
    </row>
    <row r="29" spans="2:17" ht="13.5" thickBot="1" x14ac:dyDescent="0.25">
      <c r="D29" s="55" t="s">
        <v>57</v>
      </c>
      <c r="E29" s="54"/>
      <c r="F29" s="54"/>
      <c r="G29" s="230"/>
      <c r="H29" s="196"/>
      <c r="I29" s="197"/>
      <c r="J29" s="82">
        <f>SUM(J21:J28)</f>
        <v>20011.556874999995</v>
      </c>
      <c r="K29" s="54"/>
      <c r="L29" s="196"/>
      <c r="M29" s="198"/>
      <c r="N29" s="82">
        <f>SUM(N21:N28)</f>
        <v>18185.426874999997</v>
      </c>
      <c r="O29" s="54"/>
      <c r="P29" s="84">
        <f t="shared" si="2"/>
        <v>-1826.1299999999974</v>
      </c>
      <c r="Q29" s="85">
        <f t="shared" si="3"/>
        <v>-9.1253769579584393E-2</v>
      </c>
    </row>
    <row r="30" spans="2:17" x14ac:dyDescent="0.2">
      <c r="D30" s="200" t="s">
        <v>58</v>
      </c>
      <c r="E30" s="200"/>
      <c r="F30" s="229" t="s">
        <v>86</v>
      </c>
      <c r="G30" s="232"/>
      <c r="H30" s="226">
        <f>+'Rates Detail'!I235</f>
        <v>2.7006999999999999</v>
      </c>
      <c r="I30" s="199">
        <f>+H16</f>
        <v>5000</v>
      </c>
      <c r="J30" s="227">
        <f>I30*H30</f>
        <v>13503.5</v>
      </c>
      <c r="K30" s="200"/>
      <c r="L30" s="226">
        <f>+'Rates Detail'!J235</f>
        <v>2.8287</v>
      </c>
      <c r="M30" s="201">
        <f>+I30</f>
        <v>5000</v>
      </c>
      <c r="N30" s="227">
        <f>M30*L30</f>
        <v>14143.5</v>
      </c>
      <c r="O30" s="200"/>
      <c r="P30" s="202">
        <f t="shared" si="2"/>
        <v>640</v>
      </c>
      <c r="Q30" s="228">
        <f t="shared" si="3"/>
        <v>4.7395119783759765E-2</v>
      </c>
    </row>
    <row r="31" spans="2:17" ht="26.25" thickBot="1" x14ac:dyDescent="0.25">
      <c r="D31" s="240" t="s">
        <v>59</v>
      </c>
      <c r="E31" s="200"/>
      <c r="F31" s="229" t="s">
        <v>86</v>
      </c>
      <c r="G31" s="232"/>
      <c r="H31" s="226">
        <f>+'Rates Detail'!I236</f>
        <v>2.1196999999999999</v>
      </c>
      <c r="I31" s="199">
        <f>I30</f>
        <v>5000</v>
      </c>
      <c r="J31" s="227">
        <f>I31*H31</f>
        <v>10598.5</v>
      </c>
      <c r="K31" s="200"/>
      <c r="L31" s="226">
        <f>+'Rates Detail'!J236</f>
        <v>2.1393</v>
      </c>
      <c r="M31" s="201">
        <f>M30</f>
        <v>5000</v>
      </c>
      <c r="N31" s="227">
        <f>M31*L31</f>
        <v>10696.5</v>
      </c>
      <c r="O31" s="200"/>
      <c r="P31" s="202">
        <f t="shared" si="2"/>
        <v>98</v>
      </c>
      <c r="Q31" s="228">
        <f t="shared" si="3"/>
        <v>9.2465914987970004E-3</v>
      </c>
    </row>
    <row r="32" spans="2:17" ht="26.25" thickBot="1" x14ac:dyDescent="0.25">
      <c r="D32" s="96" t="s">
        <v>60</v>
      </c>
      <c r="E32" s="149"/>
      <c r="F32" s="149"/>
      <c r="G32" s="186"/>
      <c r="H32" s="203"/>
      <c r="I32" s="204"/>
      <c r="J32" s="99">
        <f>SUM(J29:J31)</f>
        <v>44113.556874999995</v>
      </c>
      <c r="K32" s="100"/>
      <c r="L32" s="101"/>
      <c r="M32" s="102"/>
      <c r="N32" s="99">
        <f>SUM(N29:N31)</f>
        <v>43025.426874999997</v>
      </c>
      <c r="O32" s="100"/>
      <c r="P32" s="103">
        <f t="shared" si="2"/>
        <v>-1088.1299999999974</v>
      </c>
      <c r="Q32" s="104">
        <f t="shared" si="3"/>
        <v>-2.4666566857968818E-2</v>
      </c>
    </row>
    <row r="33" spans="4:17" ht="25.5" x14ac:dyDescent="0.2">
      <c r="D33" s="150" t="s">
        <v>61</v>
      </c>
      <c r="E33" s="149"/>
      <c r="F33" s="229" t="s">
        <v>51</v>
      </c>
      <c r="G33" s="186"/>
      <c r="H33" s="147">
        <f>+'Rates Detail'!I239</f>
        <v>4.4000000000000003E-3</v>
      </c>
      <c r="I33" s="233">
        <f>ROUND(L16*(1+H47),0)</f>
        <v>3043500</v>
      </c>
      <c r="J33" s="205">
        <f>I33*H33</f>
        <v>13391.400000000001</v>
      </c>
      <c r="K33" s="149"/>
      <c r="L33" s="147">
        <f>+'Rates Detail'!J239</f>
        <v>4.4000000000000003E-3</v>
      </c>
      <c r="M33" s="187">
        <f>+I33</f>
        <v>3043500</v>
      </c>
      <c r="N33" s="205">
        <f>M33*L33</f>
        <v>13391.400000000001</v>
      </c>
      <c r="O33" s="149"/>
      <c r="P33" s="193">
        <f t="shared" si="2"/>
        <v>0</v>
      </c>
      <c r="Q33" s="206">
        <f t="shared" si="3"/>
        <v>0</v>
      </c>
    </row>
    <row r="34" spans="4:17" ht="25.5" x14ac:dyDescent="0.2">
      <c r="D34" s="150" t="s">
        <v>62</v>
      </c>
      <c r="E34" s="149"/>
      <c r="F34" s="229" t="s">
        <v>51</v>
      </c>
      <c r="G34" s="186"/>
      <c r="H34" s="147">
        <f>+'Rates Detail'!I240</f>
        <v>1.1999999999999999E-3</v>
      </c>
      <c r="I34" s="185">
        <f>+I33</f>
        <v>3043500</v>
      </c>
      <c r="J34" s="205">
        <f t="shared" ref="J34:J40" si="6">I34*H34</f>
        <v>3652.2</v>
      </c>
      <c r="K34" s="149"/>
      <c r="L34" s="147">
        <f>+'Rates Detail'!J240</f>
        <v>1.1999999999999999E-3</v>
      </c>
      <c r="M34" s="187">
        <f>+M33</f>
        <v>3043500</v>
      </c>
      <c r="N34" s="205">
        <f t="shared" ref="N34:N40" si="7">M34*L34</f>
        <v>3652.2</v>
      </c>
      <c r="O34" s="149"/>
      <c r="P34" s="193">
        <f t="shared" si="2"/>
        <v>0</v>
      </c>
      <c r="Q34" s="206">
        <f t="shared" si="3"/>
        <v>0</v>
      </c>
    </row>
    <row r="35" spans="4:17" x14ac:dyDescent="0.2">
      <c r="D35" s="150" t="s">
        <v>63</v>
      </c>
      <c r="E35" s="149"/>
      <c r="F35" s="229"/>
      <c r="G35" s="186"/>
      <c r="H35" s="148"/>
      <c r="I35" s="185">
        <f>+I34</f>
        <v>3043500</v>
      </c>
      <c r="J35" s="205">
        <f t="shared" si="6"/>
        <v>0</v>
      </c>
      <c r="K35" s="149"/>
      <c r="L35" s="148"/>
      <c r="M35" s="187">
        <f>M31</f>
        <v>5000</v>
      </c>
      <c r="N35" s="205">
        <f t="shared" si="7"/>
        <v>0</v>
      </c>
      <c r="O35" s="149"/>
      <c r="P35" s="193">
        <f t="shared" si="2"/>
        <v>0</v>
      </c>
      <c r="Q35" s="206" t="str">
        <f t="shared" si="3"/>
        <v/>
      </c>
    </row>
    <row r="36" spans="4:17" x14ac:dyDescent="0.2">
      <c r="D36" s="149" t="s">
        <v>64</v>
      </c>
      <c r="E36" s="149"/>
      <c r="F36" s="229" t="s">
        <v>1</v>
      </c>
      <c r="G36" s="186"/>
      <c r="H36" s="147">
        <v>0.25</v>
      </c>
      <c r="I36" s="185">
        <v>1</v>
      </c>
      <c r="J36" s="205">
        <f t="shared" si="6"/>
        <v>0.25</v>
      </c>
      <c r="K36" s="149"/>
      <c r="L36" s="147">
        <v>0.25</v>
      </c>
      <c r="M36" s="187">
        <v>1</v>
      </c>
      <c r="N36" s="205">
        <f t="shared" si="7"/>
        <v>0.25</v>
      </c>
      <c r="O36" s="149"/>
      <c r="P36" s="193">
        <f t="shared" si="2"/>
        <v>0</v>
      </c>
      <c r="Q36" s="206">
        <f t="shared" si="3"/>
        <v>0</v>
      </c>
    </row>
    <row r="37" spans="4:17" x14ac:dyDescent="0.2">
      <c r="D37" s="149" t="s">
        <v>65</v>
      </c>
      <c r="E37" s="149"/>
      <c r="F37" s="229" t="s">
        <v>51</v>
      </c>
      <c r="G37" s="186"/>
      <c r="H37" s="147">
        <v>7.0000000000000001E-3</v>
      </c>
      <c r="I37" s="185">
        <f>+L16</f>
        <v>3000000</v>
      </c>
      <c r="J37" s="205">
        <f t="shared" si="6"/>
        <v>21000</v>
      </c>
      <c r="K37" s="149"/>
      <c r="L37" s="147">
        <f t="shared" ref="L37:M39" si="8">+H37</f>
        <v>7.0000000000000001E-3</v>
      </c>
      <c r="M37" s="187">
        <f t="shared" si="8"/>
        <v>3000000</v>
      </c>
      <c r="N37" s="205">
        <f t="shared" si="7"/>
        <v>21000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149" t="s">
        <v>66</v>
      </c>
      <c r="E38" s="149"/>
      <c r="F38" s="229" t="s">
        <v>51</v>
      </c>
      <c r="G38" s="186"/>
      <c r="H38" s="147">
        <v>7.8E-2</v>
      </c>
      <c r="I38" s="185">
        <v>750</v>
      </c>
      <c r="J38" s="205">
        <f t="shared" si="6"/>
        <v>58.5</v>
      </c>
      <c r="K38" s="149"/>
      <c r="L38" s="147">
        <f t="shared" si="8"/>
        <v>7.8E-2</v>
      </c>
      <c r="M38" s="187">
        <f t="shared" si="8"/>
        <v>750</v>
      </c>
      <c r="N38" s="205">
        <f t="shared" si="7"/>
        <v>58.5</v>
      </c>
      <c r="O38" s="149"/>
      <c r="P38" s="193">
        <f t="shared" si="2"/>
        <v>0</v>
      </c>
      <c r="Q38" s="206">
        <f t="shared" si="3"/>
        <v>0</v>
      </c>
    </row>
    <row r="39" spans="4:17" x14ac:dyDescent="0.2">
      <c r="D39" s="241" t="s">
        <v>66</v>
      </c>
      <c r="E39" s="149"/>
      <c r="F39" s="229" t="s">
        <v>51</v>
      </c>
      <c r="G39" s="186"/>
      <c r="H39" s="147">
        <v>9.0999999999999998E-2</v>
      </c>
      <c r="I39" s="207">
        <f>+ROUND(I34-I38,0)</f>
        <v>3042750</v>
      </c>
      <c r="J39" s="205">
        <f t="shared" si="6"/>
        <v>276890.25</v>
      </c>
      <c r="K39" s="149"/>
      <c r="L39" s="147">
        <f t="shared" si="8"/>
        <v>9.0999999999999998E-2</v>
      </c>
      <c r="M39" s="208">
        <f t="shared" si="8"/>
        <v>3042750</v>
      </c>
      <c r="N39" s="205">
        <f t="shared" si="7"/>
        <v>276890.25</v>
      </c>
      <c r="O39" s="149"/>
      <c r="P39" s="193">
        <f t="shared" si="2"/>
        <v>0</v>
      </c>
      <c r="Q39" s="206">
        <f t="shared" si="3"/>
        <v>0</v>
      </c>
    </row>
    <row r="40" spans="4:17" ht="13.5" thickBot="1" x14ac:dyDescent="0.25">
      <c r="D40" s="239"/>
      <c r="E40" s="149"/>
      <c r="F40" s="229"/>
      <c r="G40" s="186"/>
      <c r="H40" s="147"/>
      <c r="I40" s="194"/>
      <c r="J40" s="205">
        <f t="shared" si="6"/>
        <v>0</v>
      </c>
      <c r="K40" s="149"/>
      <c r="L40" s="147"/>
      <c r="M40" s="195"/>
      <c r="N40" s="205">
        <f t="shared" si="7"/>
        <v>0</v>
      </c>
      <c r="O40" s="149"/>
      <c r="P40" s="193">
        <f t="shared" si="2"/>
        <v>0</v>
      </c>
      <c r="Q40" s="206" t="str">
        <f t="shared" si="3"/>
        <v/>
      </c>
    </row>
    <row r="41" spans="4:17" ht="13.5" thickBot="1" x14ac:dyDescent="0.25">
      <c r="D41" s="113" t="s">
        <v>67</v>
      </c>
      <c r="E41" s="149"/>
      <c r="F41" s="149"/>
      <c r="G41" s="149"/>
      <c r="H41" s="209"/>
      <c r="I41" s="210"/>
      <c r="J41" s="99">
        <f>SUM(J32:J40)</f>
        <v>359106.15687499999</v>
      </c>
      <c r="K41" s="100"/>
      <c r="L41" s="116"/>
      <c r="M41" s="117"/>
      <c r="N41" s="99">
        <f>SUM(N32:N40)</f>
        <v>358018.02687499998</v>
      </c>
      <c r="O41" s="100"/>
      <c r="P41" s="103">
        <f t="shared" si="2"/>
        <v>-1088.1300000000047</v>
      </c>
      <c r="Q41" s="104">
        <f t="shared" si="3"/>
        <v>-3.0301067780878176E-3</v>
      </c>
    </row>
    <row r="42" spans="4:17" ht="13.5" thickBot="1" x14ac:dyDescent="0.25">
      <c r="D42" s="186" t="s">
        <v>68</v>
      </c>
      <c r="E42" s="149"/>
      <c r="F42" s="149"/>
      <c r="G42" s="149"/>
      <c r="H42" s="211">
        <v>0.13</v>
      </c>
      <c r="I42" s="212"/>
      <c r="J42" s="213">
        <f>J41*H42</f>
        <v>46683.800393749996</v>
      </c>
      <c r="K42" s="149"/>
      <c r="L42" s="211">
        <v>0.13</v>
      </c>
      <c r="M42" s="214"/>
      <c r="N42" s="213">
        <f>N41*L42</f>
        <v>46542.343493749999</v>
      </c>
      <c r="O42" s="149"/>
      <c r="P42" s="193">
        <f t="shared" si="2"/>
        <v>-141.4568999999974</v>
      </c>
      <c r="Q42" s="206">
        <f t="shared" si="3"/>
        <v>-3.0301067780877495E-3</v>
      </c>
    </row>
    <row r="43" spans="4:17" ht="26.25" thickBot="1" x14ac:dyDescent="0.25">
      <c r="D43" s="96" t="s">
        <v>69</v>
      </c>
      <c r="E43" s="149"/>
      <c r="F43" s="149"/>
      <c r="G43" s="149"/>
      <c r="H43" s="203"/>
      <c r="I43" s="204"/>
      <c r="J43" s="99">
        <f>ROUND(SUM(J41:J42),2)</f>
        <v>405789.96</v>
      </c>
      <c r="K43" s="100"/>
      <c r="L43" s="101"/>
      <c r="M43" s="102"/>
      <c r="N43" s="99">
        <f>ROUND(SUM(N41:N42),2)</f>
        <v>404560.37</v>
      </c>
      <c r="O43" s="100"/>
      <c r="P43" s="103">
        <f t="shared" si="2"/>
        <v>-1229.5900000000256</v>
      </c>
      <c r="Q43" s="104">
        <f t="shared" si="3"/>
        <v>-3.0301143971132889E-3</v>
      </c>
    </row>
    <row r="44" spans="4:17" ht="27.75" thickBot="1" x14ac:dyDescent="0.25">
      <c r="D44" s="122" t="s">
        <v>70</v>
      </c>
      <c r="E44" s="149"/>
      <c r="F44" s="149"/>
      <c r="G44" s="149"/>
      <c r="H44" s="203"/>
      <c r="I44" s="215"/>
      <c r="J44" s="99">
        <v>0</v>
      </c>
      <c r="K44" s="100"/>
      <c r="L44" s="101"/>
      <c r="M44" s="102"/>
      <c r="N44" s="99">
        <v>0</v>
      </c>
      <c r="O44" s="100"/>
      <c r="P44" s="103">
        <f t="shared" si="2"/>
        <v>0</v>
      </c>
      <c r="Q44" s="104" t="str">
        <f t="shared" si="3"/>
        <v/>
      </c>
    </row>
    <row r="45" spans="4:17" ht="13.5" thickBot="1" x14ac:dyDescent="0.25">
      <c r="D45" s="96" t="s">
        <v>71</v>
      </c>
      <c r="E45" s="149"/>
      <c r="F45" s="149"/>
      <c r="G45" s="149"/>
      <c r="H45" s="216"/>
      <c r="I45" s="217"/>
      <c r="J45" s="126">
        <f>J43+J44</f>
        <v>405789.96</v>
      </c>
      <c r="K45" s="100"/>
      <c r="L45" s="127"/>
      <c r="M45" s="128"/>
      <c r="N45" s="126">
        <f>N43+N44</f>
        <v>404560.37</v>
      </c>
      <c r="O45" s="100"/>
      <c r="P45" s="129">
        <f t="shared" si="2"/>
        <v>-1229.5900000000256</v>
      </c>
      <c r="Q45" s="130">
        <f t="shared" si="3"/>
        <v>-3.0301143971132889E-3</v>
      </c>
    </row>
    <row r="46" spans="4:17" ht="10.5" customHeight="1" x14ac:dyDescent="0.2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4:17" x14ac:dyDescent="0.2">
      <c r="D47" s="55" t="s">
        <v>72</v>
      </c>
      <c r="E47" s="54"/>
      <c r="F47" s="54"/>
      <c r="G47" s="54"/>
      <c r="H47" s="242">
        <v>1.4500000000000001E-2</v>
      </c>
      <c r="I47" s="54"/>
      <c r="J47" s="54"/>
      <c r="K47" s="54"/>
      <c r="L47" s="242">
        <f>+H47</f>
        <v>1.4500000000000001E-2</v>
      </c>
      <c r="M47" s="54"/>
      <c r="N47" s="54"/>
      <c r="O47" s="54"/>
      <c r="P47" s="54"/>
      <c r="Q47" s="54"/>
    </row>
    <row r="48" spans="4:17" ht="10.5" customHeight="1" x14ac:dyDescent="0.2"/>
    <row r="49" spans="2:3" ht="10.5" customHeight="1" x14ac:dyDescent="0.2">
      <c r="C49" s="133" t="s">
        <v>73</v>
      </c>
    </row>
    <row r="50" spans="2:3" ht="10.5" customHeight="1" x14ac:dyDescent="0.2"/>
    <row r="51" spans="2:3" x14ac:dyDescent="0.2">
      <c r="B51" s="55"/>
      <c r="C51" s="49" t="s">
        <v>74</v>
      </c>
    </row>
    <row r="52" spans="2:3" x14ac:dyDescent="0.2">
      <c r="C52" s="49" t="s">
        <v>75</v>
      </c>
    </row>
    <row r="54" spans="2:3" x14ac:dyDescent="0.2">
      <c r="C54" s="49" t="s">
        <v>76</v>
      </c>
    </row>
    <row r="55" spans="2:3" x14ac:dyDescent="0.2">
      <c r="C55" s="49" t="s">
        <v>77</v>
      </c>
    </row>
    <row r="57" spans="2:3" x14ac:dyDescent="0.2">
      <c r="C57" s="49" t="s">
        <v>78</v>
      </c>
    </row>
    <row r="58" spans="2:3" x14ac:dyDescent="0.2">
      <c r="C58" s="49" t="s">
        <v>79</v>
      </c>
    </row>
    <row r="59" spans="2:3" x14ac:dyDescent="0.2">
      <c r="C59" s="49" t="s">
        <v>80</v>
      </c>
    </row>
    <row r="60" spans="2:3" x14ac:dyDescent="0.2">
      <c r="C60" s="49" t="s">
        <v>81</v>
      </c>
    </row>
    <row r="61" spans="2:3" x14ac:dyDescent="0.2">
      <c r="C61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0:G31 G33:G40 G21:G28">
      <formula1>$B$14:$B$19</formula1>
    </dataValidation>
    <dataValidation type="list" allowBlank="1" showInputMessage="1" showErrorMessage="1" prompt="Select Charge Unit - monthly, per kWh, per kW" sqref="F33:F40 F30:F31 F21:F28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1"/>
  <sheetViews>
    <sheetView showGridLines="0" tabSelected="1" topLeftCell="R1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2851562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28515625" style="49" customWidth="1"/>
    <col min="15" max="15" width="2.85546875" style="49" customWidth="1"/>
    <col min="16" max="16" width="9.5703125" style="49" bestFit="1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82" t="s">
        <v>87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0.1</v>
      </c>
      <c r="I16" s="55" t="s">
        <v>85</v>
      </c>
      <c r="L16" s="56">
        <v>33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tr">
        <f>'LU - Class A'!H18:J18</f>
        <v>Current Board-Approved (July 1 2013)</v>
      </c>
      <c r="I18" s="284"/>
      <c r="J18" s="285"/>
      <c r="L18" s="293" t="str">
        <f>'LU - Class A'!L18:N18</f>
        <v>Proposed January 1, 2014</v>
      </c>
      <c r="M18" s="284"/>
      <c r="N18" s="285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L19" s="60" t="s">
        <v>44</v>
      </c>
      <c r="M19" s="62" t="s">
        <v>45</v>
      </c>
      <c r="N19" s="61" t="s">
        <v>46</v>
      </c>
      <c r="P19" s="276" t="s">
        <v>47</v>
      </c>
      <c r="Q19" s="278" t="s">
        <v>48</v>
      </c>
    </row>
    <row r="20" spans="2:17" x14ac:dyDescent="0.2">
      <c r="B20" s="57"/>
      <c r="D20" s="54"/>
      <c r="F20" s="275"/>
      <c r="G20" s="59"/>
      <c r="H20" s="63" t="s">
        <v>49</v>
      </c>
      <c r="I20" s="63"/>
      <c r="J20" s="64" t="s">
        <v>49</v>
      </c>
      <c r="L20" s="63" t="s">
        <v>49</v>
      </c>
      <c r="M20" s="64"/>
      <c r="N20" s="64" t="s">
        <v>49</v>
      </c>
      <c r="P20" s="277"/>
      <c r="Q20" s="279"/>
    </row>
    <row r="21" spans="2:17" ht="15" x14ac:dyDescent="0.2">
      <c r="D21" s="65" t="s">
        <v>6</v>
      </c>
      <c r="E21" s="65"/>
      <c r="F21" s="66" t="s">
        <v>1</v>
      </c>
      <c r="G21" s="67"/>
      <c r="H21" s="68">
        <f>+'Rates Detail'!I252</f>
        <v>1.37</v>
      </c>
      <c r="I21" s="69">
        <v>1</v>
      </c>
      <c r="J21" s="70">
        <f>I21*H21</f>
        <v>1.37</v>
      </c>
      <c r="K21" s="65"/>
      <c r="L21" s="68">
        <f>+'Rates Detail'!J252</f>
        <v>1.38</v>
      </c>
      <c r="M21" s="71">
        <v>1</v>
      </c>
      <c r="N21" s="70">
        <f>M21*L21</f>
        <v>1.38</v>
      </c>
      <c r="O21" s="65"/>
      <c r="P21" s="72">
        <f>N21-J21</f>
        <v>9.9999999999997868E-3</v>
      </c>
      <c r="Q21" s="73">
        <f>IF((J21)=0,"",(P21/J21))</f>
        <v>7.2992700729925444E-3</v>
      </c>
    </row>
    <row r="22" spans="2:17" ht="15" x14ac:dyDescent="0.2">
      <c r="D22" s="65" t="s">
        <v>12</v>
      </c>
      <c r="E22" s="65"/>
      <c r="F22" s="66" t="s">
        <v>86</v>
      </c>
      <c r="G22" s="67"/>
      <c r="H22" s="74">
        <f>+'Rates Detail'!I259</f>
        <v>10.457100000000001</v>
      </c>
      <c r="I22" s="69">
        <f>H16</f>
        <v>0.1</v>
      </c>
      <c r="J22" s="70">
        <f t="shared" ref="J22:J28" si="0">I22*H22</f>
        <v>1.0457100000000001</v>
      </c>
      <c r="K22" s="65"/>
      <c r="L22" s="74">
        <f>+'Rates Detail'!J259</f>
        <v>10.5596</v>
      </c>
      <c r="M22" s="71">
        <f>H16</f>
        <v>0.1</v>
      </c>
      <c r="N22" s="70">
        <f t="shared" ref="N22:N28" si="1">M22*L22</f>
        <v>1.05596</v>
      </c>
      <c r="O22" s="65"/>
      <c r="P22" s="72">
        <f t="shared" ref="P22:P45" si="2">N22-J22</f>
        <v>1.024999999999987E-2</v>
      </c>
      <c r="Q22" s="73">
        <f t="shared" ref="Q22:Q45" si="3">IF((J22)=0,"",(P22/J22))</f>
        <v>9.801952740243345E-3</v>
      </c>
    </row>
    <row r="23" spans="2:17" ht="15" x14ac:dyDescent="0.2">
      <c r="D23" s="65" t="s">
        <v>52</v>
      </c>
      <c r="E23" s="65"/>
      <c r="F23" s="66"/>
      <c r="G23" s="67"/>
      <c r="H23" s="74">
        <f>+'Rates Detail'!I275</f>
        <v>5.8000000000000003E-2</v>
      </c>
      <c r="I23" s="69">
        <f t="shared" ref="I23" si="4">I22</f>
        <v>0.1</v>
      </c>
      <c r="J23" s="70">
        <f t="shared" si="0"/>
        <v>5.8000000000000005E-3</v>
      </c>
      <c r="K23" s="65"/>
      <c r="L23" s="74">
        <f>+'Rates Detail'!J275</f>
        <v>5.8000000000000003E-2</v>
      </c>
      <c r="M23" s="71">
        <f t="shared" ref="M23" si="5">M22</f>
        <v>0.1</v>
      </c>
      <c r="N23" s="70">
        <f t="shared" si="1"/>
        <v>5.8000000000000005E-3</v>
      </c>
      <c r="O23" s="65"/>
      <c r="P23" s="72">
        <f t="shared" si="2"/>
        <v>0</v>
      </c>
      <c r="Q23" s="73">
        <f t="shared" si="3"/>
        <v>0</v>
      </c>
    </row>
    <row r="24" spans="2:17" ht="25.5" x14ac:dyDescent="0.2">
      <c r="D24" s="75" t="s">
        <v>55</v>
      </c>
      <c r="E24" s="65"/>
      <c r="F24" s="66" t="s">
        <v>86</v>
      </c>
      <c r="G24" s="67"/>
      <c r="H24" s="74">
        <f>+SUM('Rates Detail'!I261:I264,'Rates Detail'!I269:I270)</f>
        <v>1.7907000000000002</v>
      </c>
      <c r="I24" s="69">
        <f>+I23</f>
        <v>0.1</v>
      </c>
      <c r="J24" s="70">
        <f t="shared" si="0"/>
        <v>0.17907000000000003</v>
      </c>
      <c r="K24" s="65"/>
      <c r="L24" s="74">
        <f>+SUM('Rates Detail'!J261:J265,'Rates Detail'!J269:J271)</f>
        <v>-1.3059000000000001</v>
      </c>
      <c r="M24" s="71">
        <f>+I24</f>
        <v>0.1</v>
      </c>
      <c r="N24" s="70">
        <f t="shared" si="1"/>
        <v>-0.13059000000000001</v>
      </c>
      <c r="O24" s="65"/>
      <c r="P24" s="72">
        <f t="shared" si="2"/>
        <v>-0.30966000000000005</v>
      </c>
      <c r="Q24" s="73">
        <f t="shared" si="3"/>
        <v>-1.7292678840676829</v>
      </c>
    </row>
    <row r="25" spans="2:17" ht="15" x14ac:dyDescent="0.2">
      <c r="D25" s="76" t="s">
        <v>96</v>
      </c>
      <c r="E25" s="65"/>
      <c r="F25" s="66" t="s">
        <v>86</v>
      </c>
      <c r="G25" s="67"/>
      <c r="H25" s="74">
        <f>'Rates Detail'!I266</f>
        <v>8.8900000000000007E-2</v>
      </c>
      <c r="I25" s="77">
        <f>+I27</f>
        <v>0.1</v>
      </c>
      <c r="J25" s="70">
        <f>I25*H25</f>
        <v>8.8900000000000003E-3</v>
      </c>
      <c r="K25" s="65"/>
      <c r="L25" s="74">
        <f>'Rates Detail'!J266</f>
        <v>0</v>
      </c>
      <c r="M25" s="78">
        <v>0.1</v>
      </c>
      <c r="N25" s="70">
        <f>M25*L25</f>
        <v>0</v>
      </c>
      <c r="O25" s="65"/>
      <c r="P25" s="72">
        <f>N25-J25</f>
        <v>-8.8900000000000003E-3</v>
      </c>
      <c r="Q25" s="73">
        <f>IF((J25)=0,"",(P25/J25))</f>
        <v>-1</v>
      </c>
    </row>
    <row r="26" spans="2:17" ht="15" x14ac:dyDescent="0.2">
      <c r="D26" s="76" t="s">
        <v>118</v>
      </c>
      <c r="E26" s="65"/>
      <c r="F26" s="66"/>
      <c r="G26" s="67"/>
      <c r="H26" s="74">
        <f>+J26/I26</f>
        <v>7.7999999999999986E-2</v>
      </c>
      <c r="I26" s="77">
        <f>SUM(I38:I39)*H47</f>
        <v>1.1879999999999999</v>
      </c>
      <c r="J26" s="70">
        <f>+SUM(J38:J39)*H47</f>
        <v>9.2663999999999982E-2</v>
      </c>
      <c r="K26" s="65"/>
      <c r="L26" s="74">
        <f>+H26</f>
        <v>7.7999999999999986E-2</v>
      </c>
      <c r="M26" s="78">
        <f>+I26</f>
        <v>1.1879999999999999</v>
      </c>
      <c r="N26" s="70">
        <f t="shared" si="1"/>
        <v>9.2663999999999982E-2</v>
      </c>
      <c r="O26" s="65"/>
      <c r="P26" s="72">
        <f t="shared" si="2"/>
        <v>0</v>
      </c>
      <c r="Q26" s="73">
        <f t="shared" si="3"/>
        <v>0</v>
      </c>
    </row>
    <row r="27" spans="2:17" ht="15" x14ac:dyDescent="0.2">
      <c r="D27" s="76"/>
      <c r="E27" s="65"/>
      <c r="F27" s="66"/>
      <c r="G27" s="67"/>
      <c r="H27" s="74">
        <f>+'Rates Detail'!I268</f>
        <v>0</v>
      </c>
      <c r="I27" s="77">
        <f>+I24</f>
        <v>0.1</v>
      </c>
      <c r="J27" s="70">
        <f t="shared" si="0"/>
        <v>0</v>
      </c>
      <c r="K27" s="65"/>
      <c r="L27" s="74">
        <f>+'Rates Detail'!I268</f>
        <v>0</v>
      </c>
      <c r="M27" s="78">
        <f>+I27</f>
        <v>0.1</v>
      </c>
      <c r="N27" s="70">
        <f t="shared" si="1"/>
        <v>0</v>
      </c>
      <c r="O27" s="65"/>
      <c r="P27" s="72">
        <f t="shared" si="2"/>
        <v>0</v>
      </c>
      <c r="Q27" s="73" t="str">
        <f t="shared" si="3"/>
        <v/>
      </c>
    </row>
    <row r="28" spans="2:17" ht="15.75" thickBot="1" x14ac:dyDescent="0.25">
      <c r="D28" s="76"/>
      <c r="E28" s="65"/>
      <c r="F28" s="66"/>
      <c r="G28" s="67"/>
      <c r="H28" s="74"/>
      <c r="I28" s="77"/>
      <c r="J28" s="70">
        <f t="shared" si="0"/>
        <v>0</v>
      </c>
      <c r="K28" s="65"/>
      <c r="L28" s="74"/>
      <c r="M28" s="78"/>
      <c r="N28" s="70">
        <f t="shared" si="1"/>
        <v>0</v>
      </c>
      <c r="O28" s="65"/>
      <c r="P28" s="72">
        <f t="shared" si="2"/>
        <v>0</v>
      </c>
      <c r="Q28" s="73" t="str">
        <f t="shared" si="3"/>
        <v/>
      </c>
    </row>
    <row r="29" spans="2:17" ht="13.5" thickBot="1" x14ac:dyDescent="0.25">
      <c r="D29" s="55" t="s">
        <v>57</v>
      </c>
      <c r="G29" s="79"/>
      <c r="H29" s="80"/>
      <c r="I29" s="81"/>
      <c r="J29" s="82">
        <f>SUM(J21:J28)</f>
        <v>2.702134</v>
      </c>
      <c r="L29" s="80"/>
      <c r="M29" s="83"/>
      <c r="N29" s="82">
        <f>SUM(N21:N28)</f>
        <v>2.4038339999999994</v>
      </c>
      <c r="P29" s="84">
        <f t="shared" si="2"/>
        <v>-0.29830000000000068</v>
      </c>
      <c r="Q29" s="85">
        <f t="shared" si="3"/>
        <v>-0.11039422915369877</v>
      </c>
    </row>
    <row r="30" spans="2:17" ht="15" x14ac:dyDescent="0.2">
      <c r="D30" s="86" t="s">
        <v>58</v>
      </c>
      <c r="E30" s="86"/>
      <c r="F30" s="66" t="s">
        <v>86</v>
      </c>
      <c r="G30" s="88"/>
      <c r="H30" s="89">
        <f>+'Rates Detail'!I277</f>
        <v>1.8116000000000001</v>
      </c>
      <c r="I30" s="90">
        <f>+H16</f>
        <v>0.1</v>
      </c>
      <c r="J30" s="91">
        <f>I30*H30</f>
        <v>0.18116000000000002</v>
      </c>
      <c r="K30" s="86"/>
      <c r="L30" s="89">
        <f>+'Rates Detail'!J277</f>
        <v>1.8974</v>
      </c>
      <c r="M30" s="92">
        <f>+I30</f>
        <v>0.1</v>
      </c>
      <c r="N30" s="91">
        <f>M30*L30</f>
        <v>0.18974000000000002</v>
      </c>
      <c r="O30" s="86"/>
      <c r="P30" s="93">
        <f t="shared" si="2"/>
        <v>8.5800000000000043E-3</v>
      </c>
      <c r="Q30" s="94">
        <f t="shared" si="3"/>
        <v>4.7361448443364998E-2</v>
      </c>
    </row>
    <row r="31" spans="2:17" ht="26.25" thickBot="1" x14ac:dyDescent="0.25">
      <c r="D31" s="95" t="s">
        <v>59</v>
      </c>
      <c r="E31" s="86"/>
      <c r="F31" s="66" t="s">
        <v>86</v>
      </c>
      <c r="G31" s="88"/>
      <c r="H31" s="89">
        <f>+'Rates Detail'!I278</f>
        <v>1.4665999999999999</v>
      </c>
      <c r="I31" s="90">
        <f>I30</f>
        <v>0.1</v>
      </c>
      <c r="J31" s="91">
        <f>I31*H31</f>
        <v>0.14665999999999998</v>
      </c>
      <c r="K31" s="86"/>
      <c r="L31" s="89">
        <f>+'Rates Detail'!J278</f>
        <v>1.4801</v>
      </c>
      <c r="M31" s="92">
        <f>M30</f>
        <v>0.1</v>
      </c>
      <c r="N31" s="91">
        <f>M31*L31</f>
        <v>0.14801</v>
      </c>
      <c r="O31" s="86"/>
      <c r="P31" s="93">
        <f t="shared" si="2"/>
        <v>1.3500000000000179E-3</v>
      </c>
      <c r="Q31" s="94">
        <f t="shared" si="3"/>
        <v>9.2049638619938496E-3</v>
      </c>
    </row>
    <row r="32" spans="2:17" ht="26.25" thickBot="1" x14ac:dyDescent="0.25">
      <c r="D32" s="96" t="s">
        <v>60</v>
      </c>
      <c r="E32" s="65"/>
      <c r="F32" s="65"/>
      <c r="G32" s="67"/>
      <c r="H32" s="97"/>
      <c r="I32" s="98"/>
      <c r="J32" s="99">
        <f>SUM(J29:J31)</f>
        <v>3.029954</v>
      </c>
      <c r="K32" s="100"/>
      <c r="L32" s="101"/>
      <c r="M32" s="102"/>
      <c r="N32" s="99">
        <f>SUM(N29:N31)</f>
        <v>2.7415839999999996</v>
      </c>
      <c r="O32" s="100"/>
      <c r="P32" s="103">
        <f t="shared" si="2"/>
        <v>-0.28837000000000046</v>
      </c>
      <c r="Q32" s="104">
        <f t="shared" si="3"/>
        <v>-9.5173062033285141E-2</v>
      </c>
    </row>
    <row r="33" spans="4:17" ht="25.5" x14ac:dyDescent="0.2">
      <c r="D33" s="75" t="s">
        <v>61</v>
      </c>
      <c r="E33" s="65"/>
      <c r="F33" s="66" t="s">
        <v>51</v>
      </c>
      <c r="G33" s="67"/>
      <c r="H33" s="105">
        <f>+'Rates Detail'!I281</f>
        <v>4.4000000000000003E-3</v>
      </c>
      <c r="I33" s="106">
        <f>ROUND(L16*(1+H47),0)</f>
        <v>34</v>
      </c>
      <c r="J33" s="107">
        <f>I33*H33</f>
        <v>0.14960000000000001</v>
      </c>
      <c r="K33" s="65"/>
      <c r="L33" s="105">
        <f>+'Rates Detail'!J281</f>
        <v>4.4000000000000003E-3</v>
      </c>
      <c r="M33" s="71">
        <f>+I33</f>
        <v>34</v>
      </c>
      <c r="N33" s="107">
        <f>M33*L33</f>
        <v>0.14960000000000001</v>
      </c>
      <c r="O33" s="65"/>
      <c r="P33" s="72">
        <f t="shared" si="2"/>
        <v>0</v>
      </c>
      <c r="Q33" s="108">
        <f t="shared" si="3"/>
        <v>0</v>
      </c>
    </row>
    <row r="34" spans="4:17" ht="25.5" x14ac:dyDescent="0.2">
      <c r="D34" s="75" t="s">
        <v>62</v>
      </c>
      <c r="E34" s="65"/>
      <c r="F34" s="66" t="s">
        <v>51</v>
      </c>
      <c r="G34" s="67"/>
      <c r="H34" s="105">
        <f>+'Rates Detail'!I282</f>
        <v>1.1999999999999999E-3</v>
      </c>
      <c r="I34" s="69">
        <f>+I33</f>
        <v>34</v>
      </c>
      <c r="J34" s="107">
        <f t="shared" ref="J34:J40" si="6">I34*H34</f>
        <v>4.0799999999999996E-2</v>
      </c>
      <c r="K34" s="65"/>
      <c r="L34" s="105">
        <f>+'Rates Detail'!J282</f>
        <v>1.1999999999999999E-3</v>
      </c>
      <c r="M34" s="71">
        <f>+M33</f>
        <v>34</v>
      </c>
      <c r="N34" s="107">
        <f t="shared" ref="N34:N40" si="7">M34*L34</f>
        <v>4.0799999999999996E-2</v>
      </c>
      <c r="O34" s="65"/>
      <c r="P34" s="72">
        <f t="shared" si="2"/>
        <v>0</v>
      </c>
      <c r="Q34" s="108">
        <f t="shared" si="3"/>
        <v>0</v>
      </c>
    </row>
    <row r="35" spans="4:17" x14ac:dyDescent="0.2">
      <c r="D35" s="75" t="s">
        <v>63</v>
      </c>
      <c r="E35" s="65"/>
      <c r="F35" s="66"/>
      <c r="G35" s="67"/>
      <c r="H35" s="109"/>
      <c r="I35" s="69">
        <f>+I34</f>
        <v>34</v>
      </c>
      <c r="J35" s="107">
        <f t="shared" si="6"/>
        <v>0</v>
      </c>
      <c r="K35" s="65"/>
      <c r="L35" s="109"/>
      <c r="M35" s="71">
        <f>M31</f>
        <v>0.1</v>
      </c>
      <c r="N35" s="107">
        <f t="shared" si="7"/>
        <v>0</v>
      </c>
      <c r="O35" s="65"/>
      <c r="P35" s="72">
        <f t="shared" si="2"/>
        <v>0</v>
      </c>
      <c r="Q35" s="108" t="str">
        <f t="shared" si="3"/>
        <v/>
      </c>
    </row>
    <row r="36" spans="4:17" x14ac:dyDescent="0.2">
      <c r="D36" s="65" t="s">
        <v>64</v>
      </c>
      <c r="E36" s="65"/>
      <c r="F36" s="66" t="s">
        <v>1</v>
      </c>
      <c r="G36" s="67"/>
      <c r="H36" s="105">
        <v>0.25</v>
      </c>
      <c r="I36" s="69">
        <v>1</v>
      </c>
      <c r="J36" s="107">
        <f t="shared" si="6"/>
        <v>0.25</v>
      </c>
      <c r="K36" s="65"/>
      <c r="L36" s="105">
        <v>0.25</v>
      </c>
      <c r="M36" s="71">
        <v>1</v>
      </c>
      <c r="N36" s="107">
        <f t="shared" si="7"/>
        <v>0.25</v>
      </c>
      <c r="O36" s="65"/>
      <c r="P36" s="72">
        <f t="shared" si="2"/>
        <v>0</v>
      </c>
      <c r="Q36" s="108">
        <f t="shared" si="3"/>
        <v>0</v>
      </c>
    </row>
    <row r="37" spans="4:17" x14ac:dyDescent="0.2">
      <c r="D37" s="65" t="s">
        <v>65</v>
      </c>
      <c r="E37" s="65"/>
      <c r="F37" s="66" t="s">
        <v>51</v>
      </c>
      <c r="G37" s="67"/>
      <c r="H37" s="105">
        <v>7.0000000000000001E-3</v>
      </c>
      <c r="I37" s="69">
        <f>+L16</f>
        <v>33</v>
      </c>
      <c r="J37" s="107">
        <f t="shared" si="6"/>
        <v>0.23100000000000001</v>
      </c>
      <c r="K37" s="65"/>
      <c r="L37" s="105">
        <f t="shared" ref="L37:M39" si="8">+H37</f>
        <v>7.0000000000000001E-3</v>
      </c>
      <c r="M37" s="71">
        <f t="shared" si="8"/>
        <v>33</v>
      </c>
      <c r="N37" s="107">
        <f t="shared" si="7"/>
        <v>0.23100000000000001</v>
      </c>
      <c r="O37" s="65"/>
      <c r="P37" s="72">
        <f t="shared" si="2"/>
        <v>0</v>
      </c>
      <c r="Q37" s="108">
        <f t="shared" si="3"/>
        <v>0</v>
      </c>
    </row>
    <row r="38" spans="4:17" x14ac:dyDescent="0.2">
      <c r="D38" s="65" t="s">
        <v>66</v>
      </c>
      <c r="E38" s="65"/>
      <c r="F38" s="66" t="s">
        <v>51</v>
      </c>
      <c r="G38" s="67"/>
      <c r="H38" s="105">
        <v>7.8E-2</v>
      </c>
      <c r="I38" s="69">
        <f>+I37</f>
        <v>33</v>
      </c>
      <c r="J38" s="107">
        <f t="shared" si="6"/>
        <v>2.5739999999999998</v>
      </c>
      <c r="K38" s="65"/>
      <c r="L38" s="105">
        <f t="shared" si="8"/>
        <v>7.8E-2</v>
      </c>
      <c r="M38" s="71">
        <f t="shared" si="8"/>
        <v>33</v>
      </c>
      <c r="N38" s="107">
        <f t="shared" si="7"/>
        <v>2.5739999999999998</v>
      </c>
      <c r="O38" s="65"/>
      <c r="P38" s="72">
        <f t="shared" si="2"/>
        <v>0</v>
      </c>
      <c r="Q38" s="108">
        <f t="shared" si="3"/>
        <v>0</v>
      </c>
    </row>
    <row r="39" spans="4:17" x14ac:dyDescent="0.2">
      <c r="D39" s="110" t="s">
        <v>66</v>
      </c>
      <c r="E39" s="65"/>
      <c r="F39" s="66" t="s">
        <v>51</v>
      </c>
      <c r="G39" s="67"/>
      <c r="H39" s="105">
        <v>9.0999999999999998E-2</v>
      </c>
      <c r="I39" s="111">
        <v>0</v>
      </c>
      <c r="J39" s="107">
        <f t="shared" si="6"/>
        <v>0</v>
      </c>
      <c r="K39" s="65"/>
      <c r="L39" s="105">
        <f t="shared" si="8"/>
        <v>9.0999999999999998E-2</v>
      </c>
      <c r="M39" s="112">
        <f t="shared" si="8"/>
        <v>0</v>
      </c>
      <c r="N39" s="107">
        <f t="shared" si="7"/>
        <v>0</v>
      </c>
      <c r="O39" s="65"/>
      <c r="P39" s="72">
        <f t="shared" si="2"/>
        <v>0</v>
      </c>
      <c r="Q39" s="108" t="str">
        <f t="shared" si="3"/>
        <v/>
      </c>
    </row>
    <row r="40" spans="4:17" ht="13.5" thickBot="1" x14ac:dyDescent="0.25">
      <c r="D40" s="76"/>
      <c r="E40" s="65"/>
      <c r="F40" s="66"/>
      <c r="G40" s="67"/>
      <c r="H40" s="105"/>
      <c r="I40" s="77"/>
      <c r="J40" s="107">
        <f t="shared" si="6"/>
        <v>0</v>
      </c>
      <c r="K40" s="65"/>
      <c r="L40" s="105"/>
      <c r="M40" s="78"/>
      <c r="N40" s="107">
        <f t="shared" si="7"/>
        <v>0</v>
      </c>
      <c r="O40" s="65"/>
      <c r="P40" s="72">
        <f t="shared" si="2"/>
        <v>0</v>
      </c>
      <c r="Q40" s="108" t="str">
        <f t="shared" si="3"/>
        <v/>
      </c>
    </row>
    <row r="41" spans="4:17" ht="13.5" thickBot="1" x14ac:dyDescent="0.25">
      <c r="D41" s="113" t="s">
        <v>67</v>
      </c>
      <c r="E41" s="65"/>
      <c r="F41" s="65"/>
      <c r="G41" s="65"/>
      <c r="H41" s="114"/>
      <c r="I41" s="115"/>
      <c r="J41" s="99">
        <f>SUM(J32:J40)</f>
        <v>6.2753540000000001</v>
      </c>
      <c r="K41" s="100"/>
      <c r="L41" s="116"/>
      <c r="M41" s="117"/>
      <c r="N41" s="99">
        <f>SUM(N32:N40)</f>
        <v>5.9869839999999996</v>
      </c>
      <c r="O41" s="100"/>
      <c r="P41" s="103">
        <f t="shared" si="2"/>
        <v>-0.28837000000000046</v>
      </c>
      <c r="Q41" s="104">
        <f t="shared" si="3"/>
        <v>-4.5952786089836599E-2</v>
      </c>
    </row>
    <row r="42" spans="4:17" ht="13.5" thickBot="1" x14ac:dyDescent="0.25">
      <c r="D42" s="67" t="s">
        <v>68</v>
      </c>
      <c r="E42" s="65"/>
      <c r="F42" s="65"/>
      <c r="G42" s="65"/>
      <c r="H42" s="118">
        <v>0.13</v>
      </c>
      <c r="I42" s="119"/>
      <c r="J42" s="120">
        <f>J41*H42</f>
        <v>0.81579602000000007</v>
      </c>
      <c r="K42" s="65"/>
      <c r="L42" s="118">
        <v>0.13</v>
      </c>
      <c r="M42" s="121"/>
      <c r="N42" s="120">
        <f>N41*L42</f>
        <v>0.77830791999999993</v>
      </c>
      <c r="O42" s="65"/>
      <c r="P42" s="72">
        <f t="shared" si="2"/>
        <v>-3.7488100000000135E-2</v>
      </c>
      <c r="Q42" s="108">
        <f t="shared" si="3"/>
        <v>-4.5952786089836689E-2</v>
      </c>
    </row>
    <row r="43" spans="4:17" ht="26.25" thickBot="1" x14ac:dyDescent="0.25">
      <c r="D43" s="96" t="s">
        <v>69</v>
      </c>
      <c r="E43" s="65"/>
      <c r="F43" s="65"/>
      <c r="G43" s="65"/>
      <c r="H43" s="97"/>
      <c r="I43" s="98"/>
      <c r="J43" s="99">
        <f>ROUND(SUM(J41:J42),2)</f>
        <v>7.09</v>
      </c>
      <c r="K43" s="100"/>
      <c r="L43" s="101"/>
      <c r="M43" s="102"/>
      <c r="N43" s="99">
        <f>ROUND(SUM(N41:N42),2)</f>
        <v>6.77</v>
      </c>
      <c r="O43" s="100"/>
      <c r="P43" s="103">
        <f t="shared" si="2"/>
        <v>-0.32000000000000028</v>
      </c>
      <c r="Q43" s="104">
        <f t="shared" si="3"/>
        <v>-4.5133991537376628E-2</v>
      </c>
    </row>
    <row r="44" spans="4:17" ht="27.75" thickBot="1" x14ac:dyDescent="0.25">
      <c r="D44" s="122" t="s">
        <v>70</v>
      </c>
      <c r="E44" s="65"/>
      <c r="F44" s="65"/>
      <c r="G44" s="65"/>
      <c r="H44" s="97"/>
      <c r="I44" s="123"/>
      <c r="J44" s="99">
        <v>0</v>
      </c>
      <c r="K44" s="100"/>
      <c r="L44" s="101"/>
      <c r="M44" s="102"/>
      <c r="N44" s="99">
        <v>0</v>
      </c>
      <c r="O44" s="100"/>
      <c r="P44" s="103">
        <f t="shared" si="2"/>
        <v>0</v>
      </c>
      <c r="Q44" s="104" t="str">
        <f t="shared" si="3"/>
        <v/>
      </c>
    </row>
    <row r="45" spans="4:17" ht="13.5" thickBot="1" x14ac:dyDescent="0.25">
      <c r="D45" s="96" t="s">
        <v>71</v>
      </c>
      <c r="E45" s="65"/>
      <c r="F45" s="65"/>
      <c r="G45" s="65"/>
      <c r="H45" s="124"/>
      <c r="I45" s="125"/>
      <c r="J45" s="126">
        <f>J43+J44</f>
        <v>7.09</v>
      </c>
      <c r="K45" s="100"/>
      <c r="L45" s="127"/>
      <c r="M45" s="128"/>
      <c r="N45" s="126">
        <f>N43+N44</f>
        <v>6.77</v>
      </c>
      <c r="O45" s="100"/>
      <c r="P45" s="129">
        <f t="shared" si="2"/>
        <v>-0.32000000000000028</v>
      </c>
      <c r="Q45" s="130">
        <f t="shared" si="3"/>
        <v>-4.5133991537376628E-2</v>
      </c>
    </row>
    <row r="46" spans="4:17" ht="10.5" customHeight="1" x14ac:dyDescent="0.2"/>
    <row r="47" spans="4:17" x14ac:dyDescent="0.2">
      <c r="D47" s="55" t="s">
        <v>72</v>
      </c>
      <c r="H47" s="131">
        <v>3.5999999999999997E-2</v>
      </c>
      <c r="L47" s="132">
        <f>+H47</f>
        <v>3.5999999999999997E-2</v>
      </c>
    </row>
    <row r="48" spans="4:17" ht="10.5" customHeight="1" x14ac:dyDescent="0.2"/>
    <row r="49" spans="2:3" ht="10.5" customHeight="1" x14ac:dyDescent="0.2">
      <c r="C49" s="133" t="s">
        <v>73</v>
      </c>
    </row>
    <row r="50" spans="2:3" ht="10.5" customHeight="1" x14ac:dyDescent="0.2"/>
    <row r="51" spans="2:3" x14ac:dyDescent="0.2">
      <c r="B51" s="55"/>
      <c r="C51" s="49" t="s">
        <v>74</v>
      </c>
    </row>
    <row r="52" spans="2:3" x14ac:dyDescent="0.2">
      <c r="C52" s="49" t="s">
        <v>75</v>
      </c>
    </row>
    <row r="54" spans="2:3" x14ac:dyDescent="0.2">
      <c r="C54" s="49" t="s">
        <v>76</v>
      </c>
    </row>
    <row r="55" spans="2:3" x14ac:dyDescent="0.2">
      <c r="C55" s="49" t="s">
        <v>77</v>
      </c>
    </row>
    <row r="57" spans="2:3" x14ac:dyDescent="0.2">
      <c r="C57" s="49" t="s">
        <v>78</v>
      </c>
    </row>
    <row r="58" spans="2:3" x14ac:dyDescent="0.2">
      <c r="C58" s="49" t="s">
        <v>79</v>
      </c>
    </row>
    <row r="59" spans="2:3" x14ac:dyDescent="0.2">
      <c r="C59" s="49" t="s">
        <v>80</v>
      </c>
    </row>
    <row r="60" spans="2:3" x14ac:dyDescent="0.2">
      <c r="C60" s="49" t="s">
        <v>81</v>
      </c>
    </row>
    <row r="61" spans="2:3" x14ac:dyDescent="0.2">
      <c r="C61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0:G31 G33:G40 G21:G28">
      <formula1>$B$14:$B$19</formula1>
    </dataValidation>
    <dataValidation allowBlank="1" showInputMessage="1" showErrorMessage="1" promptTitle="Date Format" prompt="E.g:  &quot;August 1, 2011&quot;" sqref="P7"/>
    <dataValidation type="list" allowBlank="1" showInputMessage="1" showErrorMessage="1" prompt="Select Charge Unit - monthly, per kWh, per kW" sqref="F33:F40 F30:F31 F21:F28">
      <formula1>"Monthly, per kWh, per kW"</formula1>
    </dataValidation>
  </dataValidations>
  <pageMargins left="0.74803149606299213" right="0.74803149606299213" top="0.98425196850393704" bottom="0.98425196850393704" header="0.51181102362204722" footer="0.51181102362204722"/>
  <pageSetup scale="66" orientation="portrait" r:id="rId1"/>
  <headerFooter alignWithMargins="0">
    <oddHeader>&amp;R&amp;"Arial,Regular"&amp;10Enersource Hydro Mississauga Inc.
Filed:  August 16, 2013
2014 IRM Application
Attachment C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IL290"/>
  <sheetViews>
    <sheetView topLeftCell="A15" zoomScaleNormal="100" workbookViewId="0">
      <selection activeCell="O15" sqref="O15"/>
    </sheetView>
  </sheetViews>
  <sheetFormatPr defaultRowHeight="12.75" x14ac:dyDescent="0.2"/>
  <cols>
    <col min="1" max="1" width="105.85546875" style="2" customWidth="1"/>
    <col min="2" max="2" width="9.140625" style="2"/>
    <col min="3" max="3" width="11.7109375" style="2" hidden="1" customWidth="1"/>
    <col min="4" max="4" width="11" style="2" hidden="1" customWidth="1"/>
    <col min="5" max="5" width="11.28515625" style="2" hidden="1" customWidth="1"/>
    <col min="6" max="6" width="0" style="2" hidden="1" customWidth="1"/>
    <col min="7" max="7" width="15.42578125" style="2" customWidth="1"/>
    <col min="8" max="8" width="15.7109375" style="2" customWidth="1"/>
    <col min="9" max="9" width="15.5703125" style="2" customWidth="1"/>
    <col min="10" max="10" width="15.5703125" style="171" customWidth="1"/>
    <col min="11" max="16384" width="9.140625" style="2"/>
  </cols>
  <sheetData>
    <row r="1" spans="1:24" s="251" customFormat="1" ht="50.25" customHeight="1" x14ac:dyDescent="0.25">
      <c r="A1" s="249"/>
      <c r="B1" s="250"/>
      <c r="E1" s="250"/>
      <c r="F1" s="250"/>
      <c r="G1" s="252" t="s">
        <v>88</v>
      </c>
      <c r="H1" s="253" t="s">
        <v>97</v>
      </c>
      <c r="I1" s="253" t="s">
        <v>97</v>
      </c>
      <c r="J1" s="254" t="s">
        <v>107</v>
      </c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</row>
    <row r="2" spans="1:24" ht="30" customHeight="1" thickBot="1" x14ac:dyDescent="0.25">
      <c r="C2" s="7" t="s">
        <v>2</v>
      </c>
      <c r="D2" s="7" t="s">
        <v>3</v>
      </c>
      <c r="E2" s="7" t="s">
        <v>4</v>
      </c>
      <c r="G2" s="246" t="s">
        <v>5</v>
      </c>
      <c r="H2" s="247" t="s">
        <v>95</v>
      </c>
      <c r="I2" s="247" t="s">
        <v>106</v>
      </c>
      <c r="J2" s="248" t="s">
        <v>92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294" t="s">
        <v>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">
      <c r="A5" s="4" t="s">
        <v>6</v>
      </c>
      <c r="B5" s="2" t="s">
        <v>7</v>
      </c>
      <c r="C5" s="2">
        <v>11.77</v>
      </c>
      <c r="D5" s="2">
        <v>11.77</v>
      </c>
      <c r="E5" s="2">
        <v>11.77</v>
      </c>
      <c r="G5" s="8">
        <v>11.87</v>
      </c>
      <c r="H5" s="140">
        <v>12.83</v>
      </c>
      <c r="I5" s="8">
        <f>H5</f>
        <v>12.83</v>
      </c>
      <c r="J5" s="8">
        <v>12.96</v>
      </c>
      <c r="M5" s="9"/>
      <c r="N5" s="9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">
      <c r="A6" s="5" t="s">
        <v>90</v>
      </c>
      <c r="B6" s="3" t="s">
        <v>7</v>
      </c>
      <c r="C6" s="3"/>
      <c r="D6" s="3"/>
      <c r="E6" s="3"/>
      <c r="F6" s="3"/>
      <c r="G6" s="9">
        <v>0</v>
      </c>
      <c r="H6" s="134">
        <v>1.73</v>
      </c>
      <c r="I6" s="8">
        <f>H6</f>
        <v>1.73</v>
      </c>
      <c r="J6" s="8"/>
      <c r="M6" s="10"/>
      <c r="N6" s="10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">
      <c r="A7" s="5" t="s">
        <v>91</v>
      </c>
      <c r="B7" s="3" t="s">
        <v>7</v>
      </c>
      <c r="C7" s="3"/>
      <c r="D7" s="3"/>
      <c r="E7" s="3"/>
      <c r="F7" s="3"/>
      <c r="G7" s="9">
        <v>0</v>
      </c>
      <c r="H7" s="134">
        <v>-0.77</v>
      </c>
      <c r="I7" s="8">
        <f>H7</f>
        <v>-0.77</v>
      </c>
      <c r="J7" s="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">
      <c r="A8" s="4" t="s">
        <v>103</v>
      </c>
      <c r="B8" s="2" t="s">
        <v>7</v>
      </c>
      <c r="C8" s="2">
        <v>0.19</v>
      </c>
      <c r="D8" s="2">
        <v>0.19</v>
      </c>
      <c r="E8" s="2">
        <v>0.19</v>
      </c>
      <c r="G8" s="8">
        <v>0</v>
      </c>
      <c r="H8" s="8"/>
      <c r="I8" s="9">
        <v>0.79</v>
      </c>
      <c r="J8" s="9">
        <v>0.79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">
      <c r="A9" s="2" t="s">
        <v>11</v>
      </c>
      <c r="B9" s="2" t="s">
        <v>7</v>
      </c>
      <c r="C9" s="2">
        <v>2.12</v>
      </c>
      <c r="D9" s="2">
        <v>2.12</v>
      </c>
      <c r="E9" s="2">
        <v>2.12</v>
      </c>
      <c r="G9" s="11">
        <v>0</v>
      </c>
      <c r="H9" s="8"/>
      <c r="I9" s="8"/>
      <c r="J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5" thickBot="1" x14ac:dyDescent="0.25">
      <c r="C10" s="12">
        <f>SUM(C5:C9)</f>
        <v>14.079999999999998</v>
      </c>
      <c r="D10" s="12">
        <f>SUM(D5:D9)</f>
        <v>14.079999999999998</v>
      </c>
      <c r="E10" s="12">
        <f>SUM(E5:E9)</f>
        <v>14.079999999999998</v>
      </c>
      <c r="G10" s="13">
        <f>SUM(G5:G9)</f>
        <v>11.87</v>
      </c>
      <c r="H10" s="13">
        <f>ROUND(SUM(H5:H9),2)</f>
        <v>13.79</v>
      </c>
      <c r="I10" s="12">
        <f>SUM(I5:I9)</f>
        <v>14.580000000000002</v>
      </c>
      <c r="J10" s="12">
        <f>SUM(J5:J9)</f>
        <v>13.75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thickTop="1" x14ac:dyDescent="0.2"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2" t="s">
        <v>12</v>
      </c>
      <c r="B12" s="2" t="s">
        <v>13</v>
      </c>
      <c r="C12" s="14">
        <v>1.18E-2</v>
      </c>
      <c r="D12" s="14">
        <v>1.18E-2</v>
      </c>
      <c r="E12" s="14">
        <v>1.18E-2</v>
      </c>
      <c r="G12" s="15">
        <v>1.1900000000000001E-2</v>
      </c>
      <c r="H12" s="141">
        <v>1.29E-2</v>
      </c>
      <c r="I12" s="15">
        <f>H12</f>
        <v>1.29E-2</v>
      </c>
      <c r="J12" s="15">
        <v>1.2999999999999999E-2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2" t="s">
        <v>14</v>
      </c>
      <c r="B14" s="2" t="s">
        <v>13</v>
      </c>
      <c r="C14" s="16">
        <v>-1.8E-3</v>
      </c>
      <c r="D14" s="16">
        <f>+C14</f>
        <v>-1.8E-3</v>
      </c>
      <c r="E14" s="16">
        <v>0</v>
      </c>
      <c r="G14" s="16">
        <v>0</v>
      </c>
      <c r="H14" s="16"/>
      <c r="I14" s="16"/>
      <c r="J14" s="1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17" t="s">
        <v>109</v>
      </c>
      <c r="B15" s="2" t="s">
        <v>13</v>
      </c>
      <c r="C15" s="16">
        <v>0</v>
      </c>
      <c r="D15" s="10">
        <v>0</v>
      </c>
      <c r="E15" s="10">
        <v>-1.1000000000000001E-3</v>
      </c>
      <c r="G15" s="10">
        <v>-1.1000000000000001E-3</v>
      </c>
      <c r="H15" s="143">
        <f>+G15</f>
        <v>-1.1000000000000001E-3</v>
      </c>
      <c r="I15" s="10">
        <f>+H15</f>
        <v>-1.1000000000000001E-3</v>
      </c>
      <c r="J15" s="10">
        <f>+I15</f>
        <v>-1.1000000000000001E-3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4" t="s">
        <v>16</v>
      </c>
      <c r="B16" s="2" t="s">
        <v>13</v>
      </c>
      <c r="C16" s="16">
        <v>0</v>
      </c>
      <c r="D16" s="10">
        <v>0</v>
      </c>
      <c r="E16" s="10">
        <v>0</v>
      </c>
      <c r="G16" s="10">
        <v>-4.0000000000000002E-4</v>
      </c>
      <c r="H16" s="144">
        <f>+G16</f>
        <v>-4.0000000000000002E-4</v>
      </c>
      <c r="I16" s="175"/>
      <c r="J16" s="175"/>
      <c r="L16" s="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4" t="s">
        <v>89</v>
      </c>
      <c r="B17" s="2" t="s">
        <v>13</v>
      </c>
      <c r="C17" s="16"/>
      <c r="D17" s="10"/>
      <c r="E17" s="10"/>
      <c r="G17" s="10"/>
      <c r="H17" s="144">
        <v>-1E-4</v>
      </c>
      <c r="I17" s="18">
        <f>H17</f>
        <v>-1E-4</v>
      </c>
      <c r="J17" s="18"/>
      <c r="K17" s="18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237" customFormat="1" x14ac:dyDescent="0.2">
      <c r="A18" s="4" t="s">
        <v>112</v>
      </c>
      <c r="B18" s="237" t="s">
        <v>13</v>
      </c>
      <c r="C18" s="16"/>
      <c r="D18" s="10"/>
      <c r="E18" s="10"/>
      <c r="G18" s="10"/>
      <c r="H18" s="144"/>
      <c r="I18" s="18"/>
      <c r="J18" s="18">
        <v>-1.1000000000000001E-3</v>
      </c>
      <c r="K18" s="18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35" customFormat="1" x14ac:dyDescent="0.2">
      <c r="A19" s="5" t="s">
        <v>94</v>
      </c>
      <c r="B19" s="3" t="s">
        <v>13</v>
      </c>
      <c r="C19" s="10"/>
      <c r="D19" s="10"/>
      <c r="E19" s="10"/>
      <c r="F19" s="3"/>
      <c r="G19" s="10"/>
      <c r="H19" s="144">
        <v>2.9999999999999997E-4</v>
      </c>
      <c r="I19" s="18">
        <f>H19</f>
        <v>2.9999999999999997E-4</v>
      </c>
      <c r="J19" s="18"/>
      <c r="K19" s="1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5.5" x14ac:dyDescent="0.2">
      <c r="A20" s="19" t="s">
        <v>110</v>
      </c>
      <c r="B20" s="2" t="s">
        <v>13</v>
      </c>
      <c r="C20" s="16">
        <v>2.9999999999999997E-4</v>
      </c>
      <c r="D20" s="16">
        <v>2.9999999999999997E-4</v>
      </c>
      <c r="E20" s="16">
        <v>2.9999999999999997E-4</v>
      </c>
      <c r="G20" s="20">
        <v>2.9999999999999997E-4</v>
      </c>
      <c r="H20" s="145">
        <f>+G20</f>
        <v>2.9999999999999997E-4</v>
      </c>
      <c r="I20" s="18">
        <v>5.0000000000000001E-4</v>
      </c>
      <c r="J20" s="18">
        <v>5.0000000000000001E-4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4" t="s">
        <v>18</v>
      </c>
      <c r="B21" s="2" t="s">
        <v>13</v>
      </c>
      <c r="C21" s="16">
        <v>-2.9999999999999997E-4</v>
      </c>
      <c r="D21" s="16">
        <v>-2.9999999999999997E-4</v>
      </c>
      <c r="E21" s="16">
        <v>-2.9999999999999997E-4</v>
      </c>
      <c r="G21" s="16">
        <v>-4.0000000000000002E-4</v>
      </c>
      <c r="H21" s="21"/>
      <c r="I21" s="21"/>
      <c r="J21" s="2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17" t="s">
        <v>19</v>
      </c>
      <c r="B22" s="2" t="s">
        <v>13</v>
      </c>
      <c r="C22" s="16"/>
      <c r="D22" s="16"/>
      <c r="E22" s="16"/>
      <c r="G22" s="16"/>
      <c r="H22" s="21">
        <v>5.0000000000000001E-4</v>
      </c>
      <c r="I22" s="21">
        <f>H22</f>
        <v>5.0000000000000001E-4</v>
      </c>
      <c r="J22" s="2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17" t="s">
        <v>20</v>
      </c>
      <c r="B23" s="2" t="s">
        <v>13</v>
      </c>
      <c r="C23" s="16">
        <v>0</v>
      </c>
      <c r="D23" s="16">
        <v>0</v>
      </c>
      <c r="E23" s="16">
        <v>-2.2000000000000001E-3</v>
      </c>
      <c r="G23" s="16">
        <f>+E23</f>
        <v>-2.2000000000000001E-3</v>
      </c>
      <c r="H23" s="21">
        <f>+G23</f>
        <v>-2.2000000000000001E-3</v>
      </c>
      <c r="I23" s="21">
        <f>+H23</f>
        <v>-2.2000000000000001E-3</v>
      </c>
      <c r="J23" s="21">
        <f>+I23</f>
        <v>-2.2000000000000001E-3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171" customFormat="1" x14ac:dyDescent="0.2">
      <c r="A24" s="17" t="s">
        <v>111</v>
      </c>
      <c r="B24" s="171" t="s">
        <v>13</v>
      </c>
      <c r="C24" s="16"/>
      <c r="D24" s="16"/>
      <c r="E24" s="16"/>
      <c r="G24" s="16"/>
      <c r="H24" s="21"/>
      <c r="I24" s="21"/>
      <c r="J24" s="21">
        <f>-0.0022+0.0002</f>
        <v>-2E-3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thickBot="1" x14ac:dyDescent="0.25">
      <c r="C25" s="22">
        <f>SUM(C14:C23)</f>
        <v>-1.8E-3</v>
      </c>
      <c r="D25" s="22">
        <f>SUM(D14:D23)</f>
        <v>-1.8E-3</v>
      </c>
      <c r="E25" s="22">
        <f>SUM(E14:E23)</f>
        <v>-3.3E-3</v>
      </c>
      <c r="G25" s="23">
        <f>SUM(G14:G24)</f>
        <v>-3.8000000000000004E-3</v>
      </c>
      <c r="H25" s="23">
        <f>SUM(H14:H24)</f>
        <v>-2.7000000000000001E-3</v>
      </c>
      <c r="I25" s="23">
        <f>SUM(I14:I24)</f>
        <v>-2.1000000000000003E-3</v>
      </c>
      <c r="J25" s="23">
        <f>SUM(J14:J24)</f>
        <v>-5.9000000000000007E-3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thickTop="1" x14ac:dyDescent="0.2">
      <c r="H26" s="24"/>
      <c r="I26" s="24"/>
      <c r="J26" s="2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">
      <c r="A27" s="4" t="s">
        <v>21</v>
      </c>
      <c r="C27" s="14">
        <v>0</v>
      </c>
      <c r="D27" s="14">
        <v>0</v>
      </c>
      <c r="E27" s="14">
        <v>0</v>
      </c>
      <c r="G27" s="14">
        <v>0</v>
      </c>
      <c r="H27" s="142">
        <v>2.0000000000000001E-4</v>
      </c>
      <c r="I27" s="25">
        <f>+H27</f>
        <v>2.0000000000000001E-4</v>
      </c>
      <c r="J27" s="25">
        <f>+I27</f>
        <v>2.0000000000000001E-4</v>
      </c>
      <c r="K27" s="1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">
      <c r="G28" s="26"/>
      <c r="H28" s="24"/>
      <c r="I28" s="24"/>
      <c r="J28" s="2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">
      <c r="A29" s="2" t="s">
        <v>22</v>
      </c>
      <c r="B29" s="2" t="s">
        <v>13</v>
      </c>
      <c r="C29" s="16">
        <v>6.6E-3</v>
      </c>
      <c r="D29" s="16">
        <v>6.6E-3</v>
      </c>
      <c r="E29" s="16">
        <v>6.6E-3</v>
      </c>
      <c r="G29" s="16">
        <v>7.3000000000000001E-3</v>
      </c>
      <c r="H29" s="145">
        <f>+G29</f>
        <v>7.3000000000000001E-3</v>
      </c>
      <c r="I29" s="21">
        <f>+H29</f>
        <v>7.3000000000000001E-3</v>
      </c>
      <c r="J29" s="21">
        <v>7.6E-3</v>
      </c>
      <c r="K29" s="1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">
      <c r="A30" s="2" t="s">
        <v>23</v>
      </c>
      <c r="B30" s="2" t="s">
        <v>13</v>
      </c>
      <c r="C30" s="16">
        <v>5.4000000000000003E-3</v>
      </c>
      <c r="D30" s="16">
        <v>5.4000000000000003E-3</v>
      </c>
      <c r="E30" s="16">
        <v>5.4000000000000003E-3</v>
      </c>
      <c r="G30" s="16">
        <v>5.7000000000000002E-3</v>
      </c>
      <c r="H30" s="145">
        <f>+G30</f>
        <v>5.7000000000000002E-3</v>
      </c>
      <c r="I30" s="21">
        <f>+H30</f>
        <v>5.7000000000000002E-3</v>
      </c>
      <c r="J30" s="21">
        <v>5.7999999999999996E-3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thickBot="1" x14ac:dyDescent="0.25">
      <c r="C31" s="12">
        <f>SUM(C29:C30)</f>
        <v>1.2E-2</v>
      </c>
      <c r="D31" s="22">
        <f>SUM(D29:D30)</f>
        <v>1.2E-2</v>
      </c>
      <c r="E31" s="22">
        <f>SUM(E29:E30)</f>
        <v>1.2E-2</v>
      </c>
      <c r="G31" s="22">
        <f>SUM(G29:G30)</f>
        <v>1.3000000000000001E-2</v>
      </c>
      <c r="H31" s="23">
        <f>SUM(H29:H30)</f>
        <v>1.3000000000000001E-2</v>
      </c>
      <c r="I31" s="23">
        <f>SUM(I29:I30)</f>
        <v>1.3000000000000001E-2</v>
      </c>
      <c r="J31" s="23">
        <f>SUM(J29:J30)</f>
        <v>1.3399999999999999E-2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thickTop="1" x14ac:dyDescent="0.2">
      <c r="G32" s="26"/>
      <c r="H32" s="24"/>
      <c r="I32" s="24"/>
      <c r="J32" s="2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">
      <c r="A33" s="2" t="s">
        <v>24</v>
      </c>
      <c r="B33" s="2" t="s">
        <v>13</v>
      </c>
      <c r="C33" s="2">
        <v>5.1999999999999998E-3</v>
      </c>
      <c r="D33" s="2">
        <f>+C33</f>
        <v>5.1999999999999998E-3</v>
      </c>
      <c r="E33" s="2">
        <f>+D33</f>
        <v>5.1999999999999998E-3</v>
      </c>
      <c r="G33" s="2">
        <f>+$E$33</f>
        <v>5.1999999999999998E-3</v>
      </c>
      <c r="H33" s="24">
        <f>+$E$33</f>
        <v>5.1999999999999998E-3</v>
      </c>
      <c r="I33" s="184">
        <v>4.4000000000000003E-3</v>
      </c>
      <c r="J33" s="184">
        <v>4.4000000000000003E-3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">
      <c r="A34" s="2" t="s">
        <v>25</v>
      </c>
      <c r="B34" s="2" t="s">
        <v>13</v>
      </c>
      <c r="C34" s="2">
        <v>1.2999999999999999E-3</v>
      </c>
      <c r="D34" s="2">
        <f>+C34</f>
        <v>1.2999999999999999E-3</v>
      </c>
      <c r="E34" s="2">
        <f>+D34</f>
        <v>1.2999999999999999E-3</v>
      </c>
      <c r="G34" s="2">
        <v>1.1000000000000001E-3</v>
      </c>
      <c r="H34" s="24">
        <f>+G34</f>
        <v>1.1000000000000001E-3</v>
      </c>
      <c r="I34" s="184">
        <v>1.1999999999999999E-3</v>
      </c>
      <c r="J34" s="184">
        <v>1.1999999999999999E-3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thickBot="1" x14ac:dyDescent="0.25">
      <c r="C35" s="12">
        <f>SUM(C33:C34)</f>
        <v>6.4999999999999997E-3</v>
      </c>
      <c r="D35" s="12">
        <f>SUM(D33:D34)</f>
        <v>6.4999999999999997E-3</v>
      </c>
      <c r="E35" s="12">
        <f>SUM(E33:E34)</f>
        <v>6.4999999999999997E-3</v>
      </c>
      <c r="G35" s="12">
        <f>SUM(G33:G34)</f>
        <v>6.3E-3</v>
      </c>
      <c r="H35" s="27">
        <f>SUM(H33:H34)</f>
        <v>6.3E-3</v>
      </c>
      <c r="I35" s="27">
        <f>SUM(I33:I34)</f>
        <v>5.5999999999999999E-3</v>
      </c>
      <c r="J35" s="27">
        <f>SUM(J33:J34)</f>
        <v>5.5999999999999999E-3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thickTop="1" x14ac:dyDescent="0.2">
      <c r="G36" s="26"/>
      <c r="H36" s="24"/>
      <c r="I36" s="24"/>
      <c r="J36" s="2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">
      <c r="A37" s="2" t="s">
        <v>26</v>
      </c>
      <c r="B37" s="2" t="s">
        <v>7</v>
      </c>
      <c r="C37" s="28">
        <v>0.25</v>
      </c>
      <c r="D37" s="28">
        <v>0.25</v>
      </c>
      <c r="E37" s="28">
        <v>0.25</v>
      </c>
      <c r="G37" s="28">
        <v>0.25</v>
      </c>
      <c r="H37" s="29">
        <v>0.25</v>
      </c>
      <c r="I37" s="29">
        <v>0.25</v>
      </c>
      <c r="J37" s="29">
        <v>0.25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">
      <c r="A38" s="4"/>
      <c r="G38" s="26"/>
      <c r="H38" s="24"/>
      <c r="I38" s="24"/>
      <c r="J38" s="2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">
      <c r="A39" s="4" t="s">
        <v>27</v>
      </c>
      <c r="B39" s="2" t="s">
        <v>13</v>
      </c>
      <c r="C39" s="16">
        <v>3.8999999999999998E-3</v>
      </c>
      <c r="D39" s="16">
        <f>+C39</f>
        <v>3.8999999999999998E-3</v>
      </c>
      <c r="E39" s="16">
        <v>0</v>
      </c>
      <c r="G39" s="16">
        <v>0</v>
      </c>
      <c r="H39" s="21">
        <v>0</v>
      </c>
      <c r="I39" s="21">
        <v>0</v>
      </c>
      <c r="J39" s="21"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">
      <c r="A40" s="4" t="s">
        <v>28</v>
      </c>
      <c r="B40" s="2" t="s">
        <v>13</v>
      </c>
      <c r="C40" s="16">
        <v>0</v>
      </c>
      <c r="D40" s="10">
        <v>0</v>
      </c>
      <c r="E40" s="10">
        <v>0</v>
      </c>
      <c r="G40" s="10">
        <v>0</v>
      </c>
      <c r="H40" s="18">
        <v>0</v>
      </c>
      <c r="I40" s="18">
        <v>0</v>
      </c>
      <c r="J40" s="18"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 thickBot="1" x14ac:dyDescent="0.25">
      <c r="A41" s="4" t="s">
        <v>29</v>
      </c>
      <c r="C41" s="12">
        <f>SUM(C39:C40)</f>
        <v>3.8999999999999998E-3</v>
      </c>
      <c r="D41" s="12">
        <f>SUM(D39:D40)</f>
        <v>3.8999999999999998E-3</v>
      </c>
      <c r="E41" s="12">
        <f>SUM(E39:E40)</f>
        <v>0</v>
      </c>
      <c r="G41" s="12">
        <f>SUM(G39:G40)</f>
        <v>0</v>
      </c>
      <c r="H41" s="27">
        <f>SUM(H39:H40)</f>
        <v>0</v>
      </c>
      <c r="I41" s="27">
        <f>SUM(I39:I40)</f>
        <v>0</v>
      </c>
      <c r="J41" s="27">
        <f>SUM(J39:J40)</f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hidden="1" thickTop="1" x14ac:dyDescent="0.2">
      <c r="H42" s="24"/>
      <c r="I42" s="24"/>
      <c r="J42" s="2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hidden="1" thickTop="1" x14ac:dyDescent="0.2">
      <c r="A43" s="30"/>
      <c r="B43" s="30"/>
      <c r="C43" s="30"/>
      <c r="D43" s="30"/>
      <c r="E43" s="30"/>
      <c r="F43" s="30"/>
      <c r="G43" s="30"/>
      <c r="H43" s="31"/>
      <c r="I43" s="31"/>
      <c r="J43" s="3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thickTop="1" x14ac:dyDescent="0.2">
      <c r="H44" s="24"/>
      <c r="I44" s="24"/>
      <c r="J44" s="2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">
      <c r="A45" s="4" t="s">
        <v>6</v>
      </c>
      <c r="B45" s="2" t="s">
        <v>7</v>
      </c>
      <c r="C45" s="2">
        <v>39.58</v>
      </c>
      <c r="D45" s="2">
        <v>39.58</v>
      </c>
      <c r="E45" s="2">
        <v>39.58</v>
      </c>
      <c r="G45" s="8">
        <v>39.93</v>
      </c>
      <c r="H45" s="32">
        <v>39.49</v>
      </c>
      <c r="I45" s="32">
        <f>H45</f>
        <v>39.49</v>
      </c>
      <c r="J45" s="32">
        <v>39.880000000000003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">
      <c r="A46" s="4" t="s">
        <v>90</v>
      </c>
      <c r="B46" s="2" t="s">
        <v>7</v>
      </c>
      <c r="G46" s="8">
        <v>0</v>
      </c>
      <c r="H46" s="33">
        <v>16.670000000000002</v>
      </c>
      <c r="I46" s="32">
        <f>H46</f>
        <v>16.670000000000002</v>
      </c>
      <c r="J46" s="3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">
      <c r="A47" s="4" t="str">
        <f>+A7</f>
        <v>Smart Meter Disposition Rate Rider - effective until December 31, 2013</v>
      </c>
      <c r="B47" s="2" t="s">
        <v>7</v>
      </c>
      <c r="G47" s="8">
        <v>0</v>
      </c>
      <c r="H47" s="33">
        <v>15.45</v>
      </c>
      <c r="I47" s="32">
        <f>H47</f>
        <v>15.45</v>
      </c>
      <c r="J47" s="3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">
      <c r="A48" s="4" t="s">
        <v>103</v>
      </c>
      <c r="B48" s="2" t="s">
        <v>7</v>
      </c>
      <c r="C48" s="2">
        <v>0.67</v>
      </c>
      <c r="D48" s="2">
        <v>0.67</v>
      </c>
      <c r="E48" s="2">
        <v>0.67</v>
      </c>
      <c r="G48" s="8">
        <v>0</v>
      </c>
      <c r="H48" s="32"/>
      <c r="I48" s="33">
        <v>0.79</v>
      </c>
      <c r="J48" s="33">
        <v>0.79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">
      <c r="A49" s="2" t="s">
        <v>11</v>
      </c>
      <c r="B49" s="2" t="s">
        <v>7</v>
      </c>
      <c r="C49" s="2">
        <v>2.12</v>
      </c>
      <c r="D49" s="2">
        <v>2.12</v>
      </c>
      <c r="E49" s="2">
        <v>2.12</v>
      </c>
      <c r="G49" s="11">
        <f>+G9</f>
        <v>0</v>
      </c>
      <c r="H49" s="32"/>
      <c r="I49" s="32"/>
      <c r="J49" s="3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thickBot="1" x14ac:dyDescent="0.25">
      <c r="C50" s="12">
        <f>SUM(C45:C49)</f>
        <v>42.37</v>
      </c>
      <c r="D50" s="34">
        <f>SUM(D45:D49)</f>
        <v>42.37</v>
      </c>
      <c r="E50" s="34">
        <f>SUM(E45:E49)</f>
        <v>42.37</v>
      </c>
      <c r="G50" s="34">
        <f>SUM(G45:G49)</f>
        <v>39.93</v>
      </c>
      <c r="H50" s="35">
        <f>ROUND(SUM(H45:H49),2)</f>
        <v>71.61</v>
      </c>
      <c r="I50" s="35">
        <f>SUM(I45:I49)</f>
        <v>72.400000000000006</v>
      </c>
      <c r="J50" s="35">
        <f>SUM(J45:J49)</f>
        <v>40.67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thickTop="1" x14ac:dyDescent="0.2">
      <c r="H51" s="36"/>
      <c r="I51" s="36"/>
      <c r="J51" s="3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">
      <c r="A52" s="2" t="s">
        <v>12</v>
      </c>
      <c r="B52" s="2" t="s">
        <v>13</v>
      </c>
      <c r="C52" s="14">
        <v>1.15E-2</v>
      </c>
      <c r="D52" s="14">
        <v>1.15E-2</v>
      </c>
      <c r="E52" s="14">
        <v>1.15E-2</v>
      </c>
      <c r="G52" s="15">
        <v>1.1599999999999999E-2</v>
      </c>
      <c r="H52" s="37">
        <v>1.15E-2</v>
      </c>
      <c r="I52" s="37">
        <f>H52</f>
        <v>1.15E-2</v>
      </c>
      <c r="J52" s="37">
        <v>1.1599999999999999E-2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">
      <c r="H53" s="36"/>
      <c r="I53" s="36"/>
      <c r="J53" s="3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">
      <c r="A54" s="2" t="s">
        <v>14</v>
      </c>
      <c r="B54" s="2" t="s">
        <v>13</v>
      </c>
      <c r="C54" s="16">
        <v>-1.8E-3</v>
      </c>
      <c r="D54" s="16">
        <f>+C54</f>
        <v>-1.8E-3</v>
      </c>
      <c r="E54" s="16">
        <v>0</v>
      </c>
      <c r="G54" s="16">
        <v>0</v>
      </c>
      <c r="H54" s="21"/>
      <c r="I54" s="21"/>
      <c r="J54" s="2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">
      <c r="A55" s="17" t="s">
        <v>15</v>
      </c>
      <c r="B55" s="2" t="s">
        <v>13</v>
      </c>
      <c r="C55" s="16">
        <v>0</v>
      </c>
      <c r="D55" s="10">
        <v>0</v>
      </c>
      <c r="E55" s="10">
        <v>-1.1000000000000001E-3</v>
      </c>
      <c r="G55" s="10">
        <f>+E55</f>
        <v>-1.1000000000000001E-3</v>
      </c>
      <c r="H55" s="18">
        <f>+G55</f>
        <v>-1.1000000000000001E-3</v>
      </c>
      <c r="I55" s="18">
        <f>+H55</f>
        <v>-1.1000000000000001E-3</v>
      </c>
      <c r="J55" s="18">
        <f>+I55</f>
        <v>-1.1000000000000001E-3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">
      <c r="A56" s="4" t="s">
        <v>16</v>
      </c>
      <c r="B56" s="2" t="s">
        <v>13</v>
      </c>
      <c r="C56" s="16">
        <v>0</v>
      </c>
      <c r="D56" s="10">
        <v>0</v>
      </c>
      <c r="E56" s="10">
        <v>0</v>
      </c>
      <c r="G56" s="10">
        <v>-4.0000000000000002E-4</v>
      </c>
      <c r="H56" s="18">
        <f>+G56</f>
        <v>-4.0000000000000002E-4</v>
      </c>
      <c r="I56" s="175"/>
      <c r="J56" s="175"/>
      <c r="K56" s="15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">
      <c r="A57" s="4" t="s">
        <v>89</v>
      </c>
      <c r="B57" s="2" t="s">
        <v>13</v>
      </c>
      <c r="C57" s="16"/>
      <c r="D57" s="10"/>
      <c r="E57" s="10"/>
      <c r="G57" s="10"/>
      <c r="H57" s="18">
        <v>-4.0000000000000002E-4</v>
      </c>
      <c r="I57" s="18">
        <f>H57</f>
        <v>-4.0000000000000002E-4</v>
      </c>
      <c r="J57" s="1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s="237" customFormat="1" x14ac:dyDescent="0.2">
      <c r="A58" s="4" t="s">
        <v>112</v>
      </c>
      <c r="B58" s="237" t="s">
        <v>13</v>
      </c>
      <c r="C58" s="16"/>
      <c r="D58" s="10"/>
      <c r="E58" s="10"/>
      <c r="G58" s="10"/>
      <c r="H58" s="18"/>
      <c r="I58" s="18"/>
      <c r="J58" s="18">
        <v>-1.1999999999999999E-3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s="135" customFormat="1" x14ac:dyDescent="0.2">
      <c r="A59" s="5" t="s">
        <v>94</v>
      </c>
      <c r="B59" s="3" t="s">
        <v>13</v>
      </c>
      <c r="C59" s="10"/>
      <c r="D59" s="10"/>
      <c r="E59" s="10"/>
      <c r="F59" s="3"/>
      <c r="G59" s="10"/>
      <c r="H59" s="18">
        <v>0</v>
      </c>
      <c r="I59" s="18">
        <f>H59</f>
        <v>0</v>
      </c>
      <c r="J59" s="18"/>
      <c r="K59" s="1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5.5" x14ac:dyDescent="0.2">
      <c r="A60" s="19" t="s">
        <v>17</v>
      </c>
      <c r="B60" s="2" t="s">
        <v>13</v>
      </c>
      <c r="C60" s="16">
        <v>2.0000000000000001E-4</v>
      </c>
      <c r="D60" s="16">
        <v>2.0000000000000001E-4</v>
      </c>
      <c r="E60" s="16">
        <v>2.0000000000000001E-4</v>
      </c>
      <c r="G60" s="20">
        <v>2.0000000000000001E-4</v>
      </c>
      <c r="H60" s="21">
        <v>2.0000000000000001E-4</v>
      </c>
      <c r="I60" s="18">
        <v>2.9999999999999997E-4</v>
      </c>
      <c r="J60" s="18">
        <f>+I60</f>
        <v>2.9999999999999997E-4</v>
      </c>
      <c r="K60" s="15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4" t="s">
        <v>18</v>
      </c>
      <c r="B61" s="2" t="s">
        <v>13</v>
      </c>
      <c r="C61" s="16">
        <v>-2.9999999999999997E-4</v>
      </c>
      <c r="D61" s="16">
        <v>-2.9999999999999997E-4</v>
      </c>
      <c r="E61" s="16">
        <v>-2.9999999999999997E-4</v>
      </c>
      <c r="G61" s="16">
        <v>-2.9999999999999997E-4</v>
      </c>
      <c r="H61" s="18"/>
      <c r="I61" s="18"/>
      <c r="J61" s="1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">
      <c r="A62" s="17" t="s">
        <v>19</v>
      </c>
      <c r="B62" s="2" t="s">
        <v>13</v>
      </c>
      <c r="C62" s="16"/>
      <c r="D62" s="16"/>
      <c r="E62" s="16"/>
      <c r="G62" s="16"/>
      <c r="H62" s="21">
        <v>5.9999999999999995E-4</v>
      </c>
      <c r="I62" s="21">
        <f>H62</f>
        <v>5.9999999999999995E-4</v>
      </c>
      <c r="J62" s="2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4" t="str">
        <f>+A23</f>
        <v>Rate Rider for Global Adjustment Sub-Account Disposition - effective until Jan 31, 2014 NON-RPP</v>
      </c>
      <c r="B63" s="2" t="s">
        <v>13</v>
      </c>
      <c r="C63" s="16">
        <v>0</v>
      </c>
      <c r="D63" s="16">
        <v>0</v>
      </c>
      <c r="E63" s="16">
        <v>-2.2000000000000001E-3</v>
      </c>
      <c r="G63" s="16">
        <f>+E63</f>
        <v>-2.2000000000000001E-3</v>
      </c>
      <c r="H63" s="18">
        <f>+G63</f>
        <v>-2.2000000000000001E-3</v>
      </c>
      <c r="I63" s="18">
        <f>+H63</f>
        <v>-2.2000000000000001E-3</v>
      </c>
      <c r="J63" s="18">
        <f>+I63</f>
        <v>-2.2000000000000001E-3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s="171" customFormat="1" x14ac:dyDescent="0.2">
      <c r="A64" s="17" t="s">
        <v>111</v>
      </c>
      <c r="B64" s="171" t="s">
        <v>13</v>
      </c>
      <c r="C64" s="16"/>
      <c r="D64" s="16"/>
      <c r="E64" s="16"/>
      <c r="G64" s="16"/>
      <c r="H64" s="18"/>
      <c r="I64" s="18"/>
      <c r="J64" s="18">
        <f>-0.0022+0.0001</f>
        <v>-2.1000000000000003E-3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thickBot="1" x14ac:dyDescent="0.25">
      <c r="C65" s="22">
        <f>SUM(C54:C63)</f>
        <v>-1.8999999999999998E-3</v>
      </c>
      <c r="D65" s="22">
        <f>SUM(D54:D63)</f>
        <v>-1.8999999999999998E-3</v>
      </c>
      <c r="E65" s="22">
        <f>SUM(E54:E63)</f>
        <v>-3.4000000000000002E-3</v>
      </c>
      <c r="G65" s="23">
        <f t="shared" ref="G65:H65" si="0">SUM(G54:G64)</f>
        <v>-3.8E-3</v>
      </c>
      <c r="H65" s="23">
        <f t="shared" si="0"/>
        <v>-3.3E-3</v>
      </c>
      <c r="I65" s="23">
        <f>SUM(I54:I64)</f>
        <v>-2.8000000000000004E-3</v>
      </c>
      <c r="J65" s="23">
        <f>SUM(J54:J64)</f>
        <v>-6.3000000000000009E-3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thickTop="1" x14ac:dyDescent="0.2">
      <c r="H66" s="36"/>
      <c r="I66" s="36"/>
      <c r="J66" s="3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">
      <c r="A67" s="4" t="s">
        <v>30</v>
      </c>
      <c r="C67" s="14">
        <v>0</v>
      </c>
      <c r="D67" s="14">
        <v>0</v>
      </c>
      <c r="E67" s="14">
        <v>0</v>
      </c>
      <c r="G67" s="14">
        <v>0</v>
      </c>
      <c r="H67" s="25">
        <v>2.0000000000000001E-4</v>
      </c>
      <c r="I67" s="25">
        <f>+H67</f>
        <v>2.0000000000000001E-4</v>
      </c>
      <c r="J67" s="25">
        <f>+I67</f>
        <v>2.0000000000000001E-4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">
      <c r="G68" s="26"/>
      <c r="H68" s="36"/>
      <c r="I68" s="36"/>
      <c r="J68" s="3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">
      <c r="A69" s="2" t="s">
        <v>22</v>
      </c>
      <c r="B69" s="2" t="s">
        <v>13</v>
      </c>
      <c r="C69" s="16">
        <v>6.1000000000000004E-3</v>
      </c>
      <c r="D69" s="16">
        <v>6.1000000000000004E-3</v>
      </c>
      <c r="E69" s="16">
        <v>6.1000000000000004E-3</v>
      </c>
      <c r="G69" s="16">
        <v>6.7999999999999996E-3</v>
      </c>
      <c r="H69" s="21">
        <f>+G69</f>
        <v>6.7999999999999996E-3</v>
      </c>
      <c r="I69" s="21">
        <f>+H69</f>
        <v>6.7999999999999996E-3</v>
      </c>
      <c r="J69" s="21">
        <v>7.1000000000000004E-3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">
      <c r="A70" s="2" t="s">
        <v>23</v>
      </c>
      <c r="B70" s="2" t="s">
        <v>13</v>
      </c>
      <c r="C70" s="16">
        <v>5.0000000000000001E-3</v>
      </c>
      <c r="D70" s="16">
        <v>5.0000000000000001E-3</v>
      </c>
      <c r="E70" s="16">
        <v>5.0000000000000001E-3</v>
      </c>
      <c r="G70" s="16">
        <v>5.1999999999999998E-3</v>
      </c>
      <c r="H70" s="21">
        <f>+G70</f>
        <v>5.1999999999999998E-3</v>
      </c>
      <c r="I70" s="21">
        <f>+H70</f>
        <v>5.1999999999999998E-3</v>
      </c>
      <c r="J70" s="21">
        <v>5.1999999999999998E-3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thickBot="1" x14ac:dyDescent="0.25">
      <c r="C71" s="12">
        <f>SUM(C69:C70)</f>
        <v>1.11E-2</v>
      </c>
      <c r="D71" s="22">
        <f>SUM(D69:D70)</f>
        <v>1.11E-2</v>
      </c>
      <c r="E71" s="22">
        <f>SUM(E69:E70)</f>
        <v>1.11E-2</v>
      </c>
      <c r="G71" s="22">
        <f>SUM(G69:G70)</f>
        <v>1.2E-2</v>
      </c>
      <c r="H71" s="23">
        <f>SUM(H69:H70)</f>
        <v>1.2E-2</v>
      </c>
      <c r="I71" s="23">
        <f>SUM(I69:I70)</f>
        <v>1.2E-2</v>
      </c>
      <c r="J71" s="23">
        <f>SUM(J69:J70)</f>
        <v>1.23E-2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thickTop="1" x14ac:dyDescent="0.2">
      <c r="G72" s="26"/>
      <c r="H72" s="36"/>
      <c r="I72" s="36"/>
      <c r="J72" s="3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">
      <c r="A73" s="2" t="s">
        <v>24</v>
      </c>
      <c r="B73" s="2" t="s">
        <v>13</v>
      </c>
      <c r="C73" s="2">
        <v>5.1999999999999998E-3</v>
      </c>
      <c r="D73" s="2">
        <f>+C73</f>
        <v>5.1999999999999998E-3</v>
      </c>
      <c r="E73" s="2">
        <f>+D73</f>
        <v>5.1999999999999998E-3</v>
      </c>
      <c r="G73" s="2">
        <v>5.1999999999999998E-3</v>
      </c>
      <c r="H73" s="24">
        <v>5.1999999999999998E-3</v>
      </c>
      <c r="I73" s="184">
        <v>4.4000000000000003E-3</v>
      </c>
      <c r="J73" s="184">
        <v>4.4000000000000003E-3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">
      <c r="A74" s="2" t="s">
        <v>25</v>
      </c>
      <c r="B74" s="2" t="s">
        <v>13</v>
      </c>
      <c r="C74" s="2">
        <v>1.2999999999999999E-3</v>
      </c>
      <c r="D74" s="2">
        <f>+C74</f>
        <v>1.2999999999999999E-3</v>
      </c>
      <c r="E74" s="2">
        <f>+D74</f>
        <v>1.2999999999999999E-3</v>
      </c>
      <c r="G74" s="2">
        <v>1.1000000000000001E-3</v>
      </c>
      <c r="H74" s="24">
        <f>+G74</f>
        <v>1.1000000000000001E-3</v>
      </c>
      <c r="I74" s="184">
        <v>1.1999999999999999E-3</v>
      </c>
      <c r="J74" s="184">
        <v>1.1999999999999999E-3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thickBot="1" x14ac:dyDescent="0.25">
      <c r="C75" s="12">
        <f>SUM(C73:C74)</f>
        <v>6.4999999999999997E-3</v>
      </c>
      <c r="D75" s="12">
        <f>SUM(D73:D74)</f>
        <v>6.4999999999999997E-3</v>
      </c>
      <c r="E75" s="12">
        <f>SUM(E73:E74)</f>
        <v>6.4999999999999997E-3</v>
      </c>
      <c r="G75" s="12">
        <f>SUM(G73:G74)</f>
        <v>6.3E-3</v>
      </c>
      <c r="H75" s="27">
        <f>SUM(H73:H74)</f>
        <v>6.3E-3</v>
      </c>
      <c r="I75" s="27">
        <f>SUM(I73:I74)</f>
        <v>5.5999999999999999E-3</v>
      </c>
      <c r="J75" s="27">
        <f>SUM(J73:J74)</f>
        <v>5.5999999999999999E-3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thickTop="1" x14ac:dyDescent="0.2">
      <c r="G76" s="26"/>
      <c r="H76" s="36"/>
      <c r="I76" s="36"/>
      <c r="J76" s="3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">
      <c r="A77" s="2" t="s">
        <v>26</v>
      </c>
      <c r="B77" s="2" t="s">
        <v>7</v>
      </c>
      <c r="C77" s="28">
        <v>0.25</v>
      </c>
      <c r="D77" s="28">
        <v>0.25</v>
      </c>
      <c r="E77" s="28">
        <v>0.25</v>
      </c>
      <c r="G77" s="28">
        <v>0.25</v>
      </c>
      <c r="H77" s="29">
        <v>0.25</v>
      </c>
      <c r="I77" s="29">
        <v>0.25</v>
      </c>
      <c r="J77" s="29">
        <v>0.25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">
      <c r="G78" s="26"/>
      <c r="H78" s="36"/>
      <c r="I78" s="36"/>
      <c r="J78" s="3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">
      <c r="A79" s="4" t="s">
        <v>27</v>
      </c>
      <c r="B79" s="2" t="s">
        <v>13</v>
      </c>
      <c r="C79" s="16">
        <v>3.8999999999999998E-3</v>
      </c>
      <c r="D79" s="16">
        <f>+C79</f>
        <v>3.8999999999999998E-3</v>
      </c>
      <c r="E79" s="16">
        <v>0</v>
      </c>
      <c r="G79" s="16">
        <v>0</v>
      </c>
      <c r="H79" s="21">
        <v>0</v>
      </c>
      <c r="I79" s="21">
        <v>0</v>
      </c>
      <c r="J79" s="21"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">
      <c r="A80" s="4" t="s">
        <v>28</v>
      </c>
      <c r="B80" s="2" t="s">
        <v>13</v>
      </c>
      <c r="C80" s="16">
        <v>0</v>
      </c>
      <c r="D80" s="10">
        <v>0</v>
      </c>
      <c r="E80" s="10">
        <v>0</v>
      </c>
      <c r="G80" s="10">
        <v>0</v>
      </c>
      <c r="H80" s="18">
        <v>0</v>
      </c>
      <c r="I80" s="18">
        <v>0</v>
      </c>
      <c r="J80" s="18"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6" ht="13.5" thickBot="1" x14ac:dyDescent="0.25">
      <c r="A81" s="4" t="s">
        <v>29</v>
      </c>
      <c r="C81" s="12">
        <f>SUM(C79:C80)</f>
        <v>3.8999999999999998E-3</v>
      </c>
      <c r="D81" s="12">
        <f>SUM(D79:D80)</f>
        <v>3.8999999999999998E-3</v>
      </c>
      <c r="E81" s="12">
        <f>SUM(E79:E80)</f>
        <v>0</v>
      </c>
      <c r="G81" s="12">
        <f>SUM(G79:G80)</f>
        <v>0</v>
      </c>
      <c r="H81" s="27">
        <f>SUM(H79:H80)</f>
        <v>0</v>
      </c>
      <c r="I81" s="27">
        <f>SUM(I79:I80)</f>
        <v>0</v>
      </c>
      <c r="J81" s="27">
        <f>SUM(J79:J80)</f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6" ht="13.5" thickTop="1" x14ac:dyDescent="0.2">
      <c r="H82" s="24"/>
      <c r="I82" s="24"/>
      <c r="J82" s="2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6" ht="13.5" thickBot="1" x14ac:dyDescent="0.25">
      <c r="A83" s="30"/>
      <c r="B83" s="30"/>
      <c r="C83" s="30"/>
      <c r="D83" s="30"/>
      <c r="E83" s="30"/>
      <c r="F83" s="30"/>
      <c r="G83" s="30"/>
      <c r="H83" s="31"/>
      <c r="I83" s="31"/>
      <c r="J83" s="3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6" ht="13.5" thickBot="1" x14ac:dyDescent="0.25">
      <c r="H84" s="270" t="s">
        <v>31</v>
      </c>
      <c r="I84" s="271"/>
      <c r="J84" s="17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6" x14ac:dyDescent="0.2">
      <c r="H85" s="24"/>
      <c r="I85" s="24"/>
      <c r="J85" s="2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6" x14ac:dyDescent="0.2">
      <c r="A86" s="4" t="s">
        <v>6</v>
      </c>
      <c r="B86" s="2" t="s">
        <v>7</v>
      </c>
      <c r="C86" s="8">
        <v>10.6</v>
      </c>
      <c r="D86" s="8">
        <v>10.6</v>
      </c>
      <c r="E86" s="8">
        <v>10.6</v>
      </c>
      <c r="G86" s="8">
        <v>10.69</v>
      </c>
      <c r="H86" s="32">
        <v>8.15</v>
      </c>
      <c r="I86" s="32">
        <f>H86</f>
        <v>8.15</v>
      </c>
      <c r="J86" s="32">
        <v>8.23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6" x14ac:dyDescent="0.2">
      <c r="A87" s="4" t="s">
        <v>8</v>
      </c>
      <c r="B87" s="2" t="s">
        <v>7</v>
      </c>
      <c r="C87" s="8"/>
      <c r="D87" s="8"/>
      <c r="E87" s="8"/>
      <c r="G87" s="8">
        <v>0</v>
      </c>
      <c r="H87" s="32"/>
      <c r="I87" s="32"/>
      <c r="J87" s="3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6" x14ac:dyDescent="0.2">
      <c r="A88" s="4" t="s">
        <v>9</v>
      </c>
      <c r="B88" s="2" t="s">
        <v>7</v>
      </c>
      <c r="C88" s="8"/>
      <c r="D88" s="8"/>
      <c r="E88" s="8"/>
      <c r="G88" s="8">
        <v>0</v>
      </c>
      <c r="H88" s="32"/>
      <c r="I88" s="32"/>
      <c r="J88" s="3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6" x14ac:dyDescent="0.2">
      <c r="A89" s="4" t="s">
        <v>10</v>
      </c>
      <c r="B89" s="2" t="s">
        <v>7</v>
      </c>
      <c r="C89" s="2">
        <v>0.13</v>
      </c>
      <c r="D89" s="2">
        <v>0.13</v>
      </c>
      <c r="E89" s="2">
        <v>0.13</v>
      </c>
      <c r="G89" s="8">
        <v>0</v>
      </c>
      <c r="H89" s="32"/>
      <c r="I89" s="32"/>
      <c r="J89" s="32"/>
      <c r="K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6" x14ac:dyDescent="0.2">
      <c r="A90" s="2" t="s">
        <v>11</v>
      </c>
      <c r="B90" s="2" t="s">
        <v>7</v>
      </c>
      <c r="C90" s="2">
        <v>2.12</v>
      </c>
      <c r="D90" s="2">
        <v>2.12</v>
      </c>
      <c r="E90" s="2">
        <v>2.12</v>
      </c>
      <c r="G90" s="11">
        <f>+G49</f>
        <v>0</v>
      </c>
      <c r="H90" s="32"/>
      <c r="I90" s="32"/>
      <c r="J90" s="32"/>
      <c r="K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6" ht="13.5" thickBot="1" x14ac:dyDescent="0.25">
      <c r="C91" s="12">
        <f>SUM(C86:C90)</f>
        <v>12.850000000000001</v>
      </c>
      <c r="D91" s="12">
        <f>SUM(D86:D90)</f>
        <v>12.850000000000001</v>
      </c>
      <c r="E91" s="12">
        <f>SUM(E86:E90)</f>
        <v>12.850000000000001</v>
      </c>
      <c r="G91" s="13">
        <f>SUM(G86:G90)</f>
        <v>10.69</v>
      </c>
      <c r="H91" s="38">
        <f>ROUND(SUM(H86:H90),2)</f>
        <v>8.15</v>
      </c>
      <c r="I91" s="38">
        <f>SUM(I86:I90)</f>
        <v>8.15</v>
      </c>
      <c r="J91" s="38">
        <f>SUM(J86:J90)</f>
        <v>8.23</v>
      </c>
      <c r="K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6" ht="13.5" thickTop="1" x14ac:dyDescent="0.2">
      <c r="H92" s="36"/>
      <c r="I92" s="36"/>
      <c r="J92" s="36"/>
      <c r="K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6" x14ac:dyDescent="0.2">
      <c r="A93" s="2" t="s">
        <v>12</v>
      </c>
      <c r="B93" s="2" t="s">
        <v>13</v>
      </c>
      <c r="C93" s="14">
        <v>1.9300000000000001E-2</v>
      </c>
      <c r="D93" s="14">
        <v>1.9300000000000001E-2</v>
      </c>
      <c r="E93" s="14">
        <v>1.9300000000000001E-2</v>
      </c>
      <c r="G93" s="15">
        <v>1.95E-2</v>
      </c>
      <c r="H93" s="25">
        <v>1.49E-2</v>
      </c>
      <c r="I93" s="25">
        <f>H93</f>
        <v>1.49E-2</v>
      </c>
      <c r="J93" s="25">
        <v>1.4999999999999999E-2</v>
      </c>
      <c r="K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6" x14ac:dyDescent="0.2">
      <c r="H94" s="36"/>
      <c r="I94" s="36"/>
      <c r="J94" s="36"/>
      <c r="K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6" x14ac:dyDescent="0.2">
      <c r="A95" s="2" t="s">
        <v>14</v>
      </c>
      <c r="B95" s="2" t="s">
        <v>13</v>
      </c>
      <c r="C95" s="16">
        <v>-1.8E-3</v>
      </c>
      <c r="D95" s="16">
        <f>+C95</f>
        <v>-1.8E-3</v>
      </c>
      <c r="E95" s="16">
        <v>0</v>
      </c>
      <c r="G95" s="16">
        <v>0</v>
      </c>
      <c r="H95" s="21"/>
      <c r="I95" s="21"/>
      <c r="J95" s="21"/>
      <c r="K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IL95" s="16"/>
    </row>
    <row r="96" spans="1:246" x14ac:dyDescent="0.2">
      <c r="A96" s="4" t="str">
        <f>+A55</f>
        <v>Distribution Volumetric Def Var Disp 2011 – effective until January 31, 2014</v>
      </c>
      <c r="B96" s="2" t="s">
        <v>13</v>
      </c>
      <c r="C96" s="16">
        <v>0</v>
      </c>
      <c r="D96" s="10">
        <v>0</v>
      </c>
      <c r="E96" s="10">
        <v>-1.1999999999999999E-3</v>
      </c>
      <c r="G96" s="10">
        <f>+E96</f>
        <v>-1.1999999999999999E-3</v>
      </c>
      <c r="H96" s="18">
        <f>+G96</f>
        <v>-1.1999999999999999E-3</v>
      </c>
      <c r="I96" s="18">
        <f>+H96</f>
        <v>-1.1999999999999999E-3</v>
      </c>
      <c r="J96" s="18">
        <f>+I96</f>
        <v>-1.1999999999999999E-3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">
      <c r="A97" s="4" t="s">
        <v>16</v>
      </c>
      <c r="B97" s="2" t="s">
        <v>13</v>
      </c>
      <c r="C97" s="16">
        <v>0</v>
      </c>
      <c r="D97" s="10">
        <v>0</v>
      </c>
      <c r="E97" s="10">
        <v>0</v>
      </c>
      <c r="G97" s="10">
        <v>-8.9999999999999998E-4</v>
      </c>
      <c r="H97" s="18">
        <f>+G97</f>
        <v>-8.9999999999999998E-4</v>
      </c>
      <c r="I97" s="175">
        <f>H97*0</f>
        <v>0</v>
      </c>
      <c r="J97" s="175"/>
      <c r="K97" s="15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">
      <c r="A98" s="4" t="s">
        <v>89</v>
      </c>
      <c r="B98" s="2" t="s">
        <v>13</v>
      </c>
      <c r="C98" s="16"/>
      <c r="D98" s="10"/>
      <c r="E98" s="10"/>
      <c r="G98" s="10"/>
      <c r="H98" s="18">
        <v>8.0000000000000004E-4</v>
      </c>
      <c r="I98" s="18">
        <f>H98</f>
        <v>8.0000000000000004E-4</v>
      </c>
      <c r="J98" s="1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s="171" customFormat="1" x14ac:dyDescent="0.2">
      <c r="A99" s="4" t="s">
        <v>112</v>
      </c>
      <c r="B99" s="171" t="s">
        <v>13</v>
      </c>
      <c r="C99" s="16"/>
      <c r="D99" s="10"/>
      <c r="E99" s="10"/>
      <c r="G99" s="10"/>
      <c r="H99" s="18"/>
      <c r="I99" s="18"/>
      <c r="J99" s="18">
        <v>-1.1999999999999999E-3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s="135" customFormat="1" x14ac:dyDescent="0.2">
      <c r="A100" s="5" t="s">
        <v>94</v>
      </c>
      <c r="B100" s="3" t="s">
        <v>13</v>
      </c>
      <c r="C100" s="10"/>
      <c r="D100" s="10"/>
      <c r="E100" s="10"/>
      <c r="F100" s="3"/>
      <c r="G100" s="10"/>
      <c r="H100" s="18">
        <v>-1.1000000000000001E-3</v>
      </c>
      <c r="I100" s="18">
        <f>H100</f>
        <v>-1.1000000000000001E-3</v>
      </c>
      <c r="J100" s="18"/>
      <c r="K100" s="1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s="251" customFormat="1" ht="15.75" customHeight="1" x14ac:dyDescent="0.25">
      <c r="A101" s="257" t="s">
        <v>17</v>
      </c>
      <c r="B101" s="251" t="s">
        <v>13</v>
      </c>
      <c r="C101" s="258">
        <v>0</v>
      </c>
      <c r="D101" s="258">
        <v>0</v>
      </c>
      <c r="E101" s="258">
        <v>0</v>
      </c>
      <c r="G101" s="259">
        <v>0</v>
      </c>
      <c r="H101" s="260"/>
      <c r="I101" s="260"/>
      <c r="J101" s="260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</row>
    <row r="102" spans="1:24" x14ac:dyDescent="0.2">
      <c r="A102" s="4" t="s">
        <v>18</v>
      </c>
      <c r="B102" s="2" t="s">
        <v>13</v>
      </c>
      <c r="C102" s="16">
        <v>-5.9999999999999995E-4</v>
      </c>
      <c r="D102" s="16">
        <v>-5.9999999999999995E-4</v>
      </c>
      <c r="E102" s="16">
        <v>-5.9999999999999995E-4</v>
      </c>
      <c r="G102" s="16">
        <v>-6.9999999999999999E-4</v>
      </c>
      <c r="H102" s="18"/>
      <c r="I102" s="18"/>
      <c r="J102" s="18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">
      <c r="A103" s="17" t="s">
        <v>19</v>
      </c>
      <c r="B103" s="2" t="s">
        <v>13</v>
      </c>
      <c r="C103" s="16"/>
      <c r="D103" s="16"/>
      <c r="E103" s="16"/>
      <c r="G103" s="16"/>
      <c r="H103" s="21">
        <v>4.0000000000000002E-4</v>
      </c>
      <c r="I103" s="21">
        <f>H103</f>
        <v>4.0000000000000002E-4</v>
      </c>
      <c r="J103" s="2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">
      <c r="A104" s="4" t="str">
        <f>+A63</f>
        <v>Rate Rider for Global Adjustment Sub-Account Disposition - effective until Jan 31, 2014 NON-RPP</v>
      </c>
      <c r="B104" s="2" t="s">
        <v>13</v>
      </c>
      <c r="C104" s="16">
        <v>0</v>
      </c>
      <c r="D104" s="16">
        <v>0</v>
      </c>
      <c r="E104" s="16">
        <f>+-0.0022</f>
        <v>-2.2000000000000001E-3</v>
      </c>
      <c r="G104" s="16">
        <f>+E104</f>
        <v>-2.2000000000000001E-3</v>
      </c>
      <c r="H104" s="18">
        <f>+G104</f>
        <v>-2.2000000000000001E-3</v>
      </c>
      <c r="I104" s="18">
        <f>+H104</f>
        <v>-2.2000000000000001E-3</v>
      </c>
      <c r="J104" s="18">
        <f>+I104</f>
        <v>-2.2000000000000001E-3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s="171" customFormat="1" x14ac:dyDescent="0.2">
      <c r="A105" s="17" t="s">
        <v>111</v>
      </c>
      <c r="B105" s="171" t="s">
        <v>13</v>
      </c>
      <c r="C105" s="16"/>
      <c r="D105" s="16"/>
      <c r="E105" s="16"/>
      <c r="G105" s="16"/>
      <c r="H105" s="18"/>
      <c r="I105" s="18"/>
      <c r="J105" s="18">
        <f>-0.0025+0.0013</f>
        <v>-1.2000000000000001E-3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thickBot="1" x14ac:dyDescent="0.25">
      <c r="C106" s="22">
        <f>SUM(C95:C104)</f>
        <v>-2.3999999999999998E-3</v>
      </c>
      <c r="D106" s="22">
        <f>SUM(D95:D104)</f>
        <v>-2.3999999999999998E-3</v>
      </c>
      <c r="E106" s="22">
        <f>SUM(E95:E104)</f>
        <v>-4.0000000000000001E-3</v>
      </c>
      <c r="G106" s="23">
        <f t="shared" ref="G106:H106" si="1">SUM(G95:G105)</f>
        <v>-5.0000000000000001E-3</v>
      </c>
      <c r="H106" s="23">
        <f t="shared" si="1"/>
        <v>-4.2000000000000006E-3</v>
      </c>
      <c r="I106" s="23">
        <f>SUM(I95:I105)</f>
        <v>-3.3E-3</v>
      </c>
      <c r="J106" s="23">
        <f>SUM(J95:J105)</f>
        <v>-5.7999999999999996E-3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thickTop="1" x14ac:dyDescent="0.2">
      <c r="H107" s="24"/>
      <c r="I107" s="24"/>
      <c r="J107" s="24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">
      <c r="A108" s="4" t="s">
        <v>30</v>
      </c>
      <c r="C108" s="14">
        <v>0</v>
      </c>
      <c r="D108" s="14">
        <v>0</v>
      </c>
      <c r="E108" s="14">
        <v>0</v>
      </c>
      <c r="G108" s="14">
        <v>0</v>
      </c>
      <c r="H108" s="25">
        <v>2.0000000000000001E-4</v>
      </c>
      <c r="I108" s="25">
        <f>+H108</f>
        <v>2.0000000000000001E-4</v>
      </c>
      <c r="J108" s="25">
        <f>+I108</f>
        <v>2.0000000000000001E-4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">
      <c r="H109" s="24"/>
      <c r="I109" s="24"/>
      <c r="J109" s="24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">
      <c r="A110" s="2" t="s">
        <v>22</v>
      </c>
      <c r="B110" s="2" t="s">
        <v>13</v>
      </c>
      <c r="C110" s="16">
        <v>6.1000000000000004E-3</v>
      </c>
      <c r="D110" s="16">
        <v>6.1000000000000004E-3</v>
      </c>
      <c r="E110" s="16">
        <v>6.1000000000000004E-3</v>
      </c>
      <c r="G110" s="16">
        <v>6.7999999999999996E-3</v>
      </c>
      <c r="H110" s="21">
        <f>+G110</f>
        <v>6.7999999999999996E-3</v>
      </c>
      <c r="I110" s="21">
        <f>+H110</f>
        <v>6.7999999999999996E-3</v>
      </c>
      <c r="J110" s="21">
        <v>7.1000000000000004E-3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">
      <c r="A111" s="2" t="s">
        <v>23</v>
      </c>
      <c r="B111" s="2" t="s">
        <v>13</v>
      </c>
      <c r="C111" s="16">
        <v>5.0000000000000001E-3</v>
      </c>
      <c r="D111" s="16">
        <v>5.0000000000000001E-3</v>
      </c>
      <c r="E111" s="16">
        <v>5.0000000000000001E-3</v>
      </c>
      <c r="G111" s="16">
        <v>5.1999999999999998E-3</v>
      </c>
      <c r="H111" s="21">
        <f>+G111</f>
        <v>5.1999999999999998E-3</v>
      </c>
      <c r="I111" s="21">
        <f>+H111</f>
        <v>5.1999999999999998E-3</v>
      </c>
      <c r="J111" s="21">
        <v>5.1999999999999998E-3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thickBot="1" x14ac:dyDescent="0.25">
      <c r="C112" s="12">
        <f>SUM(C110:C111)</f>
        <v>1.11E-2</v>
      </c>
      <c r="D112" s="22">
        <f>SUM(D110:D111)</f>
        <v>1.11E-2</v>
      </c>
      <c r="E112" s="22">
        <f>SUM(E110:E111)</f>
        <v>1.11E-2</v>
      </c>
      <c r="G112" s="22">
        <f>SUM(G110:G111)</f>
        <v>1.2E-2</v>
      </c>
      <c r="H112" s="23">
        <f>SUM(H110:H111)</f>
        <v>1.2E-2</v>
      </c>
      <c r="I112" s="23">
        <f>SUM(I110:I111)</f>
        <v>1.2E-2</v>
      </c>
      <c r="J112" s="23">
        <f>SUM(J110:J111)</f>
        <v>1.23E-2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thickTop="1" x14ac:dyDescent="0.2">
      <c r="H113" s="24"/>
      <c r="I113" s="24"/>
      <c r="J113" s="24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">
      <c r="A114" s="2" t="s">
        <v>24</v>
      </c>
      <c r="B114" s="2" t="s">
        <v>13</v>
      </c>
      <c r="C114" s="2">
        <v>5.1999999999999998E-3</v>
      </c>
      <c r="D114" s="2">
        <f>+C114</f>
        <v>5.1999999999999998E-3</v>
      </c>
      <c r="E114" s="2">
        <v>5.1999999999999998E-3</v>
      </c>
      <c r="G114" s="2">
        <v>5.1999999999999998E-3</v>
      </c>
      <c r="H114" s="24">
        <v>5.1999999999999998E-3</v>
      </c>
      <c r="I114" s="184">
        <v>4.4000000000000003E-3</v>
      </c>
      <c r="J114" s="184">
        <v>4.4000000000000003E-3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">
      <c r="A115" s="2" t="s">
        <v>25</v>
      </c>
      <c r="B115" s="2" t="s">
        <v>13</v>
      </c>
      <c r="C115" s="2">
        <v>1.2999999999999999E-3</v>
      </c>
      <c r="D115" s="2">
        <f>+C115</f>
        <v>1.2999999999999999E-3</v>
      </c>
      <c r="E115" s="2">
        <v>1.2999999999999999E-3</v>
      </c>
      <c r="G115" s="2">
        <v>1.1000000000000001E-3</v>
      </c>
      <c r="H115" s="24">
        <f>+G115</f>
        <v>1.1000000000000001E-3</v>
      </c>
      <c r="I115" s="184">
        <v>1.1999999999999999E-3</v>
      </c>
      <c r="J115" s="184">
        <v>1.1999999999999999E-3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thickBot="1" x14ac:dyDescent="0.25">
      <c r="C116" s="12">
        <f>SUM(C114:C115)</f>
        <v>6.4999999999999997E-3</v>
      </c>
      <c r="D116" s="12">
        <f>SUM(D114:D115)</f>
        <v>6.4999999999999997E-3</v>
      </c>
      <c r="E116" s="12">
        <f>SUM(E114:E115)</f>
        <v>6.4999999999999997E-3</v>
      </c>
      <c r="G116" s="12">
        <f>SUM(G114:G115)</f>
        <v>6.3E-3</v>
      </c>
      <c r="H116" s="27">
        <f>SUM(H114:H115)</f>
        <v>6.3E-3</v>
      </c>
      <c r="I116" s="27">
        <f>SUM(I114:I115)</f>
        <v>5.5999999999999999E-3</v>
      </c>
      <c r="J116" s="27">
        <f>SUM(J114:J115)</f>
        <v>5.5999999999999999E-3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thickTop="1" x14ac:dyDescent="0.2">
      <c r="H117" s="24"/>
      <c r="I117" s="24"/>
      <c r="J117" s="24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">
      <c r="A118" s="2" t="s">
        <v>26</v>
      </c>
      <c r="B118" s="2" t="s">
        <v>7</v>
      </c>
      <c r="C118" s="28">
        <v>0.25</v>
      </c>
      <c r="D118" s="28">
        <v>0.25</v>
      </c>
      <c r="E118" s="28">
        <v>0.25</v>
      </c>
      <c r="G118" s="28">
        <v>0.25</v>
      </c>
      <c r="H118" s="29">
        <v>0.25</v>
      </c>
      <c r="I118" s="29">
        <v>0.25</v>
      </c>
      <c r="J118" s="29">
        <v>0.25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">
      <c r="H119" s="24"/>
      <c r="I119" s="24"/>
      <c r="J119" s="24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">
      <c r="A120" s="4" t="s">
        <v>27</v>
      </c>
      <c r="B120" s="2" t="s">
        <v>13</v>
      </c>
      <c r="C120" s="16">
        <v>3.8999999999999998E-3</v>
      </c>
      <c r="D120" s="16">
        <f>+C120</f>
        <v>3.8999999999999998E-3</v>
      </c>
      <c r="E120" s="16">
        <v>0</v>
      </c>
      <c r="G120" s="16">
        <v>0</v>
      </c>
      <c r="H120" s="21">
        <v>0</v>
      </c>
      <c r="I120" s="21">
        <v>0</v>
      </c>
      <c r="J120" s="21"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">
      <c r="A121" s="4" t="s">
        <v>28</v>
      </c>
      <c r="B121" s="2" t="s">
        <v>13</v>
      </c>
      <c r="C121" s="16">
        <v>0</v>
      </c>
      <c r="D121" s="10">
        <v>0</v>
      </c>
      <c r="E121" s="10">
        <v>0</v>
      </c>
      <c r="G121" s="10">
        <v>0</v>
      </c>
      <c r="H121" s="18">
        <v>0</v>
      </c>
      <c r="I121" s="18">
        <v>0</v>
      </c>
      <c r="J121" s="18"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thickBot="1" x14ac:dyDescent="0.25">
      <c r="A122" s="4" t="s">
        <v>29</v>
      </c>
      <c r="C122" s="12">
        <f>SUM(C120:C121)</f>
        <v>3.8999999999999998E-3</v>
      </c>
      <c r="D122" s="12">
        <f>SUM(D120:D121)</f>
        <v>3.8999999999999998E-3</v>
      </c>
      <c r="E122" s="12">
        <f>SUM(E120:E121)</f>
        <v>0</v>
      </c>
      <c r="G122" s="12">
        <f>SUM(G120:G121)</f>
        <v>0</v>
      </c>
      <c r="H122" s="27">
        <f>SUM(H120:H121)</f>
        <v>0</v>
      </c>
      <c r="I122" s="27">
        <f>SUM(I120:I121)</f>
        <v>0</v>
      </c>
      <c r="J122" s="27">
        <f>SUM(J120:J121)</f>
        <v>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0.75" customHeight="1" thickTop="1" x14ac:dyDescent="0.2">
      <c r="H123" s="24"/>
      <c r="I123" s="24"/>
      <c r="J123" s="24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">
      <c r="A124" s="30"/>
      <c r="B124" s="30"/>
      <c r="C124" s="30"/>
      <c r="D124" s="30"/>
      <c r="E124" s="30"/>
      <c r="F124" s="30"/>
      <c r="G124" s="30"/>
      <c r="H124" s="31"/>
      <c r="I124" s="31"/>
      <c r="J124" s="3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x14ac:dyDescent="0.25">
      <c r="A125" s="294" t="s">
        <v>32</v>
      </c>
      <c r="H125" s="24"/>
      <c r="I125" s="24"/>
      <c r="J125" s="24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">
      <c r="A126" s="4" t="s">
        <v>6</v>
      </c>
      <c r="B126" s="2" t="s">
        <v>7</v>
      </c>
      <c r="C126" s="2">
        <v>69.25</v>
      </c>
      <c r="D126" s="2">
        <v>69.25</v>
      </c>
      <c r="E126" s="2">
        <v>69.25</v>
      </c>
      <c r="G126" s="8">
        <v>69.86</v>
      </c>
      <c r="H126" s="32">
        <v>69.540000000000006</v>
      </c>
      <c r="I126" s="32">
        <f>H126</f>
        <v>69.540000000000006</v>
      </c>
      <c r="J126" s="32">
        <v>70.22</v>
      </c>
      <c r="K126" s="8"/>
      <c r="L126" s="9"/>
      <c r="M126" s="9"/>
      <c r="N126" s="9"/>
      <c r="O126" s="9"/>
      <c r="P126" s="9"/>
      <c r="Q126" s="3"/>
      <c r="R126" s="3"/>
      <c r="S126" s="3"/>
      <c r="T126" s="3"/>
      <c r="U126" s="3"/>
      <c r="V126" s="3"/>
      <c r="W126" s="3"/>
      <c r="X126" s="3"/>
    </row>
    <row r="127" spans="1:24" x14ac:dyDescent="0.2">
      <c r="A127" s="4" t="s">
        <v>8</v>
      </c>
      <c r="B127" s="2" t="s">
        <v>7</v>
      </c>
      <c r="G127" s="8">
        <v>0</v>
      </c>
      <c r="H127" s="33">
        <v>23.56</v>
      </c>
      <c r="I127" s="32">
        <f>H127</f>
        <v>23.56</v>
      </c>
      <c r="J127" s="32"/>
      <c r="K127" s="8"/>
      <c r="L127" s="9"/>
      <c r="M127" s="9"/>
      <c r="N127" s="9"/>
      <c r="O127" s="9"/>
      <c r="P127" s="9"/>
      <c r="Q127" s="3"/>
      <c r="R127" s="3"/>
      <c r="S127" s="3"/>
      <c r="T127" s="3"/>
      <c r="U127" s="3"/>
      <c r="V127" s="3"/>
      <c r="W127" s="3"/>
      <c r="X127" s="3"/>
    </row>
    <row r="128" spans="1:24" x14ac:dyDescent="0.2">
      <c r="A128" s="4" t="s">
        <v>9</v>
      </c>
      <c r="B128" s="2" t="s">
        <v>7</v>
      </c>
      <c r="G128" s="8">
        <v>0</v>
      </c>
      <c r="H128" s="33">
        <v>-0.13</v>
      </c>
      <c r="I128" s="32">
        <f>H128</f>
        <v>-0.13</v>
      </c>
      <c r="J128" s="32"/>
      <c r="K128" s="8"/>
      <c r="N128" s="9"/>
      <c r="O128" s="9"/>
      <c r="P128" s="9"/>
      <c r="Q128" s="3"/>
      <c r="R128" s="3"/>
      <c r="S128" s="3"/>
      <c r="T128" s="3"/>
      <c r="U128" s="3"/>
      <c r="V128" s="3"/>
      <c r="W128" s="3"/>
      <c r="X128" s="3"/>
    </row>
    <row r="129" spans="1:24" x14ac:dyDescent="0.2">
      <c r="A129" s="4" t="s">
        <v>10</v>
      </c>
      <c r="B129" s="2" t="s">
        <v>7</v>
      </c>
      <c r="C129" s="2">
        <v>5.28</v>
      </c>
      <c r="D129" s="2">
        <v>5.28</v>
      </c>
      <c r="E129" s="2">
        <v>5.28</v>
      </c>
      <c r="G129" s="8">
        <v>0</v>
      </c>
      <c r="H129" s="32"/>
      <c r="I129" s="32"/>
      <c r="J129" s="3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">
      <c r="A130" s="2" t="s">
        <v>11</v>
      </c>
      <c r="B130" s="2" t="s">
        <v>7</v>
      </c>
      <c r="C130" s="2">
        <v>2.12</v>
      </c>
      <c r="D130" s="2">
        <v>2.12</v>
      </c>
      <c r="E130" s="2">
        <v>2.12</v>
      </c>
      <c r="G130" s="11">
        <f>+G90</f>
        <v>0</v>
      </c>
      <c r="H130" s="32"/>
      <c r="I130" s="32"/>
      <c r="J130" s="3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thickBot="1" x14ac:dyDescent="0.25">
      <c r="C131" s="13">
        <f>SUM(C126:C130)</f>
        <v>76.650000000000006</v>
      </c>
      <c r="D131" s="12">
        <f>SUM(D126:D130)</f>
        <v>76.650000000000006</v>
      </c>
      <c r="E131" s="12">
        <f>SUM(E126:E130)</f>
        <v>76.650000000000006</v>
      </c>
      <c r="G131" s="13">
        <f>SUM(G126:G130)</f>
        <v>69.86</v>
      </c>
      <c r="H131" s="38">
        <f>ROUND(SUM(H126:H130),4)</f>
        <v>92.97</v>
      </c>
      <c r="I131" s="38">
        <f>SUM(I126:I130)</f>
        <v>92.970000000000013</v>
      </c>
      <c r="J131" s="38">
        <f>SUM(J126:J130)</f>
        <v>70.22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thickTop="1" x14ac:dyDescent="0.2">
      <c r="H132" s="24"/>
      <c r="I132" s="24"/>
      <c r="J132" s="2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">
      <c r="A133" s="2" t="s">
        <v>12</v>
      </c>
      <c r="B133" s="4" t="s">
        <v>33</v>
      </c>
      <c r="C133" s="14">
        <v>4.1677</v>
      </c>
      <c r="D133" s="14">
        <v>4.1677</v>
      </c>
      <c r="E133" s="14">
        <v>4.1677</v>
      </c>
      <c r="F133" s="4"/>
      <c r="G133" s="15">
        <v>4.2043999999999997</v>
      </c>
      <c r="H133" s="15">
        <v>4.1852999999999998</v>
      </c>
      <c r="I133" s="15">
        <f>H133</f>
        <v>4.1852999999999998</v>
      </c>
      <c r="J133" s="15">
        <v>4.2263000000000002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">
      <c r="H134" s="24"/>
      <c r="I134" s="24"/>
      <c r="J134" s="2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">
      <c r="A135" s="2" t="s">
        <v>14</v>
      </c>
      <c r="B135" s="4" t="s">
        <v>33</v>
      </c>
      <c r="C135" s="16">
        <v>-0.64800000000000002</v>
      </c>
      <c r="D135" s="16">
        <f>+C135</f>
        <v>-0.64800000000000002</v>
      </c>
      <c r="E135" s="16">
        <v>0</v>
      </c>
      <c r="F135" s="4"/>
      <c r="G135" s="16">
        <v>0</v>
      </c>
      <c r="H135" s="21"/>
      <c r="I135" s="21"/>
      <c r="J135" s="2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">
      <c r="A136" s="4" t="str">
        <f>+A96</f>
        <v>Distribution Volumetric Def Var Disp 2011 – effective until January 31, 2014</v>
      </c>
      <c r="B136" s="4" t="s">
        <v>33</v>
      </c>
      <c r="C136" s="16">
        <v>0</v>
      </c>
      <c r="D136" s="10">
        <v>0</v>
      </c>
      <c r="E136" s="10">
        <v>-0.36930000000000002</v>
      </c>
      <c r="F136" s="4"/>
      <c r="G136" s="10">
        <f>+E136</f>
        <v>-0.36930000000000002</v>
      </c>
      <c r="H136" s="18">
        <f>+G136</f>
        <v>-0.36930000000000002</v>
      </c>
      <c r="I136" s="18">
        <f>+H136</f>
        <v>-0.36930000000000002</v>
      </c>
      <c r="J136" s="244">
        <f>+I136</f>
        <v>-0.36930000000000002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">
      <c r="A137" s="4" t="s">
        <v>16</v>
      </c>
      <c r="B137" s="4" t="s">
        <v>33</v>
      </c>
      <c r="C137" s="16">
        <v>0</v>
      </c>
      <c r="D137" s="10">
        <v>0</v>
      </c>
      <c r="E137" s="10">
        <v>0</v>
      </c>
      <c r="G137" s="10">
        <v>-7.7499999999999999E-2</v>
      </c>
      <c r="H137" s="18">
        <f>+G137</f>
        <v>-7.7499999999999999E-2</v>
      </c>
      <c r="I137" s="175"/>
      <c r="J137" s="160"/>
      <c r="K137" s="153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">
      <c r="A138" s="4" t="s">
        <v>89</v>
      </c>
      <c r="B138" s="4" t="s">
        <v>33</v>
      </c>
      <c r="C138" s="16"/>
      <c r="D138" s="10"/>
      <c r="E138" s="10"/>
      <c r="G138" s="10"/>
      <c r="H138" s="18">
        <v>-0.1835</v>
      </c>
      <c r="I138" s="18">
        <f>H138</f>
        <v>-0.1835</v>
      </c>
      <c r="J138" s="244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s="171" customFormat="1" x14ac:dyDescent="0.2">
      <c r="A139" s="4" t="s">
        <v>112</v>
      </c>
      <c r="B139" s="4" t="s">
        <v>33</v>
      </c>
      <c r="C139" s="16"/>
      <c r="D139" s="10"/>
      <c r="E139" s="10"/>
      <c r="G139" s="10"/>
      <c r="H139" s="18"/>
      <c r="I139" s="18"/>
      <c r="J139" s="244">
        <v>-0.38629999999999998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s="135" customFormat="1" x14ac:dyDescent="0.2">
      <c r="A140" s="5" t="s">
        <v>94</v>
      </c>
      <c r="B140" s="5" t="s">
        <v>33</v>
      </c>
      <c r="C140" s="10"/>
      <c r="D140" s="10"/>
      <c r="E140" s="10"/>
      <c r="F140" s="3"/>
      <c r="G140" s="10"/>
      <c r="H140" s="18">
        <v>3.7000000000000002E-3</v>
      </c>
      <c r="I140" s="18">
        <f>H140</f>
        <v>3.7000000000000002E-3</v>
      </c>
      <c r="J140" s="18"/>
      <c r="K140" s="18"/>
      <c r="L140" s="10"/>
      <c r="M140" s="1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s="264" customFormat="1" ht="15" customHeight="1" x14ac:dyDescent="0.2">
      <c r="A141" s="261" t="s">
        <v>17</v>
      </c>
      <c r="B141" s="262" t="s">
        <v>33</v>
      </c>
      <c r="C141" s="263">
        <v>8.0999999999999996E-3</v>
      </c>
      <c r="D141" s="263">
        <v>8.0999999999999996E-3</v>
      </c>
      <c r="E141" s="263">
        <v>8.0999999999999996E-3</v>
      </c>
      <c r="F141" s="262"/>
      <c r="G141" s="266">
        <v>2.81E-2</v>
      </c>
      <c r="H141" s="267">
        <f>+G141</f>
        <v>2.81E-2</v>
      </c>
      <c r="I141" s="256">
        <v>3.9199999999999999E-2</v>
      </c>
      <c r="J141" s="256">
        <f>+I141</f>
        <v>3.9199999999999999E-2</v>
      </c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</row>
    <row r="142" spans="1:24" x14ac:dyDescent="0.2">
      <c r="A142" s="4" t="s">
        <v>18</v>
      </c>
      <c r="B142" s="4" t="s">
        <v>33</v>
      </c>
      <c r="C142" s="16">
        <v>-5.16E-2</v>
      </c>
      <c r="D142" s="16">
        <v>-5.16E-2</v>
      </c>
      <c r="E142" s="16">
        <v>-5.16E-2</v>
      </c>
      <c r="F142" s="4"/>
      <c r="G142" s="20">
        <v>-6.2600000000000003E-2</v>
      </c>
      <c r="H142" s="18"/>
      <c r="I142" s="18"/>
      <c r="J142" s="18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">
      <c r="A143" s="17" t="s">
        <v>19</v>
      </c>
      <c r="B143" s="4" t="s">
        <v>33</v>
      </c>
      <c r="C143" s="16"/>
      <c r="D143" s="16"/>
      <c r="E143" s="16"/>
      <c r="G143" s="16"/>
      <c r="H143" s="21">
        <v>0.1489</v>
      </c>
      <c r="I143" s="21">
        <f>H143</f>
        <v>0.1489</v>
      </c>
      <c r="J143" s="2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">
      <c r="A144" s="4" t="str">
        <f>+A104</f>
        <v>Rate Rider for Global Adjustment Sub-Account Disposition - effective until Jan 31, 2014 NON-RPP</v>
      </c>
      <c r="B144" s="4" t="s">
        <v>33</v>
      </c>
      <c r="C144" s="16">
        <v>0</v>
      </c>
      <c r="D144" s="16">
        <v>0</v>
      </c>
      <c r="E144" s="16">
        <v>-0.7339</v>
      </c>
      <c r="F144" s="4"/>
      <c r="G144" s="20">
        <f>+E144</f>
        <v>-0.7339</v>
      </c>
      <c r="H144" s="18">
        <f>+G144</f>
        <v>-0.7339</v>
      </c>
      <c r="I144" s="18">
        <f>+H144</f>
        <v>-0.7339</v>
      </c>
      <c r="J144" s="244">
        <f>+I144</f>
        <v>-0.7339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s="171" customFormat="1" ht="16.5" customHeight="1" x14ac:dyDescent="0.2">
      <c r="A145" s="176" t="s">
        <v>113</v>
      </c>
      <c r="B145" s="4" t="s">
        <v>33</v>
      </c>
      <c r="C145" s="16"/>
      <c r="D145" s="16"/>
      <c r="E145" s="16"/>
      <c r="F145" s="4"/>
      <c r="G145" s="20"/>
      <c r="H145" s="18"/>
      <c r="I145" s="18"/>
      <c r="J145" s="245">
        <f>-0.7666+0.0445</f>
        <v>-0.72209999999999996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s="171" customFormat="1" ht="12" customHeight="1" x14ac:dyDescent="0.2">
      <c r="A146" s="176" t="s">
        <v>114</v>
      </c>
      <c r="B146" s="4" t="s">
        <v>33</v>
      </c>
      <c r="C146" s="16"/>
      <c r="D146" s="16"/>
      <c r="E146" s="16"/>
      <c r="F146" s="4"/>
      <c r="G146" s="20"/>
      <c r="H146" s="18"/>
      <c r="I146" s="18"/>
      <c r="J146" s="244">
        <f>0.4867+0.0445</f>
        <v>0.53120000000000001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thickBot="1" x14ac:dyDescent="0.25">
      <c r="C147" s="22">
        <f>SUM(C135:C144)</f>
        <v>-0.6915</v>
      </c>
      <c r="D147" s="22">
        <f>SUM(D135:D144)</f>
        <v>-0.6915</v>
      </c>
      <c r="E147" s="22">
        <f>SUM(E135:E144)</f>
        <v>-1.1467000000000001</v>
      </c>
      <c r="G147" s="22">
        <f>SUM(G135:G146)</f>
        <v>-1.2152000000000001</v>
      </c>
      <c r="H147" s="22">
        <f>SUM(H135:H146)</f>
        <v>-1.1835</v>
      </c>
      <c r="I147" s="22">
        <f>SUM(I135:I146)</f>
        <v>-1.0949</v>
      </c>
      <c r="J147" s="22">
        <f>SUM(J135:J146)</f>
        <v>-1.6411999999999995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thickTop="1" x14ac:dyDescent="0.2">
      <c r="H148" s="24"/>
      <c r="I148" s="24"/>
      <c r="J148" s="24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">
      <c r="A149" s="4" t="s">
        <v>30</v>
      </c>
      <c r="C149" s="14">
        <v>0</v>
      </c>
      <c r="D149" s="14">
        <v>0</v>
      </c>
      <c r="E149" s="14">
        <v>0</v>
      </c>
      <c r="G149" s="14">
        <v>0</v>
      </c>
      <c r="H149" s="25">
        <v>8.0199999999999994E-2</v>
      </c>
      <c r="I149" s="25">
        <f>+H149</f>
        <v>8.0199999999999994E-2</v>
      </c>
      <c r="J149" s="25">
        <f>+I149</f>
        <v>8.0199999999999994E-2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">
      <c r="H150" s="24"/>
      <c r="I150" s="24"/>
      <c r="J150" s="24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">
      <c r="A151" s="2" t="s">
        <v>22</v>
      </c>
      <c r="B151" s="4" t="s">
        <v>33</v>
      </c>
      <c r="C151" s="16">
        <v>2.3607</v>
      </c>
      <c r="D151" s="16">
        <v>2.3607</v>
      </c>
      <c r="E151" s="16">
        <v>2.3607</v>
      </c>
      <c r="F151" s="4"/>
      <c r="G151" s="16">
        <v>2.6160000000000001</v>
      </c>
      <c r="H151" s="21">
        <f>+G151</f>
        <v>2.6160000000000001</v>
      </c>
      <c r="I151" s="21">
        <f>+H151</f>
        <v>2.6160000000000001</v>
      </c>
      <c r="J151" s="21">
        <v>2.74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">
      <c r="A152" s="2" t="s">
        <v>23</v>
      </c>
      <c r="B152" s="4" t="s">
        <v>33</v>
      </c>
      <c r="C152" s="16">
        <v>1.9372</v>
      </c>
      <c r="D152" s="16">
        <v>1.9372</v>
      </c>
      <c r="E152" s="16">
        <v>1.9372</v>
      </c>
      <c r="F152" s="4"/>
      <c r="G152" s="16">
        <v>2.0283000000000002</v>
      </c>
      <c r="H152" s="21">
        <f>+G152</f>
        <v>2.0283000000000002</v>
      </c>
      <c r="I152" s="21">
        <f>+H152</f>
        <v>2.0283000000000002</v>
      </c>
      <c r="J152" s="21">
        <v>2.0470000000000002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thickBot="1" x14ac:dyDescent="0.25">
      <c r="C153" s="12">
        <f>SUM(C151:C152)</f>
        <v>4.2979000000000003</v>
      </c>
      <c r="D153" s="22">
        <f>SUM(D151:D152)</f>
        <v>4.2979000000000003</v>
      </c>
      <c r="E153" s="22">
        <f>SUM(E151:E152)</f>
        <v>4.2979000000000003</v>
      </c>
      <c r="G153" s="22">
        <f>SUM(G151:G152)</f>
        <v>4.6443000000000003</v>
      </c>
      <c r="H153" s="23">
        <f>SUM(H151:H152)</f>
        <v>4.6443000000000003</v>
      </c>
      <c r="I153" s="23">
        <f>SUM(I151:I152)</f>
        <v>4.6443000000000003</v>
      </c>
      <c r="J153" s="23">
        <f>SUM(J151:J152)</f>
        <v>4.7870000000000008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thickTop="1" x14ac:dyDescent="0.2">
      <c r="H154" s="24"/>
      <c r="I154" s="24"/>
      <c r="J154" s="24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">
      <c r="A155" s="2" t="s">
        <v>24</v>
      </c>
      <c r="B155" s="2" t="s">
        <v>13</v>
      </c>
      <c r="C155" s="2">
        <v>5.1999999999999998E-3</v>
      </c>
      <c r="D155" s="2">
        <f>+C155</f>
        <v>5.1999999999999998E-3</v>
      </c>
      <c r="E155" s="2">
        <v>5.1999999999999998E-3</v>
      </c>
      <c r="G155" s="2">
        <v>5.1999999999999998E-3</v>
      </c>
      <c r="H155" s="24">
        <v>5.1999999999999998E-3</v>
      </c>
      <c r="I155" s="184">
        <v>4.4000000000000003E-3</v>
      </c>
      <c r="J155" s="184">
        <v>4.4000000000000003E-3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">
      <c r="A156" s="2" t="s">
        <v>25</v>
      </c>
      <c r="B156" s="2" t="s">
        <v>13</v>
      </c>
      <c r="C156" s="2">
        <v>1.2999999999999999E-3</v>
      </c>
      <c r="D156" s="2">
        <f>+C156</f>
        <v>1.2999999999999999E-3</v>
      </c>
      <c r="E156" s="2">
        <v>1.2999999999999999E-3</v>
      </c>
      <c r="G156" s="2">
        <v>1.1000000000000001E-3</v>
      </c>
      <c r="H156" s="24">
        <f>+G156</f>
        <v>1.1000000000000001E-3</v>
      </c>
      <c r="I156" s="184">
        <v>1.1999999999999999E-3</v>
      </c>
      <c r="J156" s="184">
        <v>1.1999999999999999E-3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thickBot="1" x14ac:dyDescent="0.25">
      <c r="C157" s="12">
        <f>SUM(C155:C156)</f>
        <v>6.4999999999999997E-3</v>
      </c>
      <c r="D157" s="12">
        <f>SUM(D155:D156)</f>
        <v>6.4999999999999997E-3</v>
      </c>
      <c r="E157" s="12">
        <f>SUM(E155:E156)</f>
        <v>6.4999999999999997E-3</v>
      </c>
      <c r="G157" s="12">
        <f>SUM(G155:G156)</f>
        <v>6.3E-3</v>
      </c>
      <c r="H157" s="27">
        <f>SUM(H155:H156)</f>
        <v>6.3E-3</v>
      </c>
      <c r="I157" s="27">
        <f>SUM(I155:I156)</f>
        <v>5.5999999999999999E-3</v>
      </c>
      <c r="J157" s="27">
        <f>SUM(J155:J156)</f>
        <v>5.5999999999999999E-3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thickTop="1" x14ac:dyDescent="0.2">
      <c r="H158" s="24"/>
      <c r="I158" s="24"/>
      <c r="J158" s="24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">
      <c r="A159" s="2" t="s">
        <v>26</v>
      </c>
      <c r="B159" s="2" t="s">
        <v>7</v>
      </c>
      <c r="C159" s="28">
        <v>0.25</v>
      </c>
      <c r="D159" s="28">
        <v>0.25</v>
      </c>
      <c r="E159" s="28">
        <v>0.25</v>
      </c>
      <c r="G159" s="28">
        <v>0.25</v>
      </c>
      <c r="H159" s="29">
        <v>0.25</v>
      </c>
      <c r="I159" s="29">
        <v>0.25</v>
      </c>
      <c r="J159" s="29">
        <v>0.25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">
      <c r="H160" s="24"/>
      <c r="I160" s="24"/>
      <c r="J160" s="24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">
      <c r="A161" s="4" t="s">
        <v>27</v>
      </c>
      <c r="B161" s="2" t="s">
        <v>13</v>
      </c>
      <c r="C161" s="16">
        <v>3.8999999999999998E-3</v>
      </c>
      <c r="D161" s="16">
        <f>+C161</f>
        <v>3.8999999999999998E-3</v>
      </c>
      <c r="E161" s="16">
        <v>0</v>
      </c>
      <c r="G161" s="16">
        <v>0</v>
      </c>
      <c r="H161" s="21">
        <v>0</v>
      </c>
      <c r="I161" s="21">
        <v>0</v>
      </c>
      <c r="J161" s="21">
        <v>0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">
      <c r="A162" s="4" t="s">
        <v>28</v>
      </c>
      <c r="B162" s="2" t="s">
        <v>13</v>
      </c>
      <c r="C162" s="16">
        <v>0</v>
      </c>
      <c r="D162" s="10">
        <v>0</v>
      </c>
      <c r="E162" s="10">
        <v>0</v>
      </c>
      <c r="G162" s="10">
        <v>0</v>
      </c>
      <c r="H162" s="18">
        <v>0</v>
      </c>
      <c r="I162" s="18">
        <v>0</v>
      </c>
      <c r="J162" s="18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thickBot="1" x14ac:dyDescent="0.25">
      <c r="A163" s="4" t="s">
        <v>29</v>
      </c>
      <c r="C163" s="12">
        <f>SUM(C161:C162)</f>
        <v>3.8999999999999998E-3</v>
      </c>
      <c r="D163" s="12">
        <f>SUM(D161:D162)</f>
        <v>3.8999999999999998E-3</v>
      </c>
      <c r="E163" s="12">
        <f>SUM(E161:E162)</f>
        <v>0</v>
      </c>
      <c r="G163" s="12">
        <f>SUM(G161:G162)</f>
        <v>0</v>
      </c>
      <c r="H163" s="27">
        <f>SUM(H161:H162)</f>
        <v>0</v>
      </c>
      <c r="I163" s="27">
        <f>SUM(I161:I162)</f>
        <v>0</v>
      </c>
      <c r="J163" s="27">
        <f>SUM(J161:J162)</f>
        <v>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thickTop="1" x14ac:dyDescent="0.2">
      <c r="H164" s="24"/>
      <c r="I164" s="24"/>
      <c r="J164" s="24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">
      <c r="A165" s="30"/>
      <c r="B165" s="30"/>
      <c r="C165" s="30"/>
      <c r="D165" s="30"/>
      <c r="E165" s="30"/>
      <c r="F165" s="30"/>
      <c r="G165" s="30"/>
      <c r="H165" s="31"/>
      <c r="I165" s="31"/>
      <c r="J165" s="3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x14ac:dyDescent="0.25">
      <c r="A166" s="294" t="s">
        <v>34</v>
      </c>
      <c r="H166" s="24"/>
      <c r="I166" s="24"/>
      <c r="J166" s="24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" x14ac:dyDescent="0.25">
      <c r="A167" s="4" t="s">
        <v>6</v>
      </c>
      <c r="B167" s="2" t="s">
        <v>7</v>
      </c>
      <c r="C167" s="40">
        <v>1524.85</v>
      </c>
      <c r="D167" s="40">
        <v>1524.85</v>
      </c>
      <c r="E167" s="40">
        <v>1524.85</v>
      </c>
      <c r="F167" s="40"/>
      <c r="G167" s="8">
        <v>1538.27</v>
      </c>
      <c r="H167" s="41">
        <v>1583.69</v>
      </c>
      <c r="I167" s="41">
        <f>H167</f>
        <v>1583.69</v>
      </c>
      <c r="J167" s="41">
        <v>1599.21</v>
      </c>
      <c r="K167" s="40"/>
      <c r="L167" s="42"/>
      <c r="M167" s="42"/>
      <c r="N167" s="42"/>
      <c r="O167" s="42"/>
      <c r="P167" s="42"/>
      <c r="Q167" s="42"/>
      <c r="R167" s="42"/>
      <c r="S167" s="42"/>
      <c r="T167" s="42"/>
      <c r="U167" s="3"/>
      <c r="V167" s="3"/>
      <c r="W167" s="3"/>
      <c r="X167" s="3"/>
    </row>
    <row r="168" spans="1:24" ht="15" x14ac:dyDescent="0.25">
      <c r="A168" s="4" t="s">
        <v>8</v>
      </c>
      <c r="B168" s="2" t="s">
        <v>7</v>
      </c>
      <c r="C168" s="40"/>
      <c r="D168" s="40"/>
      <c r="E168" s="40"/>
      <c r="F168" s="40"/>
      <c r="G168" s="8">
        <v>0</v>
      </c>
      <c r="H168" s="41"/>
      <c r="I168" s="41"/>
      <c r="J168" s="41"/>
      <c r="K168" s="40"/>
      <c r="L168" s="42"/>
      <c r="M168" s="42"/>
      <c r="N168" s="42"/>
      <c r="O168" s="42"/>
      <c r="P168" s="42"/>
      <c r="Q168" s="42"/>
      <c r="R168" s="42"/>
      <c r="S168" s="42"/>
      <c r="T168" s="42"/>
      <c r="U168" s="3"/>
      <c r="V168" s="3"/>
      <c r="W168" s="3"/>
      <c r="X168" s="3"/>
    </row>
    <row r="169" spans="1:24" ht="15" x14ac:dyDescent="0.25">
      <c r="A169" s="4" t="s">
        <v>9</v>
      </c>
      <c r="B169" s="2" t="s">
        <v>7</v>
      </c>
      <c r="C169" s="40"/>
      <c r="D169" s="40"/>
      <c r="E169" s="40"/>
      <c r="F169" s="40"/>
      <c r="G169" s="8">
        <v>0</v>
      </c>
      <c r="H169" s="41"/>
      <c r="I169" s="41"/>
      <c r="J169" s="41"/>
      <c r="K169" s="40"/>
      <c r="L169" s="42"/>
      <c r="M169" s="42"/>
      <c r="N169" s="42"/>
      <c r="O169" s="42"/>
      <c r="P169" s="42"/>
      <c r="Q169" s="42"/>
      <c r="R169" s="42"/>
      <c r="S169" s="42"/>
      <c r="T169" s="42"/>
      <c r="U169" s="3"/>
      <c r="V169" s="3"/>
      <c r="W169" s="3"/>
      <c r="X169" s="3"/>
    </row>
    <row r="170" spans="1:24" x14ac:dyDescent="0.2">
      <c r="A170" s="4" t="s">
        <v>10</v>
      </c>
      <c r="B170" s="2" t="s">
        <v>7</v>
      </c>
      <c r="C170" s="2">
        <v>26.79</v>
      </c>
      <c r="D170" s="2">
        <v>26.79</v>
      </c>
      <c r="E170" s="2">
        <v>26.79</v>
      </c>
      <c r="G170" s="8">
        <v>0</v>
      </c>
      <c r="H170" s="32"/>
      <c r="I170" s="32"/>
      <c r="J170" s="3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">
      <c r="A171" s="2" t="s">
        <v>11</v>
      </c>
      <c r="B171" s="2" t="s">
        <v>7</v>
      </c>
      <c r="C171" s="2">
        <v>2.12</v>
      </c>
      <c r="D171" s="2">
        <v>2.12</v>
      </c>
      <c r="E171" s="2">
        <v>2.12</v>
      </c>
      <c r="G171" s="11">
        <v>0</v>
      </c>
      <c r="H171" s="32"/>
      <c r="I171" s="32"/>
      <c r="J171" s="3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thickBot="1" x14ac:dyDescent="0.25">
      <c r="C172" s="34">
        <f>SUM(C167:C171)</f>
        <v>1553.7599999999998</v>
      </c>
      <c r="D172" s="34">
        <f>SUM(D167:D171)</f>
        <v>1553.7599999999998</v>
      </c>
      <c r="E172" s="34">
        <f>SUM(E167:E171)</f>
        <v>1553.7599999999998</v>
      </c>
      <c r="G172" s="34">
        <f>ROUND(SUM(G167:G171),4)</f>
        <v>1538.27</v>
      </c>
      <c r="H172" s="35">
        <f>ROUND(SUM(H167:H171),4)</f>
        <v>1583.69</v>
      </c>
      <c r="I172" s="35">
        <f>SUM(I167:I171)</f>
        <v>1583.69</v>
      </c>
      <c r="J172" s="35">
        <f>SUM(J167:J171)</f>
        <v>1599.21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thickTop="1" x14ac:dyDescent="0.2">
      <c r="H173" s="24"/>
      <c r="I173" s="24"/>
      <c r="J173" s="2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">
      <c r="A174" s="2" t="s">
        <v>12</v>
      </c>
      <c r="B174" s="4" t="s">
        <v>33</v>
      </c>
      <c r="C174" s="14">
        <v>2.0798000000000001</v>
      </c>
      <c r="D174" s="14">
        <v>2.0798000000000001</v>
      </c>
      <c r="E174" s="14">
        <v>2.0798000000000001</v>
      </c>
      <c r="F174" s="4"/>
      <c r="G174" s="15">
        <v>2.0981000000000001</v>
      </c>
      <c r="H174" s="37">
        <v>2.1536</v>
      </c>
      <c r="I174" s="37">
        <f>H174</f>
        <v>2.1536</v>
      </c>
      <c r="J174" s="37">
        <v>2.1747000000000001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">
      <c r="H175" s="24"/>
      <c r="I175" s="24"/>
      <c r="J175" s="2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">
      <c r="A176" s="2" t="s">
        <v>14</v>
      </c>
      <c r="B176" s="4" t="s">
        <v>33</v>
      </c>
      <c r="C176" s="16">
        <v>-0.80930000000000002</v>
      </c>
      <c r="D176" s="16">
        <f>+C176</f>
        <v>-0.80930000000000002</v>
      </c>
      <c r="E176" s="16">
        <v>0</v>
      </c>
      <c r="F176" s="4"/>
      <c r="G176" s="16">
        <v>0</v>
      </c>
      <c r="H176" s="21"/>
      <c r="I176" s="21"/>
      <c r="J176" s="2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">
      <c r="A177" s="4" t="str">
        <f>+A136</f>
        <v>Distribution Volumetric Def Var Disp 2011 – effective until January 31, 2014</v>
      </c>
      <c r="B177" s="4" t="s">
        <v>33</v>
      </c>
      <c r="C177" s="16">
        <v>0</v>
      </c>
      <c r="D177" s="10">
        <v>0</v>
      </c>
      <c r="E177" s="10">
        <v>-0.46960000000000002</v>
      </c>
      <c r="F177" s="4"/>
      <c r="G177" s="10">
        <f>+E177</f>
        <v>-0.46960000000000002</v>
      </c>
      <c r="H177" s="18">
        <f>+G177</f>
        <v>-0.46960000000000002</v>
      </c>
      <c r="I177" s="18">
        <f>+H177</f>
        <v>-0.46960000000000002</v>
      </c>
      <c r="J177" s="18">
        <f>+I177</f>
        <v>-0.46960000000000002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">
      <c r="A178" s="4" t="s">
        <v>16</v>
      </c>
      <c r="B178" s="4" t="s">
        <v>33</v>
      </c>
      <c r="C178" s="16">
        <v>0</v>
      </c>
      <c r="D178" s="10">
        <v>0</v>
      </c>
      <c r="E178" s="10">
        <v>0</v>
      </c>
      <c r="G178" s="10">
        <v>-6.5699999999999995E-2</v>
      </c>
      <c r="H178" s="18">
        <f>+G178</f>
        <v>-6.5699999999999995E-2</v>
      </c>
      <c r="I178" s="160">
        <f>H178*0</f>
        <v>0</v>
      </c>
      <c r="J178" s="175"/>
      <c r="K178" s="153"/>
      <c r="L178" s="16"/>
      <c r="M178" s="16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">
      <c r="A179" s="4" t="s">
        <v>89</v>
      </c>
      <c r="B179" s="4" t="s">
        <v>33</v>
      </c>
      <c r="C179" s="16"/>
      <c r="D179" s="10"/>
      <c r="E179" s="10"/>
      <c r="G179" s="10"/>
      <c r="H179" s="18">
        <v>-0.25650000000000001</v>
      </c>
      <c r="I179" s="18">
        <f>H179</f>
        <v>-0.25650000000000001</v>
      </c>
      <c r="J179" s="18"/>
      <c r="L179" s="16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71" customFormat="1" x14ac:dyDescent="0.2">
      <c r="A180" s="4" t="s">
        <v>112</v>
      </c>
      <c r="B180" s="4" t="s">
        <v>33</v>
      </c>
      <c r="C180" s="16"/>
      <c r="D180" s="10"/>
      <c r="E180" s="10"/>
      <c r="G180" s="10"/>
      <c r="H180" s="18"/>
      <c r="I180" s="18"/>
      <c r="J180" s="18">
        <v>-0.48730000000000001</v>
      </c>
      <c r="L180" s="16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135" customFormat="1" x14ac:dyDescent="0.2">
      <c r="A181" s="5" t="s">
        <v>94</v>
      </c>
      <c r="B181" s="5" t="s">
        <v>33</v>
      </c>
      <c r="C181" s="10"/>
      <c r="D181" s="10"/>
      <c r="E181" s="10"/>
      <c r="F181" s="3"/>
      <c r="G181" s="10"/>
      <c r="H181" s="18">
        <v>1.35E-2</v>
      </c>
      <c r="I181" s="18">
        <f>H181</f>
        <v>1.35E-2</v>
      </c>
      <c r="J181" s="18"/>
      <c r="K181" s="18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5.5" x14ac:dyDescent="0.2">
      <c r="A182" s="19" t="s">
        <v>17</v>
      </c>
      <c r="B182" s="4" t="s">
        <v>33</v>
      </c>
      <c r="C182" s="16">
        <v>8.5000000000000006E-3</v>
      </c>
      <c r="D182" s="16">
        <v>8.5000000000000006E-3</v>
      </c>
      <c r="E182" s="16">
        <v>8.5000000000000006E-3</v>
      </c>
      <c r="F182" s="4"/>
      <c r="G182" s="20">
        <v>1.11E-2</v>
      </c>
      <c r="H182" s="21">
        <f>+G182</f>
        <v>1.11E-2</v>
      </c>
      <c r="I182" s="18">
        <v>1.01E-2</v>
      </c>
      <c r="J182" s="18">
        <f>+I182</f>
        <v>1.01E-2</v>
      </c>
      <c r="K182" s="15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">
      <c r="A183" s="4" t="s">
        <v>18</v>
      </c>
      <c r="B183" s="4" t="s">
        <v>33</v>
      </c>
      <c r="C183" s="16">
        <v>-4.0800000000000003E-2</v>
      </c>
      <c r="D183" s="16">
        <v>-4.0800000000000003E-2</v>
      </c>
      <c r="E183" s="16">
        <v>-4.0800000000000003E-2</v>
      </c>
      <c r="F183" s="4"/>
      <c r="G183" s="20">
        <v>-4.9399999999999999E-2</v>
      </c>
      <c r="H183" s="18"/>
      <c r="I183" s="18"/>
      <c r="J183" s="18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">
      <c r="A184" s="17" t="s">
        <v>19</v>
      </c>
      <c r="B184" s="4" t="s">
        <v>33</v>
      </c>
      <c r="C184" s="16"/>
      <c r="D184" s="16"/>
      <c r="E184" s="16"/>
      <c r="G184" s="16"/>
      <c r="H184" s="21">
        <v>0.18990000000000001</v>
      </c>
      <c r="I184" s="21">
        <f>H184</f>
        <v>0.18990000000000001</v>
      </c>
      <c r="J184" s="2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">
      <c r="A185" s="4" t="str">
        <f>+A144</f>
        <v>Rate Rider for Global Adjustment Sub-Account Disposition - effective until Jan 31, 2014 NON-RPP</v>
      </c>
      <c r="B185" s="4" t="s">
        <v>33</v>
      </c>
      <c r="C185" s="16">
        <v>0</v>
      </c>
      <c r="D185" s="16">
        <v>0</v>
      </c>
      <c r="E185" s="16">
        <v>-0.9425</v>
      </c>
      <c r="F185" s="4"/>
      <c r="G185" s="20">
        <f>+E185</f>
        <v>-0.9425</v>
      </c>
      <c r="H185" s="18">
        <f>+G185</f>
        <v>-0.9425</v>
      </c>
      <c r="I185" s="18">
        <f>+H185</f>
        <v>-0.9425</v>
      </c>
      <c r="J185" s="18">
        <f>+I185</f>
        <v>-0.9425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s="237" customFormat="1" x14ac:dyDescent="0.2">
      <c r="A186" s="243"/>
      <c r="B186" s="4"/>
      <c r="C186" s="16"/>
      <c r="D186" s="16"/>
      <c r="E186" s="16"/>
      <c r="F186" s="4"/>
      <c r="G186" s="20"/>
      <c r="H186" s="18"/>
      <c r="I186" s="18"/>
      <c r="J186" s="18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s="171" customFormat="1" x14ac:dyDescent="0.2">
      <c r="A187" s="176" t="s">
        <v>113</v>
      </c>
      <c r="B187" s="4" t="s">
        <v>33</v>
      </c>
      <c r="C187" s="16"/>
      <c r="D187" s="16"/>
      <c r="E187" s="16"/>
      <c r="F187" s="4"/>
      <c r="G187" s="20"/>
      <c r="H187" s="18"/>
      <c r="I187" s="18"/>
      <c r="J187" s="18">
        <f>-0.8789+0.0581</f>
        <v>-0.82079999999999997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s="171" customFormat="1" x14ac:dyDescent="0.2">
      <c r="A188" s="176" t="s">
        <v>114</v>
      </c>
      <c r="B188" s="4" t="s">
        <v>33</v>
      </c>
      <c r="C188" s="16"/>
      <c r="D188" s="16"/>
      <c r="E188" s="16"/>
      <c r="F188" s="4"/>
      <c r="G188" s="20"/>
      <c r="H188" s="18"/>
      <c r="I188" s="18"/>
      <c r="J188" s="18">
        <f>0.531+0.0581</f>
        <v>0.58910000000000007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thickBot="1" x14ac:dyDescent="0.25">
      <c r="C189" s="22">
        <f>SUM(C176:C185)</f>
        <v>-0.84160000000000013</v>
      </c>
      <c r="D189" s="22">
        <f>SUM(D176:D185)</f>
        <v>-0.84160000000000013</v>
      </c>
      <c r="E189" s="22">
        <f>SUM(E176:E185)</f>
        <v>-1.4443999999999999</v>
      </c>
      <c r="G189" s="23">
        <f>SUM(G176:G188)</f>
        <v>-1.5161</v>
      </c>
      <c r="H189" s="23">
        <f>SUM(H176:H188)</f>
        <v>-1.5198</v>
      </c>
      <c r="I189" s="23">
        <f>SUM(I176:I188)</f>
        <v>-1.4550999999999998</v>
      </c>
      <c r="J189" s="23">
        <f>SUM(J176:J188)</f>
        <v>-2.1209999999999996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thickTop="1" x14ac:dyDescent="0.2">
      <c r="H190" s="24"/>
      <c r="I190" s="24"/>
      <c r="J190" s="24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">
      <c r="A191" s="4" t="s">
        <v>30</v>
      </c>
      <c r="C191" s="14">
        <v>0</v>
      </c>
      <c r="D191" s="14">
        <v>0</v>
      </c>
      <c r="E191" s="14">
        <v>0</v>
      </c>
      <c r="G191" s="14">
        <v>0</v>
      </c>
      <c r="H191" s="25">
        <v>7.8399999999999997E-2</v>
      </c>
      <c r="I191" s="25">
        <f>+H191</f>
        <v>7.8399999999999997E-2</v>
      </c>
      <c r="J191" s="25">
        <f>+I191</f>
        <v>7.8399999999999997E-2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">
      <c r="H192" s="24"/>
      <c r="I192" s="24"/>
      <c r="J192" s="24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">
      <c r="A193" s="2" t="s">
        <v>22</v>
      </c>
      <c r="B193" s="4" t="s">
        <v>33</v>
      </c>
      <c r="C193" s="16">
        <v>2.2839</v>
      </c>
      <c r="D193" s="16">
        <v>2.2839</v>
      </c>
      <c r="E193" s="16">
        <v>2.2839</v>
      </c>
      <c r="F193" s="4"/>
      <c r="G193" s="16">
        <v>2.5308999999999999</v>
      </c>
      <c r="H193" s="21">
        <f>+G193</f>
        <v>2.5308999999999999</v>
      </c>
      <c r="I193" s="21">
        <f>+H193</f>
        <v>2.5308999999999999</v>
      </c>
      <c r="J193" s="21">
        <v>2.6507999999999998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">
      <c r="A194" s="2" t="s">
        <v>23</v>
      </c>
      <c r="B194" s="4" t="s">
        <v>33</v>
      </c>
      <c r="C194" s="16">
        <v>1.8956</v>
      </c>
      <c r="D194" s="16">
        <v>1.8956</v>
      </c>
      <c r="E194" s="16">
        <v>1.8956</v>
      </c>
      <c r="F194" s="4"/>
      <c r="G194" s="16">
        <v>1.9846999999999999</v>
      </c>
      <c r="H194" s="21">
        <f>+G194</f>
        <v>1.9846999999999999</v>
      </c>
      <c r="I194" s="21">
        <f>+H194</f>
        <v>1.9846999999999999</v>
      </c>
      <c r="J194" s="21">
        <v>2.0030000000000001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thickBot="1" x14ac:dyDescent="0.25">
      <c r="C195" s="12">
        <f>SUM(C193:C194)</f>
        <v>4.1795</v>
      </c>
      <c r="D195" s="22">
        <f>SUM(D193:D194)</f>
        <v>4.1795</v>
      </c>
      <c r="E195" s="22">
        <f>SUM(E193:E194)</f>
        <v>4.1795</v>
      </c>
      <c r="G195" s="22">
        <f>SUM(G193:G194)</f>
        <v>4.5156000000000001</v>
      </c>
      <c r="H195" s="23">
        <f>SUM(H193:H194)</f>
        <v>4.5156000000000001</v>
      </c>
      <c r="I195" s="23">
        <f>SUM(I193:I194)</f>
        <v>4.5156000000000001</v>
      </c>
      <c r="J195" s="23">
        <f>SUM(J193:J194)</f>
        <v>4.6538000000000004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thickTop="1" x14ac:dyDescent="0.2">
      <c r="H196" s="24"/>
      <c r="I196" s="24"/>
      <c r="J196" s="24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">
      <c r="A197" s="2" t="s">
        <v>24</v>
      </c>
      <c r="B197" s="2" t="s">
        <v>13</v>
      </c>
      <c r="C197" s="2">
        <v>5.1999999999999998E-3</v>
      </c>
      <c r="D197" s="2">
        <f>+C197</f>
        <v>5.1999999999999998E-3</v>
      </c>
      <c r="E197" s="2">
        <v>5.1999999999999998E-3</v>
      </c>
      <c r="G197" s="2">
        <v>5.1999999999999998E-3</v>
      </c>
      <c r="H197" s="24">
        <v>5.1999999999999998E-3</v>
      </c>
      <c r="I197" s="184">
        <v>4.4000000000000003E-3</v>
      </c>
      <c r="J197" s="184">
        <v>4.4000000000000003E-3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">
      <c r="A198" s="2" t="s">
        <v>25</v>
      </c>
      <c r="B198" s="2" t="s">
        <v>13</v>
      </c>
      <c r="C198" s="2">
        <v>1.2999999999999999E-3</v>
      </c>
      <c r="D198" s="2">
        <f>+C198</f>
        <v>1.2999999999999999E-3</v>
      </c>
      <c r="E198" s="2">
        <v>1.2999999999999999E-3</v>
      </c>
      <c r="G198" s="2">
        <v>1.1000000000000001E-3</v>
      </c>
      <c r="H198" s="24">
        <f>+G198</f>
        <v>1.1000000000000001E-3</v>
      </c>
      <c r="I198" s="184">
        <v>1.1999999999999999E-3</v>
      </c>
      <c r="J198" s="184">
        <v>1.1999999999999999E-3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thickBot="1" x14ac:dyDescent="0.25">
      <c r="C199" s="12">
        <f>SUM(C197:C198)</f>
        <v>6.4999999999999997E-3</v>
      </c>
      <c r="D199" s="12">
        <f>SUM(D197:D198)</f>
        <v>6.4999999999999997E-3</v>
      </c>
      <c r="E199" s="12">
        <f>SUM(E197:E198)</f>
        <v>6.4999999999999997E-3</v>
      </c>
      <c r="G199" s="12">
        <f>SUM(G197:G198)</f>
        <v>6.3E-3</v>
      </c>
      <c r="H199" s="27">
        <f>SUM(H197:H198)</f>
        <v>6.3E-3</v>
      </c>
      <c r="I199" s="27">
        <f>SUM(I197:I198)</f>
        <v>5.5999999999999999E-3</v>
      </c>
      <c r="J199" s="27">
        <f>SUM(J197:J198)</f>
        <v>5.5999999999999999E-3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thickTop="1" x14ac:dyDescent="0.2">
      <c r="H200" s="24"/>
      <c r="I200" s="24"/>
      <c r="J200" s="24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">
      <c r="A201" s="2" t="s">
        <v>26</v>
      </c>
      <c r="B201" s="2" t="s">
        <v>7</v>
      </c>
      <c r="C201" s="28">
        <v>0.25</v>
      </c>
      <c r="D201" s="28">
        <v>0.25</v>
      </c>
      <c r="E201" s="28">
        <v>0.25</v>
      </c>
      <c r="G201" s="28">
        <v>0.25</v>
      </c>
      <c r="H201" s="29">
        <v>0.25</v>
      </c>
      <c r="I201" s="29">
        <v>0.25</v>
      </c>
      <c r="J201" s="29">
        <v>0.25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">
      <c r="H202" s="24"/>
      <c r="I202" s="24"/>
      <c r="J202" s="24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">
      <c r="A203" s="4" t="s">
        <v>27</v>
      </c>
      <c r="B203" s="2" t="s">
        <v>13</v>
      </c>
      <c r="C203" s="16">
        <v>3.8999999999999998E-3</v>
      </c>
      <c r="D203" s="16">
        <f>+C203</f>
        <v>3.8999999999999998E-3</v>
      </c>
      <c r="E203" s="16">
        <v>0</v>
      </c>
      <c r="G203" s="16">
        <v>0</v>
      </c>
      <c r="H203" s="21">
        <v>0</v>
      </c>
      <c r="I203" s="21">
        <v>0</v>
      </c>
      <c r="J203" s="21"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">
      <c r="A204" s="4" t="s">
        <v>28</v>
      </c>
      <c r="B204" s="2" t="s">
        <v>13</v>
      </c>
      <c r="C204" s="16">
        <v>0</v>
      </c>
      <c r="D204" s="10">
        <v>0</v>
      </c>
      <c r="E204" s="10">
        <v>0</v>
      </c>
      <c r="G204" s="10">
        <v>0</v>
      </c>
      <c r="H204" s="18">
        <v>0</v>
      </c>
      <c r="I204" s="18">
        <v>0</v>
      </c>
      <c r="J204" s="18">
        <v>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thickBot="1" x14ac:dyDescent="0.25">
      <c r="A205" s="4" t="s">
        <v>29</v>
      </c>
      <c r="C205" s="12">
        <f>SUM(C203:C204)</f>
        <v>3.8999999999999998E-3</v>
      </c>
      <c r="D205" s="12">
        <f>SUM(D203:D204)</f>
        <v>3.8999999999999998E-3</v>
      </c>
      <c r="E205" s="12">
        <f>SUM(E203:E204)</f>
        <v>0</v>
      </c>
      <c r="G205" s="12">
        <f>SUM(G203:G204)</f>
        <v>0</v>
      </c>
      <c r="H205" s="27">
        <f>SUM(H203:H204)</f>
        <v>0</v>
      </c>
      <c r="I205" s="27">
        <f>SUM(I203:I204)</f>
        <v>0</v>
      </c>
      <c r="J205" s="27">
        <f>SUM(J203:J204)</f>
        <v>0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thickTop="1" x14ac:dyDescent="0.2">
      <c r="A206" s="30"/>
      <c r="B206" s="30"/>
      <c r="C206" s="30"/>
      <c r="D206" s="30"/>
      <c r="E206" s="30"/>
      <c r="F206" s="30"/>
      <c r="G206" s="30"/>
      <c r="H206" s="31"/>
      <c r="I206" s="31"/>
      <c r="J206" s="3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x14ac:dyDescent="0.25">
      <c r="A207" s="294" t="s">
        <v>35</v>
      </c>
      <c r="H207" s="24"/>
      <c r="I207" s="24"/>
      <c r="J207" s="24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">
      <c r="H208" s="24"/>
      <c r="I208" s="24"/>
      <c r="J208" s="24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" x14ac:dyDescent="0.25">
      <c r="A209" s="4" t="s">
        <v>6</v>
      </c>
      <c r="B209" s="2" t="s">
        <v>7</v>
      </c>
      <c r="C209" s="40">
        <v>13736.02</v>
      </c>
      <c r="D209" s="40">
        <v>13736.02</v>
      </c>
      <c r="E209" s="40">
        <v>13736.02</v>
      </c>
      <c r="G209" s="8">
        <v>13856.9</v>
      </c>
      <c r="H209" s="41">
        <v>12486.8</v>
      </c>
      <c r="I209" s="41">
        <f>H209</f>
        <v>12486.8</v>
      </c>
      <c r="J209" s="41">
        <v>12609.17</v>
      </c>
      <c r="K209" s="40"/>
      <c r="L209" s="42"/>
      <c r="M209" s="42"/>
      <c r="N209" s="42"/>
      <c r="O209" s="42"/>
      <c r="P209" s="42"/>
      <c r="Q209" s="42"/>
      <c r="R209" s="42"/>
      <c r="S209" s="42"/>
      <c r="T209" s="3"/>
      <c r="U209" s="3"/>
      <c r="V209" s="3"/>
      <c r="W209" s="3"/>
      <c r="X209" s="3"/>
    </row>
    <row r="210" spans="1:24" ht="15" x14ac:dyDescent="0.25">
      <c r="A210" s="4" t="s">
        <v>8</v>
      </c>
      <c r="B210" s="2" t="s">
        <v>7</v>
      </c>
      <c r="C210" s="40"/>
      <c r="D210" s="40"/>
      <c r="E210" s="40"/>
      <c r="G210" s="40">
        <v>0</v>
      </c>
      <c r="H210" s="41"/>
      <c r="I210" s="41"/>
      <c r="J210" s="41"/>
      <c r="K210" s="40"/>
      <c r="L210" s="42"/>
      <c r="M210" s="42"/>
      <c r="N210" s="42"/>
      <c r="O210" s="42"/>
      <c r="P210" s="42"/>
      <c r="Q210" s="42"/>
      <c r="R210" s="42"/>
      <c r="S210" s="42"/>
      <c r="T210" s="3"/>
      <c r="U210" s="3"/>
      <c r="V210" s="3"/>
      <c r="W210" s="3"/>
      <c r="X210" s="3"/>
    </row>
    <row r="211" spans="1:24" ht="15" x14ac:dyDescent="0.25">
      <c r="A211" s="4" t="s">
        <v>9</v>
      </c>
      <c r="B211" s="2" t="s">
        <v>7</v>
      </c>
      <c r="C211" s="40"/>
      <c r="D211" s="40"/>
      <c r="E211" s="40"/>
      <c r="G211" s="40">
        <v>0</v>
      </c>
      <c r="H211" s="41"/>
      <c r="I211" s="41"/>
      <c r="J211" s="41"/>
      <c r="K211" s="40"/>
      <c r="L211" s="42"/>
      <c r="M211" s="42"/>
      <c r="N211" s="42"/>
      <c r="O211" s="42"/>
      <c r="P211" s="42"/>
      <c r="Q211" s="42"/>
      <c r="R211" s="42"/>
      <c r="S211" s="42"/>
      <c r="T211" s="3"/>
      <c r="U211" s="3"/>
      <c r="V211" s="3"/>
      <c r="W211" s="3"/>
      <c r="X211" s="3"/>
    </row>
    <row r="212" spans="1:24" x14ac:dyDescent="0.2">
      <c r="A212" s="4" t="s">
        <v>10</v>
      </c>
      <c r="B212" s="2" t="s">
        <v>7</v>
      </c>
      <c r="C212" s="2">
        <v>434.49</v>
      </c>
      <c r="D212" s="2">
        <v>434.49</v>
      </c>
      <c r="E212" s="2">
        <v>434.49</v>
      </c>
      <c r="G212" s="8">
        <v>0</v>
      </c>
      <c r="H212" s="32"/>
      <c r="I212" s="32"/>
      <c r="J212" s="3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" x14ac:dyDescent="0.25">
      <c r="A213" s="2" t="s">
        <v>11</v>
      </c>
      <c r="B213" s="2" t="s">
        <v>7</v>
      </c>
      <c r="C213" s="40">
        <v>2.12</v>
      </c>
      <c r="D213" s="40">
        <v>2.12</v>
      </c>
      <c r="E213" s="40">
        <v>2.12</v>
      </c>
      <c r="G213" s="11">
        <v>0</v>
      </c>
      <c r="H213" s="32"/>
      <c r="I213" s="32"/>
      <c r="J213" s="32"/>
      <c r="K213" s="40"/>
      <c r="L213" s="42"/>
      <c r="M213" s="42"/>
      <c r="N213" s="42"/>
      <c r="O213" s="42"/>
      <c r="P213" s="42"/>
      <c r="Q213" s="42"/>
      <c r="R213" s="42"/>
      <c r="S213" s="42"/>
      <c r="T213" s="3"/>
      <c r="U213" s="3"/>
      <c r="V213" s="3"/>
      <c r="W213" s="3"/>
      <c r="X213" s="3"/>
    </row>
    <row r="214" spans="1:24" ht="13.5" thickBot="1" x14ac:dyDescent="0.25">
      <c r="C214" s="34">
        <f>SUM(C209:C213)</f>
        <v>14172.630000000001</v>
      </c>
      <c r="D214" s="34">
        <f>SUM(D209:D213)</f>
        <v>14172.630000000001</v>
      </c>
      <c r="E214" s="34">
        <f>SUM(E209:E213)</f>
        <v>14172.630000000001</v>
      </c>
      <c r="G214" s="34">
        <f>ROUND(SUM(G209:G213),2)</f>
        <v>13856.9</v>
      </c>
      <c r="H214" s="35">
        <f>ROUND(SUM(H209:H213),4)</f>
        <v>12486.8</v>
      </c>
      <c r="I214" s="35">
        <f>SUM(I209:I213)</f>
        <v>12486.8</v>
      </c>
      <c r="J214" s="35">
        <f>SUM(J209:J213)</f>
        <v>12609.17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thickTop="1" x14ac:dyDescent="0.2">
      <c r="H215" s="24"/>
      <c r="I215" s="24"/>
      <c r="J215" s="24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">
      <c r="A216" s="2" t="s">
        <v>12</v>
      </c>
      <c r="B216" s="4" t="s">
        <v>33</v>
      </c>
      <c r="C216" s="14">
        <v>2.8969999999999998</v>
      </c>
      <c r="D216" s="14">
        <v>2.8969999999999998</v>
      </c>
      <c r="E216" s="14">
        <v>2.8969999999999998</v>
      </c>
      <c r="F216" s="4"/>
      <c r="G216" s="15">
        <v>2.9224999999999999</v>
      </c>
      <c r="H216" s="37">
        <v>2.6730999999999998</v>
      </c>
      <c r="I216" s="37">
        <f>H216</f>
        <v>2.6730999999999998</v>
      </c>
      <c r="J216" s="37">
        <v>2.6993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">
      <c r="H217" s="24"/>
      <c r="I217" s="24"/>
      <c r="J217" s="2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">
      <c r="A218" s="2" t="s">
        <v>14</v>
      </c>
      <c r="B218" s="4" t="s">
        <v>33</v>
      </c>
      <c r="C218" s="16">
        <v>-0.33250000000000002</v>
      </c>
      <c r="D218" s="16">
        <f>+C218</f>
        <v>-0.33250000000000002</v>
      </c>
      <c r="E218" s="16">
        <v>0</v>
      </c>
      <c r="F218" s="4"/>
      <c r="G218" s="16">
        <v>0</v>
      </c>
      <c r="H218" s="21"/>
      <c r="I218" s="21"/>
      <c r="J218" s="2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">
      <c r="A219" s="4" t="str">
        <f>+A177</f>
        <v>Distribution Volumetric Def Var Disp 2011 – effective until January 31, 2014</v>
      </c>
      <c r="B219" s="4" t="s">
        <v>33</v>
      </c>
      <c r="C219" s="16">
        <v>0</v>
      </c>
      <c r="D219" s="10">
        <v>0</v>
      </c>
      <c r="E219" s="10">
        <v>-0.63239999999999996</v>
      </c>
      <c r="F219" s="4"/>
      <c r="G219" s="39">
        <f>+E219</f>
        <v>-0.63239999999999996</v>
      </c>
      <c r="H219" s="18">
        <f>+G219</f>
        <v>-0.63239999999999996</v>
      </c>
      <c r="I219" s="18">
        <f>+H219</f>
        <v>-0.63239999999999996</v>
      </c>
      <c r="J219" s="18">
        <f>+I219</f>
        <v>-0.63239999999999996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">
      <c r="A220" s="4" t="s">
        <v>16</v>
      </c>
      <c r="B220" s="4" t="s">
        <v>33</v>
      </c>
      <c r="C220" s="16">
        <v>0</v>
      </c>
      <c r="D220" s="10">
        <v>0</v>
      </c>
      <c r="E220" s="10">
        <v>0</v>
      </c>
      <c r="G220" s="39">
        <v>-6.3500000000000001E-2</v>
      </c>
      <c r="H220" s="18">
        <f>+G220</f>
        <v>-6.3500000000000001E-2</v>
      </c>
      <c r="I220" s="175">
        <f>H220*0</f>
        <v>0</v>
      </c>
      <c r="J220" s="175"/>
      <c r="K220" s="153"/>
      <c r="L220" s="16"/>
      <c r="M220" s="16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">
      <c r="A221" s="4" t="s">
        <v>89</v>
      </c>
      <c r="B221" s="4" t="s">
        <v>33</v>
      </c>
      <c r="C221" s="16"/>
      <c r="D221" s="10"/>
      <c r="E221" s="10"/>
      <c r="G221" s="39"/>
      <c r="H221" s="18">
        <v>-0.38159999999999999</v>
      </c>
      <c r="I221" s="18">
        <f>H221</f>
        <v>-0.38159999999999999</v>
      </c>
      <c r="J221" s="18"/>
      <c r="K221" s="153"/>
      <c r="L221" s="16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s="171" customFormat="1" x14ac:dyDescent="0.2">
      <c r="A222" s="4" t="str">
        <f>+A180</f>
        <v>Distribution Volumetric Def Var Disp 2014  - effective until December 31, 2014</v>
      </c>
      <c r="B222" s="4" t="s">
        <v>33</v>
      </c>
      <c r="C222" s="16"/>
      <c r="D222" s="10"/>
      <c r="E222" s="10"/>
      <c r="G222" s="39"/>
      <c r="H222" s="18"/>
      <c r="I222" s="18"/>
      <c r="J222" s="18">
        <v>-0.64470000000000005</v>
      </c>
      <c r="L222" s="16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s="135" customFormat="1" x14ac:dyDescent="0.2">
      <c r="A223" s="5" t="s">
        <v>94</v>
      </c>
      <c r="B223" s="5" t="s">
        <v>33</v>
      </c>
      <c r="C223" s="10"/>
      <c r="D223" s="10"/>
      <c r="E223" s="10"/>
      <c r="F223" s="3"/>
      <c r="G223" s="10"/>
      <c r="H223" s="18">
        <v>-2.63E-2</v>
      </c>
      <c r="I223" s="18">
        <f>H223</f>
        <v>-2.63E-2</v>
      </c>
      <c r="J223" s="18"/>
      <c r="K223" s="18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5.5" x14ac:dyDescent="0.2">
      <c r="A224" s="19" t="s">
        <v>17</v>
      </c>
      <c r="B224" s="4" t="s">
        <v>33</v>
      </c>
      <c r="C224" s="16">
        <v>0</v>
      </c>
      <c r="D224" s="16">
        <v>0</v>
      </c>
      <c r="E224" s="16">
        <v>0</v>
      </c>
      <c r="F224" s="4"/>
      <c r="G224" s="39">
        <v>3.5000000000000001E-3</v>
      </c>
      <c r="H224" s="18">
        <f>+G224</f>
        <v>3.5000000000000001E-3</v>
      </c>
      <c r="I224" s="18">
        <v>5.0000000000000001E-3</v>
      </c>
      <c r="J224" s="18">
        <f>+I224</f>
        <v>5.0000000000000001E-3</v>
      </c>
      <c r="K224" s="15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">
      <c r="A225" s="4" t="s">
        <v>18</v>
      </c>
      <c r="B225" s="4" t="s">
        <v>33</v>
      </c>
      <c r="C225" s="16">
        <v>-4.1399999999999999E-2</v>
      </c>
      <c r="D225" s="16">
        <v>-4.1399999999999999E-2</v>
      </c>
      <c r="E225" s="16">
        <v>-4.1399999999999999E-2</v>
      </c>
      <c r="F225" s="4"/>
      <c r="G225" s="20">
        <v>-5.0200000000000002E-2</v>
      </c>
      <c r="H225" s="18"/>
      <c r="I225" s="18"/>
      <c r="J225" s="1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">
      <c r="A226" s="17" t="s">
        <v>19</v>
      </c>
      <c r="B226" s="4" t="s">
        <v>33</v>
      </c>
      <c r="C226" s="16"/>
      <c r="D226" s="16"/>
      <c r="E226" s="16"/>
      <c r="G226" s="16"/>
      <c r="H226" s="21">
        <v>0.25159999999999999</v>
      </c>
      <c r="I226" s="21">
        <f>H226</f>
        <v>0.25159999999999999</v>
      </c>
      <c r="J226" s="2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">
      <c r="A227" s="4" t="str">
        <f>+A185</f>
        <v>Rate Rider for Global Adjustment Sub-Account Disposition - effective until Jan 31, 2014 NON-RPP</v>
      </c>
      <c r="B227" s="4" t="s">
        <v>33</v>
      </c>
      <c r="C227" s="16">
        <v>0</v>
      </c>
      <c r="D227" s="16">
        <v>0</v>
      </c>
      <c r="E227" s="16">
        <v>-1.2714000000000001</v>
      </c>
      <c r="F227" s="4"/>
      <c r="G227" s="43">
        <f>+E227</f>
        <v>-1.2714000000000001</v>
      </c>
      <c r="H227" s="18">
        <f>+G227</f>
        <v>-1.2714000000000001</v>
      </c>
      <c r="I227" s="18">
        <f>+H227</f>
        <v>-1.2714000000000001</v>
      </c>
      <c r="J227" s="18">
        <f>+I227</f>
        <v>-1.2714000000000001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s="237" customFormat="1" x14ac:dyDescent="0.2">
      <c r="A228" s="176" t="s">
        <v>133</v>
      </c>
      <c r="B228" s="4" t="s">
        <v>33</v>
      </c>
      <c r="C228" s="16"/>
      <c r="D228" s="16"/>
      <c r="E228" s="16"/>
      <c r="F228" s="4"/>
      <c r="G228" s="43"/>
      <c r="H228" s="18"/>
      <c r="I228" s="18"/>
      <c r="J228" s="18">
        <v>7.2499999999999995E-2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s="171" customFormat="1" x14ac:dyDescent="0.2">
      <c r="A229" s="176" t="s">
        <v>132</v>
      </c>
      <c r="B229" s="4" t="s">
        <v>33</v>
      </c>
      <c r="C229" s="16"/>
      <c r="D229" s="16"/>
      <c r="E229" s="16"/>
      <c r="F229" s="4"/>
      <c r="G229" s="43"/>
      <c r="H229" s="18"/>
      <c r="I229" s="18"/>
      <c r="J229" s="18">
        <f>0.5383+0.0725</f>
        <v>0.61080000000000001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s="171" customFormat="1" x14ac:dyDescent="0.2">
      <c r="A230" s="176"/>
      <c r="B230" s="4" t="s">
        <v>33</v>
      </c>
      <c r="C230" s="16"/>
      <c r="D230" s="16"/>
      <c r="E230" s="16"/>
      <c r="F230" s="4"/>
      <c r="G230" s="43"/>
      <c r="H230" s="18"/>
      <c r="I230" s="18"/>
      <c r="J230" s="18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thickBot="1" x14ac:dyDescent="0.25">
      <c r="C231" s="22">
        <f>SUM(C218:C227)</f>
        <v>-0.37390000000000001</v>
      </c>
      <c r="D231" s="22">
        <f>SUM(D218:D227)</f>
        <v>-0.37390000000000001</v>
      </c>
      <c r="E231" s="22">
        <f>SUM(E218:E227)</f>
        <v>-1.9452</v>
      </c>
      <c r="G231" s="22">
        <f>SUM(G218:G227)</f>
        <v>-2.0140000000000002</v>
      </c>
      <c r="H231" s="23">
        <f t="shared" ref="H231:I231" si="2">SUM(H218:H230)</f>
        <v>-2.1200999999999999</v>
      </c>
      <c r="I231" s="23">
        <f t="shared" si="2"/>
        <v>-2.0551000000000004</v>
      </c>
      <c r="J231" s="23">
        <f>SUM(J218:J230)</f>
        <v>-1.8602000000000001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thickTop="1" x14ac:dyDescent="0.2">
      <c r="H232" s="24"/>
      <c r="I232" s="24"/>
      <c r="J232" s="24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">
      <c r="A233" s="4" t="s">
        <v>30</v>
      </c>
      <c r="C233" s="14">
        <v>0</v>
      </c>
      <c r="D233" s="14">
        <v>0</v>
      </c>
      <c r="E233" s="14">
        <v>0</v>
      </c>
      <c r="G233" s="14">
        <v>0</v>
      </c>
      <c r="H233" s="25">
        <v>8.3799999999999999E-2</v>
      </c>
      <c r="I233" s="25">
        <f>+H233</f>
        <v>8.3799999999999999E-2</v>
      </c>
      <c r="J233" s="25">
        <f>+I233</f>
        <v>8.3799999999999999E-2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">
      <c r="H234" s="24"/>
      <c r="I234" s="24"/>
      <c r="J234" s="24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">
      <c r="A235" s="2" t="s">
        <v>22</v>
      </c>
      <c r="B235" s="4" t="s">
        <v>33</v>
      </c>
      <c r="C235" s="16">
        <v>2.4371</v>
      </c>
      <c r="D235" s="16">
        <v>2.4371</v>
      </c>
      <c r="E235" s="16">
        <v>2.4371</v>
      </c>
      <c r="F235" s="4"/>
      <c r="G235" s="16">
        <v>2.7006999999999999</v>
      </c>
      <c r="H235" s="21">
        <f>+G235</f>
        <v>2.7006999999999999</v>
      </c>
      <c r="I235" s="21">
        <f>+H235</f>
        <v>2.7006999999999999</v>
      </c>
      <c r="J235" s="21">
        <v>2.8287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">
      <c r="A236" s="2" t="s">
        <v>23</v>
      </c>
      <c r="B236" s="4" t="s">
        <v>33</v>
      </c>
      <c r="C236" s="16">
        <v>2.0245000000000002</v>
      </c>
      <c r="D236" s="16">
        <v>2.0245000000000002</v>
      </c>
      <c r="E236" s="16">
        <v>2.0245000000000002</v>
      </c>
      <c r="F236" s="4"/>
      <c r="G236" s="16">
        <v>2.1196999999999999</v>
      </c>
      <c r="H236" s="21">
        <f>+G236</f>
        <v>2.1196999999999999</v>
      </c>
      <c r="I236" s="21">
        <f>+H236</f>
        <v>2.1196999999999999</v>
      </c>
      <c r="J236" s="21">
        <v>2.1393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thickBot="1" x14ac:dyDescent="0.25">
      <c r="C237" s="12">
        <f>SUM(C235:C236)</f>
        <v>4.4616000000000007</v>
      </c>
      <c r="D237" s="22">
        <f>SUM(D235:D236)</f>
        <v>4.4616000000000007</v>
      </c>
      <c r="E237" s="22">
        <f>SUM(E235:E236)</f>
        <v>4.4616000000000007</v>
      </c>
      <c r="G237" s="22">
        <f>SUM(G235:G236)</f>
        <v>4.8203999999999994</v>
      </c>
      <c r="H237" s="23">
        <f>SUM(H235:H236)</f>
        <v>4.8203999999999994</v>
      </c>
      <c r="I237" s="23">
        <f>SUM(I235:I236)</f>
        <v>4.8203999999999994</v>
      </c>
      <c r="J237" s="23">
        <f>SUM(J235:J236)</f>
        <v>4.968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thickTop="1" x14ac:dyDescent="0.2">
      <c r="H238" s="24"/>
      <c r="I238" s="24"/>
      <c r="J238" s="24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">
      <c r="A239" s="2" t="s">
        <v>24</v>
      </c>
      <c r="B239" s="2" t="s">
        <v>13</v>
      </c>
      <c r="C239" s="2">
        <v>5.1999999999999998E-3</v>
      </c>
      <c r="D239" s="2">
        <f>+C239</f>
        <v>5.1999999999999998E-3</v>
      </c>
      <c r="E239" s="2">
        <v>5.1999999999999998E-3</v>
      </c>
      <c r="G239" s="2">
        <v>5.1999999999999998E-3</v>
      </c>
      <c r="H239" s="24">
        <v>5.1999999999999998E-3</v>
      </c>
      <c r="I239" s="184">
        <v>4.4000000000000003E-3</v>
      </c>
      <c r="J239" s="184">
        <v>4.4000000000000003E-3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">
      <c r="A240" s="2" t="s">
        <v>25</v>
      </c>
      <c r="B240" s="2" t="s">
        <v>13</v>
      </c>
      <c r="C240" s="2">
        <v>1.2999999999999999E-3</v>
      </c>
      <c r="D240" s="2">
        <f>+C240</f>
        <v>1.2999999999999999E-3</v>
      </c>
      <c r="E240" s="2">
        <v>1.2999999999999999E-3</v>
      </c>
      <c r="G240" s="2">
        <v>1.1000000000000001E-3</v>
      </c>
      <c r="H240" s="24">
        <f>+G240</f>
        <v>1.1000000000000001E-3</v>
      </c>
      <c r="I240" s="184">
        <v>1.1999999999999999E-3</v>
      </c>
      <c r="J240" s="184">
        <v>1.1999999999999999E-3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thickBot="1" x14ac:dyDescent="0.25">
      <c r="C241" s="12">
        <f>SUM(C239:C240)</f>
        <v>6.4999999999999997E-3</v>
      </c>
      <c r="D241" s="12">
        <f>SUM(D239:D240)</f>
        <v>6.4999999999999997E-3</v>
      </c>
      <c r="E241" s="12">
        <f>SUM(E239:E240)</f>
        <v>6.4999999999999997E-3</v>
      </c>
      <c r="G241" s="12">
        <f>SUM(G239:G240)</f>
        <v>6.3E-3</v>
      </c>
      <c r="H241" s="27">
        <f>SUM(H239:H240)</f>
        <v>6.3E-3</v>
      </c>
      <c r="I241" s="27">
        <f>SUM(I239:I240)</f>
        <v>5.5999999999999999E-3</v>
      </c>
      <c r="J241" s="27">
        <f>SUM(J239:J240)</f>
        <v>5.5999999999999999E-3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thickTop="1" x14ac:dyDescent="0.2">
      <c r="H242" s="24"/>
      <c r="I242" s="24"/>
      <c r="J242" s="24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">
      <c r="A243" s="2" t="s">
        <v>26</v>
      </c>
      <c r="B243" s="2" t="s">
        <v>7</v>
      </c>
      <c r="C243" s="28">
        <v>0.25</v>
      </c>
      <c r="D243" s="28">
        <v>0.25</v>
      </c>
      <c r="E243" s="28">
        <v>0.25</v>
      </c>
      <c r="G243" s="28">
        <v>0.25</v>
      </c>
      <c r="H243" s="29">
        <v>0.25</v>
      </c>
      <c r="I243" s="29">
        <v>0.25</v>
      </c>
      <c r="J243" s="29">
        <v>0.25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">
      <c r="H244" s="24"/>
      <c r="I244" s="24"/>
      <c r="J244" s="24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">
      <c r="A245" s="4" t="s">
        <v>27</v>
      </c>
      <c r="B245" s="2" t="s">
        <v>13</v>
      </c>
      <c r="C245" s="16">
        <v>3.8999999999999998E-3</v>
      </c>
      <c r="D245" s="16">
        <f>+C245</f>
        <v>3.8999999999999998E-3</v>
      </c>
      <c r="E245" s="16">
        <v>0</v>
      </c>
      <c r="G245" s="16">
        <v>0</v>
      </c>
      <c r="H245" s="21">
        <v>0</v>
      </c>
      <c r="I245" s="21">
        <v>0</v>
      </c>
      <c r="J245" s="21">
        <v>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">
      <c r="A246" s="4" t="s">
        <v>28</v>
      </c>
      <c r="B246" s="2" t="s">
        <v>13</v>
      </c>
      <c r="C246" s="16">
        <v>0</v>
      </c>
      <c r="D246" s="10">
        <v>0</v>
      </c>
      <c r="E246" s="10">
        <v>0</v>
      </c>
      <c r="G246" s="10">
        <v>0</v>
      </c>
      <c r="H246" s="18">
        <v>0</v>
      </c>
      <c r="I246" s="18">
        <v>0</v>
      </c>
      <c r="J246" s="18">
        <v>0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thickBot="1" x14ac:dyDescent="0.25">
      <c r="A247" s="4" t="s">
        <v>29</v>
      </c>
      <c r="C247" s="12">
        <f>SUM(C245:C246)</f>
        <v>3.8999999999999998E-3</v>
      </c>
      <c r="D247" s="12">
        <f>SUM(D245:D246)</f>
        <v>3.8999999999999998E-3</v>
      </c>
      <c r="E247" s="12">
        <f>SUM(E245:E246)</f>
        <v>0</v>
      </c>
      <c r="G247" s="12">
        <f>SUM(G245:G246)</f>
        <v>0</v>
      </c>
      <c r="H247" s="27">
        <f>SUM(H245:H246)</f>
        <v>0</v>
      </c>
      <c r="I247" s="27">
        <f>SUM(I245:I246)</f>
        <v>0</v>
      </c>
      <c r="J247" s="27">
        <f>SUM(J245:J246)</f>
        <v>0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thickTop="1" x14ac:dyDescent="0.2">
      <c r="A248" s="30"/>
      <c r="B248" s="30"/>
      <c r="C248" s="30"/>
      <c r="D248" s="30"/>
      <c r="E248" s="30"/>
      <c r="F248" s="30"/>
      <c r="G248" s="30"/>
      <c r="H248" s="31"/>
      <c r="I248" s="31"/>
      <c r="J248" s="3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">
      <c r="H249" s="24"/>
      <c r="I249" s="24"/>
      <c r="J249" s="24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x14ac:dyDescent="0.25">
      <c r="A250" s="294" t="s">
        <v>36</v>
      </c>
      <c r="H250" s="24"/>
      <c r="I250" s="24"/>
      <c r="J250" s="24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">
      <c r="H251" s="24"/>
      <c r="I251" s="24"/>
      <c r="J251" s="24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">
      <c r="A252" s="4" t="s">
        <v>37</v>
      </c>
      <c r="B252" s="2" t="s">
        <v>7</v>
      </c>
      <c r="C252" s="2">
        <v>1.33</v>
      </c>
      <c r="D252" s="2">
        <v>1.33</v>
      </c>
      <c r="E252" s="2">
        <v>1.33</v>
      </c>
      <c r="G252" s="8">
        <v>1.34</v>
      </c>
      <c r="H252" s="32">
        <v>1.37</v>
      </c>
      <c r="I252" s="32">
        <f>H252</f>
        <v>1.37</v>
      </c>
      <c r="J252" s="32">
        <v>1.38</v>
      </c>
      <c r="K252" s="8"/>
      <c r="L252" s="9"/>
      <c r="M252" s="9"/>
      <c r="N252" s="9"/>
      <c r="O252" s="9"/>
      <c r="P252" s="9"/>
      <c r="Q252" s="9"/>
      <c r="R252" s="9"/>
      <c r="S252" s="9"/>
      <c r="T252" s="3"/>
      <c r="U252" s="3"/>
      <c r="V252" s="3"/>
      <c r="W252" s="3"/>
      <c r="X252" s="3"/>
    </row>
    <row r="253" spans="1:24" x14ac:dyDescent="0.2">
      <c r="A253" s="4" t="s">
        <v>8</v>
      </c>
      <c r="B253" s="2" t="s">
        <v>7</v>
      </c>
      <c r="G253" s="8">
        <v>0</v>
      </c>
      <c r="H253" s="32"/>
      <c r="I253" s="32"/>
      <c r="J253" s="32"/>
      <c r="K253" s="8"/>
      <c r="L253" s="9"/>
      <c r="M253" s="9"/>
      <c r="N253" s="9"/>
      <c r="O253" s="9"/>
      <c r="P253" s="9"/>
      <c r="Q253" s="9"/>
      <c r="R253" s="9"/>
      <c r="S253" s="9"/>
      <c r="T253" s="3"/>
      <c r="U253" s="3"/>
      <c r="V253" s="3"/>
      <c r="W253" s="3"/>
      <c r="X253" s="3"/>
    </row>
    <row r="254" spans="1:24" x14ac:dyDescent="0.2">
      <c r="A254" s="4" t="s">
        <v>9</v>
      </c>
      <c r="B254" s="2" t="s">
        <v>7</v>
      </c>
      <c r="G254" s="8">
        <v>0</v>
      </c>
      <c r="H254" s="32"/>
      <c r="I254" s="32"/>
      <c r="J254" s="32"/>
      <c r="K254" s="8"/>
      <c r="L254" s="9"/>
      <c r="M254" s="9"/>
      <c r="N254" s="9"/>
      <c r="O254" s="9"/>
      <c r="P254" s="9"/>
      <c r="Q254" s="9"/>
      <c r="R254" s="9"/>
      <c r="S254" s="9"/>
      <c r="T254" s="3"/>
      <c r="U254" s="3"/>
      <c r="V254" s="3"/>
      <c r="W254" s="3"/>
      <c r="X254" s="3"/>
    </row>
    <row r="255" spans="1:24" x14ac:dyDescent="0.2">
      <c r="A255" s="4" t="s">
        <v>10</v>
      </c>
      <c r="B255" s="2" t="s">
        <v>7</v>
      </c>
      <c r="C255" s="2">
        <v>0.03</v>
      </c>
      <c r="D255" s="2">
        <v>0.03</v>
      </c>
      <c r="E255" s="2">
        <v>0.03</v>
      </c>
      <c r="G255" s="2">
        <v>0</v>
      </c>
      <c r="H255" s="24"/>
      <c r="I255" s="24"/>
      <c r="J255" s="24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">
      <c r="A256" s="2" t="s">
        <v>11</v>
      </c>
      <c r="B256" s="2" t="s">
        <v>7</v>
      </c>
      <c r="C256" s="2">
        <v>0</v>
      </c>
      <c r="D256" s="2">
        <v>0</v>
      </c>
      <c r="E256" s="2">
        <v>0</v>
      </c>
      <c r="G256" s="2">
        <v>0</v>
      </c>
      <c r="H256" s="24"/>
      <c r="I256" s="24"/>
      <c r="J256" s="24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thickBot="1" x14ac:dyDescent="0.25">
      <c r="C257" s="12">
        <f>SUM(C252:C256)</f>
        <v>1.36</v>
      </c>
      <c r="D257" s="12">
        <f>SUM(D252:D256)</f>
        <v>1.36</v>
      </c>
      <c r="E257" s="12">
        <f>SUM(E252:E256)</f>
        <v>1.36</v>
      </c>
      <c r="G257" s="13">
        <f>SUM(G252:G256)</f>
        <v>1.34</v>
      </c>
      <c r="H257" s="38">
        <f>ROUND(SUM(H252:H256),4)</f>
        <v>1.37</v>
      </c>
      <c r="I257" s="38">
        <f>SUM(I252:I256)</f>
        <v>1.37</v>
      </c>
      <c r="J257" s="38">
        <f>SUM(J252:J256)</f>
        <v>1.38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thickTop="1" x14ac:dyDescent="0.2">
      <c r="H258" s="24"/>
      <c r="I258" s="24"/>
      <c r="J258" s="24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">
      <c r="A259" s="2" t="s">
        <v>12</v>
      </c>
      <c r="B259" s="4" t="s">
        <v>33</v>
      </c>
      <c r="C259" s="14">
        <v>10.1692</v>
      </c>
      <c r="D259" s="14">
        <v>10.1692</v>
      </c>
      <c r="E259" s="14">
        <v>10.1692</v>
      </c>
      <c r="F259" s="4"/>
      <c r="G259" s="15">
        <v>10.258699999999999</v>
      </c>
      <c r="H259" s="37">
        <v>10.457100000000001</v>
      </c>
      <c r="I259" s="37">
        <f>H259</f>
        <v>10.457100000000001</v>
      </c>
      <c r="J259" s="37">
        <v>10.5596</v>
      </c>
      <c r="L259" s="3"/>
      <c r="M259" s="9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">
      <c r="H260" s="24"/>
      <c r="I260" s="24"/>
      <c r="J260" s="24"/>
      <c r="L260" s="3"/>
      <c r="M260" s="1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">
      <c r="A261" s="2" t="s">
        <v>14</v>
      </c>
      <c r="B261" s="4" t="s">
        <v>33</v>
      </c>
      <c r="C261" s="16">
        <v>-5.2499999999999998E-2</v>
      </c>
      <c r="D261" s="16">
        <f>+C261</f>
        <v>-5.2499999999999998E-2</v>
      </c>
      <c r="E261" s="16">
        <v>0</v>
      </c>
      <c r="F261" s="4"/>
      <c r="G261" s="16">
        <v>0</v>
      </c>
      <c r="H261" s="21"/>
      <c r="I261" s="21"/>
      <c r="J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">
      <c r="A262" s="4" t="str">
        <f>+A219</f>
        <v>Distribution Volumetric Def Var Disp 2011 – effective until January 31, 2014</v>
      </c>
      <c r="B262" s="4" t="s">
        <v>33</v>
      </c>
      <c r="C262" s="16">
        <v>0</v>
      </c>
      <c r="D262" s="10">
        <v>0</v>
      </c>
      <c r="E262" s="10">
        <v>-0.38740000000000002</v>
      </c>
      <c r="F262" s="4"/>
      <c r="G262" s="10">
        <f>+E262</f>
        <v>-0.38740000000000002</v>
      </c>
      <c r="H262" s="18">
        <f>+G262</f>
        <v>-0.38740000000000002</v>
      </c>
      <c r="I262" s="18">
        <f>+H262</f>
        <v>-0.38740000000000002</v>
      </c>
      <c r="J262" s="18">
        <f>+I262</f>
        <v>-0.38740000000000002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">
      <c r="A263" s="4" t="s">
        <v>16</v>
      </c>
      <c r="B263" s="4" t="s">
        <v>33</v>
      </c>
      <c r="C263" s="16">
        <v>0</v>
      </c>
      <c r="D263" s="10">
        <v>0</v>
      </c>
      <c r="E263" s="10">
        <v>0</v>
      </c>
      <c r="G263" s="10">
        <v>-0.26740000000000003</v>
      </c>
      <c r="H263" s="18">
        <f>+G263</f>
        <v>-0.26740000000000003</v>
      </c>
      <c r="I263" s="175">
        <f>H263*0</f>
        <v>0</v>
      </c>
      <c r="J263" s="175"/>
      <c r="K263" s="15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">
      <c r="A264" s="4" t="s">
        <v>89</v>
      </c>
      <c r="B264" s="4" t="s">
        <v>33</v>
      </c>
      <c r="C264" s="16"/>
      <c r="D264" s="10"/>
      <c r="E264" s="10"/>
      <c r="G264" s="10"/>
      <c r="H264" s="18">
        <v>2.7944</v>
      </c>
      <c r="I264" s="18">
        <f>H264</f>
        <v>2.7944</v>
      </c>
      <c r="J264" s="18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s="171" customFormat="1" x14ac:dyDescent="0.2">
      <c r="A265" s="4" t="str">
        <f>+A222</f>
        <v>Distribution Volumetric Def Var Disp 2014  - effective until December 31, 2014</v>
      </c>
      <c r="B265" s="4" t="s">
        <v>33</v>
      </c>
      <c r="C265" s="16"/>
      <c r="D265" s="10"/>
      <c r="E265" s="10"/>
      <c r="G265" s="10"/>
      <c r="H265" s="18"/>
      <c r="I265" s="18"/>
      <c r="J265" s="18">
        <v>-0.61309999999999998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s="135" customFormat="1" x14ac:dyDescent="0.2">
      <c r="A266" s="5" t="s">
        <v>94</v>
      </c>
      <c r="B266" s="5" t="s">
        <v>33</v>
      </c>
      <c r="C266" s="10"/>
      <c r="D266" s="10"/>
      <c r="E266" s="10"/>
      <c r="F266" s="3"/>
      <c r="G266" s="10"/>
      <c r="H266" s="18">
        <v>8.8900000000000007E-2</v>
      </c>
      <c r="I266" s="18">
        <f>H266</f>
        <v>8.8900000000000007E-2</v>
      </c>
      <c r="J266" s="18"/>
      <c r="K266" s="18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5.5" x14ac:dyDescent="0.2">
      <c r="A267" s="19" t="s">
        <v>17</v>
      </c>
      <c r="B267" s="4" t="s">
        <v>33</v>
      </c>
      <c r="C267" s="16">
        <v>0</v>
      </c>
      <c r="D267" s="16">
        <v>0</v>
      </c>
      <c r="E267" s="16">
        <v>0</v>
      </c>
      <c r="F267" s="4"/>
      <c r="G267" s="18">
        <v>0</v>
      </c>
      <c r="H267" s="18"/>
      <c r="I267" s="18"/>
      <c r="J267" s="18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">
      <c r="A268" s="4" t="s">
        <v>18</v>
      </c>
      <c r="B268" s="4" t="s">
        <v>33</v>
      </c>
      <c r="C268" s="16">
        <v>-0.186</v>
      </c>
      <c r="D268" s="16">
        <v>-0.186</v>
      </c>
      <c r="E268" s="16">
        <v>-0.186</v>
      </c>
      <c r="F268" s="4"/>
      <c r="G268" s="4">
        <v>-0.2253</v>
      </c>
      <c r="H268" s="18"/>
      <c r="I268" s="18"/>
      <c r="J268" s="1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">
      <c r="A269" s="17" t="s">
        <v>19</v>
      </c>
      <c r="B269" s="4" t="s">
        <v>33</v>
      </c>
      <c r="C269" s="16"/>
      <c r="D269" s="16"/>
      <c r="E269" s="16"/>
      <c r="G269" s="16"/>
      <c r="H269" s="21">
        <v>0.15509999999999999</v>
      </c>
      <c r="I269" s="21">
        <f>H269</f>
        <v>0.15509999999999999</v>
      </c>
      <c r="J269" s="2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">
      <c r="A270" s="4" t="str">
        <f>+A227</f>
        <v>Rate Rider for Global Adjustment Sub-Account Disposition - effective until Jan 31, 2014 NON-RPP</v>
      </c>
      <c r="B270" s="4" t="s">
        <v>33</v>
      </c>
      <c r="C270" s="16">
        <v>0</v>
      </c>
      <c r="D270" s="16">
        <v>0</v>
      </c>
      <c r="E270" s="16">
        <v>-0.77139999999999997</v>
      </c>
      <c r="F270" s="4"/>
      <c r="G270" s="20">
        <f>+E270</f>
        <v>-0.77139999999999997</v>
      </c>
      <c r="H270" s="18">
        <f>+G270</f>
        <v>-0.77139999999999997</v>
      </c>
      <c r="I270" s="18">
        <f>+H270</f>
        <v>-0.77139999999999997</v>
      </c>
      <c r="J270" s="18">
        <f>+I270</f>
        <v>-0.77139999999999997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s="171" customFormat="1" x14ac:dyDescent="0.2">
      <c r="A271" s="176" t="s">
        <v>111</v>
      </c>
      <c r="B271" s="4" t="s">
        <v>33</v>
      </c>
      <c r="C271" s="16"/>
      <c r="D271" s="16"/>
      <c r="E271" s="16"/>
      <c r="F271" s="4"/>
      <c r="G271" s="20"/>
      <c r="H271" s="18"/>
      <c r="I271" s="18"/>
      <c r="J271" s="18">
        <f>0.4208+0.0452</f>
        <v>0.46600000000000003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s="171" customFormat="1" x14ac:dyDescent="0.2">
      <c r="A272" s="4"/>
      <c r="B272" s="4"/>
      <c r="C272" s="16"/>
      <c r="D272" s="16"/>
      <c r="E272" s="16"/>
      <c r="F272" s="4"/>
      <c r="G272" s="20"/>
      <c r="H272" s="18"/>
      <c r="I272" s="18"/>
      <c r="J272" s="1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thickBot="1" x14ac:dyDescent="0.25">
      <c r="C273" s="22">
        <f>SUM(C261:C270)</f>
        <v>-0.23849999999999999</v>
      </c>
      <c r="D273" s="22">
        <f>SUM(D261:D270)</f>
        <v>-0.23849999999999999</v>
      </c>
      <c r="E273" s="22">
        <f>SUM(E261:E270)</f>
        <v>-1.3448</v>
      </c>
      <c r="G273" s="22">
        <f>SUM(G261:G270)</f>
        <v>-1.6515</v>
      </c>
      <c r="H273" s="23">
        <f>SUM(H261:H270)</f>
        <v>1.6122000000000001</v>
      </c>
      <c r="I273" s="23">
        <f>SUM(I261:I270)</f>
        <v>1.8796000000000004</v>
      </c>
      <c r="J273" s="23">
        <f>SUM(J261:J270)</f>
        <v>-1.7719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thickTop="1" x14ac:dyDescent="0.2">
      <c r="H274" s="24"/>
      <c r="I274" s="24"/>
      <c r="J274" s="24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">
      <c r="A275" s="4" t="s">
        <v>30</v>
      </c>
      <c r="C275" s="14">
        <v>0</v>
      </c>
      <c r="D275" s="14">
        <v>0</v>
      </c>
      <c r="E275" s="14">
        <v>0</v>
      </c>
      <c r="G275" s="14">
        <v>0</v>
      </c>
      <c r="H275" s="25">
        <v>5.8000000000000003E-2</v>
      </c>
      <c r="I275" s="25">
        <f>+H275</f>
        <v>5.8000000000000003E-2</v>
      </c>
      <c r="J275" s="25">
        <f>+I275</f>
        <v>5.8000000000000003E-2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">
      <c r="H276" s="24"/>
      <c r="I276" s="24"/>
      <c r="J276" s="24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">
      <c r="A277" s="2" t="s">
        <v>22</v>
      </c>
      <c r="B277" s="4" t="s">
        <v>33</v>
      </c>
      <c r="C277" s="16">
        <v>1.6348</v>
      </c>
      <c r="D277" s="16">
        <v>1.6348</v>
      </c>
      <c r="E277" s="16">
        <v>1.6348</v>
      </c>
      <c r="F277" s="4"/>
      <c r="G277" s="16">
        <v>1.8116000000000001</v>
      </c>
      <c r="H277" s="21">
        <f>+G277</f>
        <v>1.8116000000000001</v>
      </c>
      <c r="I277" s="21">
        <f>+H277</f>
        <v>1.8116000000000001</v>
      </c>
      <c r="J277" s="21">
        <v>1.8974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">
      <c r="A278" s="2" t="s">
        <v>23</v>
      </c>
      <c r="B278" s="4" t="s">
        <v>33</v>
      </c>
      <c r="C278" s="16">
        <v>1.4007000000000001</v>
      </c>
      <c r="D278" s="16">
        <v>1.4007000000000001</v>
      </c>
      <c r="E278" s="16">
        <v>1.4007000000000001</v>
      </c>
      <c r="F278" s="4"/>
      <c r="G278" s="16">
        <v>1.4665999999999999</v>
      </c>
      <c r="H278" s="21">
        <f>+G278</f>
        <v>1.4665999999999999</v>
      </c>
      <c r="I278" s="21">
        <f>+H278</f>
        <v>1.4665999999999999</v>
      </c>
      <c r="J278" s="21">
        <v>1.4801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thickBot="1" x14ac:dyDescent="0.25">
      <c r="C279" s="22">
        <f>SUM(C277:C278)</f>
        <v>3.0354999999999999</v>
      </c>
      <c r="D279" s="22">
        <f>SUM(D277:D278)</f>
        <v>3.0354999999999999</v>
      </c>
      <c r="E279" s="22">
        <f>SUM(E277:E278)</f>
        <v>3.0354999999999999</v>
      </c>
      <c r="G279" s="22">
        <f>SUM(G277:G278)</f>
        <v>3.2782</v>
      </c>
      <c r="H279" s="23">
        <f>SUM(H277:H278)</f>
        <v>3.2782</v>
      </c>
      <c r="I279" s="23">
        <f>SUM(I277:I278)</f>
        <v>3.2782</v>
      </c>
      <c r="J279" s="23">
        <f>SUM(J277:J278)</f>
        <v>3.3774999999999999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thickTop="1" x14ac:dyDescent="0.2">
      <c r="H280" s="24"/>
      <c r="I280" s="24"/>
      <c r="J280" s="2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">
      <c r="A281" s="2" t="s">
        <v>24</v>
      </c>
      <c r="B281" s="2" t="s">
        <v>13</v>
      </c>
      <c r="C281" s="2">
        <v>5.1999999999999998E-3</v>
      </c>
      <c r="D281" s="4">
        <f>+C281</f>
        <v>5.1999999999999998E-3</v>
      </c>
      <c r="E281" s="4">
        <v>5.1999999999999998E-3</v>
      </c>
      <c r="G281" s="4">
        <v>5.1999999999999998E-3</v>
      </c>
      <c r="H281" s="24">
        <v>5.1999999999999998E-3</v>
      </c>
      <c r="I281" s="184">
        <v>4.4000000000000003E-3</v>
      </c>
      <c r="J281" s="184">
        <v>4.4000000000000003E-3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">
      <c r="A282" s="2" t="s">
        <v>25</v>
      </c>
      <c r="B282" s="2" t="s">
        <v>13</v>
      </c>
      <c r="C282" s="2">
        <v>1.2999999999999999E-3</v>
      </c>
      <c r="D282" s="2">
        <f>+C282</f>
        <v>1.2999999999999999E-3</v>
      </c>
      <c r="E282" s="2">
        <v>1.2999999999999999E-3</v>
      </c>
      <c r="G282" s="2">
        <v>1.1000000000000001E-3</v>
      </c>
      <c r="H282" s="24">
        <f>+G282</f>
        <v>1.1000000000000001E-3</v>
      </c>
      <c r="I282" s="184">
        <v>1.1999999999999999E-3</v>
      </c>
      <c r="J282" s="184">
        <v>1.1999999999999999E-3</v>
      </c>
    </row>
    <row r="283" spans="1:24" ht="13.5" thickBot="1" x14ac:dyDescent="0.25">
      <c r="C283" s="12">
        <f>SUM(C281:C282)</f>
        <v>6.4999999999999997E-3</v>
      </c>
      <c r="D283" s="12">
        <f>SUM(D281:D282)</f>
        <v>6.4999999999999997E-3</v>
      </c>
      <c r="E283" s="12">
        <f>SUM(E281:E282)</f>
        <v>6.4999999999999997E-3</v>
      </c>
      <c r="G283" s="12">
        <f>SUM(G281:G282)</f>
        <v>6.3E-3</v>
      </c>
      <c r="H283" s="27">
        <f>SUM(H281:H282)</f>
        <v>6.3E-3</v>
      </c>
      <c r="I283" s="27">
        <f>SUM(I281:I282)</f>
        <v>5.5999999999999999E-3</v>
      </c>
      <c r="J283" s="27">
        <f>SUM(J281:J282)</f>
        <v>5.5999999999999999E-3</v>
      </c>
    </row>
    <row r="284" spans="1:24" ht="13.5" thickTop="1" x14ac:dyDescent="0.2">
      <c r="H284" s="24"/>
      <c r="I284" s="24"/>
      <c r="J284" s="24"/>
    </row>
    <row r="285" spans="1:24" x14ac:dyDescent="0.2">
      <c r="A285" s="2" t="s">
        <v>26</v>
      </c>
      <c r="B285" s="2" t="s">
        <v>7</v>
      </c>
      <c r="C285" s="28">
        <v>0.25</v>
      </c>
      <c r="D285" s="28">
        <v>0.25</v>
      </c>
      <c r="E285" s="28">
        <v>0.25</v>
      </c>
      <c r="G285" s="28">
        <v>0.25</v>
      </c>
      <c r="H285" s="29">
        <v>0.25</v>
      </c>
      <c r="I285" s="29">
        <v>0.25</v>
      </c>
      <c r="J285" s="29">
        <v>0.25</v>
      </c>
    </row>
    <row r="286" spans="1:24" x14ac:dyDescent="0.2">
      <c r="H286" s="24"/>
      <c r="I286" s="24"/>
      <c r="J286" s="24"/>
    </row>
    <row r="287" spans="1:24" x14ac:dyDescent="0.2">
      <c r="A287" s="4" t="s">
        <v>27</v>
      </c>
      <c r="B287" s="2" t="s">
        <v>13</v>
      </c>
      <c r="C287" s="16">
        <v>3.8999999999999998E-3</v>
      </c>
      <c r="D287" s="16">
        <f>+C287</f>
        <v>3.8999999999999998E-3</v>
      </c>
      <c r="E287" s="16">
        <v>0</v>
      </c>
      <c r="G287" s="16">
        <v>0</v>
      </c>
      <c r="H287" s="21">
        <v>0</v>
      </c>
      <c r="I287" s="21">
        <v>0</v>
      </c>
      <c r="J287" s="21">
        <v>0</v>
      </c>
    </row>
    <row r="288" spans="1:24" x14ac:dyDescent="0.2">
      <c r="A288" s="4" t="s">
        <v>28</v>
      </c>
      <c r="B288" s="2" t="s">
        <v>13</v>
      </c>
      <c r="C288" s="16">
        <v>0</v>
      </c>
      <c r="D288" s="10">
        <v>0</v>
      </c>
      <c r="E288" s="10">
        <v>0</v>
      </c>
      <c r="G288" s="10">
        <v>0</v>
      </c>
      <c r="H288" s="18">
        <v>0</v>
      </c>
      <c r="I288" s="18">
        <v>0</v>
      </c>
      <c r="J288" s="18">
        <v>0</v>
      </c>
    </row>
    <row r="289" spans="1:10" ht="13.5" thickBot="1" x14ac:dyDescent="0.25">
      <c r="A289" s="4" t="s">
        <v>29</v>
      </c>
      <c r="C289" s="12">
        <f>SUM(C287:C288)</f>
        <v>3.8999999999999998E-3</v>
      </c>
      <c r="D289" s="12">
        <f>SUM(D287:D288)</f>
        <v>3.8999999999999998E-3</v>
      </c>
      <c r="E289" s="12">
        <f>SUM(E287:E288)</f>
        <v>0</v>
      </c>
      <c r="G289" s="12">
        <f>SUM(G287:G288)</f>
        <v>0</v>
      </c>
      <c r="H289" s="27">
        <f>SUM(H287:H288)</f>
        <v>0</v>
      </c>
      <c r="I289" s="27">
        <f>SUM(I287:I288)</f>
        <v>0</v>
      </c>
      <c r="J289" s="27">
        <f>SUM(J287:J288)</f>
        <v>0</v>
      </c>
    </row>
    <row r="290" spans="1:10" ht="13.5" thickTop="1" x14ac:dyDescent="0.2">
      <c r="H290" s="24"/>
      <c r="I290" s="24"/>
      <c r="J290" s="24"/>
    </row>
  </sheetData>
  <mergeCells count="1">
    <mergeCell ref="H84:I84"/>
  </mergeCells>
  <printOptions horizontalCentered="1" verticalCentered="1"/>
  <pageMargins left="0.35433070866141736" right="0.35433070866141736" top="1.3779527559055118" bottom="0.39370078740157483" header="0.51181102362204722" footer="0"/>
  <pageSetup scale="70" orientation="landscape" r:id="rId1"/>
  <headerFooter differentOddEven="1" alignWithMargins="0">
    <oddHeader>&amp;R&amp;"Arial,Regular"&amp;10Enersource Hydro Mississauga Inc.
Filed:  August 16, 2013
2014 IRM Application
EB-2013-0124
Attachment C
Page &amp;P of &amp;N</oddHeader>
    <evenHeader>&amp;L&amp;"Arial,Regular"&amp;10Enersource Hydro Mississauga Inc.
Filed:  August 16, 2013
2014 IRM Application
EB-2013-0124
Attachment C
Page &amp;P of &amp;N</evenHeader>
  </headerFooter>
  <rowBreaks count="6" manualBreakCount="6">
    <brk id="43" max="12" man="1"/>
    <brk id="82" max="16383" man="1"/>
    <brk id="123" max="12" man="1"/>
    <brk id="163" max="12" man="1"/>
    <brk id="206" max="16383" man="1"/>
    <brk id="24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0"/>
  <sheetViews>
    <sheetView showGridLines="0" zoomScaleNormal="100" zoomScalePageLayoutView="8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3.4257812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140625" style="49" bestFit="1" customWidth="1"/>
    <col min="15" max="15" width="2.85546875" style="49" customWidth="1"/>
    <col min="16" max="16" width="8.85546875" style="49" customWidth="1"/>
    <col min="17" max="17" width="8.7109375" style="49" customWidth="1"/>
    <col min="18" max="18" width="3.85546875" style="49" customWidth="1"/>
    <col min="19" max="20" width="9.7109375" style="49" bestFit="1" customWidth="1"/>
    <col min="21" max="16384" width="9.140625" style="49"/>
  </cols>
  <sheetData>
    <row r="1" spans="2:23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23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23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23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23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23" s="44" customFormat="1" ht="9" customHeight="1" x14ac:dyDescent="0.2">
      <c r="N6" s="2"/>
      <c r="O6" s="2"/>
      <c r="P6" s="2"/>
      <c r="Q6" s="2"/>
      <c r="R6" s="2"/>
    </row>
    <row r="7" spans="2:23" s="44" customFormat="1" x14ac:dyDescent="0.2">
      <c r="N7" s="2"/>
      <c r="O7" s="2"/>
      <c r="P7" s="272"/>
      <c r="Q7" s="272"/>
      <c r="R7" s="2"/>
    </row>
    <row r="8" spans="2:23" s="44" customFormat="1" ht="15" customHeight="1" x14ac:dyDescent="0.2">
      <c r="R8" s="2"/>
    </row>
    <row r="9" spans="2:23" ht="7.5" customHeight="1" x14ac:dyDescent="0.2">
      <c r="N9" s="2"/>
      <c r="O9" s="2"/>
      <c r="P9" s="2"/>
      <c r="Q9" s="2"/>
      <c r="R9" s="2"/>
    </row>
    <row r="10" spans="2:23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23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23" ht="7.5" customHeight="1" x14ac:dyDescent="0.2">
      <c r="N12" s="2"/>
      <c r="O12" s="2"/>
      <c r="P12" s="2"/>
      <c r="Q12" s="2"/>
      <c r="R12" s="2"/>
    </row>
    <row r="13" spans="2:23" ht="7.5" customHeight="1" x14ac:dyDescent="0.2">
      <c r="N13" s="2"/>
      <c r="O13" s="2"/>
      <c r="P13" s="2"/>
      <c r="Q13" s="2"/>
      <c r="R13" s="2"/>
    </row>
    <row r="14" spans="2:23" ht="15.75" x14ac:dyDescent="0.25">
      <c r="B14" s="50"/>
      <c r="D14" s="51" t="s">
        <v>38</v>
      </c>
      <c r="F14" s="282" t="s">
        <v>39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S14" s="161"/>
      <c r="T14" s="161"/>
      <c r="U14" s="161"/>
      <c r="V14" s="161"/>
      <c r="W14" s="161"/>
    </row>
    <row r="15" spans="2:23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S15" s="161"/>
      <c r="T15" s="161"/>
      <c r="U15" s="161"/>
      <c r="V15" s="161"/>
      <c r="W15" s="161"/>
    </row>
    <row r="16" spans="2:23" x14ac:dyDescent="0.2">
      <c r="B16" s="50"/>
      <c r="D16" s="54"/>
      <c r="F16" s="55" t="s">
        <v>40</v>
      </c>
      <c r="G16" s="55"/>
      <c r="H16" s="56">
        <v>800</v>
      </c>
      <c r="I16" s="55" t="s">
        <v>41</v>
      </c>
      <c r="S16" s="139"/>
      <c r="T16" s="139"/>
      <c r="U16" s="139"/>
      <c r="V16" s="161"/>
      <c r="W16" s="161"/>
    </row>
    <row r="17" spans="2:23" ht="10.5" customHeight="1" x14ac:dyDescent="0.2">
      <c r="B17" s="50"/>
      <c r="D17" s="54"/>
      <c r="S17" s="139"/>
      <c r="T17" s="139"/>
      <c r="U17" s="139"/>
      <c r="V17" s="161"/>
      <c r="W17" s="161"/>
    </row>
    <row r="18" spans="2:23" x14ac:dyDescent="0.2">
      <c r="B18" s="57"/>
      <c r="D18" s="54"/>
      <c r="F18" s="58"/>
      <c r="G18" s="58"/>
      <c r="H18" s="283" t="s">
        <v>105</v>
      </c>
      <c r="I18" s="284"/>
      <c r="J18" s="285"/>
      <c r="L18" s="286" t="s">
        <v>108</v>
      </c>
      <c r="M18" s="287"/>
      <c r="N18" s="288"/>
      <c r="P18" s="283" t="s">
        <v>42</v>
      </c>
      <c r="Q18" s="285"/>
      <c r="S18" s="161"/>
      <c r="T18" s="161"/>
      <c r="U18" s="161"/>
      <c r="V18" s="161"/>
      <c r="W18" s="161"/>
    </row>
    <row r="19" spans="2:23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L19" s="60" t="s">
        <v>44</v>
      </c>
      <c r="M19" s="62" t="s">
        <v>45</v>
      </c>
      <c r="N19" s="61" t="s">
        <v>46</v>
      </c>
      <c r="P19" s="276" t="s">
        <v>47</v>
      </c>
      <c r="Q19" s="278" t="s">
        <v>48</v>
      </c>
      <c r="S19" s="161"/>
      <c r="T19" s="161"/>
      <c r="U19" s="161"/>
      <c r="V19" s="161"/>
      <c r="W19" s="161"/>
    </row>
    <row r="20" spans="2:23" x14ac:dyDescent="0.2">
      <c r="B20" s="57"/>
      <c r="D20" s="54"/>
      <c r="F20" s="275"/>
      <c r="G20" s="59"/>
      <c r="H20" s="63" t="s">
        <v>49</v>
      </c>
      <c r="I20" s="63"/>
      <c r="J20" s="64" t="s">
        <v>49</v>
      </c>
      <c r="L20" s="63" t="s">
        <v>49</v>
      </c>
      <c r="M20" s="64"/>
      <c r="N20" s="64" t="s">
        <v>49</v>
      </c>
      <c r="P20" s="277"/>
      <c r="Q20" s="279"/>
      <c r="S20" s="161"/>
      <c r="T20" s="161"/>
      <c r="U20" s="161"/>
      <c r="V20" s="161"/>
      <c r="W20" s="161"/>
    </row>
    <row r="21" spans="2:23" x14ac:dyDescent="0.2">
      <c r="D21" s="149" t="s">
        <v>6</v>
      </c>
      <c r="E21" s="65"/>
      <c r="F21" s="66" t="s">
        <v>1</v>
      </c>
      <c r="G21" s="67"/>
      <c r="H21" s="220">
        <f>+'Rates Detail'!I5</f>
        <v>12.83</v>
      </c>
      <c r="I21" s="185">
        <v>1</v>
      </c>
      <c r="J21" s="221">
        <f t="shared" ref="J21:J27" si="0">I21*H21</f>
        <v>12.83</v>
      </c>
      <c r="K21" s="186"/>
      <c r="L21" s="220">
        <f>+'Rates Detail'!J5</f>
        <v>12.96</v>
      </c>
      <c r="M21" s="187">
        <v>1</v>
      </c>
      <c r="N21" s="221">
        <f t="shared" ref="N21:N30" si="1">M21*L21</f>
        <v>12.96</v>
      </c>
      <c r="O21" s="186"/>
      <c r="P21" s="188">
        <f t="shared" ref="P21:P30" si="2">N21-J21</f>
        <v>0.13000000000000078</v>
      </c>
      <c r="Q21" s="222">
        <f t="shared" ref="Q21:Q30" si="3">IF((J21)=0,"",(P21/J21))</f>
        <v>1.0132501948558128E-2</v>
      </c>
      <c r="S21" s="162"/>
      <c r="T21" s="162"/>
      <c r="U21" s="162"/>
      <c r="V21" s="161"/>
      <c r="W21" s="161"/>
    </row>
    <row r="22" spans="2:23" x14ac:dyDescent="0.2">
      <c r="D22" s="149" t="s">
        <v>53</v>
      </c>
      <c r="E22" s="65"/>
      <c r="F22" s="66" t="s">
        <v>1</v>
      </c>
      <c r="G22" s="67"/>
      <c r="H22" s="220">
        <f>+'Rates Detail'!I7</f>
        <v>-0.77</v>
      </c>
      <c r="I22" s="185">
        <v>1</v>
      </c>
      <c r="J22" s="221">
        <f t="shared" ref="J22:J24" si="4">I22*H22</f>
        <v>-0.77</v>
      </c>
      <c r="K22" s="186"/>
      <c r="L22" s="220">
        <f>+'Rates Detail'!J7</f>
        <v>0</v>
      </c>
      <c r="M22" s="187">
        <v>1</v>
      </c>
      <c r="N22" s="221">
        <f t="shared" ref="N22:N24" si="5">M22*L22</f>
        <v>0</v>
      </c>
      <c r="O22" s="186"/>
      <c r="P22" s="188">
        <f t="shared" ref="P22:P24" si="6">N22-J22</f>
        <v>0.77</v>
      </c>
      <c r="Q22" s="222">
        <f t="shared" ref="Q22:Q24" si="7">IF((J22)=0,"",(P22/J22))</f>
        <v>-1</v>
      </c>
      <c r="S22" s="162"/>
      <c r="T22" s="162"/>
      <c r="U22" s="162"/>
      <c r="V22" s="161"/>
      <c r="W22" s="161"/>
    </row>
    <row r="23" spans="2:23" x14ac:dyDescent="0.2">
      <c r="D23" s="149" t="s">
        <v>56</v>
      </c>
      <c r="E23" s="65"/>
      <c r="F23" s="66" t="s">
        <v>1</v>
      </c>
      <c r="G23" s="67"/>
      <c r="H23" s="220">
        <f>+'Rates Detail'!I6</f>
        <v>1.73</v>
      </c>
      <c r="I23" s="189">
        <v>1</v>
      </c>
      <c r="J23" s="221">
        <f t="shared" si="4"/>
        <v>1.73</v>
      </c>
      <c r="K23" s="186"/>
      <c r="L23" s="220">
        <f>+'Rates Detail'!J6</f>
        <v>0</v>
      </c>
      <c r="M23" s="190">
        <v>1</v>
      </c>
      <c r="N23" s="221">
        <f t="shared" si="5"/>
        <v>0</v>
      </c>
      <c r="O23" s="186"/>
      <c r="P23" s="188">
        <f t="shared" si="6"/>
        <v>-1.73</v>
      </c>
      <c r="Q23" s="222">
        <f t="shared" si="7"/>
        <v>-1</v>
      </c>
      <c r="S23" s="162"/>
      <c r="T23" s="162"/>
      <c r="U23" s="162"/>
      <c r="V23" s="161"/>
      <c r="W23" s="161"/>
    </row>
    <row r="24" spans="2:23" x14ac:dyDescent="0.2">
      <c r="D24" s="149" t="s">
        <v>104</v>
      </c>
      <c r="E24" s="65"/>
      <c r="F24" s="66" t="s">
        <v>1</v>
      </c>
      <c r="G24" s="67"/>
      <c r="H24" s="220">
        <f>'Rates Detail'!I8</f>
        <v>0.79</v>
      </c>
      <c r="I24" s="185">
        <v>1</v>
      </c>
      <c r="J24" s="221">
        <f t="shared" si="4"/>
        <v>0.79</v>
      </c>
      <c r="K24" s="186"/>
      <c r="L24" s="220">
        <f>'Rates Detail'!J8</f>
        <v>0.79</v>
      </c>
      <c r="M24" s="187">
        <v>1</v>
      </c>
      <c r="N24" s="221">
        <f t="shared" si="5"/>
        <v>0.79</v>
      </c>
      <c r="O24" s="186"/>
      <c r="P24" s="188">
        <f t="shared" si="6"/>
        <v>0</v>
      </c>
      <c r="Q24" s="222">
        <f t="shared" si="7"/>
        <v>0</v>
      </c>
      <c r="S24" s="162"/>
      <c r="T24" s="162"/>
      <c r="U24" s="162"/>
      <c r="V24" s="161"/>
      <c r="W24" s="161"/>
    </row>
    <row r="25" spans="2:23" x14ac:dyDescent="0.2">
      <c r="D25" s="149" t="s">
        <v>12</v>
      </c>
      <c r="E25" s="65"/>
      <c r="F25" s="66" t="s">
        <v>51</v>
      </c>
      <c r="G25" s="67"/>
      <c r="H25" s="223">
        <f>+'Rates Detail'!I12</f>
        <v>1.29E-2</v>
      </c>
      <c r="I25" s="185">
        <f>H16</f>
        <v>800</v>
      </c>
      <c r="J25" s="221">
        <f t="shared" si="0"/>
        <v>10.32</v>
      </c>
      <c r="K25" s="186"/>
      <c r="L25" s="223">
        <f>+'Rates Detail'!J12</f>
        <v>1.2999999999999999E-2</v>
      </c>
      <c r="M25" s="187">
        <f>H16</f>
        <v>800</v>
      </c>
      <c r="N25" s="221">
        <f t="shared" si="1"/>
        <v>10.4</v>
      </c>
      <c r="O25" s="186"/>
      <c r="P25" s="188">
        <f t="shared" si="2"/>
        <v>8.0000000000000071E-2</v>
      </c>
      <c r="Q25" s="222">
        <f t="shared" si="3"/>
        <v>7.7519379844961309E-3</v>
      </c>
      <c r="S25" s="138"/>
      <c r="T25" s="138"/>
      <c r="U25" s="138"/>
    </row>
    <row r="26" spans="2:23" x14ac:dyDescent="0.2">
      <c r="D26" s="149" t="s">
        <v>54</v>
      </c>
      <c r="E26" s="65"/>
      <c r="F26" s="66" t="s">
        <v>51</v>
      </c>
      <c r="G26" s="67"/>
      <c r="H26" s="223">
        <f>+'Rates Detail'!I20</f>
        <v>5.0000000000000001E-4</v>
      </c>
      <c r="I26" s="185">
        <v>800</v>
      </c>
      <c r="J26" s="221">
        <f t="shared" si="0"/>
        <v>0.4</v>
      </c>
      <c r="K26" s="186"/>
      <c r="L26" s="223">
        <f>+'Rates Detail'!J20</f>
        <v>5.0000000000000001E-4</v>
      </c>
      <c r="M26" s="187">
        <f>+I26</f>
        <v>800</v>
      </c>
      <c r="N26" s="221">
        <f t="shared" si="1"/>
        <v>0.4</v>
      </c>
      <c r="O26" s="186"/>
      <c r="P26" s="188">
        <f t="shared" si="2"/>
        <v>0</v>
      </c>
      <c r="Q26" s="222">
        <f t="shared" si="3"/>
        <v>0</v>
      </c>
      <c r="S26" s="138"/>
      <c r="T26" s="138"/>
      <c r="U26" s="138"/>
    </row>
    <row r="27" spans="2:23" x14ac:dyDescent="0.2">
      <c r="D27" s="149" t="s">
        <v>96</v>
      </c>
      <c r="E27" s="65"/>
      <c r="F27" s="66" t="s">
        <v>51</v>
      </c>
      <c r="G27" s="67"/>
      <c r="H27" s="223">
        <f>'Rates Detail'!I19</f>
        <v>2.9999999999999997E-4</v>
      </c>
      <c r="I27" s="189">
        <v>800</v>
      </c>
      <c r="J27" s="221">
        <f t="shared" si="0"/>
        <v>0.24</v>
      </c>
      <c r="K27" s="186"/>
      <c r="L27" s="223">
        <f>'Rates Detail'!J19</f>
        <v>0</v>
      </c>
      <c r="M27" s="190">
        <v>800</v>
      </c>
      <c r="N27" s="221">
        <f t="shared" si="1"/>
        <v>0</v>
      </c>
      <c r="O27" s="186"/>
      <c r="P27" s="188">
        <f t="shared" si="2"/>
        <v>-0.24</v>
      </c>
      <c r="Q27" s="222">
        <f t="shared" si="3"/>
        <v>-1</v>
      </c>
      <c r="S27" s="138"/>
    </row>
    <row r="28" spans="2:23" x14ac:dyDescent="0.2">
      <c r="D28" s="149" t="s">
        <v>118</v>
      </c>
      <c r="E28" s="65"/>
      <c r="F28" s="66" t="s">
        <v>51</v>
      </c>
      <c r="G28" s="67"/>
      <c r="H28" s="223">
        <f>+J28/I28</f>
        <v>8.3919999999999995E-2</v>
      </c>
      <c r="I28" s="189">
        <f>+SUM(I45:I47)*H56</f>
        <v>28.799999999999997</v>
      </c>
      <c r="J28" s="221">
        <f>+SUM(J45:J47)*H56</f>
        <v>2.4168959999999995</v>
      </c>
      <c r="K28" s="186"/>
      <c r="L28" s="223">
        <f>+H28</f>
        <v>8.3919999999999995E-2</v>
      </c>
      <c r="M28" s="190">
        <f>+I28</f>
        <v>28.799999999999997</v>
      </c>
      <c r="N28" s="221">
        <f t="shared" si="1"/>
        <v>2.4168959999999995</v>
      </c>
      <c r="O28" s="186"/>
      <c r="P28" s="188">
        <f t="shared" si="2"/>
        <v>0</v>
      </c>
      <c r="Q28" s="222">
        <f t="shared" si="3"/>
        <v>0</v>
      </c>
      <c r="S28" s="138"/>
      <c r="T28" s="138"/>
      <c r="U28" s="138"/>
    </row>
    <row r="29" spans="2:23" ht="25.5" x14ac:dyDescent="0.2">
      <c r="D29" s="150" t="s">
        <v>55</v>
      </c>
      <c r="E29" s="65"/>
      <c r="F29" s="66" t="s">
        <v>51</v>
      </c>
      <c r="G29" s="67"/>
      <c r="H29" s="223">
        <f>SUM('Rates Detail'!I15:I17)</f>
        <v>-1.2000000000000001E-3</v>
      </c>
      <c r="I29" s="185">
        <v>800</v>
      </c>
      <c r="J29" s="221">
        <f>I29*H29</f>
        <v>-0.96000000000000008</v>
      </c>
      <c r="K29" s="186"/>
      <c r="L29" s="223">
        <f>SUM('Rates Detail'!J15:J18)</f>
        <v>-2.2000000000000001E-3</v>
      </c>
      <c r="M29" s="187">
        <v>800</v>
      </c>
      <c r="N29" s="221">
        <f t="shared" si="1"/>
        <v>-1.76</v>
      </c>
      <c r="O29" s="186"/>
      <c r="P29" s="188">
        <f t="shared" si="2"/>
        <v>-0.79999999999999993</v>
      </c>
      <c r="Q29" s="222">
        <f t="shared" si="3"/>
        <v>0.83333333333333315</v>
      </c>
      <c r="S29" s="138"/>
      <c r="T29" s="138"/>
      <c r="U29" s="138"/>
    </row>
    <row r="30" spans="2:23" x14ac:dyDescent="0.2">
      <c r="D30" s="149" t="s">
        <v>52</v>
      </c>
      <c r="E30" s="65"/>
      <c r="F30" s="66" t="s">
        <v>51</v>
      </c>
      <c r="G30" s="67"/>
      <c r="H30" s="223">
        <f>+'Rates Detail'!I27</f>
        <v>2.0000000000000001E-4</v>
      </c>
      <c r="I30" s="185">
        <f>I25</f>
        <v>800</v>
      </c>
      <c r="J30" s="221">
        <f>I30*H30</f>
        <v>0.16</v>
      </c>
      <c r="K30" s="186"/>
      <c r="L30" s="223">
        <f>+'Rates Detail'!J27</f>
        <v>2.0000000000000001E-4</v>
      </c>
      <c r="M30" s="187">
        <f>M25</f>
        <v>800</v>
      </c>
      <c r="N30" s="221">
        <f t="shared" si="1"/>
        <v>0.16</v>
      </c>
      <c r="O30" s="186"/>
      <c r="P30" s="188">
        <f t="shared" si="2"/>
        <v>0</v>
      </c>
      <c r="Q30" s="222">
        <f t="shared" si="3"/>
        <v>0</v>
      </c>
      <c r="S30" s="138"/>
      <c r="T30" s="138"/>
      <c r="U30" s="138"/>
    </row>
    <row r="31" spans="2:23" x14ac:dyDescent="0.2">
      <c r="D31" s="76"/>
      <c r="E31" s="65"/>
      <c r="F31" s="66"/>
      <c r="G31" s="67"/>
      <c r="H31" s="224"/>
      <c r="I31" s="191"/>
      <c r="J31" s="225">
        <f t="shared" ref="J31:J35" si="8">I31*H31</f>
        <v>0</v>
      </c>
      <c r="K31" s="149"/>
      <c r="L31" s="224"/>
      <c r="M31" s="192"/>
      <c r="N31" s="225">
        <f t="shared" ref="N31:N35" si="9">M31*L31</f>
        <v>0</v>
      </c>
      <c r="O31" s="149"/>
      <c r="P31" s="193">
        <f t="shared" ref="P31:P54" si="10">N31-J31</f>
        <v>0</v>
      </c>
      <c r="Q31" s="222" t="str">
        <f t="shared" ref="Q31:Q35" si="11">IF((J31)=0,"",(P31/J31))</f>
        <v/>
      </c>
      <c r="S31" s="162"/>
      <c r="T31" s="162"/>
      <c r="U31" s="162"/>
      <c r="V31" s="161"/>
      <c r="W31" s="161"/>
    </row>
    <row r="32" spans="2:23" x14ac:dyDescent="0.2">
      <c r="D32" s="76"/>
      <c r="E32" s="65"/>
      <c r="F32" s="66"/>
      <c r="G32" s="67"/>
      <c r="H32" s="224"/>
      <c r="I32" s="191"/>
      <c r="J32" s="225">
        <f t="shared" si="8"/>
        <v>0</v>
      </c>
      <c r="K32" s="149"/>
      <c r="L32" s="224"/>
      <c r="M32" s="192"/>
      <c r="N32" s="225">
        <f t="shared" si="9"/>
        <v>0</v>
      </c>
      <c r="O32" s="149"/>
      <c r="P32" s="193">
        <f t="shared" si="10"/>
        <v>0</v>
      </c>
      <c r="Q32" s="222" t="str">
        <f t="shared" si="11"/>
        <v/>
      </c>
      <c r="S32" s="138"/>
      <c r="T32" s="138"/>
      <c r="U32" s="138"/>
    </row>
    <row r="33" spans="4:21" x14ac:dyDescent="0.2">
      <c r="D33" s="76"/>
      <c r="E33" s="65"/>
      <c r="F33" s="66"/>
      <c r="G33" s="67"/>
      <c r="H33" s="224"/>
      <c r="I33" s="191"/>
      <c r="J33" s="225">
        <f t="shared" si="8"/>
        <v>0</v>
      </c>
      <c r="K33" s="149"/>
      <c r="L33" s="224"/>
      <c r="M33" s="192"/>
      <c r="N33" s="225">
        <f t="shared" si="9"/>
        <v>0</v>
      </c>
      <c r="O33" s="149"/>
      <c r="P33" s="193">
        <f t="shared" si="10"/>
        <v>0</v>
      </c>
      <c r="Q33" s="222" t="str">
        <f t="shared" si="11"/>
        <v/>
      </c>
      <c r="S33" s="138"/>
      <c r="T33" s="138"/>
      <c r="U33" s="138"/>
    </row>
    <row r="34" spans="4:21" x14ac:dyDescent="0.2">
      <c r="D34" s="76"/>
      <c r="E34" s="65"/>
      <c r="F34" s="66"/>
      <c r="G34" s="67"/>
      <c r="H34" s="224"/>
      <c r="I34" s="191"/>
      <c r="J34" s="225">
        <f t="shared" si="8"/>
        <v>0</v>
      </c>
      <c r="K34" s="149"/>
      <c r="L34" s="224"/>
      <c r="M34" s="192"/>
      <c r="N34" s="225">
        <f t="shared" si="9"/>
        <v>0</v>
      </c>
      <c r="O34" s="149"/>
      <c r="P34" s="193">
        <f t="shared" si="10"/>
        <v>0</v>
      </c>
      <c r="Q34" s="222" t="str">
        <f t="shared" si="11"/>
        <v/>
      </c>
      <c r="S34" s="138"/>
      <c r="T34" s="138"/>
      <c r="U34" s="138"/>
    </row>
    <row r="35" spans="4:21" ht="13.5" thickBot="1" x14ac:dyDescent="0.25">
      <c r="D35" s="76"/>
      <c r="E35" s="65"/>
      <c r="F35" s="66"/>
      <c r="G35" s="67"/>
      <c r="H35" s="224"/>
      <c r="I35" s="194"/>
      <c r="J35" s="225">
        <f t="shared" si="8"/>
        <v>0</v>
      </c>
      <c r="K35" s="149"/>
      <c r="L35" s="224"/>
      <c r="M35" s="195"/>
      <c r="N35" s="225">
        <f t="shared" si="9"/>
        <v>0</v>
      </c>
      <c r="O35" s="149"/>
      <c r="P35" s="193">
        <f t="shared" si="10"/>
        <v>0</v>
      </c>
      <c r="Q35" s="222" t="str">
        <f t="shared" si="11"/>
        <v/>
      </c>
      <c r="S35" s="138"/>
    </row>
    <row r="36" spans="4:21" ht="13.5" thickBot="1" x14ac:dyDescent="0.25">
      <c r="D36" s="55" t="s">
        <v>57</v>
      </c>
      <c r="G36" s="79"/>
      <c r="H36" s="196"/>
      <c r="I36" s="197"/>
      <c r="J36" s="82">
        <f>SUM(J21:J35)</f>
        <v>27.156896</v>
      </c>
      <c r="K36" s="54"/>
      <c r="L36" s="196"/>
      <c r="M36" s="198"/>
      <c r="N36" s="82">
        <f>SUM(N21:N35)</f>
        <v>25.366895999999997</v>
      </c>
      <c r="O36" s="54"/>
      <c r="P36" s="84">
        <f t="shared" si="10"/>
        <v>-1.7900000000000027</v>
      </c>
      <c r="Q36" s="85">
        <f t="shared" ref="Q36:Q54" si="12">IF((J36)=0,"",(P36/J36))</f>
        <v>-6.5913276686702438E-2</v>
      </c>
    </row>
    <row r="37" spans="4:21" x14ac:dyDescent="0.2">
      <c r="D37" s="86" t="s">
        <v>58</v>
      </c>
      <c r="E37" s="86"/>
      <c r="F37" s="87" t="s">
        <v>51</v>
      </c>
      <c r="G37" s="88"/>
      <c r="H37" s="226">
        <f>+'Rates Detail'!I29</f>
        <v>7.3000000000000001E-3</v>
      </c>
      <c r="I37" s="199">
        <f>+H16</f>
        <v>800</v>
      </c>
      <c r="J37" s="227">
        <f>I37*H37</f>
        <v>5.84</v>
      </c>
      <c r="K37" s="200"/>
      <c r="L37" s="226">
        <f>+'Rates Detail'!J29</f>
        <v>7.6E-3</v>
      </c>
      <c r="M37" s="201">
        <f>+I37</f>
        <v>800</v>
      </c>
      <c r="N37" s="227">
        <f>M37*L37</f>
        <v>6.08</v>
      </c>
      <c r="O37" s="200"/>
      <c r="P37" s="202">
        <f t="shared" si="10"/>
        <v>0.24000000000000021</v>
      </c>
      <c r="Q37" s="228">
        <f t="shared" si="12"/>
        <v>4.1095890410958943E-2</v>
      </c>
    </row>
    <row r="38" spans="4:21" ht="26.25" thickBot="1" x14ac:dyDescent="0.25">
      <c r="D38" s="95" t="s">
        <v>59</v>
      </c>
      <c r="E38" s="86"/>
      <c r="F38" s="87" t="s">
        <v>51</v>
      </c>
      <c r="G38" s="88"/>
      <c r="H38" s="226">
        <f>+'Rates Detail'!I30</f>
        <v>5.7000000000000002E-3</v>
      </c>
      <c r="I38" s="199">
        <f>I37</f>
        <v>800</v>
      </c>
      <c r="J38" s="227">
        <f>I38*H38</f>
        <v>4.5600000000000005</v>
      </c>
      <c r="K38" s="200"/>
      <c r="L38" s="226">
        <f>+'Rates Detail'!J30</f>
        <v>5.7999999999999996E-3</v>
      </c>
      <c r="M38" s="201">
        <f>M37</f>
        <v>800</v>
      </c>
      <c r="N38" s="227">
        <f>M38*L38</f>
        <v>4.6399999999999997</v>
      </c>
      <c r="O38" s="200"/>
      <c r="P38" s="202">
        <f t="shared" si="10"/>
        <v>7.9999999999999183E-2</v>
      </c>
      <c r="Q38" s="228">
        <f t="shared" si="12"/>
        <v>1.7543859649122626E-2</v>
      </c>
    </row>
    <row r="39" spans="4:21" ht="26.25" thickBot="1" x14ac:dyDescent="0.25">
      <c r="D39" s="96" t="s">
        <v>60</v>
      </c>
      <c r="E39" s="65"/>
      <c r="F39" s="65"/>
      <c r="G39" s="67"/>
      <c r="H39" s="203"/>
      <c r="I39" s="204"/>
      <c r="J39" s="99">
        <f>SUM(J36:J38)</f>
        <v>37.556896000000002</v>
      </c>
      <c r="K39" s="100"/>
      <c r="L39" s="101"/>
      <c r="M39" s="102"/>
      <c r="N39" s="99">
        <f>SUM(N36:N38)</f>
        <v>36.086895999999996</v>
      </c>
      <c r="O39" s="100"/>
      <c r="P39" s="103">
        <f t="shared" si="10"/>
        <v>-1.470000000000006</v>
      </c>
      <c r="Q39" s="104">
        <f t="shared" si="12"/>
        <v>-3.9140614815452425E-2</v>
      </c>
    </row>
    <row r="40" spans="4:21" ht="25.5" x14ac:dyDescent="0.2">
      <c r="D40" s="75" t="s">
        <v>61</v>
      </c>
      <c r="E40" s="65"/>
      <c r="F40" s="66" t="s">
        <v>51</v>
      </c>
      <c r="G40" s="67"/>
      <c r="H40" s="224">
        <f>+'Rates Detail'!I33</f>
        <v>4.4000000000000003E-3</v>
      </c>
      <c r="I40" s="185">
        <f>ROUND(H16*(1+H56),0)</f>
        <v>829</v>
      </c>
      <c r="J40" s="221">
        <f>I40*H40</f>
        <v>3.6476000000000002</v>
      </c>
      <c r="K40" s="149"/>
      <c r="L40" s="147">
        <f>'Rates Detail'!J33</f>
        <v>4.4000000000000003E-3</v>
      </c>
      <c r="M40" s="187">
        <f>+I40</f>
        <v>829</v>
      </c>
      <c r="N40" s="205">
        <f>M40*L40</f>
        <v>3.6476000000000002</v>
      </c>
      <c r="O40" s="149"/>
      <c r="P40" s="193">
        <f t="shared" si="10"/>
        <v>0</v>
      </c>
      <c r="Q40" s="206">
        <f t="shared" si="12"/>
        <v>0</v>
      </c>
    </row>
    <row r="41" spans="4:21" ht="25.5" x14ac:dyDescent="0.2">
      <c r="D41" s="75" t="s">
        <v>62</v>
      </c>
      <c r="E41" s="65"/>
      <c r="F41" s="66" t="s">
        <v>51</v>
      </c>
      <c r="G41" s="67"/>
      <c r="H41" s="224">
        <f>+'Rates Detail'!I34</f>
        <v>1.1999999999999999E-3</v>
      </c>
      <c r="I41" s="185">
        <f>+I40</f>
        <v>829</v>
      </c>
      <c r="J41" s="221">
        <f t="shared" ref="J41:J49" si="13">I41*H41</f>
        <v>0.99479999999999991</v>
      </c>
      <c r="K41" s="149"/>
      <c r="L41" s="147">
        <f>'Rates Detail'!J34</f>
        <v>1.1999999999999999E-3</v>
      </c>
      <c r="M41" s="187">
        <f>+M40</f>
        <v>829</v>
      </c>
      <c r="N41" s="205">
        <f t="shared" ref="N41:N49" si="14">M41*L41</f>
        <v>0.99479999999999991</v>
      </c>
      <c r="O41" s="149"/>
      <c r="P41" s="193">
        <f t="shared" si="10"/>
        <v>0</v>
      </c>
      <c r="Q41" s="206">
        <f t="shared" si="12"/>
        <v>0</v>
      </c>
      <c r="T41" s="159"/>
    </row>
    <row r="42" spans="4:21" x14ac:dyDescent="0.2">
      <c r="D42" s="75" t="s">
        <v>63</v>
      </c>
      <c r="E42" s="65"/>
      <c r="F42" s="66"/>
      <c r="G42" s="67"/>
      <c r="H42" s="224"/>
      <c r="I42" s="185">
        <f>I38</f>
        <v>800</v>
      </c>
      <c r="J42" s="221">
        <f t="shared" si="13"/>
        <v>0</v>
      </c>
      <c r="K42" s="149"/>
      <c r="L42" s="148"/>
      <c r="M42" s="187">
        <f>M38</f>
        <v>800</v>
      </c>
      <c r="N42" s="205">
        <f t="shared" si="14"/>
        <v>0</v>
      </c>
      <c r="O42" s="149"/>
      <c r="P42" s="193">
        <f t="shared" si="10"/>
        <v>0</v>
      </c>
      <c r="Q42" s="206" t="str">
        <f t="shared" si="12"/>
        <v/>
      </c>
    </row>
    <row r="43" spans="4:21" x14ac:dyDescent="0.2">
      <c r="D43" s="65" t="s">
        <v>64</v>
      </c>
      <c r="E43" s="65"/>
      <c r="F43" s="66" t="s">
        <v>1</v>
      </c>
      <c r="G43" s="67"/>
      <c r="H43" s="224">
        <v>0.25</v>
      </c>
      <c r="I43" s="185">
        <v>1</v>
      </c>
      <c r="J43" s="221">
        <f t="shared" si="13"/>
        <v>0.25</v>
      </c>
      <c r="K43" s="149"/>
      <c r="L43" s="147">
        <f>'Rates Detail'!J37</f>
        <v>0.25</v>
      </c>
      <c r="M43" s="187">
        <v>1</v>
      </c>
      <c r="N43" s="205">
        <f t="shared" si="14"/>
        <v>0.25</v>
      </c>
      <c r="O43" s="149"/>
      <c r="P43" s="193">
        <f t="shared" si="10"/>
        <v>0</v>
      </c>
      <c r="Q43" s="206">
        <f t="shared" si="12"/>
        <v>0</v>
      </c>
      <c r="T43" s="159"/>
    </row>
    <row r="44" spans="4:21" x14ac:dyDescent="0.2">
      <c r="D44" s="65" t="s">
        <v>65</v>
      </c>
      <c r="E44" s="65"/>
      <c r="F44" s="66" t="s">
        <v>51</v>
      </c>
      <c r="G44" s="67"/>
      <c r="H44" s="224">
        <v>7.0000000000000001E-3</v>
      </c>
      <c r="I44" s="185">
        <f>+I38</f>
        <v>800</v>
      </c>
      <c r="J44" s="221">
        <f t="shared" si="13"/>
        <v>5.6000000000000005</v>
      </c>
      <c r="K44" s="149"/>
      <c r="L44" s="147">
        <f>+H44</f>
        <v>7.0000000000000001E-3</v>
      </c>
      <c r="M44" s="187">
        <f>+M38</f>
        <v>800</v>
      </c>
      <c r="N44" s="205">
        <f t="shared" si="14"/>
        <v>5.6000000000000005</v>
      </c>
      <c r="O44" s="149"/>
      <c r="P44" s="193">
        <f t="shared" si="10"/>
        <v>0</v>
      </c>
      <c r="Q44" s="206">
        <f t="shared" si="12"/>
        <v>0</v>
      </c>
      <c r="T44" s="159"/>
    </row>
    <row r="45" spans="4:21" x14ac:dyDescent="0.2">
      <c r="D45" s="65" t="s">
        <v>115</v>
      </c>
      <c r="E45" s="65"/>
      <c r="F45" s="66" t="s">
        <v>51</v>
      </c>
      <c r="G45" s="67"/>
      <c r="H45" s="224">
        <v>6.7000000000000004E-2</v>
      </c>
      <c r="I45" s="185">
        <f>$H$16*0.64</f>
        <v>512</v>
      </c>
      <c r="J45" s="221">
        <f t="shared" si="13"/>
        <v>34.304000000000002</v>
      </c>
      <c r="K45" s="149"/>
      <c r="L45" s="147">
        <f>+H45</f>
        <v>6.7000000000000004E-2</v>
      </c>
      <c r="M45" s="187">
        <f>+I45</f>
        <v>512</v>
      </c>
      <c r="N45" s="205">
        <f t="shared" si="14"/>
        <v>34.304000000000002</v>
      </c>
      <c r="O45" s="149"/>
      <c r="P45" s="193">
        <f t="shared" si="10"/>
        <v>0</v>
      </c>
      <c r="Q45" s="206">
        <f t="shared" si="12"/>
        <v>0</v>
      </c>
      <c r="S45" s="146"/>
      <c r="T45" s="159"/>
    </row>
    <row r="46" spans="4:21" x14ac:dyDescent="0.2">
      <c r="D46" s="65" t="s">
        <v>116</v>
      </c>
      <c r="E46" s="65"/>
      <c r="F46" s="66" t="s">
        <v>51</v>
      </c>
      <c r="G46" s="67"/>
      <c r="H46" s="224">
        <v>0.104</v>
      </c>
      <c r="I46" s="185">
        <f>$H$16*0.18</f>
        <v>144</v>
      </c>
      <c r="J46" s="221">
        <f t="shared" si="13"/>
        <v>14.975999999999999</v>
      </c>
      <c r="K46" s="149"/>
      <c r="L46" s="147">
        <f>+H46</f>
        <v>0.104</v>
      </c>
      <c r="M46" s="187">
        <f>+I46</f>
        <v>144</v>
      </c>
      <c r="N46" s="205">
        <f t="shared" si="14"/>
        <v>14.975999999999999</v>
      </c>
      <c r="O46" s="149"/>
      <c r="P46" s="193">
        <f t="shared" ref="P46:P47" si="15">N46-J46</f>
        <v>0</v>
      </c>
      <c r="Q46" s="206">
        <f t="shared" ref="Q46:Q47" si="16">IF((J46)=0,"",(P46/J46))</f>
        <v>0</v>
      </c>
      <c r="S46" s="146"/>
      <c r="T46" s="159"/>
    </row>
    <row r="47" spans="4:21" x14ac:dyDescent="0.2">
      <c r="D47" s="65" t="s">
        <v>117</v>
      </c>
      <c r="E47" s="65"/>
      <c r="F47" s="66" t="s">
        <v>51</v>
      </c>
      <c r="G47" s="67"/>
      <c r="H47" s="224">
        <v>0.124</v>
      </c>
      <c r="I47" s="185">
        <f>+I46</f>
        <v>144</v>
      </c>
      <c r="J47" s="221">
        <f t="shared" si="13"/>
        <v>17.856000000000002</v>
      </c>
      <c r="K47" s="149"/>
      <c r="L47" s="147">
        <f>+H47</f>
        <v>0.124</v>
      </c>
      <c r="M47" s="187">
        <f>+I47</f>
        <v>144</v>
      </c>
      <c r="N47" s="205">
        <f t="shared" si="14"/>
        <v>17.856000000000002</v>
      </c>
      <c r="O47" s="149"/>
      <c r="P47" s="193">
        <f t="shared" si="15"/>
        <v>0</v>
      </c>
      <c r="Q47" s="206">
        <f t="shared" si="16"/>
        <v>0</v>
      </c>
      <c r="S47" s="146"/>
      <c r="T47" s="159"/>
    </row>
    <row r="48" spans="4:21" x14ac:dyDescent="0.2">
      <c r="D48" s="110"/>
      <c r="E48" s="65"/>
      <c r="F48" s="66"/>
      <c r="G48" s="67"/>
      <c r="H48" s="147"/>
      <c r="I48" s="207"/>
      <c r="J48" s="205">
        <f t="shared" si="13"/>
        <v>0</v>
      </c>
      <c r="K48" s="149"/>
      <c r="L48" s="147">
        <f>+H48</f>
        <v>0</v>
      </c>
      <c r="M48" s="208">
        <f>+I48</f>
        <v>0</v>
      </c>
      <c r="N48" s="205">
        <f t="shared" si="14"/>
        <v>0</v>
      </c>
      <c r="O48" s="149"/>
      <c r="P48" s="193">
        <f t="shared" si="10"/>
        <v>0</v>
      </c>
      <c r="Q48" s="206" t="str">
        <f t="shared" si="12"/>
        <v/>
      </c>
      <c r="S48" s="146"/>
    </row>
    <row r="49" spans="2:17" ht="13.5" thickBot="1" x14ac:dyDescent="0.25">
      <c r="D49" s="76"/>
      <c r="E49" s="65"/>
      <c r="F49" s="66"/>
      <c r="G49" s="67"/>
      <c r="H49" s="147"/>
      <c r="I49" s="194"/>
      <c r="J49" s="205">
        <f t="shared" si="13"/>
        <v>0</v>
      </c>
      <c r="K49" s="149"/>
      <c r="L49" s="147"/>
      <c r="M49" s="195"/>
      <c r="N49" s="205">
        <f t="shared" si="14"/>
        <v>0</v>
      </c>
      <c r="O49" s="149"/>
      <c r="P49" s="193">
        <f t="shared" si="10"/>
        <v>0</v>
      </c>
      <c r="Q49" s="206" t="str">
        <f t="shared" si="12"/>
        <v/>
      </c>
    </row>
    <row r="50" spans="2:17" ht="13.5" thickBot="1" x14ac:dyDescent="0.25">
      <c r="D50" s="113" t="s">
        <v>67</v>
      </c>
      <c r="E50" s="65"/>
      <c r="F50" s="65"/>
      <c r="G50" s="65"/>
      <c r="H50" s="209"/>
      <c r="I50" s="210"/>
      <c r="J50" s="99">
        <f>SUM(J39:J49)</f>
        <v>115.18529599999999</v>
      </c>
      <c r="K50" s="100"/>
      <c r="L50" s="116"/>
      <c r="M50" s="117"/>
      <c r="N50" s="99">
        <f>SUM(N39:N49)</f>
        <v>113.715296</v>
      </c>
      <c r="O50" s="100"/>
      <c r="P50" s="103">
        <f t="shared" si="10"/>
        <v>-1.4699999999999989</v>
      </c>
      <c r="Q50" s="104">
        <f t="shared" si="12"/>
        <v>-1.2762045599986989E-2</v>
      </c>
    </row>
    <row r="51" spans="2:17" ht="13.5" thickBot="1" x14ac:dyDescent="0.25">
      <c r="D51" s="67" t="s">
        <v>68</v>
      </c>
      <c r="E51" s="65"/>
      <c r="F51" s="65"/>
      <c r="G51" s="65"/>
      <c r="H51" s="211">
        <v>0.13</v>
      </c>
      <c r="I51" s="212"/>
      <c r="J51" s="213">
        <f>J50*H51</f>
        <v>14.974088479999999</v>
      </c>
      <c r="K51" s="149"/>
      <c r="L51" s="211">
        <v>0.13</v>
      </c>
      <c r="M51" s="214"/>
      <c r="N51" s="213">
        <f>N50*L51</f>
        <v>14.78298848</v>
      </c>
      <c r="O51" s="149"/>
      <c r="P51" s="193">
        <f t="shared" si="10"/>
        <v>-0.19109999999999872</v>
      </c>
      <c r="Q51" s="206">
        <f t="shared" si="12"/>
        <v>-1.2762045599986914E-2</v>
      </c>
    </row>
    <row r="52" spans="2:17" ht="26.25" thickBot="1" x14ac:dyDescent="0.25">
      <c r="D52" s="96" t="s">
        <v>69</v>
      </c>
      <c r="E52" s="65"/>
      <c r="F52" s="65"/>
      <c r="G52" s="65"/>
      <c r="H52" s="203"/>
      <c r="I52" s="204"/>
      <c r="J52" s="99">
        <f>ROUND(SUM(J50:J51),2)</f>
        <v>130.16</v>
      </c>
      <c r="K52" s="100"/>
      <c r="L52" s="101"/>
      <c r="M52" s="102"/>
      <c r="N52" s="99">
        <f>ROUND(SUM(N50:N51),2)</f>
        <v>128.5</v>
      </c>
      <c r="O52" s="100"/>
      <c r="P52" s="103">
        <f t="shared" si="10"/>
        <v>-1.6599999999999966</v>
      </c>
      <c r="Q52" s="104">
        <f t="shared" si="12"/>
        <v>-1.2753534111862298E-2</v>
      </c>
    </row>
    <row r="53" spans="2:17" ht="27.75" thickBot="1" x14ac:dyDescent="0.25">
      <c r="D53" s="122" t="s">
        <v>70</v>
      </c>
      <c r="E53" s="65"/>
      <c r="F53" s="65"/>
      <c r="G53" s="65"/>
      <c r="H53" s="203"/>
      <c r="I53" s="215"/>
      <c r="J53" s="99">
        <f>ROUND(-J52*10%,2)</f>
        <v>-13.02</v>
      </c>
      <c r="K53" s="100"/>
      <c r="L53" s="101"/>
      <c r="M53" s="102"/>
      <c r="N53" s="99">
        <f>ROUND(-N52*10%,2)</f>
        <v>-12.85</v>
      </c>
      <c r="O53" s="100"/>
      <c r="P53" s="103">
        <f t="shared" si="10"/>
        <v>0.16999999999999993</v>
      </c>
      <c r="Q53" s="104">
        <f t="shared" si="12"/>
        <v>-1.3056835637480793E-2</v>
      </c>
    </row>
    <row r="54" spans="2:17" ht="13.5" thickBot="1" x14ac:dyDescent="0.25">
      <c r="D54" s="96" t="s">
        <v>71</v>
      </c>
      <c r="E54" s="65"/>
      <c r="F54" s="65"/>
      <c r="G54" s="65"/>
      <c r="H54" s="216"/>
      <c r="I54" s="217"/>
      <c r="J54" s="126">
        <f>J52+J53</f>
        <v>117.14</v>
      </c>
      <c r="K54" s="100"/>
      <c r="L54" s="127"/>
      <c r="M54" s="128"/>
      <c r="N54" s="126">
        <f>N52+N53</f>
        <v>115.65</v>
      </c>
      <c r="O54" s="100"/>
      <c r="P54" s="129">
        <f t="shared" si="10"/>
        <v>-1.4899999999999949</v>
      </c>
      <c r="Q54" s="130">
        <f t="shared" si="12"/>
        <v>-1.2719822434693485E-2</v>
      </c>
    </row>
    <row r="55" spans="2:17" ht="10.5" customHeight="1" x14ac:dyDescent="0.2"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2:17" x14ac:dyDescent="0.2">
      <c r="D56" s="55" t="s">
        <v>72</v>
      </c>
      <c r="H56" s="218">
        <v>3.5999999999999997E-2</v>
      </c>
      <c r="I56" s="54"/>
      <c r="J56" s="54"/>
      <c r="K56" s="54"/>
      <c r="L56" s="219">
        <f>+H56</f>
        <v>3.5999999999999997E-2</v>
      </c>
      <c r="M56" s="54"/>
      <c r="N56" s="54"/>
      <c r="O56" s="54"/>
      <c r="P56" s="151"/>
      <c r="Q56" s="152"/>
    </row>
    <row r="57" spans="2:17" ht="10.5" customHeight="1" x14ac:dyDescent="0.2"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2:17" ht="10.5" customHeight="1" x14ac:dyDescent="0.2">
      <c r="C58" s="133" t="s">
        <v>73</v>
      </c>
    </row>
    <row r="59" spans="2:17" ht="10.5" customHeight="1" x14ac:dyDescent="0.2"/>
    <row r="60" spans="2:17" x14ac:dyDescent="0.2">
      <c r="B60" s="55"/>
      <c r="C60" s="49" t="s">
        <v>74</v>
      </c>
    </row>
    <row r="61" spans="2:17" x14ac:dyDescent="0.2">
      <c r="C61" s="49" t="s">
        <v>75</v>
      </c>
    </row>
    <row r="63" spans="2:17" x14ac:dyDescent="0.2">
      <c r="C63" s="49" t="s">
        <v>76</v>
      </c>
    </row>
    <row r="64" spans="2:17" x14ac:dyDescent="0.2">
      <c r="C64" s="49" t="s">
        <v>77</v>
      </c>
    </row>
    <row r="66" spans="3:3" x14ac:dyDescent="0.2">
      <c r="C66" s="49" t="s">
        <v>78</v>
      </c>
    </row>
    <row r="67" spans="3:3" x14ac:dyDescent="0.2">
      <c r="C67" s="49" t="s">
        <v>79</v>
      </c>
    </row>
    <row r="68" spans="3:3" x14ac:dyDescent="0.2">
      <c r="C68" s="49" t="s">
        <v>80</v>
      </c>
    </row>
    <row r="69" spans="3:3" x14ac:dyDescent="0.2">
      <c r="C69" s="49" t="s">
        <v>81</v>
      </c>
    </row>
    <row r="70" spans="3:3" x14ac:dyDescent="0.2">
      <c r="C70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7:G38 G40:G49 G21:G35">
      <formula1>$B$14:$B$19</formula1>
    </dataValidation>
    <dataValidation type="list" allowBlank="1" showInputMessage="1" showErrorMessage="1" prompt="Select Charge Unit - monthly, per kWh, per kW" sqref="F40:F49 F37:F38 F21:F35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59055118110236227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  <ignoredErrors>
    <ignoredError sqref="L35:L36 L39 I36:K38 H32 H39 H34 L48 H35 L42 L44:L45 M21 I21:K21 H31 J31:L31 J32:L32 H33 J33:L33 J34:L3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7"/>
  <sheetViews>
    <sheetView showGridLines="0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9.7109375" style="49" customWidth="1"/>
    <col min="10" max="10" width="10.710937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9.7109375" style="49" customWidth="1"/>
    <col min="15" max="15" width="2.85546875" style="49" customWidth="1"/>
    <col min="16" max="16" width="8.85546875" style="49" customWidth="1"/>
    <col min="17" max="17" width="10.42578125" style="49" customWidth="1"/>
    <col min="18" max="18" width="3.85546875" style="49" customWidth="1"/>
    <col min="19" max="20" width="9.7109375" style="49" bestFit="1" customWidth="1"/>
    <col min="21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82" t="s">
        <v>83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800</v>
      </c>
      <c r="I16" s="55" t="s">
        <v>41</v>
      </c>
    </row>
    <row r="17" spans="2:20" ht="10.5" customHeight="1" x14ac:dyDescent="0.2">
      <c r="B17" s="50"/>
      <c r="D17" s="54"/>
    </row>
    <row r="18" spans="2:20" x14ac:dyDescent="0.2">
      <c r="B18" s="57"/>
      <c r="D18" s="54"/>
      <c r="F18" s="58"/>
      <c r="G18" s="58"/>
      <c r="H18" s="283" t="str">
        <f>'RES-RPP'!H18:J18</f>
        <v>Current Board-Approved (July 1 2013)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20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20" x14ac:dyDescent="0.2">
      <c r="B20" s="57"/>
      <c r="D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20" x14ac:dyDescent="0.2">
      <c r="D21" s="67" t="s">
        <v>6</v>
      </c>
      <c r="E21" s="65"/>
      <c r="F21" s="229" t="s">
        <v>1</v>
      </c>
      <c r="G21" s="186"/>
      <c r="H21" s="220">
        <f>+'Rates Detail'!I5</f>
        <v>12.83</v>
      </c>
      <c r="I21" s="185">
        <v>1</v>
      </c>
      <c r="J21" s="225">
        <f t="shared" ref="J21:J27" si="0">I21*H21</f>
        <v>12.83</v>
      </c>
      <c r="K21" s="149"/>
      <c r="L21" s="220">
        <f>+'Rates Detail'!J5</f>
        <v>12.96</v>
      </c>
      <c r="M21" s="187">
        <v>1</v>
      </c>
      <c r="N21" s="225">
        <f t="shared" ref="N21:N30" si="1">M21*L21</f>
        <v>12.96</v>
      </c>
      <c r="O21" s="149"/>
      <c r="P21" s="193">
        <f t="shared" ref="P21:P30" si="2">N21-J21</f>
        <v>0.13000000000000078</v>
      </c>
      <c r="Q21" s="234">
        <f>IF((J21)=0,"",(P21/J21))</f>
        <v>1.0132501948558128E-2</v>
      </c>
    </row>
    <row r="22" spans="2:20" x14ac:dyDescent="0.2">
      <c r="D22" s="67" t="s">
        <v>53</v>
      </c>
      <c r="E22" s="65"/>
      <c r="F22" s="229" t="s">
        <v>1</v>
      </c>
      <c r="G22" s="186"/>
      <c r="H22" s="220">
        <f>+'Rates Detail'!I7</f>
        <v>-0.77</v>
      </c>
      <c r="I22" s="185">
        <v>1</v>
      </c>
      <c r="J22" s="225">
        <f t="shared" si="0"/>
        <v>-0.77</v>
      </c>
      <c r="K22" s="149"/>
      <c r="L22" s="220">
        <f>+'Rates Detail'!J7</f>
        <v>0</v>
      </c>
      <c r="M22" s="187">
        <v>1</v>
      </c>
      <c r="N22" s="225">
        <f t="shared" si="1"/>
        <v>0</v>
      </c>
      <c r="O22" s="149"/>
      <c r="P22" s="193">
        <f t="shared" si="2"/>
        <v>0.77</v>
      </c>
      <c r="Q22" s="234">
        <f t="shared" ref="Q22:Q33" si="3">IF((J22)=0,"",(P22/J22))</f>
        <v>-1</v>
      </c>
    </row>
    <row r="23" spans="2:20" x14ac:dyDescent="0.2">
      <c r="D23" s="177" t="s">
        <v>56</v>
      </c>
      <c r="E23" s="65"/>
      <c r="F23" s="229" t="s">
        <v>1</v>
      </c>
      <c r="G23" s="186"/>
      <c r="H23" s="220">
        <f>+'Rates Detail'!I6</f>
        <v>1.73</v>
      </c>
      <c r="I23" s="189">
        <v>1</v>
      </c>
      <c r="J23" s="225">
        <f t="shared" si="0"/>
        <v>1.73</v>
      </c>
      <c r="K23" s="149"/>
      <c r="L23" s="220">
        <f>+'Rates Detail'!J6</f>
        <v>0</v>
      </c>
      <c r="M23" s="190">
        <v>1</v>
      </c>
      <c r="N23" s="225">
        <f t="shared" si="1"/>
        <v>0</v>
      </c>
      <c r="O23" s="149"/>
      <c r="P23" s="193">
        <f t="shared" si="2"/>
        <v>-1.73</v>
      </c>
      <c r="Q23" s="234">
        <f t="shared" si="3"/>
        <v>-1</v>
      </c>
    </row>
    <row r="24" spans="2:20" x14ac:dyDescent="0.2">
      <c r="D24" s="67" t="s">
        <v>104</v>
      </c>
      <c r="E24" s="65"/>
      <c r="F24" s="229" t="s">
        <v>1</v>
      </c>
      <c r="G24" s="186"/>
      <c r="H24" s="220">
        <f>'Rates Detail'!I8</f>
        <v>0.79</v>
      </c>
      <c r="I24" s="185">
        <v>1</v>
      </c>
      <c r="J24" s="225">
        <f>I24*H24</f>
        <v>0.79</v>
      </c>
      <c r="K24" s="149"/>
      <c r="L24" s="220">
        <f>'Rates Detail'!J8</f>
        <v>0.79</v>
      </c>
      <c r="M24" s="187">
        <v>1</v>
      </c>
      <c r="N24" s="225">
        <f>M24*L24</f>
        <v>0.79</v>
      </c>
      <c r="O24" s="149"/>
      <c r="P24" s="193">
        <f>N24-J24</f>
        <v>0</v>
      </c>
      <c r="Q24" s="234">
        <f>IF((J24)=0,"",(P24/J24))</f>
        <v>0</v>
      </c>
    </row>
    <row r="25" spans="2:20" x14ac:dyDescent="0.2">
      <c r="D25" s="67" t="s">
        <v>12</v>
      </c>
      <c r="E25" s="65"/>
      <c r="F25" s="229" t="s">
        <v>51</v>
      </c>
      <c r="G25" s="186"/>
      <c r="H25" s="223">
        <f>+'Rates Detail'!I12</f>
        <v>1.29E-2</v>
      </c>
      <c r="I25" s="185">
        <f>H16</f>
        <v>800</v>
      </c>
      <c r="J25" s="225">
        <f>I25*H25</f>
        <v>10.32</v>
      </c>
      <c r="K25" s="149"/>
      <c r="L25" s="223">
        <f>+'Rates Detail'!J12</f>
        <v>1.2999999999999999E-2</v>
      </c>
      <c r="M25" s="187">
        <f>H16</f>
        <v>800</v>
      </c>
      <c r="N25" s="225">
        <f>M25*L25</f>
        <v>10.4</v>
      </c>
      <c r="O25" s="149"/>
      <c r="P25" s="193">
        <f>N25-J25</f>
        <v>8.0000000000000071E-2</v>
      </c>
      <c r="Q25" s="234">
        <f>IF((J25)=0,"",(P25/J25))</f>
        <v>7.7519379844961309E-3</v>
      </c>
    </row>
    <row r="26" spans="2:20" x14ac:dyDescent="0.2">
      <c r="D26" s="67" t="s">
        <v>54</v>
      </c>
      <c r="E26" s="65"/>
      <c r="F26" s="229" t="s">
        <v>51</v>
      </c>
      <c r="G26" s="186"/>
      <c r="H26" s="223">
        <f>+'Rates Detail'!I20</f>
        <v>5.0000000000000001E-4</v>
      </c>
      <c r="I26" s="185">
        <v>800</v>
      </c>
      <c r="J26" s="225">
        <f t="shared" si="0"/>
        <v>0.4</v>
      </c>
      <c r="K26" s="149"/>
      <c r="L26" s="223">
        <f>+'Rates Detail'!J20</f>
        <v>5.0000000000000001E-4</v>
      </c>
      <c r="M26" s="187">
        <f>+I26</f>
        <v>800</v>
      </c>
      <c r="N26" s="225">
        <f t="shared" si="1"/>
        <v>0.4</v>
      </c>
      <c r="O26" s="149"/>
      <c r="P26" s="193">
        <f t="shared" si="2"/>
        <v>0</v>
      </c>
      <c r="Q26" s="234">
        <f t="shared" si="3"/>
        <v>0</v>
      </c>
    </row>
    <row r="27" spans="2:20" x14ac:dyDescent="0.2">
      <c r="D27" s="177" t="s">
        <v>96</v>
      </c>
      <c r="E27" s="65"/>
      <c r="F27" s="229" t="s">
        <v>51</v>
      </c>
      <c r="G27" s="186"/>
      <c r="H27" s="223">
        <f>'Rates Detail'!I19</f>
        <v>2.9999999999999997E-4</v>
      </c>
      <c r="I27" s="189">
        <v>800</v>
      </c>
      <c r="J27" s="225">
        <f t="shared" si="0"/>
        <v>0.24</v>
      </c>
      <c r="K27" s="149"/>
      <c r="L27" s="223">
        <f>'Rates Detail'!J19</f>
        <v>0</v>
      </c>
      <c r="M27" s="190">
        <v>800</v>
      </c>
      <c r="N27" s="225">
        <f t="shared" si="1"/>
        <v>0</v>
      </c>
      <c r="O27" s="149"/>
      <c r="P27" s="193">
        <f t="shared" si="2"/>
        <v>-0.24</v>
      </c>
      <c r="Q27" s="234">
        <f t="shared" si="3"/>
        <v>-1</v>
      </c>
      <c r="S27" s="138"/>
    </row>
    <row r="28" spans="2:20" x14ac:dyDescent="0.2">
      <c r="D28" s="177" t="s">
        <v>118</v>
      </c>
      <c r="E28" s="65"/>
      <c r="F28" s="229" t="s">
        <v>51</v>
      </c>
      <c r="G28" s="186"/>
      <c r="H28" s="223">
        <f>+J28/I28</f>
        <v>8.3919999999999995E-2</v>
      </c>
      <c r="I28" s="189">
        <f>+SUM(I43:I45)*H53</f>
        <v>28.799999999999997</v>
      </c>
      <c r="J28" s="225">
        <f>+SUM(J43:J45)*H53</f>
        <v>2.4168959999999995</v>
      </c>
      <c r="K28" s="149"/>
      <c r="L28" s="223">
        <f>+H28</f>
        <v>8.3919999999999995E-2</v>
      </c>
      <c r="M28" s="190">
        <f>+I28</f>
        <v>28.799999999999997</v>
      </c>
      <c r="N28" s="225">
        <f t="shared" si="1"/>
        <v>2.4168959999999995</v>
      </c>
      <c r="O28" s="149"/>
      <c r="P28" s="193">
        <f t="shared" si="2"/>
        <v>0</v>
      </c>
      <c r="Q28" s="234">
        <f t="shared" si="3"/>
        <v>0</v>
      </c>
      <c r="S28" s="138"/>
      <c r="T28" s="138"/>
    </row>
    <row r="29" spans="2:20" ht="25.5" x14ac:dyDescent="0.2">
      <c r="D29" s="178" t="s">
        <v>55</v>
      </c>
      <c r="E29" s="65"/>
      <c r="F29" s="229" t="s">
        <v>51</v>
      </c>
      <c r="G29" s="186"/>
      <c r="H29" s="223">
        <f>SUM('Rates Detail'!I15:I17,'Rates Detail'!I22:I24)</f>
        <v>-2.9000000000000002E-3</v>
      </c>
      <c r="I29" s="185">
        <f>I26</f>
        <v>800</v>
      </c>
      <c r="J29" s="225">
        <f>I29*H29</f>
        <v>-2.3200000000000003</v>
      </c>
      <c r="K29" s="149"/>
      <c r="L29" s="223">
        <f>SUM('Rates Detail'!J15:J18,'Rates Detail'!J22:J24)</f>
        <v>-6.4000000000000003E-3</v>
      </c>
      <c r="M29" s="187">
        <v>800</v>
      </c>
      <c r="N29" s="225">
        <f t="shared" si="1"/>
        <v>-5.12</v>
      </c>
      <c r="O29" s="149"/>
      <c r="P29" s="193">
        <f t="shared" si="2"/>
        <v>-2.8</v>
      </c>
      <c r="Q29" s="234">
        <f t="shared" si="3"/>
        <v>1.2068965517241377</v>
      </c>
    </row>
    <row r="30" spans="2:20" x14ac:dyDescent="0.2">
      <c r="D30" s="67" t="s">
        <v>52</v>
      </c>
      <c r="E30" s="65"/>
      <c r="F30" s="229" t="s">
        <v>51</v>
      </c>
      <c r="G30" s="186"/>
      <c r="H30" s="223">
        <f>+'Rates Detail'!I27</f>
        <v>2.0000000000000001E-4</v>
      </c>
      <c r="I30" s="185">
        <f>I25</f>
        <v>800</v>
      </c>
      <c r="J30" s="225">
        <f>I30*H30</f>
        <v>0.16</v>
      </c>
      <c r="K30" s="149"/>
      <c r="L30" s="223">
        <f>+'Rates Detail'!J27</f>
        <v>2.0000000000000001E-4</v>
      </c>
      <c r="M30" s="187">
        <f>M25</f>
        <v>800</v>
      </c>
      <c r="N30" s="225">
        <f t="shared" si="1"/>
        <v>0.16</v>
      </c>
      <c r="O30" s="149"/>
      <c r="P30" s="193">
        <f t="shared" si="2"/>
        <v>0</v>
      </c>
      <c r="Q30" s="234">
        <f t="shared" si="3"/>
        <v>0</v>
      </c>
    </row>
    <row r="31" spans="2:20" x14ac:dyDescent="0.2">
      <c r="D31" s="76"/>
      <c r="E31" s="65"/>
      <c r="F31" s="229"/>
      <c r="G31" s="186"/>
      <c r="H31" s="224"/>
      <c r="I31" s="191"/>
      <c r="J31" s="225">
        <f t="shared" ref="J31:J33" si="4">I31*H31</f>
        <v>0</v>
      </c>
      <c r="K31" s="149"/>
      <c r="L31" s="224"/>
      <c r="M31" s="192"/>
      <c r="N31" s="225">
        <f t="shared" ref="N31:N33" si="5">M31*L31</f>
        <v>0</v>
      </c>
      <c r="O31" s="149"/>
      <c r="P31" s="193">
        <f t="shared" ref="P31:P51" si="6">N31-J31</f>
        <v>0</v>
      </c>
      <c r="Q31" s="234" t="str">
        <f t="shared" si="3"/>
        <v/>
      </c>
    </row>
    <row r="32" spans="2:20" x14ac:dyDescent="0.2">
      <c r="D32" s="76"/>
      <c r="E32" s="65"/>
      <c r="F32" s="229"/>
      <c r="G32" s="186"/>
      <c r="H32" s="224"/>
      <c r="I32" s="191"/>
      <c r="J32" s="225">
        <f t="shared" si="4"/>
        <v>0</v>
      </c>
      <c r="K32" s="149"/>
      <c r="L32" s="224"/>
      <c r="M32" s="192"/>
      <c r="N32" s="225">
        <f t="shared" si="5"/>
        <v>0</v>
      </c>
      <c r="O32" s="149"/>
      <c r="P32" s="193">
        <f t="shared" si="6"/>
        <v>0</v>
      </c>
      <c r="Q32" s="234" t="str">
        <f t="shared" si="3"/>
        <v/>
      </c>
    </row>
    <row r="33" spans="4:21" ht="13.5" thickBot="1" x14ac:dyDescent="0.25">
      <c r="D33" s="76"/>
      <c r="E33" s="65"/>
      <c r="F33" s="229"/>
      <c r="G33" s="186"/>
      <c r="H33" s="224"/>
      <c r="I33" s="194"/>
      <c r="J33" s="225">
        <f t="shared" si="4"/>
        <v>0</v>
      </c>
      <c r="K33" s="149"/>
      <c r="L33" s="224"/>
      <c r="M33" s="195"/>
      <c r="N33" s="225">
        <f t="shared" si="5"/>
        <v>0</v>
      </c>
      <c r="O33" s="149"/>
      <c r="P33" s="193">
        <f t="shared" si="6"/>
        <v>0</v>
      </c>
      <c r="Q33" s="234" t="str">
        <f t="shared" si="3"/>
        <v/>
      </c>
      <c r="S33" s="138"/>
      <c r="T33" s="138"/>
      <c r="U33" s="137"/>
    </row>
    <row r="34" spans="4:21" ht="13.5" thickBot="1" x14ac:dyDescent="0.25">
      <c r="D34" s="55" t="s">
        <v>57</v>
      </c>
      <c r="F34" s="54"/>
      <c r="G34" s="230"/>
      <c r="H34" s="196"/>
      <c r="I34" s="197"/>
      <c r="J34" s="82">
        <f>SUM(J21:J33)</f>
        <v>25.796896</v>
      </c>
      <c r="K34" s="54"/>
      <c r="L34" s="196"/>
      <c r="M34" s="198"/>
      <c r="N34" s="82">
        <f>SUM(N21:N33)</f>
        <v>22.006895999999998</v>
      </c>
      <c r="O34" s="54"/>
      <c r="P34" s="84">
        <f t="shared" si="6"/>
        <v>-3.7900000000000027</v>
      </c>
      <c r="Q34" s="85">
        <f t="shared" ref="Q34:Q51" si="7">IF((J34)=0,"",(P34/J34))</f>
        <v>-0.14691690038987645</v>
      </c>
    </row>
    <row r="35" spans="4:21" x14ac:dyDescent="0.2">
      <c r="D35" s="86" t="s">
        <v>58</v>
      </c>
      <c r="E35" s="86"/>
      <c r="F35" s="231" t="s">
        <v>51</v>
      </c>
      <c r="G35" s="232"/>
      <c r="H35" s="226">
        <f>+'Rates Detail'!I29</f>
        <v>7.3000000000000001E-3</v>
      </c>
      <c r="I35" s="199">
        <f>+H16</f>
        <v>800</v>
      </c>
      <c r="J35" s="227">
        <f>I35*H35</f>
        <v>5.84</v>
      </c>
      <c r="K35" s="200"/>
      <c r="L35" s="226">
        <f>+'Rates Detail'!J29</f>
        <v>7.6E-3</v>
      </c>
      <c r="M35" s="201">
        <f>+I35</f>
        <v>800</v>
      </c>
      <c r="N35" s="227">
        <f>M35*L35</f>
        <v>6.08</v>
      </c>
      <c r="O35" s="200"/>
      <c r="P35" s="202">
        <f t="shared" si="6"/>
        <v>0.24000000000000021</v>
      </c>
      <c r="Q35" s="228">
        <f t="shared" si="7"/>
        <v>4.1095890410958943E-2</v>
      </c>
    </row>
    <row r="36" spans="4:21" ht="26.25" thickBot="1" x14ac:dyDescent="0.25">
      <c r="D36" s="95" t="s">
        <v>59</v>
      </c>
      <c r="E36" s="86"/>
      <c r="F36" s="231" t="s">
        <v>51</v>
      </c>
      <c r="G36" s="232"/>
      <c r="H36" s="226">
        <f>+'Rates Detail'!I30</f>
        <v>5.7000000000000002E-3</v>
      </c>
      <c r="I36" s="199">
        <f>I35</f>
        <v>800</v>
      </c>
      <c r="J36" s="227">
        <f>I36*H36</f>
        <v>4.5600000000000005</v>
      </c>
      <c r="K36" s="200"/>
      <c r="L36" s="226">
        <f>+'Rates Detail'!J30</f>
        <v>5.7999999999999996E-3</v>
      </c>
      <c r="M36" s="201">
        <f>M35</f>
        <v>800</v>
      </c>
      <c r="N36" s="227">
        <f>M36*L36</f>
        <v>4.6399999999999997</v>
      </c>
      <c r="O36" s="200"/>
      <c r="P36" s="202">
        <f t="shared" si="6"/>
        <v>7.9999999999999183E-2</v>
      </c>
      <c r="Q36" s="228">
        <f t="shared" si="7"/>
        <v>1.7543859649122626E-2</v>
      </c>
    </row>
    <row r="37" spans="4:21" ht="26.25" thickBot="1" x14ac:dyDescent="0.25">
      <c r="D37" s="96" t="s">
        <v>60</v>
      </c>
      <c r="E37" s="65"/>
      <c r="F37" s="149"/>
      <c r="G37" s="186"/>
      <c r="H37" s="203"/>
      <c r="I37" s="204"/>
      <c r="J37" s="99">
        <f>SUM(J34:J36)</f>
        <v>36.196896000000002</v>
      </c>
      <c r="K37" s="100"/>
      <c r="L37" s="101"/>
      <c r="M37" s="102"/>
      <c r="N37" s="99">
        <f>SUM(N34:N36)</f>
        <v>32.726895999999996</v>
      </c>
      <c r="O37" s="100"/>
      <c r="P37" s="103">
        <f t="shared" si="6"/>
        <v>-3.470000000000006</v>
      </c>
      <c r="Q37" s="104">
        <f t="shared" si="7"/>
        <v>-9.5864573581116067E-2</v>
      </c>
    </row>
    <row r="38" spans="4:21" ht="25.5" x14ac:dyDescent="0.2">
      <c r="D38" s="75" t="s">
        <v>61</v>
      </c>
      <c r="E38" s="65"/>
      <c r="F38" s="229" t="s">
        <v>51</v>
      </c>
      <c r="G38" s="186"/>
      <c r="H38" s="147">
        <f>+'Rates Detail'!I33</f>
        <v>4.4000000000000003E-3</v>
      </c>
      <c r="I38" s="233">
        <f>ROUND(H16*(1+H53),0)</f>
        <v>829</v>
      </c>
      <c r="J38" s="205">
        <f>I38*H38</f>
        <v>3.6476000000000002</v>
      </c>
      <c r="K38" s="149"/>
      <c r="L38" s="147">
        <f>+'Rates Detail'!J33</f>
        <v>4.4000000000000003E-3</v>
      </c>
      <c r="M38" s="187">
        <f>+I38</f>
        <v>829</v>
      </c>
      <c r="N38" s="205">
        <f>M38*L38</f>
        <v>3.6476000000000002</v>
      </c>
      <c r="O38" s="149"/>
      <c r="P38" s="193">
        <f t="shared" si="6"/>
        <v>0</v>
      </c>
      <c r="Q38" s="206">
        <f t="shared" si="7"/>
        <v>0</v>
      </c>
    </row>
    <row r="39" spans="4:21" ht="25.5" x14ac:dyDescent="0.2">
      <c r="D39" s="75" t="s">
        <v>62</v>
      </c>
      <c r="E39" s="65"/>
      <c r="F39" s="229" t="s">
        <v>51</v>
      </c>
      <c r="G39" s="186"/>
      <c r="H39" s="147">
        <f>+'Rates Detail'!I34</f>
        <v>1.1999999999999999E-3</v>
      </c>
      <c r="I39" s="185">
        <f>+I38</f>
        <v>829</v>
      </c>
      <c r="J39" s="205">
        <f t="shared" ref="J39:J46" si="8">I39*H39</f>
        <v>0.99479999999999991</v>
      </c>
      <c r="K39" s="149"/>
      <c r="L39" s="147">
        <f>+'Rates Detail'!J34</f>
        <v>1.1999999999999999E-3</v>
      </c>
      <c r="M39" s="187">
        <f>+M38</f>
        <v>829</v>
      </c>
      <c r="N39" s="205">
        <f t="shared" ref="N39:N46" si="9">M39*L39</f>
        <v>0.99479999999999991</v>
      </c>
      <c r="O39" s="149"/>
      <c r="P39" s="193">
        <f t="shared" si="6"/>
        <v>0</v>
      </c>
      <c r="Q39" s="206">
        <f t="shared" si="7"/>
        <v>0</v>
      </c>
    </row>
    <row r="40" spans="4:21" x14ac:dyDescent="0.2">
      <c r="D40" s="75" t="s">
        <v>63</v>
      </c>
      <c r="E40" s="65"/>
      <c r="F40" s="229"/>
      <c r="G40" s="186"/>
      <c r="H40" s="148"/>
      <c r="I40" s="185">
        <f>I36</f>
        <v>800</v>
      </c>
      <c r="J40" s="205">
        <f t="shared" si="8"/>
        <v>0</v>
      </c>
      <c r="K40" s="149"/>
      <c r="L40" s="148"/>
      <c r="M40" s="187">
        <f>M36</f>
        <v>800</v>
      </c>
      <c r="N40" s="205">
        <f t="shared" si="9"/>
        <v>0</v>
      </c>
      <c r="O40" s="149"/>
      <c r="P40" s="193">
        <f t="shared" si="6"/>
        <v>0</v>
      </c>
      <c r="Q40" s="206" t="str">
        <f t="shared" si="7"/>
        <v/>
      </c>
    </row>
    <row r="41" spans="4:21" x14ac:dyDescent="0.2">
      <c r="D41" s="65" t="s">
        <v>64</v>
      </c>
      <c r="E41" s="65"/>
      <c r="F41" s="229" t="s">
        <v>1</v>
      </c>
      <c r="G41" s="186"/>
      <c r="H41" s="147">
        <v>0.25</v>
      </c>
      <c r="I41" s="185">
        <v>1</v>
      </c>
      <c r="J41" s="205">
        <f t="shared" si="8"/>
        <v>0.25</v>
      </c>
      <c r="K41" s="149"/>
      <c r="L41" s="147">
        <v>0.25</v>
      </c>
      <c r="M41" s="187">
        <v>1</v>
      </c>
      <c r="N41" s="205">
        <f t="shared" si="9"/>
        <v>0.25</v>
      </c>
      <c r="O41" s="149"/>
      <c r="P41" s="193">
        <f t="shared" si="6"/>
        <v>0</v>
      </c>
      <c r="Q41" s="206">
        <f t="shared" si="7"/>
        <v>0</v>
      </c>
    </row>
    <row r="42" spans="4:21" x14ac:dyDescent="0.2">
      <c r="D42" s="65" t="s">
        <v>65</v>
      </c>
      <c r="E42" s="65"/>
      <c r="F42" s="229" t="s">
        <v>51</v>
      </c>
      <c r="G42" s="186"/>
      <c r="H42" s="147">
        <v>7.0000000000000001E-3</v>
      </c>
      <c r="I42" s="185">
        <f>+I36</f>
        <v>800</v>
      </c>
      <c r="J42" s="205">
        <f t="shared" si="8"/>
        <v>5.6000000000000005</v>
      </c>
      <c r="K42" s="149"/>
      <c r="L42" s="147">
        <f>+H42</f>
        <v>7.0000000000000001E-3</v>
      </c>
      <c r="M42" s="187">
        <f>+M36</f>
        <v>800</v>
      </c>
      <c r="N42" s="205">
        <f t="shared" si="9"/>
        <v>5.6000000000000005</v>
      </c>
      <c r="O42" s="149"/>
      <c r="P42" s="193">
        <f t="shared" si="6"/>
        <v>0</v>
      </c>
      <c r="Q42" s="206">
        <f t="shared" si="7"/>
        <v>0</v>
      </c>
    </row>
    <row r="43" spans="4:21" x14ac:dyDescent="0.2">
      <c r="D43" s="65" t="s">
        <v>115</v>
      </c>
      <c r="E43" s="65"/>
      <c r="F43" s="229" t="s">
        <v>51</v>
      </c>
      <c r="G43" s="186"/>
      <c r="H43" s="147">
        <f>+'RES-RPP'!H45</f>
        <v>6.7000000000000004E-2</v>
      </c>
      <c r="I43" s="185">
        <f>+I42*0.64</f>
        <v>512</v>
      </c>
      <c r="J43" s="205">
        <f t="shared" si="8"/>
        <v>34.304000000000002</v>
      </c>
      <c r="K43" s="149"/>
      <c r="L43" s="147">
        <f>+H43</f>
        <v>6.7000000000000004E-2</v>
      </c>
      <c r="M43" s="187">
        <f>+I43</f>
        <v>512</v>
      </c>
      <c r="N43" s="205">
        <f t="shared" si="9"/>
        <v>34.304000000000002</v>
      </c>
      <c r="O43" s="149"/>
      <c r="P43" s="193">
        <f t="shared" si="6"/>
        <v>0</v>
      </c>
      <c r="Q43" s="206">
        <f t="shared" si="7"/>
        <v>0</v>
      </c>
    </row>
    <row r="44" spans="4:21" x14ac:dyDescent="0.2">
      <c r="D44" s="65" t="s">
        <v>116</v>
      </c>
      <c r="E44" s="65"/>
      <c r="F44" s="229" t="s">
        <v>51</v>
      </c>
      <c r="G44" s="186"/>
      <c r="H44" s="147">
        <f>+'RES-RPP'!H46</f>
        <v>0.104</v>
      </c>
      <c r="I44" s="185">
        <f>+I42*0.18</f>
        <v>144</v>
      </c>
      <c r="J44" s="205">
        <f t="shared" si="8"/>
        <v>14.975999999999999</v>
      </c>
      <c r="K44" s="149"/>
      <c r="L44" s="147">
        <f>+H44</f>
        <v>0.104</v>
      </c>
      <c r="M44" s="187">
        <f>+I44</f>
        <v>144</v>
      </c>
      <c r="N44" s="205">
        <f t="shared" si="9"/>
        <v>14.975999999999999</v>
      </c>
      <c r="O44" s="149"/>
      <c r="P44" s="193">
        <f t="shared" ref="P44" si="10">N44-J44</f>
        <v>0</v>
      </c>
      <c r="Q44" s="206">
        <f t="shared" ref="Q44" si="11">IF((J44)=0,"",(P44/J44))</f>
        <v>0</v>
      </c>
    </row>
    <row r="45" spans="4:21" x14ac:dyDescent="0.2">
      <c r="D45" s="65" t="s">
        <v>117</v>
      </c>
      <c r="E45" s="65"/>
      <c r="F45" s="229" t="s">
        <v>51</v>
      </c>
      <c r="G45" s="186"/>
      <c r="H45" s="147">
        <f>+'RES-RPP'!H47</f>
        <v>0.124</v>
      </c>
      <c r="I45" s="207">
        <f>+I42*0.18</f>
        <v>144</v>
      </c>
      <c r="J45" s="205">
        <f t="shared" si="8"/>
        <v>17.856000000000002</v>
      </c>
      <c r="K45" s="149"/>
      <c r="L45" s="147">
        <f>+H45</f>
        <v>0.124</v>
      </c>
      <c r="M45" s="187">
        <f>+I45</f>
        <v>144</v>
      </c>
      <c r="N45" s="205">
        <f t="shared" si="9"/>
        <v>17.856000000000002</v>
      </c>
      <c r="O45" s="149"/>
      <c r="P45" s="193">
        <f t="shared" si="6"/>
        <v>0</v>
      </c>
      <c r="Q45" s="206">
        <f t="shared" si="7"/>
        <v>0</v>
      </c>
    </row>
    <row r="46" spans="4:21" ht="13.5" thickBot="1" x14ac:dyDescent="0.25">
      <c r="D46" s="76"/>
      <c r="E46" s="65"/>
      <c r="F46" s="229"/>
      <c r="G46" s="186"/>
      <c r="H46" s="147"/>
      <c r="I46" s="194"/>
      <c r="J46" s="205">
        <f t="shared" si="8"/>
        <v>0</v>
      </c>
      <c r="K46" s="149"/>
      <c r="L46" s="147"/>
      <c r="M46" s="195"/>
      <c r="N46" s="205">
        <f t="shared" si="9"/>
        <v>0</v>
      </c>
      <c r="O46" s="149"/>
      <c r="P46" s="193">
        <f t="shared" si="6"/>
        <v>0</v>
      </c>
      <c r="Q46" s="206" t="str">
        <f t="shared" si="7"/>
        <v/>
      </c>
    </row>
    <row r="47" spans="4:21" ht="13.5" thickBot="1" x14ac:dyDescent="0.25">
      <c r="D47" s="113" t="s">
        <v>67</v>
      </c>
      <c r="E47" s="65"/>
      <c r="F47" s="149"/>
      <c r="G47" s="149"/>
      <c r="H47" s="209"/>
      <c r="I47" s="210"/>
      <c r="J47" s="99">
        <f>SUM(J37:J46)</f>
        <v>113.82529600000001</v>
      </c>
      <c r="K47" s="100"/>
      <c r="L47" s="116"/>
      <c r="M47" s="117"/>
      <c r="N47" s="99">
        <f>SUM(N37:N46)</f>
        <v>110.35529599999998</v>
      </c>
      <c r="O47" s="100"/>
      <c r="P47" s="103">
        <f t="shared" si="6"/>
        <v>-3.4700000000000273</v>
      </c>
      <c r="Q47" s="104">
        <f t="shared" si="7"/>
        <v>-3.0485314969003263E-2</v>
      </c>
    </row>
    <row r="48" spans="4:21" ht="13.5" thickBot="1" x14ac:dyDescent="0.25">
      <c r="D48" s="67" t="s">
        <v>68</v>
      </c>
      <c r="E48" s="65"/>
      <c r="F48" s="149"/>
      <c r="G48" s="149"/>
      <c r="H48" s="211">
        <v>0.13</v>
      </c>
      <c r="I48" s="212"/>
      <c r="J48" s="213">
        <f>J47*H48</f>
        <v>14.797288480000002</v>
      </c>
      <c r="K48" s="149"/>
      <c r="L48" s="211">
        <v>0.13</v>
      </c>
      <c r="M48" s="214"/>
      <c r="N48" s="213">
        <f>N47*L48</f>
        <v>14.346188479999999</v>
      </c>
      <c r="O48" s="149"/>
      <c r="P48" s="193">
        <f t="shared" si="6"/>
        <v>-0.45110000000000383</v>
      </c>
      <c r="Q48" s="206">
        <f t="shared" si="7"/>
        <v>-3.0485314969003276E-2</v>
      </c>
    </row>
    <row r="49" spans="2:17" ht="26.25" thickBot="1" x14ac:dyDescent="0.25">
      <c r="D49" s="96" t="s">
        <v>69</v>
      </c>
      <c r="E49" s="65"/>
      <c r="F49" s="149"/>
      <c r="G49" s="149"/>
      <c r="H49" s="203"/>
      <c r="I49" s="204"/>
      <c r="J49" s="99">
        <f>ROUND(SUM(J47:J48),2)</f>
        <v>128.62</v>
      </c>
      <c r="K49" s="100"/>
      <c r="L49" s="101"/>
      <c r="M49" s="102"/>
      <c r="N49" s="99">
        <f>ROUND(SUM(N47:N48),2)</f>
        <v>124.7</v>
      </c>
      <c r="O49" s="100"/>
      <c r="P49" s="103">
        <f t="shared" si="6"/>
        <v>-3.9200000000000017</v>
      </c>
      <c r="Q49" s="104">
        <f t="shared" si="7"/>
        <v>-3.0477375213808128E-2</v>
      </c>
    </row>
    <row r="50" spans="2:17" ht="27.75" thickBot="1" x14ac:dyDescent="0.25">
      <c r="D50" s="122" t="s">
        <v>70</v>
      </c>
      <c r="E50" s="65"/>
      <c r="F50" s="149"/>
      <c r="G50" s="149"/>
      <c r="H50" s="203"/>
      <c r="I50" s="215"/>
      <c r="J50" s="99">
        <f>ROUND(-J49*10%,2)</f>
        <v>-12.86</v>
      </c>
      <c r="K50" s="100"/>
      <c r="L50" s="101"/>
      <c r="M50" s="102"/>
      <c r="N50" s="99">
        <f>ROUND(-N49*10%,2)</f>
        <v>-12.47</v>
      </c>
      <c r="O50" s="100"/>
      <c r="P50" s="103">
        <f t="shared" si="6"/>
        <v>0.38999999999999879</v>
      </c>
      <c r="Q50" s="104">
        <f t="shared" si="7"/>
        <v>-3.0326594090202084E-2</v>
      </c>
    </row>
    <row r="51" spans="2:17" ht="13.5" thickBot="1" x14ac:dyDescent="0.25">
      <c r="D51" s="96" t="s">
        <v>71</v>
      </c>
      <c r="E51" s="65"/>
      <c r="F51" s="149"/>
      <c r="G51" s="149"/>
      <c r="H51" s="216"/>
      <c r="I51" s="217"/>
      <c r="J51" s="126">
        <f>J49+J50</f>
        <v>115.76</v>
      </c>
      <c r="K51" s="100"/>
      <c r="L51" s="127"/>
      <c r="M51" s="128"/>
      <c r="N51" s="126">
        <f>N49+N50</f>
        <v>112.23</v>
      </c>
      <c r="O51" s="100"/>
      <c r="P51" s="129">
        <f t="shared" si="6"/>
        <v>-3.5300000000000011</v>
      </c>
      <c r="Q51" s="130">
        <f t="shared" si="7"/>
        <v>-3.0494125777470637E-2</v>
      </c>
    </row>
    <row r="52" spans="2:17" ht="10.5" customHeight="1" x14ac:dyDescent="0.2"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2:17" x14ac:dyDescent="0.2">
      <c r="D53" s="55" t="s">
        <v>72</v>
      </c>
      <c r="F53" s="54"/>
      <c r="G53" s="54"/>
      <c r="H53" s="218">
        <v>3.5999999999999997E-2</v>
      </c>
      <c r="I53" s="54"/>
      <c r="J53" s="54"/>
      <c r="K53" s="54"/>
      <c r="L53" s="219">
        <f>+H53</f>
        <v>3.5999999999999997E-2</v>
      </c>
      <c r="M53" s="54"/>
      <c r="N53" s="54"/>
      <c r="O53" s="54"/>
      <c r="P53" s="151"/>
      <c r="Q53" s="152"/>
    </row>
    <row r="54" spans="2:17" ht="10.5" customHeight="1" x14ac:dyDescent="0.2"/>
    <row r="55" spans="2:17" ht="10.5" customHeight="1" x14ac:dyDescent="0.2">
      <c r="C55" s="133" t="s">
        <v>73</v>
      </c>
    </row>
    <row r="56" spans="2:17" ht="10.5" customHeight="1" x14ac:dyDescent="0.2"/>
    <row r="57" spans="2:17" x14ac:dyDescent="0.2">
      <c r="B57" s="55"/>
      <c r="C57" s="49" t="s">
        <v>74</v>
      </c>
    </row>
    <row r="58" spans="2:17" x14ac:dyDescent="0.2">
      <c r="C58" s="49" t="s">
        <v>75</v>
      </c>
    </row>
    <row r="60" spans="2:17" x14ac:dyDescent="0.2">
      <c r="C60" s="49" t="s">
        <v>76</v>
      </c>
    </row>
    <row r="61" spans="2:17" x14ac:dyDescent="0.2">
      <c r="C61" s="49" t="s">
        <v>77</v>
      </c>
    </row>
    <row r="63" spans="2:17" x14ac:dyDescent="0.2">
      <c r="C63" s="49" t="s">
        <v>78</v>
      </c>
    </row>
    <row r="64" spans="2:17" x14ac:dyDescent="0.2">
      <c r="C64" s="49" t="s">
        <v>79</v>
      </c>
    </row>
    <row r="65" spans="3:3" x14ac:dyDescent="0.2">
      <c r="C65" s="49" t="s">
        <v>80</v>
      </c>
    </row>
    <row r="66" spans="3:3" x14ac:dyDescent="0.2">
      <c r="C66" s="49" t="s">
        <v>81</v>
      </c>
    </row>
    <row r="67" spans="3:3" x14ac:dyDescent="0.2">
      <c r="C67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8:F46 F35:F36 F21:F33">
      <formula1>"Monthly, per kWh, per kW"</formula1>
    </dataValidation>
    <dataValidation type="list" allowBlank="1" showInputMessage="1" showErrorMessage="1" sqref="G35:G36 G38:G46 G21:G33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59055118110236227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"/>
  <sheetViews>
    <sheetView showGridLines="0" topLeftCell="A2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7.2851562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9.7109375" style="49" customWidth="1"/>
    <col min="15" max="15" width="2.85546875" style="49" customWidth="1"/>
    <col min="16" max="16" width="8.85546875" style="49" customWidth="1"/>
    <col min="17" max="17" width="8.7109375" style="49" customWidth="1"/>
    <col min="18" max="18" width="3.85546875" style="49" customWidth="1"/>
    <col min="19" max="19" width="9.7109375" style="49" bestFit="1" customWidth="1"/>
    <col min="20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82" t="s">
        <v>84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2000</v>
      </c>
      <c r="I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L19" s="60" t="s">
        <v>44</v>
      </c>
      <c r="M19" s="62" t="s">
        <v>45</v>
      </c>
      <c r="N19" s="61" t="s">
        <v>46</v>
      </c>
      <c r="P19" s="276" t="s">
        <v>47</v>
      </c>
      <c r="Q19" s="278" t="s">
        <v>48</v>
      </c>
    </row>
    <row r="20" spans="2:17" x14ac:dyDescent="0.2">
      <c r="B20" s="57"/>
      <c r="D20" s="54"/>
      <c r="F20" s="275"/>
      <c r="G20" s="59"/>
      <c r="H20" s="63" t="s">
        <v>49</v>
      </c>
      <c r="I20" s="63"/>
      <c r="J20" s="64" t="s">
        <v>49</v>
      </c>
      <c r="L20" s="63" t="s">
        <v>49</v>
      </c>
      <c r="M20" s="64"/>
      <c r="N20" s="64" t="s">
        <v>49</v>
      </c>
      <c r="P20" s="277"/>
      <c r="Q20" s="279"/>
    </row>
    <row r="21" spans="2:17" x14ac:dyDescent="0.2">
      <c r="D21" s="65" t="s">
        <v>6</v>
      </c>
      <c r="E21" s="65"/>
      <c r="F21" s="229" t="s">
        <v>1</v>
      </c>
      <c r="G21" s="186"/>
      <c r="H21" s="235">
        <f>+'Rates Detail'!I45</f>
        <v>39.49</v>
      </c>
      <c r="I21" s="185">
        <v>1</v>
      </c>
      <c r="J21" s="225">
        <f>I21*H21</f>
        <v>39.49</v>
      </c>
      <c r="K21" s="149"/>
      <c r="L21" s="235">
        <f>+'Rates Detail'!J45</f>
        <v>39.880000000000003</v>
      </c>
      <c r="M21" s="187">
        <v>1</v>
      </c>
      <c r="N21" s="225">
        <f>M21*L21</f>
        <v>39.880000000000003</v>
      </c>
      <c r="O21" s="149"/>
      <c r="P21" s="193">
        <f>N21-J21</f>
        <v>0.39000000000000057</v>
      </c>
      <c r="Q21" s="234">
        <f>IF((J21)=0,"",(P21/J21))</f>
        <v>9.8759179539123967E-3</v>
      </c>
    </row>
    <row r="22" spans="2:17" x14ac:dyDescent="0.2">
      <c r="D22" s="65" t="s">
        <v>104</v>
      </c>
      <c r="E22" s="65"/>
      <c r="F22" s="229" t="s">
        <v>1</v>
      </c>
      <c r="G22" s="186"/>
      <c r="H22" s="235">
        <f>'Rates Detail'!I48</f>
        <v>0.79</v>
      </c>
      <c r="I22" s="185">
        <v>1</v>
      </c>
      <c r="J22" s="225">
        <f t="shared" ref="J22:J31" si="0">I22*H22</f>
        <v>0.79</v>
      </c>
      <c r="K22" s="149"/>
      <c r="L22" s="235">
        <f>'Rates Detail'!J48</f>
        <v>0.79</v>
      </c>
      <c r="M22" s="187">
        <v>1</v>
      </c>
      <c r="N22" s="225">
        <f>M22*L22</f>
        <v>0.79</v>
      </c>
      <c r="O22" s="149"/>
      <c r="P22" s="193">
        <f>N22-J22</f>
        <v>0</v>
      </c>
      <c r="Q22" s="234">
        <f>IF((J22)=0,"",(P22/J22))</f>
        <v>0</v>
      </c>
    </row>
    <row r="23" spans="2:17" x14ac:dyDescent="0.2">
      <c r="D23" s="65" t="s">
        <v>53</v>
      </c>
      <c r="E23" s="65"/>
      <c r="F23" s="229" t="s">
        <v>1</v>
      </c>
      <c r="G23" s="186"/>
      <c r="H23" s="235">
        <f>+'Rates Detail'!I47</f>
        <v>15.45</v>
      </c>
      <c r="I23" s="185">
        <v>1</v>
      </c>
      <c r="J23" s="225">
        <f>I23*H23</f>
        <v>15.45</v>
      </c>
      <c r="K23" s="149"/>
      <c r="L23" s="235">
        <f>+'Rates Detail'!J47</f>
        <v>0</v>
      </c>
      <c r="M23" s="187">
        <v>1</v>
      </c>
      <c r="N23" s="225">
        <f>M23*L23</f>
        <v>0</v>
      </c>
      <c r="O23" s="149"/>
      <c r="P23" s="193">
        <f>N23-J23</f>
        <v>-15.45</v>
      </c>
      <c r="Q23" s="234">
        <f>IF((J23)=0,"",(P23/J23))</f>
        <v>-1</v>
      </c>
    </row>
    <row r="24" spans="2:17" x14ac:dyDescent="0.2">
      <c r="D24" s="65" t="s">
        <v>56</v>
      </c>
      <c r="E24" s="65"/>
      <c r="F24" s="229" t="s">
        <v>1</v>
      </c>
      <c r="G24" s="186"/>
      <c r="H24" s="235">
        <f>+'Rates Detail'!I46</f>
        <v>16.670000000000002</v>
      </c>
      <c r="I24" s="189">
        <v>1</v>
      </c>
      <c r="J24" s="225">
        <f>I24*H24</f>
        <v>16.670000000000002</v>
      </c>
      <c r="K24" s="149"/>
      <c r="L24" s="235">
        <f>+'Rates Detail'!J46</f>
        <v>0</v>
      </c>
      <c r="M24" s="190">
        <v>1</v>
      </c>
      <c r="N24" s="225">
        <f>M24*L24</f>
        <v>0</v>
      </c>
      <c r="O24" s="149"/>
      <c r="P24" s="193">
        <f>N24-J24</f>
        <v>-16.670000000000002</v>
      </c>
      <c r="Q24" s="234">
        <f>IF((J24)=0,"",(P24/J24))</f>
        <v>-1</v>
      </c>
    </row>
    <row r="25" spans="2:17" x14ac:dyDescent="0.2">
      <c r="D25" s="65" t="s">
        <v>12</v>
      </c>
      <c r="E25" s="65"/>
      <c r="F25" s="229" t="s">
        <v>51</v>
      </c>
      <c r="G25" s="186"/>
      <c r="H25" s="224">
        <f>+'Rates Detail'!I52</f>
        <v>1.15E-2</v>
      </c>
      <c r="I25" s="185">
        <f>H16</f>
        <v>2000</v>
      </c>
      <c r="J25" s="225">
        <f t="shared" si="0"/>
        <v>23</v>
      </c>
      <c r="K25" s="149"/>
      <c r="L25" s="224">
        <f>+'Rates Detail'!J52</f>
        <v>1.1599999999999999E-2</v>
      </c>
      <c r="M25" s="187">
        <f>H16</f>
        <v>2000</v>
      </c>
      <c r="N25" s="225">
        <f t="shared" ref="N25:N31" si="1">M25*L25</f>
        <v>23.2</v>
      </c>
      <c r="O25" s="149"/>
      <c r="P25" s="193">
        <f t="shared" ref="P25:P49" si="2">N25-J25</f>
        <v>0.19999999999999929</v>
      </c>
      <c r="Q25" s="234">
        <f t="shared" ref="Q25:Q49" si="3">IF((J25)=0,"",(P25/J25))</f>
        <v>8.6956521739130124E-3</v>
      </c>
    </row>
    <row r="26" spans="2:17" x14ac:dyDescent="0.2">
      <c r="D26" s="65" t="s">
        <v>52</v>
      </c>
      <c r="E26" s="65"/>
      <c r="F26" s="229" t="s">
        <v>51</v>
      </c>
      <c r="G26" s="186"/>
      <c r="H26" s="224">
        <f>+'Rates Detail'!I67</f>
        <v>2.0000000000000001E-4</v>
      </c>
      <c r="I26" s="185">
        <f t="shared" ref="I26" si="4">I25</f>
        <v>2000</v>
      </c>
      <c r="J26" s="225">
        <f t="shared" si="0"/>
        <v>0.4</v>
      </c>
      <c r="K26" s="149"/>
      <c r="L26" s="224">
        <f>+'Rates Detail'!J67</f>
        <v>2.0000000000000001E-4</v>
      </c>
      <c r="M26" s="187">
        <f t="shared" ref="M26" si="5">M25</f>
        <v>2000</v>
      </c>
      <c r="N26" s="225">
        <f t="shared" si="1"/>
        <v>0.4</v>
      </c>
      <c r="O26" s="149"/>
      <c r="P26" s="193">
        <f t="shared" si="2"/>
        <v>0</v>
      </c>
      <c r="Q26" s="234">
        <f t="shared" si="3"/>
        <v>0</v>
      </c>
    </row>
    <row r="27" spans="2:17" x14ac:dyDescent="0.2">
      <c r="D27" s="65" t="s">
        <v>118</v>
      </c>
      <c r="E27" s="65"/>
      <c r="F27" s="229" t="s">
        <v>51</v>
      </c>
      <c r="G27" s="186"/>
      <c r="H27" s="236">
        <f>+J27/I27</f>
        <v>8.3919999999999995E-2</v>
      </c>
      <c r="I27" s="185">
        <f>SUM(I41:I43)*H51</f>
        <v>72</v>
      </c>
      <c r="J27" s="225">
        <f>SUM(J41:J43)*H51</f>
        <v>6.0422399999999996</v>
      </c>
      <c r="K27" s="149"/>
      <c r="L27" s="236">
        <f>+N27/M27</f>
        <v>8.3919999999999995E-2</v>
      </c>
      <c r="M27" s="185">
        <f>SUM(M41:M43)*L51</f>
        <v>72</v>
      </c>
      <c r="N27" s="225">
        <f>SUM(N41:N43)*L51</f>
        <v>6.0422399999999996</v>
      </c>
      <c r="O27" s="149"/>
      <c r="P27" s="193">
        <f t="shared" si="2"/>
        <v>0</v>
      </c>
      <c r="Q27" s="234">
        <f t="shared" si="3"/>
        <v>0</v>
      </c>
    </row>
    <row r="28" spans="2:17" x14ac:dyDescent="0.2">
      <c r="D28" s="65" t="s">
        <v>54</v>
      </c>
      <c r="E28" s="65"/>
      <c r="F28" s="229" t="s">
        <v>51</v>
      </c>
      <c r="G28" s="186"/>
      <c r="H28" s="236">
        <f>+'Rates Detail'!I60</f>
        <v>2.9999999999999997E-4</v>
      </c>
      <c r="I28" s="185">
        <v>2000</v>
      </c>
      <c r="J28" s="225">
        <f t="shared" si="0"/>
        <v>0.6</v>
      </c>
      <c r="K28" s="149"/>
      <c r="L28" s="224">
        <f>+'Rates Detail'!J60</f>
        <v>2.9999999999999997E-4</v>
      </c>
      <c r="M28" s="187">
        <f>+I28</f>
        <v>2000</v>
      </c>
      <c r="N28" s="225">
        <f t="shared" si="1"/>
        <v>0.6</v>
      </c>
      <c r="O28" s="149"/>
      <c r="P28" s="193">
        <f t="shared" si="2"/>
        <v>0</v>
      </c>
      <c r="Q28" s="234">
        <f t="shared" si="3"/>
        <v>0</v>
      </c>
    </row>
    <row r="29" spans="2:17" x14ac:dyDescent="0.2">
      <c r="D29" s="65" t="s">
        <v>96</v>
      </c>
      <c r="E29" s="65"/>
      <c r="F29" s="229" t="s">
        <v>51</v>
      </c>
      <c r="G29" s="186"/>
      <c r="H29" s="224"/>
      <c r="I29" s="189"/>
      <c r="J29" s="225">
        <f>I29*H29</f>
        <v>0</v>
      </c>
      <c r="K29" s="149"/>
      <c r="L29" s="224">
        <f>'Rates Detail'!I59</f>
        <v>0</v>
      </c>
      <c r="M29" s="190">
        <v>2000</v>
      </c>
      <c r="N29" s="225">
        <f>M29*L29</f>
        <v>0</v>
      </c>
      <c r="O29" s="149"/>
      <c r="P29" s="193">
        <f>N29-J29</f>
        <v>0</v>
      </c>
      <c r="Q29" s="234" t="str">
        <f>IF((J29)=0,"",(P29/J29))</f>
        <v/>
      </c>
    </row>
    <row r="30" spans="2:17" ht="25.5" x14ac:dyDescent="0.2">
      <c r="D30" s="75" t="s">
        <v>55</v>
      </c>
      <c r="E30" s="65"/>
      <c r="F30" s="229" t="s">
        <v>51</v>
      </c>
      <c r="G30" s="186"/>
      <c r="H30" s="224">
        <f>SUM('Rates Detail'!I55:I57)</f>
        <v>-1.5E-3</v>
      </c>
      <c r="I30" s="185">
        <f>I28</f>
        <v>2000</v>
      </c>
      <c r="J30" s="225">
        <f t="shared" si="0"/>
        <v>-3</v>
      </c>
      <c r="K30" s="149"/>
      <c r="L30" s="224">
        <f>SUM('Rates Detail'!J55:J58)</f>
        <v>-2.3E-3</v>
      </c>
      <c r="M30" s="187">
        <f>+I30</f>
        <v>2000</v>
      </c>
      <c r="N30" s="225">
        <f t="shared" si="1"/>
        <v>-4.5999999999999996</v>
      </c>
      <c r="O30" s="149"/>
      <c r="P30" s="193">
        <f t="shared" si="2"/>
        <v>-1.5999999999999996</v>
      </c>
      <c r="Q30" s="234">
        <f t="shared" si="3"/>
        <v>0.53333333333333321</v>
      </c>
    </row>
    <row r="31" spans="2:17" ht="13.5" thickBot="1" x14ac:dyDescent="0.25">
      <c r="D31" s="76"/>
      <c r="E31" s="65"/>
      <c r="F31" s="229"/>
      <c r="G31" s="186"/>
      <c r="H31" s="224"/>
      <c r="I31" s="189"/>
      <c r="J31" s="225">
        <f t="shared" si="0"/>
        <v>0</v>
      </c>
      <c r="K31" s="149"/>
      <c r="L31" s="224"/>
      <c r="M31" s="190"/>
      <c r="N31" s="225">
        <f t="shared" si="1"/>
        <v>0</v>
      </c>
      <c r="O31" s="149"/>
      <c r="P31" s="193">
        <f t="shared" si="2"/>
        <v>0</v>
      </c>
      <c r="Q31" s="234" t="str">
        <f t="shared" si="3"/>
        <v/>
      </c>
    </row>
    <row r="32" spans="2:17" ht="13.5" thickBot="1" x14ac:dyDescent="0.25">
      <c r="D32" s="55" t="s">
        <v>57</v>
      </c>
      <c r="F32" s="54"/>
      <c r="G32" s="230"/>
      <c r="H32" s="196"/>
      <c r="I32" s="197"/>
      <c r="J32" s="82">
        <f>SUM(J21:J31)</f>
        <v>99.442239999999998</v>
      </c>
      <c r="K32" s="54"/>
      <c r="L32" s="196"/>
      <c r="M32" s="198"/>
      <c r="N32" s="82">
        <f>SUM(N21:N31)</f>
        <v>66.312240000000003</v>
      </c>
      <c r="O32" s="54"/>
      <c r="P32" s="84">
        <f t="shared" si="2"/>
        <v>-33.129999999999995</v>
      </c>
      <c r="Q32" s="85">
        <f t="shared" si="3"/>
        <v>-0.33315822330631323</v>
      </c>
    </row>
    <row r="33" spans="4:17" x14ac:dyDescent="0.2">
      <c r="D33" s="86" t="s">
        <v>58</v>
      </c>
      <c r="E33" s="86"/>
      <c r="F33" s="231" t="s">
        <v>51</v>
      </c>
      <c r="G33" s="232"/>
      <c r="H33" s="226">
        <f>+'Rates Detail'!I69</f>
        <v>6.7999999999999996E-3</v>
      </c>
      <c r="I33" s="199">
        <f>+H16</f>
        <v>2000</v>
      </c>
      <c r="J33" s="227">
        <f>I33*H33</f>
        <v>13.6</v>
      </c>
      <c r="K33" s="200"/>
      <c r="L33" s="226">
        <f>+'Rates Detail'!J69</f>
        <v>7.1000000000000004E-3</v>
      </c>
      <c r="M33" s="201">
        <f>+I33</f>
        <v>2000</v>
      </c>
      <c r="N33" s="227">
        <f>M33*L33</f>
        <v>14.200000000000001</v>
      </c>
      <c r="O33" s="200"/>
      <c r="P33" s="202">
        <f t="shared" si="2"/>
        <v>0.60000000000000142</v>
      </c>
      <c r="Q33" s="228">
        <f t="shared" si="3"/>
        <v>4.4117647058823636E-2</v>
      </c>
    </row>
    <row r="34" spans="4:17" ht="26.25" thickBot="1" x14ac:dyDescent="0.25">
      <c r="D34" s="95" t="s">
        <v>59</v>
      </c>
      <c r="E34" s="86"/>
      <c r="F34" s="231" t="s">
        <v>51</v>
      </c>
      <c r="G34" s="232"/>
      <c r="H34" s="226">
        <f>+'Rates Detail'!I70</f>
        <v>5.1999999999999998E-3</v>
      </c>
      <c r="I34" s="199">
        <f>I33</f>
        <v>2000</v>
      </c>
      <c r="J34" s="227">
        <f>I34*H34</f>
        <v>10.4</v>
      </c>
      <c r="K34" s="200"/>
      <c r="L34" s="226">
        <f>+'Rates Detail'!J70</f>
        <v>5.1999999999999998E-3</v>
      </c>
      <c r="M34" s="201">
        <f>M33</f>
        <v>2000</v>
      </c>
      <c r="N34" s="227">
        <f>M34*L34</f>
        <v>10.4</v>
      </c>
      <c r="O34" s="200"/>
      <c r="P34" s="202">
        <f t="shared" si="2"/>
        <v>0</v>
      </c>
      <c r="Q34" s="228">
        <f t="shared" si="3"/>
        <v>0</v>
      </c>
    </row>
    <row r="35" spans="4:17" ht="26.25" thickBot="1" x14ac:dyDescent="0.25">
      <c r="D35" s="96" t="s">
        <v>60</v>
      </c>
      <c r="E35" s="65"/>
      <c r="F35" s="149"/>
      <c r="G35" s="186"/>
      <c r="H35" s="203"/>
      <c r="I35" s="204"/>
      <c r="J35" s="99">
        <f>SUM(J32:J34)</f>
        <v>123.44224</v>
      </c>
      <c r="K35" s="100"/>
      <c r="L35" s="101"/>
      <c r="M35" s="102"/>
      <c r="N35" s="99">
        <f>SUM(N32:N34)</f>
        <v>90.912240000000011</v>
      </c>
      <c r="O35" s="100"/>
      <c r="P35" s="103">
        <f t="shared" si="2"/>
        <v>-32.529999999999987</v>
      </c>
      <c r="Q35" s="104">
        <f t="shared" si="3"/>
        <v>-0.26352405789136674</v>
      </c>
    </row>
    <row r="36" spans="4:17" ht="25.5" x14ac:dyDescent="0.2">
      <c r="D36" s="75" t="s">
        <v>61</v>
      </c>
      <c r="E36" s="65"/>
      <c r="F36" s="229" t="s">
        <v>51</v>
      </c>
      <c r="G36" s="186"/>
      <c r="H36" s="147">
        <f>+'Rates Detail'!I73</f>
        <v>4.4000000000000003E-3</v>
      </c>
      <c r="I36" s="233">
        <f>ROUND(H16*(1+H51),0)</f>
        <v>2072</v>
      </c>
      <c r="J36" s="205">
        <f>I36*H36</f>
        <v>9.1168000000000013</v>
      </c>
      <c r="K36" s="149"/>
      <c r="L36" s="147">
        <f>+'Rates Detail'!J73</f>
        <v>4.4000000000000003E-3</v>
      </c>
      <c r="M36" s="187">
        <f>+I36</f>
        <v>2072</v>
      </c>
      <c r="N36" s="205">
        <f>M36*L36</f>
        <v>9.1168000000000013</v>
      </c>
      <c r="O36" s="149"/>
      <c r="P36" s="193">
        <f t="shared" si="2"/>
        <v>0</v>
      </c>
      <c r="Q36" s="206">
        <f t="shared" si="3"/>
        <v>0</v>
      </c>
    </row>
    <row r="37" spans="4:17" ht="25.5" x14ac:dyDescent="0.2">
      <c r="D37" s="75" t="s">
        <v>62</v>
      </c>
      <c r="E37" s="65"/>
      <c r="F37" s="229" t="s">
        <v>51</v>
      </c>
      <c r="G37" s="186"/>
      <c r="H37" s="147">
        <f>+'Rates Detail'!I74</f>
        <v>1.1999999999999999E-3</v>
      </c>
      <c r="I37" s="185">
        <f>+I36</f>
        <v>2072</v>
      </c>
      <c r="J37" s="205">
        <f t="shared" ref="J37:J44" si="6">I37*H37</f>
        <v>2.4863999999999997</v>
      </c>
      <c r="K37" s="149"/>
      <c r="L37" s="147">
        <f>+'Rates Detail'!J74</f>
        <v>1.1999999999999999E-3</v>
      </c>
      <c r="M37" s="187">
        <f>+M36</f>
        <v>2072</v>
      </c>
      <c r="N37" s="205">
        <f t="shared" ref="N37:N44" si="7">M37*L37</f>
        <v>2.4863999999999997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75" t="s">
        <v>63</v>
      </c>
      <c r="E38" s="65"/>
      <c r="F38" s="229"/>
      <c r="G38" s="186"/>
      <c r="H38" s="148"/>
      <c r="I38" s="185">
        <f>I34</f>
        <v>2000</v>
      </c>
      <c r="J38" s="205">
        <f t="shared" si="6"/>
        <v>0</v>
      </c>
      <c r="K38" s="149"/>
      <c r="L38" s="148"/>
      <c r="M38" s="187">
        <f>M34</f>
        <v>2000</v>
      </c>
      <c r="N38" s="205">
        <f t="shared" si="7"/>
        <v>0</v>
      </c>
      <c r="O38" s="149"/>
      <c r="P38" s="193">
        <f t="shared" si="2"/>
        <v>0</v>
      </c>
      <c r="Q38" s="206" t="str">
        <f t="shared" si="3"/>
        <v/>
      </c>
    </row>
    <row r="39" spans="4:17" x14ac:dyDescent="0.2">
      <c r="D39" s="65" t="s">
        <v>64</v>
      </c>
      <c r="E39" s="65"/>
      <c r="F39" s="229" t="s">
        <v>1</v>
      </c>
      <c r="G39" s="186"/>
      <c r="H39" s="147">
        <v>0.25</v>
      </c>
      <c r="I39" s="185">
        <v>1</v>
      </c>
      <c r="J39" s="205">
        <f t="shared" si="6"/>
        <v>0.25</v>
      </c>
      <c r="K39" s="149"/>
      <c r="L39" s="147">
        <v>0.25</v>
      </c>
      <c r="M39" s="187">
        <v>1</v>
      </c>
      <c r="N39" s="205">
        <f t="shared" si="7"/>
        <v>0.25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65</v>
      </c>
      <c r="E40" s="65"/>
      <c r="F40" s="229" t="s">
        <v>51</v>
      </c>
      <c r="G40" s="186"/>
      <c r="H40" s="147">
        <v>7.0000000000000001E-3</v>
      </c>
      <c r="I40" s="185">
        <f>+I34</f>
        <v>2000</v>
      </c>
      <c r="J40" s="205">
        <f t="shared" si="6"/>
        <v>14</v>
      </c>
      <c r="K40" s="149"/>
      <c r="L40" s="147">
        <f>+H40</f>
        <v>7.0000000000000001E-3</v>
      </c>
      <c r="M40" s="187">
        <f>+M34</f>
        <v>2000</v>
      </c>
      <c r="N40" s="205">
        <f t="shared" si="7"/>
        <v>14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65" t="s">
        <v>115</v>
      </c>
      <c r="E41" s="65"/>
      <c r="F41" s="229" t="s">
        <v>51</v>
      </c>
      <c r="G41" s="186"/>
      <c r="H41" s="147">
        <f>+'RES-RPP'!H45</f>
        <v>6.7000000000000004E-2</v>
      </c>
      <c r="I41" s="233">
        <f>$H$16*0.64</f>
        <v>1280</v>
      </c>
      <c r="J41" s="205">
        <f t="shared" si="6"/>
        <v>85.76</v>
      </c>
      <c r="K41" s="149"/>
      <c r="L41" s="147">
        <f>+H41</f>
        <v>6.7000000000000004E-2</v>
      </c>
      <c r="M41" s="187">
        <f>+I41</f>
        <v>1280</v>
      </c>
      <c r="N41" s="205">
        <f t="shared" si="7"/>
        <v>85.76</v>
      </c>
      <c r="O41" s="149"/>
      <c r="P41" s="193">
        <f t="shared" si="2"/>
        <v>0</v>
      </c>
      <c r="Q41" s="206">
        <f t="shared" si="3"/>
        <v>0</v>
      </c>
    </row>
    <row r="42" spans="4:17" x14ac:dyDescent="0.2">
      <c r="D42" s="65" t="s">
        <v>116</v>
      </c>
      <c r="E42" s="65"/>
      <c r="F42" s="229" t="s">
        <v>51</v>
      </c>
      <c r="G42" s="186"/>
      <c r="H42" s="147">
        <f>+'RES-RPP'!H46</f>
        <v>0.104</v>
      </c>
      <c r="I42" s="233">
        <f>$H$16*0.18</f>
        <v>360</v>
      </c>
      <c r="J42" s="205">
        <f t="shared" si="6"/>
        <v>37.44</v>
      </c>
      <c r="K42" s="149"/>
      <c r="L42" s="147">
        <f t="shared" ref="L42:L43" si="8">+H42</f>
        <v>0.104</v>
      </c>
      <c r="M42" s="187">
        <f>+I42</f>
        <v>360</v>
      </c>
      <c r="N42" s="205">
        <f t="shared" si="7"/>
        <v>37.44</v>
      </c>
      <c r="O42" s="149"/>
      <c r="P42" s="193">
        <f t="shared" si="2"/>
        <v>0</v>
      </c>
      <c r="Q42" s="206">
        <f t="shared" si="3"/>
        <v>0</v>
      </c>
    </row>
    <row r="43" spans="4:17" x14ac:dyDescent="0.2">
      <c r="D43" s="65" t="s">
        <v>117</v>
      </c>
      <c r="E43" s="65"/>
      <c r="F43" s="229" t="s">
        <v>51</v>
      </c>
      <c r="G43" s="186"/>
      <c r="H43" s="147">
        <f>+'RES-RPP'!H47</f>
        <v>0.124</v>
      </c>
      <c r="I43" s="233">
        <f>+I42</f>
        <v>360</v>
      </c>
      <c r="J43" s="205">
        <f t="shared" si="6"/>
        <v>44.64</v>
      </c>
      <c r="K43" s="149"/>
      <c r="L43" s="147">
        <f t="shared" si="8"/>
        <v>0.124</v>
      </c>
      <c r="M43" s="187">
        <f>+I43</f>
        <v>360</v>
      </c>
      <c r="N43" s="205">
        <f t="shared" si="7"/>
        <v>44.64</v>
      </c>
      <c r="O43" s="149"/>
      <c r="P43" s="193">
        <f t="shared" si="2"/>
        <v>0</v>
      </c>
      <c r="Q43" s="206">
        <f t="shared" si="3"/>
        <v>0</v>
      </c>
    </row>
    <row r="44" spans="4:17" ht="13.5" thickBot="1" x14ac:dyDescent="0.25">
      <c r="D44" s="65"/>
      <c r="E44" s="65"/>
      <c r="F44" s="229"/>
      <c r="G44" s="186"/>
      <c r="H44" s="147"/>
      <c r="I44" s="189"/>
      <c r="J44" s="205">
        <f t="shared" si="6"/>
        <v>0</v>
      </c>
      <c r="K44" s="149"/>
      <c r="L44" s="147"/>
      <c r="M44" s="190"/>
      <c r="N44" s="205">
        <f t="shared" si="7"/>
        <v>0</v>
      </c>
      <c r="O44" s="149"/>
      <c r="P44" s="193">
        <f t="shared" si="2"/>
        <v>0</v>
      </c>
      <c r="Q44" s="206" t="str">
        <f t="shared" si="3"/>
        <v/>
      </c>
    </row>
    <row r="45" spans="4:17" ht="13.5" thickBot="1" x14ac:dyDescent="0.25">
      <c r="D45" s="113" t="s">
        <v>67</v>
      </c>
      <c r="E45" s="65"/>
      <c r="F45" s="149"/>
      <c r="G45" s="149"/>
      <c r="H45" s="209"/>
      <c r="I45" s="210"/>
      <c r="J45" s="99">
        <f>SUM(J35:J44)</f>
        <v>317.13544000000002</v>
      </c>
      <c r="K45" s="100"/>
      <c r="L45" s="116"/>
      <c r="M45" s="117"/>
      <c r="N45" s="99">
        <f>SUM(N35:N44)</f>
        <v>284.60543999999999</v>
      </c>
      <c r="O45" s="100"/>
      <c r="P45" s="103">
        <f t="shared" si="2"/>
        <v>-32.53000000000003</v>
      </c>
      <c r="Q45" s="104">
        <f t="shared" si="3"/>
        <v>-0.10257447102096198</v>
      </c>
    </row>
    <row r="46" spans="4:17" ht="13.5" thickBot="1" x14ac:dyDescent="0.25">
      <c r="D46" s="67" t="s">
        <v>68</v>
      </c>
      <c r="E46" s="65"/>
      <c r="F46" s="149"/>
      <c r="G46" s="149"/>
      <c r="H46" s="211">
        <v>0.13</v>
      </c>
      <c r="I46" s="212"/>
      <c r="J46" s="213">
        <f>J45*H46</f>
        <v>41.227607200000001</v>
      </c>
      <c r="K46" s="149"/>
      <c r="L46" s="211">
        <v>0.13</v>
      </c>
      <c r="M46" s="214"/>
      <c r="N46" s="213">
        <f>N45*L46</f>
        <v>36.998707199999998</v>
      </c>
      <c r="O46" s="149"/>
      <c r="P46" s="193">
        <f t="shared" si="2"/>
        <v>-4.228900000000003</v>
      </c>
      <c r="Q46" s="206">
        <f t="shared" si="3"/>
        <v>-0.10257447102096197</v>
      </c>
    </row>
    <row r="47" spans="4:17" ht="26.25" thickBot="1" x14ac:dyDescent="0.25">
      <c r="D47" s="96" t="s">
        <v>69</v>
      </c>
      <c r="E47" s="65"/>
      <c r="F47" s="149"/>
      <c r="G47" s="149"/>
      <c r="H47" s="203"/>
      <c r="I47" s="204"/>
      <c r="J47" s="99">
        <f>ROUND(SUM(J45:J46),2)</f>
        <v>358.36</v>
      </c>
      <c r="K47" s="100"/>
      <c r="L47" s="101"/>
      <c r="M47" s="102"/>
      <c r="N47" s="99">
        <f>ROUND(SUM(N45:N46),2)</f>
        <v>321.60000000000002</v>
      </c>
      <c r="O47" s="100"/>
      <c r="P47" s="103">
        <f t="shared" si="2"/>
        <v>-36.759999999999991</v>
      </c>
      <c r="Q47" s="104">
        <f t="shared" si="3"/>
        <v>-0.10257841276928226</v>
      </c>
    </row>
    <row r="48" spans="4:17" ht="27.75" thickBot="1" x14ac:dyDescent="0.25">
      <c r="D48" s="122" t="s">
        <v>70</v>
      </c>
      <c r="E48" s="65"/>
      <c r="F48" s="149"/>
      <c r="G48" s="149"/>
      <c r="H48" s="203"/>
      <c r="I48" s="215"/>
      <c r="J48" s="99">
        <f>ROUND(-J47*10%,2)</f>
        <v>-35.840000000000003</v>
      </c>
      <c r="K48" s="100"/>
      <c r="L48" s="101"/>
      <c r="M48" s="102"/>
      <c r="N48" s="99">
        <f>ROUND(-N47*10%,2)</f>
        <v>-32.159999999999997</v>
      </c>
      <c r="O48" s="100"/>
      <c r="P48" s="103">
        <f t="shared" si="2"/>
        <v>3.6800000000000068</v>
      </c>
      <c r="Q48" s="104">
        <f t="shared" si="3"/>
        <v>-0.10267857142857161</v>
      </c>
    </row>
    <row r="49" spans="2:17" ht="13.5" thickBot="1" x14ac:dyDescent="0.25">
      <c r="D49" s="96" t="s">
        <v>71</v>
      </c>
      <c r="E49" s="65"/>
      <c r="F49" s="149"/>
      <c r="G49" s="149"/>
      <c r="H49" s="216"/>
      <c r="I49" s="217"/>
      <c r="J49" s="126">
        <f>J47+J48</f>
        <v>322.52</v>
      </c>
      <c r="K49" s="100"/>
      <c r="L49" s="127"/>
      <c r="M49" s="128"/>
      <c r="N49" s="126">
        <f>N47+N48</f>
        <v>289.44000000000005</v>
      </c>
      <c r="O49" s="100"/>
      <c r="P49" s="129">
        <f t="shared" si="2"/>
        <v>-33.079999999999927</v>
      </c>
      <c r="Q49" s="130">
        <f t="shared" si="3"/>
        <v>-0.10256728264913782</v>
      </c>
    </row>
    <row r="50" spans="2:17" ht="10.5" customHeight="1" x14ac:dyDescent="0.2"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2:17" x14ac:dyDescent="0.2">
      <c r="D51" s="55" t="s">
        <v>72</v>
      </c>
      <c r="F51" s="54"/>
      <c r="G51" s="54"/>
      <c r="H51" s="218">
        <v>3.5999999999999997E-2</v>
      </c>
      <c r="I51" s="54"/>
      <c r="J51" s="54"/>
      <c r="K51" s="54"/>
      <c r="L51" s="219">
        <f>+H51</f>
        <v>3.5999999999999997E-2</v>
      </c>
      <c r="M51" s="54"/>
      <c r="N51" s="54"/>
      <c r="O51" s="54"/>
      <c r="P51" s="151"/>
      <c r="Q51" s="152"/>
    </row>
    <row r="52" spans="2:17" ht="10.5" customHeight="1" x14ac:dyDescent="0.2"/>
    <row r="53" spans="2:17" ht="10.5" customHeight="1" x14ac:dyDescent="0.2">
      <c r="C53" s="133" t="s">
        <v>73</v>
      </c>
    </row>
    <row r="54" spans="2:17" ht="10.5" customHeight="1" x14ac:dyDescent="0.2"/>
    <row r="55" spans="2:17" x14ac:dyDescent="0.2">
      <c r="B55" s="55"/>
      <c r="C55" s="49" t="s">
        <v>74</v>
      </c>
    </row>
    <row r="56" spans="2:17" x14ac:dyDescent="0.2">
      <c r="C56" s="49" t="s">
        <v>75</v>
      </c>
    </row>
    <row r="58" spans="2:17" x14ac:dyDescent="0.2">
      <c r="C58" s="49" t="s">
        <v>76</v>
      </c>
    </row>
    <row r="59" spans="2:17" x14ac:dyDescent="0.2">
      <c r="C59" s="49" t="s">
        <v>77</v>
      </c>
    </row>
    <row r="61" spans="2:17" x14ac:dyDescent="0.2">
      <c r="C61" s="49" t="s">
        <v>78</v>
      </c>
    </row>
    <row r="62" spans="2:17" x14ac:dyDescent="0.2">
      <c r="C62" s="49" t="s">
        <v>79</v>
      </c>
    </row>
    <row r="63" spans="2:17" x14ac:dyDescent="0.2">
      <c r="C63" s="49" t="s">
        <v>80</v>
      </c>
    </row>
    <row r="64" spans="2:17" x14ac:dyDescent="0.2">
      <c r="C64" s="49" t="s">
        <v>81</v>
      </c>
    </row>
    <row r="65" spans="3:3" x14ac:dyDescent="0.2">
      <c r="C65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6:F44 F33:F34 F21:F31">
      <formula1>"Monthly, per kWh, per kW"</formula1>
    </dataValidation>
    <dataValidation type="list" allowBlank="1" showInputMessage="1" showErrorMessage="1" sqref="G33:G34 G36:G44 G21:G31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5"/>
  <sheetViews>
    <sheetView showGridLines="0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7.2851562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9.7109375" style="49" customWidth="1"/>
    <col min="15" max="15" width="2.85546875" style="49" customWidth="1"/>
    <col min="16" max="16" width="8.85546875" style="49" customWidth="1"/>
    <col min="17" max="17" width="8.7109375" style="49" customWidth="1"/>
    <col min="18" max="18" width="3.85546875" style="49" customWidth="1"/>
    <col min="19" max="19" width="9.7109375" style="49" bestFit="1" customWidth="1"/>
    <col min="20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73"/>
      <c r="O1" s="173"/>
      <c r="P1" s="272"/>
      <c r="Q1" s="272"/>
      <c r="R1" s="173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73"/>
      <c r="O2" s="173"/>
      <c r="P2" s="272"/>
      <c r="Q2" s="272"/>
      <c r="R2" s="173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73"/>
      <c r="O3" s="173"/>
      <c r="P3" s="272"/>
      <c r="Q3" s="272"/>
      <c r="R3" s="173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173"/>
      <c r="O4" s="173"/>
      <c r="P4" s="272"/>
      <c r="Q4" s="272"/>
      <c r="R4" s="173"/>
    </row>
    <row r="5" spans="2:18" s="44" customFormat="1" ht="15" customHeight="1" x14ac:dyDescent="0.25">
      <c r="E5" s="48"/>
      <c r="F5" s="48"/>
      <c r="G5" s="48"/>
      <c r="N5" s="173"/>
      <c r="O5" s="173"/>
      <c r="P5" s="272"/>
      <c r="Q5" s="272"/>
      <c r="R5" s="173"/>
    </row>
    <row r="6" spans="2:18" s="44" customFormat="1" ht="9" customHeight="1" x14ac:dyDescent="0.2">
      <c r="N6" s="173"/>
      <c r="O6" s="173"/>
      <c r="P6" s="173"/>
      <c r="Q6" s="173"/>
      <c r="R6" s="173"/>
    </row>
    <row r="7" spans="2:18" s="44" customFormat="1" x14ac:dyDescent="0.2">
      <c r="N7" s="173"/>
      <c r="O7" s="173"/>
      <c r="P7" s="272"/>
      <c r="Q7" s="272"/>
      <c r="R7" s="173"/>
    </row>
    <row r="8" spans="2:18" s="44" customFormat="1" ht="15" customHeight="1" x14ac:dyDescent="0.2">
      <c r="R8" s="173"/>
    </row>
    <row r="9" spans="2:18" ht="7.5" customHeight="1" x14ac:dyDescent="0.2">
      <c r="N9" s="173"/>
      <c r="O9" s="173"/>
      <c r="P9" s="173"/>
      <c r="Q9" s="173"/>
      <c r="R9" s="173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173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173"/>
    </row>
    <row r="12" spans="2:18" ht="7.5" customHeight="1" x14ac:dyDescent="0.2">
      <c r="N12" s="173"/>
      <c r="O12" s="173"/>
      <c r="P12" s="173"/>
      <c r="Q12" s="173"/>
      <c r="R12" s="173"/>
    </row>
    <row r="13" spans="2:18" ht="7.5" customHeight="1" x14ac:dyDescent="0.2">
      <c r="N13" s="173"/>
      <c r="O13" s="173"/>
      <c r="P13" s="173"/>
      <c r="Q13" s="173"/>
      <c r="R13" s="173"/>
    </row>
    <row r="14" spans="2:18" ht="15.75" x14ac:dyDescent="0.25">
      <c r="B14" s="50"/>
      <c r="D14" s="51" t="s">
        <v>38</v>
      </c>
      <c r="F14" s="292" t="s">
        <v>119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2000</v>
      </c>
      <c r="I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65" t="s">
        <v>6</v>
      </c>
      <c r="E21" s="65"/>
      <c r="F21" s="229" t="s">
        <v>1</v>
      </c>
      <c r="G21" s="186"/>
      <c r="H21" s="235">
        <f>+'Rates Detail'!I45</f>
        <v>39.49</v>
      </c>
      <c r="I21" s="185">
        <v>1</v>
      </c>
      <c r="J21" s="225">
        <f>I21*H21</f>
        <v>39.49</v>
      </c>
      <c r="K21" s="149"/>
      <c r="L21" s="235">
        <f>+'Rates Detail'!J45</f>
        <v>39.880000000000003</v>
      </c>
      <c r="M21" s="187">
        <v>1</v>
      </c>
      <c r="N21" s="225">
        <f>M21*L21</f>
        <v>39.880000000000003</v>
      </c>
      <c r="O21" s="149"/>
      <c r="P21" s="193">
        <f>N21-J21</f>
        <v>0.39000000000000057</v>
      </c>
      <c r="Q21" s="234">
        <f>IF((J21)=0,"",(P21/J21))</f>
        <v>9.8759179539123967E-3</v>
      </c>
    </row>
    <row r="22" spans="2:17" x14ac:dyDescent="0.2">
      <c r="D22" s="65" t="s">
        <v>104</v>
      </c>
      <c r="E22" s="65"/>
      <c r="F22" s="229" t="s">
        <v>1</v>
      </c>
      <c r="G22" s="186"/>
      <c r="H22" s="235">
        <f>'Rates Detail'!I48</f>
        <v>0.79</v>
      </c>
      <c r="I22" s="185">
        <v>1</v>
      </c>
      <c r="J22" s="225">
        <f t="shared" ref="J22:J31" si="0">I22*H22</f>
        <v>0.79</v>
      </c>
      <c r="K22" s="149"/>
      <c r="L22" s="235">
        <f>'Rates Detail'!J48</f>
        <v>0.79</v>
      </c>
      <c r="M22" s="187">
        <v>1</v>
      </c>
      <c r="N22" s="225">
        <f>M22*L22</f>
        <v>0.79</v>
      </c>
      <c r="O22" s="149"/>
      <c r="P22" s="193">
        <f>N22-J22</f>
        <v>0</v>
      </c>
      <c r="Q22" s="234">
        <f>IF((J22)=0,"",(P22/J22))</f>
        <v>0</v>
      </c>
    </row>
    <row r="23" spans="2:17" x14ac:dyDescent="0.2">
      <c r="D23" s="65" t="s">
        <v>53</v>
      </c>
      <c r="E23" s="65"/>
      <c r="F23" s="229" t="s">
        <v>1</v>
      </c>
      <c r="G23" s="186"/>
      <c r="H23" s="235">
        <f>+'Rates Detail'!I47</f>
        <v>15.45</v>
      </c>
      <c r="I23" s="185">
        <v>1</v>
      </c>
      <c r="J23" s="225">
        <f>I23*H23</f>
        <v>15.45</v>
      </c>
      <c r="K23" s="149"/>
      <c r="L23" s="235">
        <f>+'Rates Detail'!J47</f>
        <v>0</v>
      </c>
      <c r="M23" s="187">
        <v>1</v>
      </c>
      <c r="N23" s="225">
        <f>M23*L23</f>
        <v>0</v>
      </c>
      <c r="O23" s="149"/>
      <c r="P23" s="193">
        <f>N23-J23</f>
        <v>-15.45</v>
      </c>
      <c r="Q23" s="234">
        <f>IF((J23)=0,"",(P23/J23))</f>
        <v>-1</v>
      </c>
    </row>
    <row r="24" spans="2:17" x14ac:dyDescent="0.2">
      <c r="D24" s="65" t="s">
        <v>56</v>
      </c>
      <c r="E24" s="65"/>
      <c r="F24" s="229" t="s">
        <v>1</v>
      </c>
      <c r="G24" s="186"/>
      <c r="H24" s="235">
        <f>+'Rates Detail'!I46</f>
        <v>16.670000000000002</v>
      </c>
      <c r="I24" s="189">
        <v>1</v>
      </c>
      <c r="J24" s="225">
        <f>I24*H24</f>
        <v>16.670000000000002</v>
      </c>
      <c r="K24" s="149"/>
      <c r="L24" s="235">
        <f>+'Rates Detail'!J46</f>
        <v>0</v>
      </c>
      <c r="M24" s="190">
        <v>1</v>
      </c>
      <c r="N24" s="225">
        <f>M24*L24</f>
        <v>0</v>
      </c>
      <c r="O24" s="149"/>
      <c r="P24" s="193">
        <f>N24-J24</f>
        <v>-16.670000000000002</v>
      </c>
      <c r="Q24" s="234">
        <f>IF((J24)=0,"",(P24/J24))</f>
        <v>-1</v>
      </c>
    </row>
    <row r="25" spans="2:17" x14ac:dyDescent="0.2">
      <c r="D25" s="65" t="s">
        <v>12</v>
      </c>
      <c r="E25" s="65"/>
      <c r="F25" s="229" t="s">
        <v>51</v>
      </c>
      <c r="G25" s="186"/>
      <c r="H25" s="224">
        <f>+'Rates Detail'!I52</f>
        <v>1.15E-2</v>
      </c>
      <c r="I25" s="185">
        <f>H16</f>
        <v>2000</v>
      </c>
      <c r="J25" s="225">
        <f t="shared" si="0"/>
        <v>23</v>
      </c>
      <c r="K25" s="149"/>
      <c r="L25" s="224">
        <f>+'Rates Detail'!J52</f>
        <v>1.1599999999999999E-2</v>
      </c>
      <c r="M25" s="187">
        <f>H16</f>
        <v>2000</v>
      </c>
      <c r="N25" s="225">
        <f t="shared" ref="N25:N31" si="1">M25*L25</f>
        <v>23.2</v>
      </c>
      <c r="O25" s="149"/>
      <c r="P25" s="193">
        <f t="shared" ref="P25:P49" si="2">N25-J25</f>
        <v>0.19999999999999929</v>
      </c>
      <c r="Q25" s="234">
        <f t="shared" ref="Q25:Q49" si="3">IF((J25)=0,"",(P25/J25))</f>
        <v>8.6956521739130124E-3</v>
      </c>
    </row>
    <row r="26" spans="2:17" x14ac:dyDescent="0.2">
      <c r="D26" s="65" t="s">
        <v>52</v>
      </c>
      <c r="E26" s="65"/>
      <c r="F26" s="229" t="s">
        <v>51</v>
      </c>
      <c r="G26" s="186"/>
      <c r="H26" s="224">
        <f>+'Rates Detail'!I67</f>
        <v>2.0000000000000001E-4</v>
      </c>
      <c r="I26" s="185">
        <f t="shared" ref="I26" si="4">I25</f>
        <v>2000</v>
      </c>
      <c r="J26" s="225">
        <f t="shared" si="0"/>
        <v>0.4</v>
      </c>
      <c r="K26" s="149"/>
      <c r="L26" s="224">
        <f>+'Rates Detail'!J67</f>
        <v>2.0000000000000001E-4</v>
      </c>
      <c r="M26" s="187">
        <f t="shared" ref="M26" si="5">M25</f>
        <v>2000</v>
      </c>
      <c r="N26" s="225">
        <f t="shared" si="1"/>
        <v>0.4</v>
      </c>
      <c r="O26" s="149"/>
      <c r="P26" s="193">
        <f t="shared" si="2"/>
        <v>0</v>
      </c>
      <c r="Q26" s="234">
        <f t="shared" si="3"/>
        <v>0</v>
      </c>
    </row>
    <row r="27" spans="2:17" x14ac:dyDescent="0.2">
      <c r="D27" s="65" t="s">
        <v>118</v>
      </c>
      <c r="E27" s="65"/>
      <c r="F27" s="229" t="s">
        <v>51</v>
      </c>
      <c r="G27" s="186"/>
      <c r="H27" s="236">
        <f>+J27/I27</f>
        <v>8.3919999999999995E-2</v>
      </c>
      <c r="I27" s="185">
        <f>SUM(I41:I43)*H51</f>
        <v>72</v>
      </c>
      <c r="J27" s="225">
        <f>SUM(J41:J43)*H51</f>
        <v>6.0422399999999996</v>
      </c>
      <c r="K27" s="149"/>
      <c r="L27" s="236">
        <f>+N27/M27</f>
        <v>8.3919999999999995E-2</v>
      </c>
      <c r="M27" s="185">
        <f>SUM(M41:M43)*L51</f>
        <v>72</v>
      </c>
      <c r="N27" s="225">
        <f>SUM(N41:N43)*L51</f>
        <v>6.0422399999999996</v>
      </c>
      <c r="O27" s="149"/>
      <c r="P27" s="193">
        <f t="shared" si="2"/>
        <v>0</v>
      </c>
      <c r="Q27" s="234">
        <f t="shared" si="3"/>
        <v>0</v>
      </c>
    </row>
    <row r="28" spans="2:17" x14ac:dyDescent="0.2">
      <c r="D28" s="65" t="s">
        <v>54</v>
      </c>
      <c r="E28" s="65"/>
      <c r="F28" s="229" t="s">
        <v>51</v>
      </c>
      <c r="G28" s="186"/>
      <c r="H28" s="236">
        <f>+'Rates Detail'!I60</f>
        <v>2.9999999999999997E-4</v>
      </c>
      <c r="I28" s="185">
        <v>2000</v>
      </c>
      <c r="J28" s="225">
        <f t="shared" si="0"/>
        <v>0.6</v>
      </c>
      <c r="K28" s="149"/>
      <c r="L28" s="224">
        <f>+'Rates Detail'!J60</f>
        <v>2.9999999999999997E-4</v>
      </c>
      <c r="M28" s="187">
        <f>+I28</f>
        <v>2000</v>
      </c>
      <c r="N28" s="225">
        <f t="shared" si="1"/>
        <v>0.6</v>
      </c>
      <c r="O28" s="149"/>
      <c r="P28" s="193">
        <f t="shared" si="2"/>
        <v>0</v>
      </c>
      <c r="Q28" s="234">
        <f t="shared" si="3"/>
        <v>0</v>
      </c>
    </row>
    <row r="29" spans="2:17" x14ac:dyDescent="0.2">
      <c r="D29" s="65" t="s">
        <v>96</v>
      </c>
      <c r="E29" s="65"/>
      <c r="F29" s="229" t="s">
        <v>51</v>
      </c>
      <c r="G29" s="186"/>
      <c r="H29" s="224"/>
      <c r="I29" s="189"/>
      <c r="J29" s="225">
        <f>I29*H29</f>
        <v>0</v>
      </c>
      <c r="K29" s="149"/>
      <c r="L29" s="224">
        <f>'Rates Detail'!I59</f>
        <v>0</v>
      </c>
      <c r="M29" s="190">
        <v>2000</v>
      </c>
      <c r="N29" s="225">
        <f>M29*L29</f>
        <v>0</v>
      </c>
      <c r="O29" s="149"/>
      <c r="P29" s="193">
        <f>N29-J29</f>
        <v>0</v>
      </c>
      <c r="Q29" s="234" t="str">
        <f>IF((J29)=0,"",(P29/J29))</f>
        <v/>
      </c>
    </row>
    <row r="30" spans="2:17" ht="25.5" x14ac:dyDescent="0.2">
      <c r="D30" s="75" t="s">
        <v>55</v>
      </c>
      <c r="E30" s="65"/>
      <c r="F30" s="229" t="s">
        <v>51</v>
      </c>
      <c r="G30" s="186"/>
      <c r="H30" s="224">
        <f>SUM('Rates Detail'!I55:I57)+SUM('Rates Detail'!I62:I63)</f>
        <v>-3.1000000000000003E-3</v>
      </c>
      <c r="I30" s="185">
        <f>I28</f>
        <v>2000</v>
      </c>
      <c r="J30" s="225">
        <f t="shared" si="0"/>
        <v>-6.2000000000000011</v>
      </c>
      <c r="K30" s="149"/>
      <c r="L30" s="224">
        <f>SUM('Rates Detail'!J55:J58)+SUM('Rates Detail'!J62:J64)</f>
        <v>-6.6E-3</v>
      </c>
      <c r="M30" s="187">
        <f>+I30</f>
        <v>2000</v>
      </c>
      <c r="N30" s="225">
        <f t="shared" si="1"/>
        <v>-13.2</v>
      </c>
      <c r="O30" s="149"/>
      <c r="P30" s="193">
        <f t="shared" si="2"/>
        <v>-6.9999999999999982</v>
      </c>
      <c r="Q30" s="234">
        <f t="shared" si="3"/>
        <v>1.1290322580645156</v>
      </c>
    </row>
    <row r="31" spans="2:17" ht="13.5" thickBot="1" x14ac:dyDescent="0.25">
      <c r="D31" s="76"/>
      <c r="E31" s="65"/>
      <c r="F31" s="229"/>
      <c r="G31" s="186"/>
      <c r="H31" s="224"/>
      <c r="I31" s="189"/>
      <c r="J31" s="225">
        <f t="shared" si="0"/>
        <v>0</v>
      </c>
      <c r="K31" s="149"/>
      <c r="L31" s="224"/>
      <c r="M31" s="190"/>
      <c r="N31" s="225">
        <f t="shared" si="1"/>
        <v>0</v>
      </c>
      <c r="O31" s="149"/>
      <c r="P31" s="193">
        <f t="shared" si="2"/>
        <v>0</v>
      </c>
      <c r="Q31" s="234" t="str">
        <f t="shared" si="3"/>
        <v/>
      </c>
    </row>
    <row r="32" spans="2:17" ht="13.5" thickBot="1" x14ac:dyDescent="0.25">
      <c r="D32" s="55" t="s">
        <v>57</v>
      </c>
      <c r="F32" s="54"/>
      <c r="G32" s="230"/>
      <c r="H32" s="196"/>
      <c r="I32" s="197"/>
      <c r="J32" s="82">
        <f>SUM(J21:J31)</f>
        <v>96.242239999999995</v>
      </c>
      <c r="K32" s="54"/>
      <c r="L32" s="196"/>
      <c r="M32" s="198"/>
      <c r="N32" s="82">
        <f>SUM(N21:N31)</f>
        <v>57.712239999999994</v>
      </c>
      <c r="O32" s="54"/>
      <c r="P32" s="84">
        <f t="shared" si="2"/>
        <v>-38.53</v>
      </c>
      <c r="Q32" s="85">
        <f t="shared" si="3"/>
        <v>-0.4003439653939892</v>
      </c>
    </row>
    <row r="33" spans="4:17" x14ac:dyDescent="0.2">
      <c r="D33" s="86" t="s">
        <v>58</v>
      </c>
      <c r="E33" s="86"/>
      <c r="F33" s="231" t="s">
        <v>51</v>
      </c>
      <c r="G33" s="232"/>
      <c r="H33" s="226">
        <f>+'Rates Detail'!I69</f>
        <v>6.7999999999999996E-3</v>
      </c>
      <c r="I33" s="199">
        <f>+H16</f>
        <v>2000</v>
      </c>
      <c r="J33" s="227">
        <f>I33*H33</f>
        <v>13.6</v>
      </c>
      <c r="K33" s="200"/>
      <c r="L33" s="226">
        <f>+'Rates Detail'!J69</f>
        <v>7.1000000000000004E-3</v>
      </c>
      <c r="M33" s="201">
        <f>+I33</f>
        <v>2000</v>
      </c>
      <c r="N33" s="227">
        <f>M33*L33</f>
        <v>14.200000000000001</v>
      </c>
      <c r="O33" s="200"/>
      <c r="P33" s="202">
        <f t="shared" si="2"/>
        <v>0.60000000000000142</v>
      </c>
      <c r="Q33" s="228">
        <f t="shared" si="3"/>
        <v>4.4117647058823636E-2</v>
      </c>
    </row>
    <row r="34" spans="4:17" ht="26.25" thickBot="1" x14ac:dyDescent="0.25">
      <c r="D34" s="95" t="s">
        <v>59</v>
      </c>
      <c r="E34" s="86"/>
      <c r="F34" s="231" t="s">
        <v>51</v>
      </c>
      <c r="G34" s="232"/>
      <c r="H34" s="226">
        <f>+'Rates Detail'!I70</f>
        <v>5.1999999999999998E-3</v>
      </c>
      <c r="I34" s="199">
        <f>I33</f>
        <v>2000</v>
      </c>
      <c r="J34" s="227">
        <f>I34*H34</f>
        <v>10.4</v>
      </c>
      <c r="K34" s="200"/>
      <c r="L34" s="226">
        <f>+'Rates Detail'!J70</f>
        <v>5.1999999999999998E-3</v>
      </c>
      <c r="M34" s="201">
        <f>M33</f>
        <v>2000</v>
      </c>
      <c r="N34" s="227">
        <f>M34*L34</f>
        <v>10.4</v>
      </c>
      <c r="O34" s="200"/>
      <c r="P34" s="202">
        <f t="shared" si="2"/>
        <v>0</v>
      </c>
      <c r="Q34" s="228">
        <f t="shared" si="3"/>
        <v>0</v>
      </c>
    </row>
    <row r="35" spans="4:17" ht="26.25" thickBot="1" x14ac:dyDescent="0.25">
      <c r="D35" s="96" t="s">
        <v>60</v>
      </c>
      <c r="E35" s="65"/>
      <c r="F35" s="149"/>
      <c r="G35" s="186"/>
      <c r="H35" s="203"/>
      <c r="I35" s="204"/>
      <c r="J35" s="99">
        <f>SUM(J32:J34)</f>
        <v>120.24224</v>
      </c>
      <c r="K35" s="100"/>
      <c r="L35" s="101"/>
      <c r="M35" s="102"/>
      <c r="N35" s="99">
        <f>SUM(N32:N34)</f>
        <v>82.312240000000003</v>
      </c>
      <c r="O35" s="100"/>
      <c r="P35" s="103">
        <f t="shared" si="2"/>
        <v>-37.929999999999993</v>
      </c>
      <c r="Q35" s="104">
        <f t="shared" si="3"/>
        <v>-0.31544655189391013</v>
      </c>
    </row>
    <row r="36" spans="4:17" ht="25.5" x14ac:dyDescent="0.2">
      <c r="D36" s="75" t="s">
        <v>61</v>
      </c>
      <c r="E36" s="65"/>
      <c r="F36" s="229" t="s">
        <v>51</v>
      </c>
      <c r="G36" s="186"/>
      <c r="H36" s="147">
        <f>+'Rates Detail'!I73</f>
        <v>4.4000000000000003E-3</v>
      </c>
      <c r="I36" s="233">
        <f>ROUND(H16*(1+H51),0)</f>
        <v>2072</v>
      </c>
      <c r="J36" s="205">
        <f>I36*H36</f>
        <v>9.1168000000000013</v>
      </c>
      <c r="K36" s="149"/>
      <c r="L36" s="147">
        <f>+'Rates Detail'!J73</f>
        <v>4.4000000000000003E-3</v>
      </c>
      <c r="M36" s="187">
        <f>+I36</f>
        <v>2072</v>
      </c>
      <c r="N36" s="205">
        <f>M36*L36</f>
        <v>9.1168000000000013</v>
      </c>
      <c r="O36" s="149"/>
      <c r="P36" s="193">
        <f t="shared" si="2"/>
        <v>0</v>
      </c>
      <c r="Q36" s="206">
        <f t="shared" si="3"/>
        <v>0</v>
      </c>
    </row>
    <row r="37" spans="4:17" ht="25.5" x14ac:dyDescent="0.2">
      <c r="D37" s="75" t="s">
        <v>62</v>
      </c>
      <c r="E37" s="65"/>
      <c r="F37" s="229" t="s">
        <v>51</v>
      </c>
      <c r="G37" s="186"/>
      <c r="H37" s="147">
        <f>+'Rates Detail'!I74</f>
        <v>1.1999999999999999E-3</v>
      </c>
      <c r="I37" s="185">
        <f>+I36</f>
        <v>2072</v>
      </c>
      <c r="J37" s="205">
        <f t="shared" ref="J37:J44" si="6">I37*H37</f>
        <v>2.4863999999999997</v>
      </c>
      <c r="K37" s="149"/>
      <c r="L37" s="147">
        <f>+'Rates Detail'!J74</f>
        <v>1.1999999999999999E-3</v>
      </c>
      <c r="M37" s="187">
        <f>+M36</f>
        <v>2072</v>
      </c>
      <c r="N37" s="205">
        <f t="shared" ref="N37:N44" si="7">M37*L37</f>
        <v>2.4863999999999997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75" t="s">
        <v>63</v>
      </c>
      <c r="E38" s="65"/>
      <c r="F38" s="229"/>
      <c r="G38" s="186"/>
      <c r="H38" s="148"/>
      <c r="I38" s="185">
        <f>I34</f>
        <v>2000</v>
      </c>
      <c r="J38" s="205">
        <f t="shared" si="6"/>
        <v>0</v>
      </c>
      <c r="K38" s="149"/>
      <c r="L38" s="148"/>
      <c r="M38" s="187">
        <f>M34</f>
        <v>2000</v>
      </c>
      <c r="N38" s="205">
        <f t="shared" si="7"/>
        <v>0</v>
      </c>
      <c r="O38" s="149"/>
      <c r="P38" s="193">
        <f t="shared" si="2"/>
        <v>0</v>
      </c>
      <c r="Q38" s="206" t="str">
        <f t="shared" si="3"/>
        <v/>
      </c>
    </row>
    <row r="39" spans="4:17" x14ac:dyDescent="0.2">
      <c r="D39" s="65" t="s">
        <v>64</v>
      </c>
      <c r="E39" s="65"/>
      <c r="F39" s="229" t="s">
        <v>1</v>
      </c>
      <c r="G39" s="186"/>
      <c r="H39" s="147">
        <v>0.25</v>
      </c>
      <c r="I39" s="185">
        <v>1</v>
      </c>
      <c r="J39" s="205">
        <f t="shared" si="6"/>
        <v>0.25</v>
      </c>
      <c r="K39" s="149"/>
      <c r="L39" s="147">
        <v>0.25</v>
      </c>
      <c r="M39" s="187">
        <v>1</v>
      </c>
      <c r="N39" s="205">
        <f t="shared" si="7"/>
        <v>0.25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65</v>
      </c>
      <c r="E40" s="65"/>
      <c r="F40" s="229" t="s">
        <v>51</v>
      </c>
      <c r="G40" s="186"/>
      <c r="H40" s="147">
        <v>7.0000000000000001E-3</v>
      </c>
      <c r="I40" s="185">
        <f>+I34</f>
        <v>2000</v>
      </c>
      <c r="J40" s="205">
        <f t="shared" si="6"/>
        <v>14</v>
      </c>
      <c r="K40" s="149"/>
      <c r="L40" s="147">
        <f>+H40</f>
        <v>7.0000000000000001E-3</v>
      </c>
      <c r="M40" s="187">
        <f>+M34</f>
        <v>2000</v>
      </c>
      <c r="N40" s="205">
        <f t="shared" si="7"/>
        <v>14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65" t="s">
        <v>115</v>
      </c>
      <c r="E41" s="65"/>
      <c r="F41" s="229" t="s">
        <v>51</v>
      </c>
      <c r="G41" s="186"/>
      <c r="H41" s="147">
        <f>+'RES-RPP'!H45</f>
        <v>6.7000000000000004E-2</v>
      </c>
      <c r="I41" s="233">
        <f>$H$16*0.64</f>
        <v>1280</v>
      </c>
      <c r="J41" s="205">
        <f t="shared" si="6"/>
        <v>85.76</v>
      </c>
      <c r="K41" s="149"/>
      <c r="L41" s="147">
        <f>+H41</f>
        <v>6.7000000000000004E-2</v>
      </c>
      <c r="M41" s="187">
        <f>+I41</f>
        <v>1280</v>
      </c>
      <c r="N41" s="205">
        <f t="shared" si="7"/>
        <v>85.76</v>
      </c>
      <c r="O41" s="149"/>
      <c r="P41" s="193">
        <f t="shared" si="2"/>
        <v>0</v>
      </c>
      <c r="Q41" s="206">
        <f t="shared" si="3"/>
        <v>0</v>
      </c>
    </row>
    <row r="42" spans="4:17" x14ac:dyDescent="0.2">
      <c r="D42" s="65" t="s">
        <v>116</v>
      </c>
      <c r="E42" s="65"/>
      <c r="F42" s="229" t="s">
        <v>51</v>
      </c>
      <c r="G42" s="186"/>
      <c r="H42" s="147">
        <f>+'RES-RPP'!H46</f>
        <v>0.104</v>
      </c>
      <c r="I42" s="233">
        <f>$H$16*0.18</f>
        <v>360</v>
      </c>
      <c r="J42" s="205">
        <f t="shared" si="6"/>
        <v>37.44</v>
      </c>
      <c r="K42" s="149"/>
      <c r="L42" s="147">
        <f t="shared" ref="L42:L43" si="8">+H42</f>
        <v>0.104</v>
      </c>
      <c r="M42" s="187">
        <f>+I42</f>
        <v>360</v>
      </c>
      <c r="N42" s="205">
        <f t="shared" si="7"/>
        <v>37.44</v>
      </c>
      <c r="O42" s="149"/>
      <c r="P42" s="193">
        <f t="shared" si="2"/>
        <v>0</v>
      </c>
      <c r="Q42" s="206">
        <f t="shared" si="3"/>
        <v>0</v>
      </c>
    </row>
    <row r="43" spans="4:17" x14ac:dyDescent="0.2">
      <c r="D43" s="65" t="s">
        <v>117</v>
      </c>
      <c r="E43" s="65"/>
      <c r="F43" s="229" t="s">
        <v>51</v>
      </c>
      <c r="G43" s="186"/>
      <c r="H43" s="147">
        <f>+'RES-RPP'!H47</f>
        <v>0.124</v>
      </c>
      <c r="I43" s="233">
        <f>+I42</f>
        <v>360</v>
      </c>
      <c r="J43" s="205">
        <f t="shared" si="6"/>
        <v>44.64</v>
      </c>
      <c r="K43" s="149"/>
      <c r="L43" s="147">
        <f t="shared" si="8"/>
        <v>0.124</v>
      </c>
      <c r="M43" s="187">
        <f>+I43</f>
        <v>360</v>
      </c>
      <c r="N43" s="205">
        <f t="shared" si="7"/>
        <v>44.64</v>
      </c>
      <c r="O43" s="149"/>
      <c r="P43" s="193">
        <f t="shared" si="2"/>
        <v>0</v>
      </c>
      <c r="Q43" s="206">
        <f t="shared" si="3"/>
        <v>0</v>
      </c>
    </row>
    <row r="44" spans="4:17" ht="13.5" thickBot="1" x14ac:dyDescent="0.25">
      <c r="D44" s="65"/>
      <c r="E44" s="65"/>
      <c r="F44" s="229"/>
      <c r="G44" s="186"/>
      <c r="H44" s="147"/>
      <c r="I44" s="189"/>
      <c r="J44" s="205">
        <f t="shared" si="6"/>
        <v>0</v>
      </c>
      <c r="K44" s="149"/>
      <c r="L44" s="147"/>
      <c r="M44" s="190"/>
      <c r="N44" s="205">
        <f t="shared" si="7"/>
        <v>0</v>
      </c>
      <c r="O44" s="149"/>
      <c r="P44" s="193">
        <f t="shared" si="2"/>
        <v>0</v>
      </c>
      <c r="Q44" s="206" t="str">
        <f t="shared" si="3"/>
        <v/>
      </c>
    </row>
    <row r="45" spans="4:17" ht="13.5" thickBot="1" x14ac:dyDescent="0.25">
      <c r="D45" s="113" t="s">
        <v>67</v>
      </c>
      <c r="E45" s="65"/>
      <c r="F45" s="149"/>
      <c r="G45" s="149"/>
      <c r="H45" s="209"/>
      <c r="I45" s="210"/>
      <c r="J45" s="99">
        <f>SUM(J35:J44)</f>
        <v>313.93543999999997</v>
      </c>
      <c r="K45" s="100"/>
      <c r="L45" s="116"/>
      <c r="M45" s="117"/>
      <c r="N45" s="99">
        <f>SUM(N35:N44)</f>
        <v>276.00544000000002</v>
      </c>
      <c r="O45" s="100"/>
      <c r="P45" s="103">
        <f t="shared" si="2"/>
        <v>-37.92999999999995</v>
      </c>
      <c r="Q45" s="104">
        <f t="shared" si="3"/>
        <v>-0.12082101976126032</v>
      </c>
    </row>
    <row r="46" spans="4:17" ht="13.5" thickBot="1" x14ac:dyDescent="0.25">
      <c r="D46" s="67" t="s">
        <v>68</v>
      </c>
      <c r="E46" s="65"/>
      <c r="F46" s="149"/>
      <c r="G46" s="149"/>
      <c r="H46" s="211">
        <v>0.13</v>
      </c>
      <c r="I46" s="212"/>
      <c r="J46" s="213">
        <f>J45*H46</f>
        <v>40.811607199999997</v>
      </c>
      <c r="K46" s="149"/>
      <c r="L46" s="211">
        <v>0.13</v>
      </c>
      <c r="M46" s="214"/>
      <c r="N46" s="213">
        <f>N45*L46</f>
        <v>35.880707200000003</v>
      </c>
      <c r="O46" s="149"/>
      <c r="P46" s="193">
        <f t="shared" si="2"/>
        <v>-4.9308999999999941</v>
      </c>
      <c r="Q46" s="206">
        <f t="shared" si="3"/>
        <v>-0.12082101976126033</v>
      </c>
    </row>
    <row r="47" spans="4:17" ht="26.25" thickBot="1" x14ac:dyDescent="0.25">
      <c r="D47" s="96" t="s">
        <v>69</v>
      </c>
      <c r="E47" s="65"/>
      <c r="F47" s="149"/>
      <c r="G47" s="149"/>
      <c r="H47" s="203"/>
      <c r="I47" s="204"/>
      <c r="J47" s="99">
        <f>ROUND(SUM(J45:J46),2)</f>
        <v>354.75</v>
      </c>
      <c r="K47" s="100"/>
      <c r="L47" s="101"/>
      <c r="M47" s="102"/>
      <c r="N47" s="99">
        <f>ROUND(SUM(N45:N46),2)</f>
        <v>311.89</v>
      </c>
      <c r="O47" s="100"/>
      <c r="P47" s="103">
        <f t="shared" si="2"/>
        <v>-42.860000000000014</v>
      </c>
      <c r="Q47" s="104">
        <f t="shared" si="3"/>
        <v>-0.1208174770965469</v>
      </c>
    </row>
    <row r="48" spans="4:17" ht="27.75" thickBot="1" x14ac:dyDescent="0.25">
      <c r="D48" s="122" t="s">
        <v>70</v>
      </c>
      <c r="E48" s="65"/>
      <c r="F48" s="149"/>
      <c r="G48" s="149"/>
      <c r="H48" s="203"/>
      <c r="I48" s="215"/>
      <c r="J48" s="99">
        <f>ROUND(-J47*10%,2)</f>
        <v>-35.479999999999997</v>
      </c>
      <c r="K48" s="100"/>
      <c r="L48" s="101"/>
      <c r="M48" s="102"/>
      <c r="N48" s="99">
        <f>ROUND(-N47*10%,2)</f>
        <v>-31.19</v>
      </c>
      <c r="O48" s="100"/>
      <c r="P48" s="103">
        <f t="shared" si="2"/>
        <v>4.2899999999999956</v>
      </c>
      <c r="Q48" s="104">
        <f t="shared" si="3"/>
        <v>-0.12091319052987587</v>
      </c>
    </row>
    <row r="49" spans="2:17" ht="13.5" thickBot="1" x14ac:dyDescent="0.25">
      <c r="D49" s="96" t="s">
        <v>71</v>
      </c>
      <c r="E49" s="65"/>
      <c r="F49" s="149"/>
      <c r="G49" s="149"/>
      <c r="H49" s="216"/>
      <c r="I49" s="217"/>
      <c r="J49" s="126">
        <f>J47+J48</f>
        <v>319.27</v>
      </c>
      <c r="K49" s="100"/>
      <c r="L49" s="127"/>
      <c r="M49" s="128"/>
      <c r="N49" s="126">
        <f>N47+N48</f>
        <v>280.7</v>
      </c>
      <c r="O49" s="100"/>
      <c r="P49" s="129">
        <f t="shared" si="2"/>
        <v>-38.569999999999993</v>
      </c>
      <c r="Q49" s="130">
        <f t="shared" si="3"/>
        <v>-0.12080684060513044</v>
      </c>
    </row>
    <row r="50" spans="2:17" ht="10.5" customHeight="1" x14ac:dyDescent="0.2"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2:17" x14ac:dyDescent="0.2">
      <c r="D51" s="55" t="s">
        <v>72</v>
      </c>
      <c r="F51" s="54"/>
      <c r="G51" s="54"/>
      <c r="H51" s="218">
        <v>3.5999999999999997E-2</v>
      </c>
      <c r="I51" s="54"/>
      <c r="J51" s="54"/>
      <c r="K51" s="54"/>
      <c r="L51" s="219">
        <f>+H51</f>
        <v>3.5999999999999997E-2</v>
      </c>
      <c r="M51" s="54"/>
      <c r="N51" s="54"/>
      <c r="O51" s="54"/>
      <c r="P51" s="151"/>
      <c r="Q51" s="152"/>
    </row>
    <row r="52" spans="2:17" ht="10.5" customHeight="1" x14ac:dyDescent="0.2"/>
    <row r="53" spans="2:17" ht="10.5" customHeight="1" x14ac:dyDescent="0.2">
      <c r="C53" s="133" t="s">
        <v>73</v>
      </c>
    </row>
    <row r="54" spans="2:17" ht="10.5" customHeight="1" x14ac:dyDescent="0.2"/>
    <row r="55" spans="2:17" x14ac:dyDescent="0.2">
      <c r="B55" s="55"/>
      <c r="C55" s="49" t="s">
        <v>74</v>
      </c>
    </row>
    <row r="56" spans="2:17" x14ac:dyDescent="0.2">
      <c r="C56" s="49" t="s">
        <v>75</v>
      </c>
    </row>
    <row r="58" spans="2:17" x14ac:dyDescent="0.2">
      <c r="C58" s="49" t="s">
        <v>76</v>
      </c>
    </row>
    <row r="59" spans="2:17" x14ac:dyDescent="0.2">
      <c r="C59" s="49" t="s">
        <v>77</v>
      </c>
    </row>
    <row r="61" spans="2:17" x14ac:dyDescent="0.2">
      <c r="C61" s="49" t="s">
        <v>78</v>
      </c>
    </row>
    <row r="62" spans="2:17" x14ac:dyDescent="0.2">
      <c r="C62" s="49" t="s">
        <v>79</v>
      </c>
    </row>
    <row r="63" spans="2:17" x14ac:dyDescent="0.2">
      <c r="C63" s="49" t="s">
        <v>80</v>
      </c>
    </row>
    <row r="64" spans="2:17" x14ac:dyDescent="0.2">
      <c r="C64" s="49" t="s">
        <v>81</v>
      </c>
    </row>
    <row r="65" spans="3:3" x14ac:dyDescent="0.2">
      <c r="C65" s="49" t="s">
        <v>82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sqref="G33:G34 G36:G44 G21:G31">
      <formula1>$B$14:$B$19</formula1>
    </dataValidation>
    <dataValidation type="list" allowBlank="1" showInputMessage="1" showErrorMessage="1" prompt="Select Charge Unit - monthly, per kWh, per kW" sqref="F36:F44 F33:F34 F21:F31">
      <formula1>"Monthly, per kWh, per kW"</formula1>
    </dataValidation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"/>
  <sheetViews>
    <sheetView showGridLines="0" topLeftCell="A5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14062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9.7109375" style="49" customWidth="1"/>
    <col min="15" max="15" width="2.85546875" style="49" customWidth="1"/>
    <col min="16" max="16" width="8.85546875" style="49" customWidth="1"/>
    <col min="17" max="17" width="10" style="49" bestFit="1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82" t="s">
        <v>129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300</v>
      </c>
      <c r="I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65" t="s">
        <v>6</v>
      </c>
      <c r="E21" s="65"/>
      <c r="F21" s="229" t="s">
        <v>1</v>
      </c>
      <c r="G21" s="186"/>
      <c r="H21" s="235">
        <f>+'Rates Detail'!I86</f>
        <v>8.15</v>
      </c>
      <c r="I21" s="185">
        <v>1</v>
      </c>
      <c r="J21" s="225">
        <f>I21*H21</f>
        <v>8.15</v>
      </c>
      <c r="K21" s="149"/>
      <c r="L21" s="235">
        <f>+'Rates Detail'!J86</f>
        <v>8.23</v>
      </c>
      <c r="M21" s="187">
        <v>1</v>
      </c>
      <c r="N21" s="225">
        <f>M21*L21</f>
        <v>8.23</v>
      </c>
      <c r="O21" s="149"/>
      <c r="P21" s="193">
        <f>N21-J21</f>
        <v>8.0000000000000071E-2</v>
      </c>
      <c r="Q21" s="234">
        <f>IF((J21)=0,"",(P21/J21))</f>
        <v>9.8159509202454063E-3</v>
      </c>
    </row>
    <row r="22" spans="2:17" x14ac:dyDescent="0.2">
      <c r="D22" s="65" t="s">
        <v>50</v>
      </c>
      <c r="E22" s="65"/>
      <c r="F22" s="229" t="s">
        <v>1</v>
      </c>
      <c r="G22" s="186"/>
      <c r="H22" s="235"/>
      <c r="I22" s="185">
        <v>1</v>
      </c>
      <c r="J22" s="225">
        <f t="shared" ref="J22:J31" si="0">I22*H22</f>
        <v>0</v>
      </c>
      <c r="K22" s="149"/>
      <c r="L22" s="224"/>
      <c r="M22" s="187">
        <v>1</v>
      </c>
      <c r="N22" s="225">
        <f>M22*L22</f>
        <v>0</v>
      </c>
      <c r="O22" s="149"/>
      <c r="P22" s="193">
        <f>N22-J22</f>
        <v>0</v>
      </c>
      <c r="Q22" s="234" t="str">
        <f>IF((J22)=0,"",(P22/J22))</f>
        <v/>
      </c>
    </row>
    <row r="23" spans="2:17" x14ac:dyDescent="0.2">
      <c r="D23" s="65" t="s">
        <v>12</v>
      </c>
      <c r="E23" s="65"/>
      <c r="F23" s="229" t="s">
        <v>51</v>
      </c>
      <c r="G23" s="186"/>
      <c r="H23" s="224">
        <f>+'Rates Detail'!I93</f>
        <v>1.49E-2</v>
      </c>
      <c r="I23" s="185">
        <f>H16</f>
        <v>300</v>
      </c>
      <c r="J23" s="225">
        <f t="shared" si="0"/>
        <v>4.47</v>
      </c>
      <c r="K23" s="149"/>
      <c r="L23" s="224">
        <f>+'Rates Detail'!J93</f>
        <v>1.4999999999999999E-2</v>
      </c>
      <c r="M23" s="187">
        <f>H16</f>
        <v>300</v>
      </c>
      <c r="N23" s="225">
        <f t="shared" ref="N23:N31" si="1">M23*L23</f>
        <v>4.5</v>
      </c>
      <c r="O23" s="149"/>
      <c r="P23" s="193">
        <f t="shared" ref="P23:P49" si="2">N23-J23</f>
        <v>3.0000000000000249E-2</v>
      </c>
      <c r="Q23" s="234">
        <f t="shared" ref="Q23:Q49" si="3">IF((J23)=0,"",(P23/J23))</f>
        <v>6.7114093959732106E-3</v>
      </c>
    </row>
    <row r="24" spans="2:17" x14ac:dyDescent="0.2">
      <c r="D24" s="65" t="s">
        <v>52</v>
      </c>
      <c r="E24" s="65"/>
      <c r="F24" s="229" t="s">
        <v>51</v>
      </c>
      <c r="G24" s="186"/>
      <c r="H24" s="224">
        <f>+'Rates Detail'!I108</f>
        <v>2.0000000000000001E-4</v>
      </c>
      <c r="I24" s="185">
        <f t="shared" ref="I24" si="4">I23</f>
        <v>300</v>
      </c>
      <c r="J24" s="225">
        <f t="shared" si="0"/>
        <v>6.0000000000000005E-2</v>
      </c>
      <c r="K24" s="149"/>
      <c r="L24" s="224">
        <f>+'Rates Detail'!J108</f>
        <v>2.0000000000000001E-4</v>
      </c>
      <c r="M24" s="187">
        <f t="shared" ref="M24" si="5">M23</f>
        <v>300</v>
      </c>
      <c r="N24" s="225">
        <f t="shared" si="1"/>
        <v>6.0000000000000005E-2</v>
      </c>
      <c r="O24" s="149"/>
      <c r="P24" s="193">
        <f t="shared" si="2"/>
        <v>0</v>
      </c>
      <c r="Q24" s="234">
        <f t="shared" si="3"/>
        <v>0</v>
      </c>
    </row>
    <row r="25" spans="2:17" x14ac:dyDescent="0.2">
      <c r="D25" s="65" t="s">
        <v>118</v>
      </c>
      <c r="E25" s="65"/>
      <c r="F25" s="229" t="s">
        <v>51</v>
      </c>
      <c r="G25" s="186"/>
      <c r="H25" s="236">
        <f>+J25/I25</f>
        <v>7.8E-2</v>
      </c>
      <c r="I25" s="185">
        <f>SUM(I41:I43)*H51</f>
        <v>10.799999999999999</v>
      </c>
      <c r="J25" s="225">
        <f>SUM(J41:J43)*H51</f>
        <v>0.84239999999999993</v>
      </c>
      <c r="K25" s="149"/>
      <c r="L25" s="236">
        <f>+N25/M25</f>
        <v>7.8E-2</v>
      </c>
      <c r="M25" s="185">
        <f>SUM(M41:M43)*L51</f>
        <v>10.799999999999999</v>
      </c>
      <c r="N25" s="225">
        <f>SUM(N41:N43)*L51</f>
        <v>0.84239999999999993</v>
      </c>
      <c r="O25" s="149"/>
      <c r="P25" s="193">
        <f t="shared" si="2"/>
        <v>0</v>
      </c>
      <c r="Q25" s="234">
        <f t="shared" si="3"/>
        <v>0</v>
      </c>
    </row>
    <row r="26" spans="2:17" x14ac:dyDescent="0.2">
      <c r="D26" s="65" t="s">
        <v>53</v>
      </c>
      <c r="E26" s="65"/>
      <c r="F26" s="229" t="s">
        <v>1</v>
      </c>
      <c r="G26" s="186"/>
      <c r="H26" s="235">
        <v>0</v>
      </c>
      <c r="I26" s="185">
        <v>1</v>
      </c>
      <c r="J26" s="225">
        <f t="shared" si="0"/>
        <v>0</v>
      </c>
      <c r="K26" s="149"/>
      <c r="L26" s="235">
        <v>0</v>
      </c>
      <c r="M26" s="187">
        <v>1</v>
      </c>
      <c r="N26" s="225">
        <f t="shared" si="1"/>
        <v>0</v>
      </c>
      <c r="O26" s="149"/>
      <c r="P26" s="193">
        <f t="shared" si="2"/>
        <v>0</v>
      </c>
      <c r="Q26" s="234" t="str">
        <f t="shared" si="3"/>
        <v/>
      </c>
    </row>
    <row r="27" spans="2:17" x14ac:dyDescent="0.2">
      <c r="D27" s="65" t="s">
        <v>54</v>
      </c>
      <c r="E27" s="65"/>
      <c r="F27" s="229" t="s">
        <v>51</v>
      </c>
      <c r="G27" s="186"/>
      <c r="H27" s="224">
        <f>+'Rates Detail'!I101</f>
        <v>0</v>
      </c>
      <c r="I27" s="185">
        <v>300</v>
      </c>
      <c r="J27" s="225">
        <f t="shared" si="0"/>
        <v>0</v>
      </c>
      <c r="K27" s="149"/>
      <c r="L27" s="224">
        <f>+'Rates Detail'!I101</f>
        <v>0</v>
      </c>
      <c r="M27" s="187">
        <f>+I27</f>
        <v>300</v>
      </c>
      <c r="N27" s="225">
        <f t="shared" si="1"/>
        <v>0</v>
      </c>
      <c r="O27" s="149"/>
      <c r="P27" s="193">
        <f t="shared" si="2"/>
        <v>0</v>
      </c>
      <c r="Q27" s="234" t="str">
        <f t="shared" si="3"/>
        <v/>
      </c>
    </row>
    <row r="28" spans="2:17" x14ac:dyDescent="0.2">
      <c r="D28" s="65" t="s">
        <v>93</v>
      </c>
      <c r="E28" s="65"/>
      <c r="F28" s="229" t="s">
        <v>51</v>
      </c>
      <c r="G28" s="186"/>
      <c r="H28" s="224">
        <f>'Rates Detail'!I100</f>
        <v>-1.1000000000000001E-3</v>
      </c>
      <c r="I28" s="189">
        <v>300</v>
      </c>
      <c r="J28" s="225">
        <f>I28*H28</f>
        <v>-0.33</v>
      </c>
      <c r="K28" s="149"/>
      <c r="L28" s="224">
        <f>'Rates Detail'!J100</f>
        <v>0</v>
      </c>
      <c r="M28" s="190">
        <v>300</v>
      </c>
      <c r="N28" s="225">
        <f>M28*L28</f>
        <v>0</v>
      </c>
      <c r="O28" s="149"/>
      <c r="P28" s="193">
        <f>N28-J28</f>
        <v>0.33</v>
      </c>
      <c r="Q28" s="234">
        <f>IF((J28)=0,"",(P28/J28))</f>
        <v>-1</v>
      </c>
    </row>
    <row r="29" spans="2:17" ht="25.5" x14ac:dyDescent="0.2">
      <c r="D29" s="75" t="s">
        <v>55</v>
      </c>
      <c r="E29" s="65"/>
      <c r="F29" s="229" t="s">
        <v>51</v>
      </c>
      <c r="G29" s="186"/>
      <c r="H29" s="224">
        <f>SUM('Rates Detail'!I96:I99)</f>
        <v>-3.9999999999999986E-4</v>
      </c>
      <c r="I29" s="185">
        <f>I27</f>
        <v>300</v>
      </c>
      <c r="J29" s="225">
        <f t="shared" si="0"/>
        <v>-0.11999999999999995</v>
      </c>
      <c r="K29" s="149"/>
      <c r="L29" s="224">
        <f>SUM('Rates Detail'!J96:J99)</f>
        <v>-2.3999999999999998E-3</v>
      </c>
      <c r="M29" s="187">
        <f>+I29</f>
        <v>300</v>
      </c>
      <c r="N29" s="225">
        <f t="shared" si="1"/>
        <v>-0.72</v>
      </c>
      <c r="O29" s="149"/>
      <c r="P29" s="193">
        <f t="shared" si="2"/>
        <v>-0.6</v>
      </c>
      <c r="Q29" s="234">
        <f t="shared" si="3"/>
        <v>5.0000000000000018</v>
      </c>
    </row>
    <row r="30" spans="2:17" x14ac:dyDescent="0.2">
      <c r="D30" s="76"/>
      <c r="E30" s="65"/>
      <c r="F30" s="229"/>
      <c r="G30" s="186"/>
      <c r="H30" s="224"/>
      <c r="I30" s="194"/>
      <c r="J30" s="225">
        <f t="shared" si="0"/>
        <v>0</v>
      </c>
      <c r="K30" s="149"/>
      <c r="L30" s="235"/>
      <c r="M30" s="195"/>
      <c r="N30" s="225">
        <f t="shared" si="1"/>
        <v>0</v>
      </c>
      <c r="O30" s="149"/>
      <c r="P30" s="193">
        <f t="shared" si="2"/>
        <v>0</v>
      </c>
      <c r="Q30" s="234" t="str">
        <f t="shared" si="3"/>
        <v/>
      </c>
    </row>
    <row r="31" spans="2:17" ht="13.5" thickBot="1" x14ac:dyDescent="0.25">
      <c r="D31" s="76"/>
      <c r="E31" s="65"/>
      <c r="F31" s="229"/>
      <c r="G31" s="186"/>
      <c r="H31" s="224"/>
      <c r="I31" s="194"/>
      <c r="J31" s="225">
        <f t="shared" si="0"/>
        <v>0</v>
      </c>
      <c r="K31" s="149"/>
      <c r="L31" s="224"/>
      <c r="M31" s="195"/>
      <c r="N31" s="225">
        <f t="shared" si="1"/>
        <v>0</v>
      </c>
      <c r="O31" s="149"/>
      <c r="P31" s="193">
        <f t="shared" si="2"/>
        <v>0</v>
      </c>
      <c r="Q31" s="234" t="str">
        <f t="shared" si="3"/>
        <v/>
      </c>
    </row>
    <row r="32" spans="2:17" ht="13.5" thickBot="1" x14ac:dyDescent="0.25">
      <c r="D32" s="55" t="s">
        <v>57</v>
      </c>
      <c r="F32" s="54"/>
      <c r="G32" s="230"/>
      <c r="H32" s="196"/>
      <c r="I32" s="197"/>
      <c r="J32" s="82">
        <f>SUM(J21:J31)</f>
        <v>13.072400000000002</v>
      </c>
      <c r="K32" s="54"/>
      <c r="L32" s="196"/>
      <c r="M32" s="198"/>
      <c r="N32" s="82">
        <f>SUM(N21:N31)</f>
        <v>12.9124</v>
      </c>
      <c r="O32" s="54"/>
      <c r="P32" s="84">
        <f t="shared" si="2"/>
        <v>-0.16000000000000192</v>
      </c>
      <c r="Q32" s="85">
        <f t="shared" si="3"/>
        <v>-1.2239527554236551E-2</v>
      </c>
    </row>
    <row r="33" spans="4:17" x14ac:dyDescent="0.2">
      <c r="D33" s="86" t="s">
        <v>58</v>
      </c>
      <c r="E33" s="86"/>
      <c r="F33" s="231" t="s">
        <v>51</v>
      </c>
      <c r="G33" s="232"/>
      <c r="H33" s="226">
        <f>+'Rates Detail'!I110</f>
        <v>6.7999999999999996E-3</v>
      </c>
      <c r="I33" s="199">
        <f>+H16</f>
        <v>300</v>
      </c>
      <c r="J33" s="227">
        <f>I33*H33</f>
        <v>2.04</v>
      </c>
      <c r="K33" s="200"/>
      <c r="L33" s="226">
        <f>+'Rates Detail'!J110</f>
        <v>7.1000000000000004E-3</v>
      </c>
      <c r="M33" s="201">
        <f>+I33</f>
        <v>300</v>
      </c>
      <c r="N33" s="227">
        <f>M33*L33</f>
        <v>2.1300000000000003</v>
      </c>
      <c r="O33" s="200"/>
      <c r="P33" s="202">
        <f t="shared" si="2"/>
        <v>9.0000000000000302E-2</v>
      </c>
      <c r="Q33" s="228">
        <f t="shared" si="3"/>
        <v>4.4117647058823678E-2</v>
      </c>
    </row>
    <row r="34" spans="4:17" ht="26.25" thickBot="1" x14ac:dyDescent="0.25">
      <c r="D34" s="95" t="s">
        <v>59</v>
      </c>
      <c r="E34" s="86"/>
      <c r="F34" s="231" t="s">
        <v>51</v>
      </c>
      <c r="G34" s="232"/>
      <c r="H34" s="226">
        <f>+'Rates Detail'!I111</f>
        <v>5.1999999999999998E-3</v>
      </c>
      <c r="I34" s="199">
        <f>I33</f>
        <v>300</v>
      </c>
      <c r="J34" s="227">
        <f>I34*H34</f>
        <v>1.5599999999999998</v>
      </c>
      <c r="K34" s="200"/>
      <c r="L34" s="226">
        <f>+'Rates Detail'!J111</f>
        <v>5.1999999999999998E-3</v>
      </c>
      <c r="M34" s="201">
        <f>M33</f>
        <v>300</v>
      </c>
      <c r="N34" s="227">
        <f>M34*L34</f>
        <v>1.5599999999999998</v>
      </c>
      <c r="O34" s="200"/>
      <c r="P34" s="202">
        <f t="shared" si="2"/>
        <v>0</v>
      </c>
      <c r="Q34" s="228">
        <f t="shared" si="3"/>
        <v>0</v>
      </c>
    </row>
    <row r="35" spans="4:17" ht="26.25" thickBot="1" x14ac:dyDescent="0.25">
      <c r="D35" s="96" t="s">
        <v>60</v>
      </c>
      <c r="E35" s="65"/>
      <c r="F35" s="149"/>
      <c r="G35" s="186"/>
      <c r="H35" s="203"/>
      <c r="I35" s="204"/>
      <c r="J35" s="99">
        <f>SUM(J32:J34)</f>
        <v>16.6724</v>
      </c>
      <c r="K35" s="100"/>
      <c r="L35" s="101"/>
      <c r="M35" s="102"/>
      <c r="N35" s="99">
        <f>SUM(N32:N34)</f>
        <v>16.602399999999999</v>
      </c>
      <c r="O35" s="100"/>
      <c r="P35" s="103">
        <f t="shared" si="2"/>
        <v>-7.0000000000000284E-2</v>
      </c>
      <c r="Q35" s="104">
        <f t="shared" si="3"/>
        <v>-4.1985556968403039E-3</v>
      </c>
    </row>
    <row r="36" spans="4:17" ht="25.5" x14ac:dyDescent="0.2">
      <c r="D36" s="75" t="s">
        <v>61</v>
      </c>
      <c r="E36" s="65"/>
      <c r="F36" s="229" t="s">
        <v>51</v>
      </c>
      <c r="G36" s="186"/>
      <c r="H36" s="147">
        <f>+'Rates Detail'!I114</f>
        <v>4.4000000000000003E-3</v>
      </c>
      <c r="I36" s="233">
        <f>ROUND(H16*(1+H51),0)</f>
        <v>311</v>
      </c>
      <c r="J36" s="205">
        <f>I36*H36</f>
        <v>1.3684000000000001</v>
      </c>
      <c r="K36" s="149"/>
      <c r="L36" s="147">
        <f>+'Rates Detail'!J114</f>
        <v>4.4000000000000003E-3</v>
      </c>
      <c r="M36" s="187">
        <f>+I36</f>
        <v>311</v>
      </c>
      <c r="N36" s="205">
        <f>M36*L36</f>
        <v>1.3684000000000001</v>
      </c>
      <c r="O36" s="149"/>
      <c r="P36" s="193">
        <f t="shared" si="2"/>
        <v>0</v>
      </c>
      <c r="Q36" s="206">
        <f t="shared" si="3"/>
        <v>0</v>
      </c>
    </row>
    <row r="37" spans="4:17" ht="25.5" x14ac:dyDescent="0.2">
      <c r="D37" s="75" t="s">
        <v>62</v>
      </c>
      <c r="E37" s="65"/>
      <c r="F37" s="229" t="s">
        <v>51</v>
      </c>
      <c r="G37" s="186"/>
      <c r="H37" s="147">
        <f>+'Rates Detail'!I115</f>
        <v>1.1999999999999999E-3</v>
      </c>
      <c r="I37" s="185">
        <f>+I36</f>
        <v>311</v>
      </c>
      <c r="J37" s="205">
        <f t="shared" ref="J37:J44" si="6">I37*H37</f>
        <v>0.37319999999999998</v>
      </c>
      <c r="K37" s="149"/>
      <c r="L37" s="147">
        <f>+'Rates Detail'!J115</f>
        <v>1.1999999999999999E-3</v>
      </c>
      <c r="M37" s="187">
        <f>+M36</f>
        <v>311</v>
      </c>
      <c r="N37" s="205">
        <f t="shared" ref="N37:N44" si="7">M37*L37</f>
        <v>0.37319999999999998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75" t="s">
        <v>63</v>
      </c>
      <c r="E38" s="65"/>
      <c r="F38" s="229"/>
      <c r="G38" s="186"/>
      <c r="H38" s="148"/>
      <c r="I38" s="185">
        <f>I34</f>
        <v>300</v>
      </c>
      <c r="J38" s="205">
        <f t="shared" si="6"/>
        <v>0</v>
      </c>
      <c r="K38" s="149"/>
      <c r="L38" s="148"/>
      <c r="M38" s="187">
        <f>M34</f>
        <v>300</v>
      </c>
      <c r="N38" s="205">
        <f t="shared" si="7"/>
        <v>0</v>
      </c>
      <c r="O38" s="149"/>
      <c r="P38" s="193">
        <f t="shared" si="2"/>
        <v>0</v>
      </c>
      <c r="Q38" s="206" t="str">
        <f t="shared" si="3"/>
        <v/>
      </c>
    </row>
    <row r="39" spans="4:17" x14ac:dyDescent="0.2">
      <c r="D39" s="65" t="s">
        <v>64</v>
      </c>
      <c r="E39" s="65"/>
      <c r="F39" s="229" t="s">
        <v>1</v>
      </c>
      <c r="G39" s="186"/>
      <c r="H39" s="147">
        <v>0.25</v>
      </c>
      <c r="I39" s="185">
        <v>1</v>
      </c>
      <c r="J39" s="205">
        <f t="shared" si="6"/>
        <v>0.25</v>
      </c>
      <c r="K39" s="149"/>
      <c r="L39" s="147">
        <v>0.25</v>
      </c>
      <c r="M39" s="187">
        <v>1</v>
      </c>
      <c r="N39" s="205">
        <f t="shared" si="7"/>
        <v>0.25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65</v>
      </c>
      <c r="E40" s="65"/>
      <c r="F40" s="229" t="s">
        <v>51</v>
      </c>
      <c r="G40" s="186"/>
      <c r="H40" s="147">
        <v>7.0000000000000001E-3</v>
      </c>
      <c r="I40" s="185">
        <f>+I34</f>
        <v>300</v>
      </c>
      <c r="J40" s="205">
        <f t="shared" si="6"/>
        <v>2.1</v>
      </c>
      <c r="K40" s="149"/>
      <c r="L40" s="147">
        <f>+H40</f>
        <v>7.0000000000000001E-3</v>
      </c>
      <c r="M40" s="187">
        <f>+M34</f>
        <v>300</v>
      </c>
      <c r="N40" s="205">
        <f t="shared" si="7"/>
        <v>2.1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65" t="s">
        <v>66</v>
      </c>
      <c r="E41" s="65"/>
      <c r="F41" s="229" t="s">
        <v>51</v>
      </c>
      <c r="G41" s="186"/>
      <c r="H41" s="147">
        <f>+'USL NonRPP'!H41</f>
        <v>7.8E-2</v>
      </c>
      <c r="I41" s="233">
        <f>$H$16</f>
        <v>300</v>
      </c>
      <c r="J41" s="205">
        <f t="shared" si="6"/>
        <v>23.4</v>
      </c>
      <c r="K41" s="149"/>
      <c r="L41" s="147">
        <f>+H41</f>
        <v>7.8E-2</v>
      </c>
      <c r="M41" s="187">
        <f>+I41</f>
        <v>300</v>
      </c>
      <c r="N41" s="205">
        <f t="shared" si="7"/>
        <v>23.4</v>
      </c>
      <c r="O41" s="149"/>
      <c r="P41" s="193">
        <f t="shared" si="2"/>
        <v>0</v>
      </c>
      <c r="Q41" s="206">
        <f t="shared" si="3"/>
        <v>0</v>
      </c>
    </row>
    <row r="42" spans="4:17" x14ac:dyDescent="0.2">
      <c r="D42" s="65" t="s">
        <v>66</v>
      </c>
      <c r="E42" s="65"/>
      <c r="F42" s="229" t="s">
        <v>51</v>
      </c>
      <c r="G42" s="186"/>
      <c r="H42" s="147">
        <f>+'USL NonRPP'!H42</f>
        <v>9.0999999999999998E-2</v>
      </c>
      <c r="I42" s="233">
        <v>0</v>
      </c>
      <c r="J42" s="205">
        <f t="shared" ref="J42:J43" si="8">I42*H42</f>
        <v>0</v>
      </c>
      <c r="K42" s="149"/>
      <c r="L42" s="147">
        <f t="shared" ref="L42:L43" si="9">+H42</f>
        <v>9.0999999999999998E-2</v>
      </c>
      <c r="M42" s="187">
        <f t="shared" ref="M42:M43" si="10">+I42</f>
        <v>0</v>
      </c>
      <c r="N42" s="205">
        <f t="shared" ref="N42:N43" si="11">M42*L42</f>
        <v>0</v>
      </c>
      <c r="O42" s="149"/>
      <c r="P42" s="193">
        <f t="shared" ref="P42:P43" si="12">N42-J42</f>
        <v>0</v>
      </c>
      <c r="Q42" s="206" t="str">
        <f t="shared" ref="Q42:Q43" si="13">IF((J42)=0,"",(P42/J42))</f>
        <v/>
      </c>
    </row>
    <row r="43" spans="4:17" x14ac:dyDescent="0.2">
      <c r="D43" s="65"/>
      <c r="E43" s="65"/>
      <c r="F43" s="229"/>
      <c r="G43" s="186"/>
      <c r="H43" s="147"/>
      <c r="I43" s="233">
        <f>+I42</f>
        <v>0</v>
      </c>
      <c r="J43" s="205">
        <f t="shared" si="8"/>
        <v>0</v>
      </c>
      <c r="K43" s="149"/>
      <c r="L43" s="147">
        <f t="shared" si="9"/>
        <v>0</v>
      </c>
      <c r="M43" s="187">
        <f t="shared" si="10"/>
        <v>0</v>
      </c>
      <c r="N43" s="205">
        <f t="shared" si="11"/>
        <v>0</v>
      </c>
      <c r="O43" s="149"/>
      <c r="P43" s="193">
        <f t="shared" si="12"/>
        <v>0</v>
      </c>
      <c r="Q43" s="206" t="str">
        <f t="shared" si="13"/>
        <v/>
      </c>
    </row>
    <row r="44" spans="4:17" ht="13.5" thickBot="1" x14ac:dyDescent="0.25">
      <c r="D44" s="76"/>
      <c r="E44" s="65"/>
      <c r="F44" s="229"/>
      <c r="G44" s="186"/>
      <c r="H44" s="147"/>
      <c r="I44" s="194"/>
      <c r="J44" s="205">
        <f t="shared" si="6"/>
        <v>0</v>
      </c>
      <c r="K44" s="149"/>
      <c r="L44" s="147"/>
      <c r="M44" s="195"/>
      <c r="N44" s="205">
        <f t="shared" si="7"/>
        <v>0</v>
      </c>
      <c r="O44" s="149"/>
      <c r="P44" s="193">
        <f t="shared" si="2"/>
        <v>0</v>
      </c>
      <c r="Q44" s="206" t="str">
        <f t="shared" si="3"/>
        <v/>
      </c>
    </row>
    <row r="45" spans="4:17" ht="13.5" thickBot="1" x14ac:dyDescent="0.25">
      <c r="D45" s="113" t="s">
        <v>67</v>
      </c>
      <c r="E45" s="65"/>
      <c r="F45" s="149"/>
      <c r="G45" s="149"/>
      <c r="H45" s="209"/>
      <c r="I45" s="210"/>
      <c r="J45" s="99">
        <f>SUM(J35:J44)</f>
        <v>44.164000000000001</v>
      </c>
      <c r="K45" s="100"/>
      <c r="L45" s="116"/>
      <c r="M45" s="117"/>
      <c r="N45" s="99">
        <f>SUM(N35:N44)</f>
        <v>44.094000000000001</v>
      </c>
      <c r="O45" s="100"/>
      <c r="P45" s="103">
        <f t="shared" si="2"/>
        <v>-7.0000000000000284E-2</v>
      </c>
      <c r="Q45" s="104">
        <f t="shared" si="3"/>
        <v>-1.5850013585725995E-3</v>
      </c>
    </row>
    <row r="46" spans="4:17" ht="13.5" thickBot="1" x14ac:dyDescent="0.25">
      <c r="D46" s="67" t="s">
        <v>68</v>
      </c>
      <c r="E46" s="65"/>
      <c r="F46" s="149"/>
      <c r="G46" s="149"/>
      <c r="H46" s="211">
        <v>0.13</v>
      </c>
      <c r="I46" s="212"/>
      <c r="J46" s="213">
        <f>J45*H46</f>
        <v>5.74132</v>
      </c>
      <c r="K46" s="149"/>
      <c r="L46" s="211">
        <v>0.13</v>
      </c>
      <c r="M46" s="214"/>
      <c r="N46" s="213">
        <f>N45*L46</f>
        <v>5.7322200000000008</v>
      </c>
      <c r="O46" s="149"/>
      <c r="P46" s="193">
        <f t="shared" si="2"/>
        <v>-9.0999999999992198E-3</v>
      </c>
      <c r="Q46" s="206">
        <f t="shared" si="3"/>
        <v>-1.5850013585724573E-3</v>
      </c>
    </row>
    <row r="47" spans="4:17" ht="26.25" thickBot="1" x14ac:dyDescent="0.25">
      <c r="D47" s="96" t="s">
        <v>69</v>
      </c>
      <c r="E47" s="65"/>
      <c r="F47" s="149"/>
      <c r="G47" s="149"/>
      <c r="H47" s="203"/>
      <c r="I47" s="204"/>
      <c r="J47" s="99">
        <f>ROUND(SUM(J45:J46),2)</f>
        <v>49.91</v>
      </c>
      <c r="K47" s="100"/>
      <c r="L47" s="101"/>
      <c r="M47" s="102"/>
      <c r="N47" s="99">
        <f>ROUND(SUM(N45:N46),2)</f>
        <v>49.83</v>
      </c>
      <c r="O47" s="100"/>
      <c r="P47" s="103">
        <f t="shared" si="2"/>
        <v>-7.9999999999998295E-2</v>
      </c>
      <c r="Q47" s="104">
        <f t="shared" si="3"/>
        <v>-1.6028851933479924E-3</v>
      </c>
    </row>
    <row r="48" spans="4:17" ht="27.75" thickBot="1" x14ac:dyDescent="0.25">
      <c r="D48" s="122" t="s">
        <v>70</v>
      </c>
      <c r="E48" s="65"/>
      <c r="F48" s="149"/>
      <c r="G48" s="149"/>
      <c r="H48" s="203"/>
      <c r="I48" s="215"/>
      <c r="J48" s="99">
        <f>ROUND(-J47*10%,2)</f>
        <v>-4.99</v>
      </c>
      <c r="K48" s="100"/>
      <c r="L48" s="101"/>
      <c r="M48" s="102"/>
      <c r="N48" s="99">
        <f>ROUND(-N47*10%,2)</f>
        <v>-4.9800000000000004</v>
      </c>
      <c r="O48" s="100"/>
      <c r="P48" s="103">
        <f t="shared" si="2"/>
        <v>9.9999999999997868E-3</v>
      </c>
      <c r="Q48" s="104">
        <f t="shared" si="3"/>
        <v>-2.0040080160320215E-3</v>
      </c>
    </row>
    <row r="49" spans="2:17" ht="13.5" thickBot="1" x14ac:dyDescent="0.25">
      <c r="D49" s="96" t="s">
        <v>71</v>
      </c>
      <c r="E49" s="65"/>
      <c r="F49" s="149"/>
      <c r="G49" s="149"/>
      <c r="H49" s="216"/>
      <c r="I49" s="217"/>
      <c r="J49" s="126">
        <f>J47+J48</f>
        <v>44.919999999999995</v>
      </c>
      <c r="K49" s="100"/>
      <c r="L49" s="127"/>
      <c r="M49" s="128"/>
      <c r="N49" s="126">
        <f>N47+N48</f>
        <v>44.849999999999994</v>
      </c>
      <c r="O49" s="100"/>
      <c r="P49" s="129">
        <f t="shared" si="2"/>
        <v>-7.0000000000000284E-2</v>
      </c>
      <c r="Q49" s="130">
        <f t="shared" si="3"/>
        <v>-1.5583259127337555E-3</v>
      </c>
    </row>
    <row r="50" spans="2:17" ht="10.5" customHeight="1" x14ac:dyDescent="0.2"/>
    <row r="51" spans="2:17" x14ac:dyDescent="0.2">
      <c r="D51" s="55" t="s">
        <v>72</v>
      </c>
      <c r="H51" s="131">
        <v>3.5999999999999997E-2</v>
      </c>
      <c r="L51" s="132">
        <f>+H51</f>
        <v>3.5999999999999997E-2</v>
      </c>
    </row>
    <row r="52" spans="2:17" ht="10.5" customHeight="1" x14ac:dyDescent="0.2"/>
    <row r="53" spans="2:17" ht="10.5" customHeight="1" x14ac:dyDescent="0.2">
      <c r="C53" s="133" t="s">
        <v>73</v>
      </c>
    </row>
    <row r="54" spans="2:17" ht="10.5" customHeight="1" x14ac:dyDescent="0.2"/>
    <row r="55" spans="2:17" x14ac:dyDescent="0.2">
      <c r="B55" s="55"/>
      <c r="C55" s="49" t="s">
        <v>74</v>
      </c>
    </row>
    <row r="56" spans="2:17" x14ac:dyDescent="0.2">
      <c r="C56" s="49" t="s">
        <v>75</v>
      </c>
    </row>
    <row r="58" spans="2:17" x14ac:dyDescent="0.2">
      <c r="C58" s="49" t="s">
        <v>76</v>
      </c>
    </row>
    <row r="59" spans="2:17" x14ac:dyDescent="0.2">
      <c r="C59" s="49" t="s">
        <v>77</v>
      </c>
    </row>
    <row r="61" spans="2:17" x14ac:dyDescent="0.2">
      <c r="C61" s="49" t="s">
        <v>78</v>
      </c>
    </row>
    <row r="62" spans="2:17" x14ac:dyDescent="0.2">
      <c r="C62" s="49" t="s">
        <v>79</v>
      </c>
    </row>
    <row r="63" spans="2:17" x14ac:dyDescent="0.2">
      <c r="C63" s="49" t="s">
        <v>80</v>
      </c>
    </row>
    <row r="64" spans="2:17" x14ac:dyDescent="0.2">
      <c r="C64" s="49" t="s">
        <v>81</v>
      </c>
    </row>
    <row r="65" spans="3:3" x14ac:dyDescent="0.2">
      <c r="C65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3:F34 F21:F31 F36:F44">
      <formula1>"Monthly, per kWh, per kW"</formula1>
    </dataValidation>
    <dataValidation type="list" allowBlank="1" showInputMessage="1" showErrorMessage="1" sqref="G33:G34 G36:G44 G21:G31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"/>
  <sheetViews>
    <sheetView showGridLines="0" topLeftCell="A26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140625" style="49" customWidth="1"/>
    <col min="11" max="11" width="2.85546875" style="49" customWidth="1"/>
    <col min="12" max="12" width="12.140625" style="49" customWidth="1"/>
    <col min="13" max="13" width="8.5703125" style="49" customWidth="1"/>
    <col min="14" max="14" width="9.7109375" style="49" customWidth="1"/>
    <col min="15" max="15" width="2.85546875" style="49" customWidth="1"/>
    <col min="16" max="16" width="8.85546875" style="49" customWidth="1"/>
    <col min="17" max="17" width="10" style="49" bestFit="1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79"/>
      <c r="O1" s="179"/>
      <c r="P1" s="272"/>
      <c r="Q1" s="272"/>
      <c r="R1" s="179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79"/>
      <c r="O2" s="179"/>
      <c r="P2" s="272"/>
      <c r="Q2" s="272"/>
      <c r="R2" s="179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179"/>
      <c r="O3" s="179"/>
      <c r="P3" s="272"/>
      <c r="Q3" s="272"/>
      <c r="R3" s="179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179"/>
      <c r="O4" s="179"/>
      <c r="P4" s="272"/>
      <c r="Q4" s="272"/>
      <c r="R4" s="179"/>
    </row>
    <row r="5" spans="2:18" s="44" customFormat="1" ht="15" customHeight="1" x14ac:dyDescent="0.25">
      <c r="E5" s="48"/>
      <c r="F5" s="48"/>
      <c r="G5" s="48"/>
      <c r="N5" s="179"/>
      <c r="O5" s="179"/>
      <c r="P5" s="272"/>
      <c r="Q5" s="272"/>
      <c r="R5" s="179"/>
    </row>
    <row r="6" spans="2:18" s="44" customFormat="1" ht="9" customHeight="1" x14ac:dyDescent="0.2">
      <c r="N6" s="179"/>
      <c r="O6" s="179"/>
      <c r="P6" s="179"/>
      <c r="Q6" s="179"/>
      <c r="R6" s="179"/>
    </row>
    <row r="7" spans="2:18" s="44" customFormat="1" x14ac:dyDescent="0.2">
      <c r="N7" s="179"/>
      <c r="O7" s="179"/>
      <c r="P7" s="272"/>
      <c r="Q7" s="272"/>
      <c r="R7" s="179"/>
    </row>
    <row r="8" spans="2:18" s="44" customFormat="1" ht="15" customHeight="1" x14ac:dyDescent="0.2">
      <c r="R8" s="179"/>
    </row>
    <row r="9" spans="2:18" ht="7.5" customHeight="1" x14ac:dyDescent="0.2">
      <c r="N9" s="179"/>
      <c r="O9" s="179"/>
      <c r="P9" s="179"/>
      <c r="Q9" s="179"/>
      <c r="R9" s="179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179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179"/>
    </row>
    <row r="12" spans="2:18" ht="7.5" customHeight="1" x14ac:dyDescent="0.2">
      <c r="N12" s="179"/>
      <c r="O12" s="179"/>
      <c r="P12" s="179"/>
      <c r="Q12" s="179"/>
      <c r="R12" s="179"/>
    </row>
    <row r="13" spans="2:18" ht="7.5" customHeight="1" x14ac:dyDescent="0.2">
      <c r="N13" s="179"/>
      <c r="O13" s="179"/>
      <c r="P13" s="179"/>
      <c r="Q13" s="179"/>
      <c r="R13" s="179"/>
    </row>
    <row r="14" spans="2:18" ht="15.75" x14ac:dyDescent="0.25">
      <c r="B14" s="50"/>
      <c r="D14" s="51" t="s">
        <v>38</v>
      </c>
      <c r="F14" s="282" t="s">
        <v>128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300</v>
      </c>
      <c r="I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65" t="s">
        <v>6</v>
      </c>
      <c r="E21" s="65"/>
      <c r="F21" s="229" t="s">
        <v>1</v>
      </c>
      <c r="G21" s="186"/>
      <c r="H21" s="235">
        <f>+'Rates Detail'!I86</f>
        <v>8.15</v>
      </c>
      <c r="I21" s="185">
        <v>1</v>
      </c>
      <c r="J21" s="225">
        <f>I21*H21</f>
        <v>8.15</v>
      </c>
      <c r="K21" s="149"/>
      <c r="L21" s="235">
        <f>+'Rates Detail'!J86</f>
        <v>8.23</v>
      </c>
      <c r="M21" s="187">
        <v>1</v>
      </c>
      <c r="N21" s="225">
        <f>M21*L21</f>
        <v>8.23</v>
      </c>
      <c r="O21" s="149"/>
      <c r="P21" s="193">
        <f>N21-J21</f>
        <v>8.0000000000000071E-2</v>
      </c>
      <c r="Q21" s="234">
        <f>IF((J21)=0,"",(P21/J21))</f>
        <v>9.8159509202454063E-3</v>
      </c>
    </row>
    <row r="22" spans="2:17" x14ac:dyDescent="0.2">
      <c r="D22" s="65" t="s">
        <v>50</v>
      </c>
      <c r="E22" s="65"/>
      <c r="F22" s="229" t="s">
        <v>1</v>
      </c>
      <c r="G22" s="186"/>
      <c r="H22" s="235"/>
      <c r="I22" s="185">
        <v>1</v>
      </c>
      <c r="J22" s="225">
        <f t="shared" ref="J22:J31" si="0">I22*H22</f>
        <v>0</v>
      </c>
      <c r="K22" s="149"/>
      <c r="L22" s="224"/>
      <c r="M22" s="187">
        <v>1</v>
      </c>
      <c r="N22" s="225">
        <f>M22*L22</f>
        <v>0</v>
      </c>
      <c r="O22" s="149"/>
      <c r="P22" s="193">
        <f>N22-J22</f>
        <v>0</v>
      </c>
      <c r="Q22" s="234" t="str">
        <f>IF((J22)=0,"",(P22/J22))</f>
        <v/>
      </c>
    </row>
    <row r="23" spans="2:17" x14ac:dyDescent="0.2">
      <c r="D23" s="65" t="s">
        <v>12</v>
      </c>
      <c r="E23" s="65"/>
      <c r="F23" s="229" t="s">
        <v>51</v>
      </c>
      <c r="G23" s="186"/>
      <c r="H23" s="224">
        <f>+'Rates Detail'!I93</f>
        <v>1.49E-2</v>
      </c>
      <c r="I23" s="185">
        <f>H16</f>
        <v>300</v>
      </c>
      <c r="J23" s="225">
        <f t="shared" si="0"/>
        <v>4.47</v>
      </c>
      <c r="K23" s="149"/>
      <c r="L23" s="224">
        <f>+'Rates Detail'!J93</f>
        <v>1.4999999999999999E-2</v>
      </c>
      <c r="M23" s="187">
        <f>H16</f>
        <v>300</v>
      </c>
      <c r="N23" s="225">
        <f t="shared" ref="N23:N31" si="1">M23*L23</f>
        <v>4.5</v>
      </c>
      <c r="O23" s="149"/>
      <c r="P23" s="193">
        <f t="shared" ref="P23:P49" si="2">N23-J23</f>
        <v>3.0000000000000249E-2</v>
      </c>
      <c r="Q23" s="234">
        <f t="shared" ref="Q23:Q49" si="3">IF((J23)=0,"",(P23/J23))</f>
        <v>6.7114093959732106E-3</v>
      </c>
    </row>
    <row r="24" spans="2:17" x14ac:dyDescent="0.2">
      <c r="D24" s="65" t="s">
        <v>52</v>
      </c>
      <c r="E24" s="65"/>
      <c r="F24" s="229" t="s">
        <v>51</v>
      </c>
      <c r="G24" s="186"/>
      <c r="H24" s="224">
        <f>+'Rates Detail'!I108</f>
        <v>2.0000000000000001E-4</v>
      </c>
      <c r="I24" s="185">
        <f t="shared" ref="I24" si="4">I23</f>
        <v>300</v>
      </c>
      <c r="J24" s="225">
        <f t="shared" si="0"/>
        <v>6.0000000000000005E-2</v>
      </c>
      <c r="K24" s="149"/>
      <c r="L24" s="224">
        <f>+'Rates Detail'!J108</f>
        <v>2.0000000000000001E-4</v>
      </c>
      <c r="M24" s="187">
        <f t="shared" ref="M24" si="5">M23</f>
        <v>300</v>
      </c>
      <c r="N24" s="225">
        <f t="shared" si="1"/>
        <v>6.0000000000000005E-2</v>
      </c>
      <c r="O24" s="149"/>
      <c r="P24" s="193">
        <f t="shared" si="2"/>
        <v>0</v>
      </c>
      <c r="Q24" s="234">
        <f t="shared" si="3"/>
        <v>0</v>
      </c>
    </row>
    <row r="25" spans="2:17" x14ac:dyDescent="0.2">
      <c r="D25" s="177" t="s">
        <v>118</v>
      </c>
      <c r="E25" s="65"/>
      <c r="F25" s="229" t="s">
        <v>51</v>
      </c>
      <c r="G25" s="186"/>
      <c r="H25" s="236">
        <f>+J25/I25</f>
        <v>7.8E-2</v>
      </c>
      <c r="I25" s="185">
        <f>SUM(I41:I43)*H51</f>
        <v>10.799999999999999</v>
      </c>
      <c r="J25" s="225">
        <f>SUM(J41:J43)*H51</f>
        <v>0.84239999999999993</v>
      </c>
      <c r="K25" s="149"/>
      <c r="L25" s="236">
        <f>+N25/M25</f>
        <v>7.8E-2</v>
      </c>
      <c r="M25" s="185">
        <f>SUM(M41:M43)*L51</f>
        <v>10.799999999999999</v>
      </c>
      <c r="N25" s="225">
        <f>SUM(N41:N43)*L51</f>
        <v>0.84239999999999993</v>
      </c>
      <c r="O25" s="149"/>
      <c r="P25" s="193">
        <f t="shared" si="2"/>
        <v>0</v>
      </c>
      <c r="Q25" s="234">
        <f t="shared" si="3"/>
        <v>0</v>
      </c>
    </row>
    <row r="26" spans="2:17" x14ac:dyDescent="0.2">
      <c r="D26" s="65" t="s">
        <v>53</v>
      </c>
      <c r="E26" s="65"/>
      <c r="F26" s="229" t="s">
        <v>1</v>
      </c>
      <c r="G26" s="186"/>
      <c r="H26" s="235">
        <v>0</v>
      </c>
      <c r="I26" s="185">
        <v>1</v>
      </c>
      <c r="J26" s="225">
        <f t="shared" si="0"/>
        <v>0</v>
      </c>
      <c r="K26" s="149"/>
      <c r="L26" s="235">
        <v>0</v>
      </c>
      <c r="M26" s="187">
        <v>1</v>
      </c>
      <c r="N26" s="225">
        <f t="shared" si="1"/>
        <v>0</v>
      </c>
      <c r="O26" s="149"/>
      <c r="P26" s="193">
        <f t="shared" si="2"/>
        <v>0</v>
      </c>
      <c r="Q26" s="234" t="str">
        <f t="shared" si="3"/>
        <v/>
      </c>
    </row>
    <row r="27" spans="2:17" x14ac:dyDescent="0.2">
      <c r="D27" s="65" t="s">
        <v>54</v>
      </c>
      <c r="E27" s="65"/>
      <c r="F27" s="229" t="s">
        <v>51</v>
      </c>
      <c r="G27" s="186"/>
      <c r="H27" s="224">
        <f>+'Rates Detail'!I101</f>
        <v>0</v>
      </c>
      <c r="I27" s="185">
        <v>300</v>
      </c>
      <c r="J27" s="225">
        <f t="shared" si="0"/>
        <v>0</v>
      </c>
      <c r="K27" s="149"/>
      <c r="L27" s="224">
        <f>+'Rates Detail'!I101</f>
        <v>0</v>
      </c>
      <c r="M27" s="187">
        <f>+I27</f>
        <v>300</v>
      </c>
      <c r="N27" s="225">
        <f t="shared" si="1"/>
        <v>0</v>
      </c>
      <c r="O27" s="149"/>
      <c r="P27" s="193">
        <f t="shared" si="2"/>
        <v>0</v>
      </c>
      <c r="Q27" s="234" t="str">
        <f t="shared" si="3"/>
        <v/>
      </c>
    </row>
    <row r="28" spans="2:17" x14ac:dyDescent="0.2">
      <c r="D28" s="65" t="s">
        <v>93</v>
      </c>
      <c r="E28" s="65"/>
      <c r="F28" s="229" t="s">
        <v>51</v>
      </c>
      <c r="G28" s="186"/>
      <c r="H28" s="224">
        <f>'Rates Detail'!I100</f>
        <v>-1.1000000000000001E-3</v>
      </c>
      <c r="I28" s="189">
        <v>300</v>
      </c>
      <c r="J28" s="225">
        <f>I28*H28</f>
        <v>-0.33</v>
      </c>
      <c r="K28" s="149"/>
      <c r="L28" s="224">
        <f>'Rates Detail'!J100</f>
        <v>0</v>
      </c>
      <c r="M28" s="190">
        <v>300</v>
      </c>
      <c r="N28" s="225">
        <f>M28*L28</f>
        <v>0</v>
      </c>
      <c r="O28" s="149"/>
      <c r="P28" s="193">
        <f>N28-J28</f>
        <v>0.33</v>
      </c>
      <c r="Q28" s="234">
        <f>IF((J28)=0,"",(P28/J28))</f>
        <v>-1</v>
      </c>
    </row>
    <row r="29" spans="2:17" ht="25.5" x14ac:dyDescent="0.2">
      <c r="D29" s="75" t="s">
        <v>55</v>
      </c>
      <c r="E29" s="65"/>
      <c r="F29" s="229" t="s">
        <v>51</v>
      </c>
      <c r="G29" s="186"/>
      <c r="H29" s="224">
        <f>SUM('Rates Detail'!I96:I98)+SUM('Rates Detail'!I103:I104)</f>
        <v>-2.2000000000000001E-3</v>
      </c>
      <c r="I29" s="185">
        <f>I27</f>
        <v>300</v>
      </c>
      <c r="J29" s="225">
        <f t="shared" si="0"/>
        <v>-0.66</v>
      </c>
      <c r="K29" s="149"/>
      <c r="L29" s="224">
        <f>SUM('Rates Detail'!J96:J99)+SUM('Rates Detail'!J103:J105)</f>
        <v>-5.7999999999999996E-3</v>
      </c>
      <c r="M29" s="187">
        <f>+I29</f>
        <v>300</v>
      </c>
      <c r="N29" s="225">
        <f t="shared" si="1"/>
        <v>-1.7399999999999998</v>
      </c>
      <c r="O29" s="149"/>
      <c r="P29" s="193">
        <f t="shared" si="2"/>
        <v>-1.0799999999999996</v>
      </c>
      <c r="Q29" s="234">
        <f t="shared" si="3"/>
        <v>1.6363636363636358</v>
      </c>
    </row>
    <row r="30" spans="2:17" x14ac:dyDescent="0.2">
      <c r="D30" s="76"/>
      <c r="E30" s="65"/>
      <c r="F30" s="229"/>
      <c r="G30" s="186"/>
      <c r="H30" s="224"/>
      <c r="I30" s="194"/>
      <c r="J30" s="225">
        <f t="shared" si="0"/>
        <v>0</v>
      </c>
      <c r="K30" s="149"/>
      <c r="L30" s="235"/>
      <c r="M30" s="195"/>
      <c r="N30" s="225">
        <f t="shared" si="1"/>
        <v>0</v>
      </c>
      <c r="O30" s="149"/>
      <c r="P30" s="193">
        <f t="shared" si="2"/>
        <v>0</v>
      </c>
      <c r="Q30" s="234" t="str">
        <f t="shared" si="3"/>
        <v/>
      </c>
    </row>
    <row r="31" spans="2:17" ht="13.5" thickBot="1" x14ac:dyDescent="0.25">
      <c r="D31" s="76"/>
      <c r="E31" s="65"/>
      <c r="F31" s="229"/>
      <c r="G31" s="186"/>
      <c r="H31" s="224"/>
      <c r="I31" s="194"/>
      <c r="J31" s="225">
        <f t="shared" si="0"/>
        <v>0</v>
      </c>
      <c r="K31" s="149"/>
      <c r="L31" s="224"/>
      <c r="M31" s="195"/>
      <c r="N31" s="225">
        <f t="shared" si="1"/>
        <v>0</v>
      </c>
      <c r="O31" s="149"/>
      <c r="P31" s="193">
        <f t="shared" si="2"/>
        <v>0</v>
      </c>
      <c r="Q31" s="234" t="str">
        <f t="shared" si="3"/>
        <v/>
      </c>
    </row>
    <row r="32" spans="2:17" ht="13.5" thickBot="1" x14ac:dyDescent="0.25">
      <c r="D32" s="55" t="s">
        <v>57</v>
      </c>
      <c r="F32" s="54"/>
      <c r="G32" s="230"/>
      <c r="H32" s="196"/>
      <c r="I32" s="197"/>
      <c r="J32" s="82">
        <f>SUM(J21:J31)</f>
        <v>12.532400000000001</v>
      </c>
      <c r="K32" s="54"/>
      <c r="L32" s="196"/>
      <c r="M32" s="198"/>
      <c r="N32" s="82">
        <f>SUM(N21:N31)</f>
        <v>11.8924</v>
      </c>
      <c r="O32" s="54"/>
      <c r="P32" s="84">
        <f t="shared" si="2"/>
        <v>-0.64000000000000057</v>
      </c>
      <c r="Q32" s="85">
        <f t="shared" si="3"/>
        <v>-5.1067632696051878E-2</v>
      </c>
    </row>
    <row r="33" spans="4:17" x14ac:dyDescent="0.2">
      <c r="D33" s="86" t="s">
        <v>58</v>
      </c>
      <c r="E33" s="86"/>
      <c r="F33" s="231" t="s">
        <v>51</v>
      </c>
      <c r="G33" s="232"/>
      <c r="H33" s="226">
        <f>+'Rates Detail'!I110</f>
        <v>6.7999999999999996E-3</v>
      </c>
      <c r="I33" s="199">
        <f>+H16</f>
        <v>300</v>
      </c>
      <c r="J33" s="227">
        <f>I33*H33</f>
        <v>2.04</v>
      </c>
      <c r="K33" s="200"/>
      <c r="L33" s="226">
        <f>+'Rates Detail'!J110</f>
        <v>7.1000000000000004E-3</v>
      </c>
      <c r="M33" s="201">
        <f>+I33</f>
        <v>300</v>
      </c>
      <c r="N33" s="227">
        <f>M33*L33</f>
        <v>2.1300000000000003</v>
      </c>
      <c r="O33" s="200"/>
      <c r="P33" s="202">
        <f t="shared" si="2"/>
        <v>9.0000000000000302E-2</v>
      </c>
      <c r="Q33" s="228">
        <f t="shared" si="3"/>
        <v>4.4117647058823678E-2</v>
      </c>
    </row>
    <row r="34" spans="4:17" ht="26.25" thickBot="1" x14ac:dyDescent="0.25">
      <c r="D34" s="95" t="s">
        <v>59</v>
      </c>
      <c r="E34" s="86"/>
      <c r="F34" s="231" t="s">
        <v>51</v>
      </c>
      <c r="G34" s="232"/>
      <c r="H34" s="226">
        <f>+'Rates Detail'!I111</f>
        <v>5.1999999999999998E-3</v>
      </c>
      <c r="I34" s="199">
        <f>I33</f>
        <v>300</v>
      </c>
      <c r="J34" s="227">
        <f>I34*H34</f>
        <v>1.5599999999999998</v>
      </c>
      <c r="K34" s="200"/>
      <c r="L34" s="226">
        <f>+'Rates Detail'!J111</f>
        <v>5.1999999999999998E-3</v>
      </c>
      <c r="M34" s="201">
        <f>M33</f>
        <v>300</v>
      </c>
      <c r="N34" s="227">
        <f>M34*L34</f>
        <v>1.5599999999999998</v>
      </c>
      <c r="O34" s="200"/>
      <c r="P34" s="202">
        <f t="shared" si="2"/>
        <v>0</v>
      </c>
      <c r="Q34" s="228">
        <f t="shared" si="3"/>
        <v>0</v>
      </c>
    </row>
    <row r="35" spans="4:17" ht="26.25" thickBot="1" x14ac:dyDescent="0.25">
      <c r="D35" s="96" t="s">
        <v>60</v>
      </c>
      <c r="E35" s="65"/>
      <c r="F35" s="149"/>
      <c r="G35" s="186"/>
      <c r="H35" s="203"/>
      <c r="I35" s="204"/>
      <c r="J35" s="99">
        <f>SUM(J32:J34)</f>
        <v>16.132400000000001</v>
      </c>
      <c r="K35" s="100"/>
      <c r="L35" s="101"/>
      <c r="M35" s="102"/>
      <c r="N35" s="99">
        <f>SUM(N32:N34)</f>
        <v>15.582400000000002</v>
      </c>
      <c r="O35" s="100"/>
      <c r="P35" s="103">
        <f t="shared" si="2"/>
        <v>-0.54999999999999893</v>
      </c>
      <c r="Q35" s="104">
        <f t="shared" si="3"/>
        <v>-3.4092881406362283E-2</v>
      </c>
    </row>
    <row r="36" spans="4:17" ht="25.5" x14ac:dyDescent="0.2">
      <c r="D36" s="75" t="s">
        <v>61</v>
      </c>
      <c r="E36" s="65"/>
      <c r="F36" s="229" t="s">
        <v>51</v>
      </c>
      <c r="G36" s="186"/>
      <c r="H36" s="147">
        <f>+'Rates Detail'!I114</f>
        <v>4.4000000000000003E-3</v>
      </c>
      <c r="I36" s="233">
        <f>ROUND(H16*(1+H51),0)</f>
        <v>311</v>
      </c>
      <c r="J36" s="205">
        <f>I36*H36</f>
        <v>1.3684000000000001</v>
      </c>
      <c r="K36" s="149"/>
      <c r="L36" s="147">
        <f>+'Rates Detail'!J114</f>
        <v>4.4000000000000003E-3</v>
      </c>
      <c r="M36" s="187">
        <f>+I36</f>
        <v>311</v>
      </c>
      <c r="N36" s="205">
        <f>M36*L36</f>
        <v>1.3684000000000001</v>
      </c>
      <c r="O36" s="149"/>
      <c r="P36" s="193">
        <f t="shared" si="2"/>
        <v>0</v>
      </c>
      <c r="Q36" s="206">
        <f t="shared" si="3"/>
        <v>0</v>
      </c>
    </row>
    <row r="37" spans="4:17" ht="25.5" x14ac:dyDescent="0.2">
      <c r="D37" s="75" t="s">
        <v>62</v>
      </c>
      <c r="E37" s="65"/>
      <c r="F37" s="229" t="s">
        <v>51</v>
      </c>
      <c r="G37" s="186"/>
      <c r="H37" s="147">
        <f>+'Rates Detail'!I115</f>
        <v>1.1999999999999999E-3</v>
      </c>
      <c r="I37" s="185">
        <f>+I36</f>
        <v>311</v>
      </c>
      <c r="J37" s="205">
        <f t="shared" ref="J37:J44" si="6">I37*H37</f>
        <v>0.37319999999999998</v>
      </c>
      <c r="K37" s="149"/>
      <c r="L37" s="147">
        <f>+'Rates Detail'!J115</f>
        <v>1.1999999999999999E-3</v>
      </c>
      <c r="M37" s="187">
        <f>+M36</f>
        <v>311</v>
      </c>
      <c r="N37" s="205">
        <f t="shared" ref="N37:N44" si="7">M37*L37</f>
        <v>0.37319999999999998</v>
      </c>
      <c r="O37" s="149"/>
      <c r="P37" s="193">
        <f t="shared" si="2"/>
        <v>0</v>
      </c>
      <c r="Q37" s="206">
        <f t="shared" si="3"/>
        <v>0</v>
      </c>
    </row>
    <row r="38" spans="4:17" x14ac:dyDescent="0.2">
      <c r="D38" s="75" t="s">
        <v>63</v>
      </c>
      <c r="E38" s="65"/>
      <c r="F38" s="229"/>
      <c r="G38" s="186"/>
      <c r="H38" s="148"/>
      <c r="I38" s="185">
        <f>I34</f>
        <v>300</v>
      </c>
      <c r="J38" s="205">
        <f t="shared" si="6"/>
        <v>0</v>
      </c>
      <c r="K38" s="149"/>
      <c r="L38" s="148"/>
      <c r="M38" s="187">
        <f>M34</f>
        <v>300</v>
      </c>
      <c r="N38" s="205">
        <f t="shared" si="7"/>
        <v>0</v>
      </c>
      <c r="O38" s="149"/>
      <c r="P38" s="193">
        <f t="shared" si="2"/>
        <v>0</v>
      </c>
      <c r="Q38" s="206" t="str">
        <f t="shared" si="3"/>
        <v/>
      </c>
    </row>
    <row r="39" spans="4:17" x14ac:dyDescent="0.2">
      <c r="D39" s="65" t="s">
        <v>64</v>
      </c>
      <c r="E39" s="65"/>
      <c r="F39" s="229" t="s">
        <v>1</v>
      </c>
      <c r="G39" s="186"/>
      <c r="H39" s="147">
        <v>0.25</v>
      </c>
      <c r="I39" s="185">
        <v>1</v>
      </c>
      <c r="J39" s="205">
        <f t="shared" si="6"/>
        <v>0.25</v>
      </c>
      <c r="K39" s="149"/>
      <c r="L39" s="147">
        <v>0.25</v>
      </c>
      <c r="M39" s="187">
        <v>1</v>
      </c>
      <c r="N39" s="205">
        <f t="shared" si="7"/>
        <v>0.25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65</v>
      </c>
      <c r="E40" s="65"/>
      <c r="F40" s="229" t="s">
        <v>51</v>
      </c>
      <c r="G40" s="186"/>
      <c r="H40" s="147">
        <v>7.0000000000000001E-3</v>
      </c>
      <c r="I40" s="185">
        <f>+I34</f>
        <v>300</v>
      </c>
      <c r="J40" s="205">
        <f t="shared" si="6"/>
        <v>2.1</v>
      </c>
      <c r="K40" s="149"/>
      <c r="L40" s="147">
        <f>+H40</f>
        <v>7.0000000000000001E-3</v>
      </c>
      <c r="M40" s="187">
        <f>+M34</f>
        <v>300</v>
      </c>
      <c r="N40" s="205">
        <f t="shared" si="7"/>
        <v>2.1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65" t="s">
        <v>66</v>
      </c>
      <c r="E41" s="65"/>
      <c r="F41" s="229" t="s">
        <v>51</v>
      </c>
      <c r="G41" s="186"/>
      <c r="H41" s="147">
        <v>7.8E-2</v>
      </c>
      <c r="I41" s="233">
        <f>$H$16</f>
        <v>300</v>
      </c>
      <c r="J41" s="205">
        <f t="shared" si="6"/>
        <v>23.4</v>
      </c>
      <c r="K41" s="149"/>
      <c r="L41" s="147">
        <f>+H41</f>
        <v>7.8E-2</v>
      </c>
      <c r="M41" s="187">
        <f>+I41</f>
        <v>300</v>
      </c>
      <c r="N41" s="205">
        <f t="shared" si="7"/>
        <v>23.4</v>
      </c>
      <c r="O41" s="149"/>
      <c r="P41" s="193">
        <f t="shared" si="2"/>
        <v>0</v>
      </c>
      <c r="Q41" s="206">
        <f t="shared" si="3"/>
        <v>0</v>
      </c>
    </row>
    <row r="42" spans="4:17" x14ac:dyDescent="0.2">
      <c r="D42" s="65" t="s">
        <v>66</v>
      </c>
      <c r="E42" s="65"/>
      <c r="F42" s="229" t="s">
        <v>51</v>
      </c>
      <c r="G42" s="186"/>
      <c r="H42" s="147">
        <v>9.0999999999999998E-2</v>
      </c>
      <c r="I42" s="233">
        <v>0</v>
      </c>
      <c r="J42" s="205">
        <f t="shared" si="6"/>
        <v>0</v>
      </c>
      <c r="K42" s="149"/>
      <c r="L42" s="147">
        <f t="shared" ref="L42:M43" si="8">+H42</f>
        <v>9.0999999999999998E-2</v>
      </c>
      <c r="M42" s="187">
        <f t="shared" si="8"/>
        <v>0</v>
      </c>
      <c r="N42" s="205">
        <f t="shared" si="7"/>
        <v>0</v>
      </c>
      <c r="O42" s="149"/>
      <c r="P42" s="193">
        <f t="shared" si="2"/>
        <v>0</v>
      </c>
      <c r="Q42" s="206" t="str">
        <f t="shared" si="3"/>
        <v/>
      </c>
    </row>
    <row r="43" spans="4:17" x14ac:dyDescent="0.2">
      <c r="D43" s="65"/>
      <c r="E43" s="65"/>
      <c r="F43" s="229"/>
      <c r="G43" s="186"/>
      <c r="H43" s="147"/>
      <c r="I43" s="233">
        <v>0</v>
      </c>
      <c r="J43" s="205">
        <f t="shared" si="6"/>
        <v>0</v>
      </c>
      <c r="K43" s="149"/>
      <c r="L43" s="147">
        <f t="shared" si="8"/>
        <v>0</v>
      </c>
      <c r="M43" s="187">
        <f t="shared" si="8"/>
        <v>0</v>
      </c>
      <c r="N43" s="205">
        <f t="shared" si="7"/>
        <v>0</v>
      </c>
      <c r="O43" s="149"/>
      <c r="P43" s="193">
        <f t="shared" si="2"/>
        <v>0</v>
      </c>
      <c r="Q43" s="206" t="str">
        <f t="shared" si="3"/>
        <v/>
      </c>
    </row>
    <row r="44" spans="4:17" ht="13.5" thickBot="1" x14ac:dyDescent="0.25">
      <c r="D44" s="76"/>
      <c r="E44" s="65"/>
      <c r="F44" s="229"/>
      <c r="G44" s="186"/>
      <c r="H44" s="147"/>
      <c r="I44" s="194"/>
      <c r="J44" s="205">
        <f t="shared" si="6"/>
        <v>0</v>
      </c>
      <c r="K44" s="149"/>
      <c r="L44" s="147"/>
      <c r="M44" s="195"/>
      <c r="N44" s="205">
        <f t="shared" si="7"/>
        <v>0</v>
      </c>
      <c r="O44" s="149"/>
      <c r="P44" s="193">
        <f t="shared" si="2"/>
        <v>0</v>
      </c>
      <c r="Q44" s="206" t="str">
        <f t="shared" si="3"/>
        <v/>
      </c>
    </row>
    <row r="45" spans="4:17" ht="13.5" thickBot="1" x14ac:dyDescent="0.25">
      <c r="D45" s="113" t="s">
        <v>67</v>
      </c>
      <c r="E45" s="65"/>
      <c r="F45" s="149"/>
      <c r="G45" s="149"/>
      <c r="H45" s="209"/>
      <c r="I45" s="210"/>
      <c r="J45" s="99">
        <f>SUM(J35:J44)</f>
        <v>43.624000000000002</v>
      </c>
      <c r="K45" s="100"/>
      <c r="L45" s="116"/>
      <c r="M45" s="117"/>
      <c r="N45" s="99">
        <f>SUM(N35:N44)</f>
        <v>43.073999999999998</v>
      </c>
      <c r="O45" s="100"/>
      <c r="P45" s="103">
        <f t="shared" si="2"/>
        <v>-0.55000000000000426</v>
      </c>
      <c r="Q45" s="104">
        <f t="shared" si="3"/>
        <v>-1.2607738859343577E-2</v>
      </c>
    </row>
    <row r="46" spans="4:17" ht="13.5" thickBot="1" x14ac:dyDescent="0.25">
      <c r="D46" s="67" t="s">
        <v>68</v>
      </c>
      <c r="E46" s="65"/>
      <c r="F46" s="149"/>
      <c r="G46" s="149"/>
      <c r="H46" s="211">
        <v>0.13</v>
      </c>
      <c r="I46" s="212"/>
      <c r="J46" s="213">
        <f>J45*H46</f>
        <v>5.6711200000000002</v>
      </c>
      <c r="K46" s="149"/>
      <c r="L46" s="211">
        <v>0.13</v>
      </c>
      <c r="M46" s="214"/>
      <c r="N46" s="213">
        <f>N45*L46</f>
        <v>5.5996199999999998</v>
      </c>
      <c r="O46" s="149"/>
      <c r="P46" s="193">
        <f t="shared" si="2"/>
        <v>-7.1500000000000341E-2</v>
      </c>
      <c r="Q46" s="206">
        <f t="shared" si="3"/>
        <v>-1.2607738859343541E-2</v>
      </c>
    </row>
    <row r="47" spans="4:17" ht="26.25" thickBot="1" x14ac:dyDescent="0.25">
      <c r="D47" s="96" t="s">
        <v>69</v>
      </c>
      <c r="E47" s="65"/>
      <c r="F47" s="149"/>
      <c r="G47" s="149"/>
      <c r="H47" s="203"/>
      <c r="I47" s="204"/>
      <c r="J47" s="99">
        <f>ROUND(SUM(J45:J46),2)</f>
        <v>49.3</v>
      </c>
      <c r="K47" s="100"/>
      <c r="L47" s="101"/>
      <c r="M47" s="102"/>
      <c r="N47" s="99">
        <f>ROUND(SUM(N45:N46),2)</f>
        <v>48.67</v>
      </c>
      <c r="O47" s="100"/>
      <c r="P47" s="103">
        <f t="shared" si="2"/>
        <v>-0.62999999999999545</v>
      </c>
      <c r="Q47" s="104">
        <f t="shared" si="3"/>
        <v>-1.277890466531431E-2</v>
      </c>
    </row>
    <row r="48" spans="4:17" ht="27.75" thickBot="1" x14ac:dyDescent="0.25">
      <c r="D48" s="122" t="s">
        <v>70</v>
      </c>
      <c r="E48" s="65"/>
      <c r="F48" s="149"/>
      <c r="G48" s="149"/>
      <c r="H48" s="203"/>
      <c r="I48" s="215"/>
      <c r="J48" s="99">
        <f>ROUND(-J47*10%,2)</f>
        <v>-4.93</v>
      </c>
      <c r="K48" s="100"/>
      <c r="L48" s="101"/>
      <c r="M48" s="102"/>
      <c r="N48" s="99">
        <f>ROUND(-N47*10%,2)</f>
        <v>-4.87</v>
      </c>
      <c r="O48" s="100"/>
      <c r="P48" s="103">
        <f t="shared" si="2"/>
        <v>5.9999999999999609E-2</v>
      </c>
      <c r="Q48" s="104">
        <f t="shared" si="3"/>
        <v>-1.2170385395537447E-2</v>
      </c>
    </row>
    <row r="49" spans="2:17" ht="13.5" thickBot="1" x14ac:dyDescent="0.25">
      <c r="D49" s="96" t="s">
        <v>71</v>
      </c>
      <c r="E49" s="65"/>
      <c r="F49" s="149"/>
      <c r="G49" s="149"/>
      <c r="H49" s="216"/>
      <c r="I49" s="217"/>
      <c r="J49" s="126">
        <f>J47+J48</f>
        <v>44.37</v>
      </c>
      <c r="K49" s="100"/>
      <c r="L49" s="127"/>
      <c r="M49" s="128"/>
      <c r="N49" s="126">
        <f>N47+N48</f>
        <v>43.800000000000004</v>
      </c>
      <c r="O49" s="100"/>
      <c r="P49" s="129">
        <f t="shared" si="2"/>
        <v>-0.56999999999999318</v>
      </c>
      <c r="Q49" s="130">
        <f t="shared" si="3"/>
        <v>-1.2846517917511679E-2</v>
      </c>
    </row>
    <row r="50" spans="2:17" ht="10.5" customHeight="1" x14ac:dyDescent="0.2"/>
    <row r="51" spans="2:17" x14ac:dyDescent="0.2">
      <c r="D51" s="55" t="s">
        <v>72</v>
      </c>
      <c r="H51" s="131">
        <v>3.5999999999999997E-2</v>
      </c>
      <c r="L51" s="132">
        <f>+H51</f>
        <v>3.5999999999999997E-2</v>
      </c>
    </row>
    <row r="52" spans="2:17" ht="10.5" customHeight="1" x14ac:dyDescent="0.2"/>
    <row r="53" spans="2:17" ht="10.5" customHeight="1" x14ac:dyDescent="0.2">
      <c r="C53" s="133" t="s">
        <v>73</v>
      </c>
    </row>
    <row r="54" spans="2:17" ht="10.5" customHeight="1" x14ac:dyDescent="0.2"/>
    <row r="55" spans="2:17" x14ac:dyDescent="0.2">
      <c r="B55" s="55"/>
      <c r="C55" s="49" t="s">
        <v>74</v>
      </c>
    </row>
    <row r="56" spans="2:17" x14ac:dyDescent="0.2">
      <c r="C56" s="49" t="s">
        <v>75</v>
      </c>
    </row>
    <row r="58" spans="2:17" x14ac:dyDescent="0.2">
      <c r="C58" s="49" t="s">
        <v>76</v>
      </c>
    </row>
    <row r="59" spans="2:17" x14ac:dyDescent="0.2">
      <c r="C59" s="49" t="s">
        <v>77</v>
      </c>
    </row>
    <row r="61" spans="2:17" x14ac:dyDescent="0.2">
      <c r="C61" s="49" t="s">
        <v>78</v>
      </c>
    </row>
    <row r="62" spans="2:17" x14ac:dyDescent="0.2">
      <c r="C62" s="49" t="s">
        <v>79</v>
      </c>
    </row>
    <row r="63" spans="2:17" x14ac:dyDescent="0.2">
      <c r="C63" s="49" t="s">
        <v>80</v>
      </c>
    </row>
    <row r="64" spans="2:17" x14ac:dyDescent="0.2">
      <c r="C64" s="49" t="s">
        <v>81</v>
      </c>
    </row>
    <row r="65" spans="3:3" x14ac:dyDescent="0.2">
      <c r="C65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3:G34 G36:G44 G21:G31">
      <formula1>$B$14:$B$19</formula1>
    </dataValidation>
    <dataValidation type="list" allowBlank="1" showInputMessage="1" showErrorMessage="1" prompt="Select Charge Unit - monthly, per kWh, per kW" sqref="F33:F34 F21:F31 F36:F44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showGridLines="0" topLeftCell="A26" zoomScaleNormal="100" workbookViewId="0">
      <selection activeCell="O26" sqref="O26"/>
    </sheetView>
  </sheetViews>
  <sheetFormatPr defaultRowHeight="12.75" x14ac:dyDescent="0.2"/>
  <cols>
    <col min="1" max="1" width="2.7109375" style="49" customWidth="1"/>
    <col min="2" max="2" width="1" style="49" customWidth="1"/>
    <col min="3" max="3" width="1.28515625" style="49" customWidth="1"/>
    <col min="4" max="4" width="26.5703125" style="49" customWidth="1"/>
    <col min="5" max="5" width="1.28515625" style="49" customWidth="1"/>
    <col min="6" max="6" width="11.28515625" style="49" customWidth="1"/>
    <col min="7" max="7" width="1.28515625" style="49" customWidth="1"/>
    <col min="8" max="8" width="12.28515625" style="49" customWidth="1"/>
    <col min="9" max="9" width="8.5703125" style="49" customWidth="1"/>
    <col min="10" max="10" width="11.28515625" style="49" bestFit="1" customWidth="1"/>
    <col min="11" max="11" width="2.85546875" style="49" customWidth="1"/>
    <col min="12" max="12" width="12.140625" style="49" customWidth="1"/>
    <col min="13" max="13" width="8.5703125" style="49" customWidth="1"/>
    <col min="14" max="14" width="11.28515625" style="49" bestFit="1" customWidth="1"/>
    <col min="15" max="15" width="2.85546875" style="49" customWidth="1"/>
    <col min="16" max="16" width="8.85546875" style="49" customWidth="1"/>
    <col min="17" max="17" width="8.7109375" style="49" customWidth="1"/>
    <col min="18" max="18" width="3.85546875" style="49" customWidth="1"/>
    <col min="19" max="16384" width="9.140625" style="49"/>
  </cols>
  <sheetData>
    <row r="1" spans="2:18" s="44" customFormat="1" ht="15" customHeight="1" x14ac:dyDescent="0.2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2"/>
      <c r="O1" s="2"/>
      <c r="P1" s="272"/>
      <c r="Q1" s="272"/>
      <c r="R1" s="2"/>
    </row>
    <row r="2" spans="2:18" s="44" customFormat="1" ht="15" customHeight="1" x14ac:dyDescent="0.2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"/>
      <c r="O2" s="2"/>
      <c r="P2" s="272"/>
      <c r="Q2" s="272"/>
      <c r="R2" s="2"/>
    </row>
    <row r="3" spans="2:18" s="44" customFormat="1" ht="15" customHeight="1" x14ac:dyDescent="0.25"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"/>
      <c r="O3" s="2"/>
      <c r="P3" s="272"/>
      <c r="Q3" s="272"/>
      <c r="R3" s="2"/>
    </row>
    <row r="4" spans="2:18" s="44" customFormat="1" ht="15" customHeight="1" x14ac:dyDescent="0.25">
      <c r="C4" s="46"/>
      <c r="D4" s="46"/>
      <c r="E4" s="46"/>
      <c r="F4" s="46"/>
      <c r="G4" s="46"/>
      <c r="H4" s="46"/>
      <c r="I4" s="46"/>
      <c r="J4" s="46"/>
      <c r="K4" s="47"/>
      <c r="L4" s="47"/>
      <c r="M4" s="47"/>
      <c r="N4" s="2"/>
      <c r="O4" s="2"/>
      <c r="P4" s="272"/>
      <c r="Q4" s="272"/>
      <c r="R4" s="2"/>
    </row>
    <row r="5" spans="2:18" s="44" customFormat="1" ht="15" customHeight="1" x14ac:dyDescent="0.25">
      <c r="E5" s="48"/>
      <c r="F5" s="48"/>
      <c r="G5" s="48"/>
      <c r="N5" s="2"/>
      <c r="O5" s="2"/>
      <c r="P5" s="272"/>
      <c r="Q5" s="272"/>
      <c r="R5" s="2"/>
    </row>
    <row r="6" spans="2:18" s="44" customFormat="1" ht="9" customHeight="1" x14ac:dyDescent="0.2">
      <c r="N6" s="2"/>
      <c r="O6" s="2"/>
      <c r="P6" s="2"/>
      <c r="Q6" s="2"/>
      <c r="R6" s="2"/>
    </row>
    <row r="7" spans="2:18" s="44" customFormat="1" x14ac:dyDescent="0.2">
      <c r="N7" s="2"/>
      <c r="O7" s="2"/>
      <c r="P7" s="272"/>
      <c r="Q7" s="272"/>
      <c r="R7" s="2"/>
    </row>
    <row r="8" spans="2:18" s="44" customFormat="1" ht="15" customHeight="1" x14ac:dyDescent="0.2">
      <c r="R8" s="2"/>
    </row>
    <row r="9" spans="2:18" ht="7.5" customHeight="1" x14ac:dyDescent="0.2">
      <c r="N9" s="2"/>
      <c r="O9" s="2"/>
      <c r="P9" s="2"/>
      <c r="Q9" s="2"/>
      <c r="R9" s="2"/>
    </row>
    <row r="10" spans="2:18" ht="18.75" customHeight="1" x14ac:dyDescent="0.25"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"/>
    </row>
    <row r="11" spans="2:18" ht="18.75" customHeight="1" x14ac:dyDescent="0.25">
      <c r="D11" s="281" t="s">
        <v>122</v>
      </c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"/>
    </row>
    <row r="12" spans="2:18" ht="7.5" customHeight="1" x14ac:dyDescent="0.2">
      <c r="N12" s="2"/>
      <c r="O12" s="2"/>
      <c r="P12" s="2"/>
      <c r="Q12" s="2"/>
      <c r="R12" s="2"/>
    </row>
    <row r="13" spans="2:18" ht="7.5" customHeight="1" x14ac:dyDescent="0.2">
      <c r="N13" s="2"/>
      <c r="O13" s="2"/>
      <c r="P13" s="2"/>
      <c r="Q13" s="2"/>
      <c r="R13" s="2"/>
    </row>
    <row r="14" spans="2:18" ht="15.75" x14ac:dyDescent="0.25">
      <c r="B14" s="50"/>
      <c r="D14" s="51" t="s">
        <v>38</v>
      </c>
      <c r="F14" s="292" t="s">
        <v>130</v>
      </c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2:18" ht="7.5" customHeight="1" x14ac:dyDescent="0.25">
      <c r="B15" s="50"/>
      <c r="D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2:18" x14ac:dyDescent="0.2">
      <c r="B16" s="50"/>
      <c r="D16" s="54"/>
      <c r="F16" s="55" t="s">
        <v>40</v>
      </c>
      <c r="G16" s="55"/>
      <c r="H16" s="56">
        <v>230</v>
      </c>
      <c r="I16" s="55" t="s">
        <v>85</v>
      </c>
      <c r="L16" s="56">
        <v>100000</v>
      </c>
      <c r="M16" s="55" t="s">
        <v>41</v>
      </c>
    </row>
    <row r="17" spans="2:17" ht="10.5" customHeight="1" x14ac:dyDescent="0.2">
      <c r="B17" s="50"/>
      <c r="D17" s="54"/>
    </row>
    <row r="18" spans="2:17" x14ac:dyDescent="0.2">
      <c r="B18" s="57"/>
      <c r="D18" s="54"/>
      <c r="F18" s="58"/>
      <c r="G18" s="58"/>
      <c r="H18" s="283" t="s">
        <v>105</v>
      </c>
      <c r="I18" s="284"/>
      <c r="J18" s="285"/>
      <c r="L18" s="286" t="str">
        <f>'RES-RPP'!L18:N18</f>
        <v>Proposed January 1, 2014</v>
      </c>
      <c r="M18" s="287"/>
      <c r="N18" s="288"/>
      <c r="P18" s="283" t="s">
        <v>42</v>
      </c>
      <c r="Q18" s="285"/>
    </row>
    <row r="19" spans="2:17" x14ac:dyDescent="0.2">
      <c r="B19" s="57"/>
      <c r="D19" s="54"/>
      <c r="F19" s="274" t="s">
        <v>43</v>
      </c>
      <c r="G19" s="59"/>
      <c r="H19" s="60" t="s">
        <v>44</v>
      </c>
      <c r="I19" s="60" t="s">
        <v>45</v>
      </c>
      <c r="J19" s="61" t="s">
        <v>46</v>
      </c>
      <c r="K19" s="54"/>
      <c r="L19" s="60" t="s">
        <v>44</v>
      </c>
      <c r="M19" s="62" t="s">
        <v>45</v>
      </c>
      <c r="N19" s="61" t="s">
        <v>46</v>
      </c>
      <c r="O19" s="54"/>
      <c r="P19" s="276" t="s">
        <v>47</v>
      </c>
      <c r="Q19" s="278" t="s">
        <v>48</v>
      </c>
    </row>
    <row r="20" spans="2:17" x14ac:dyDescent="0.2">
      <c r="B20" s="57"/>
      <c r="D20" s="54"/>
      <c r="F20" s="289"/>
      <c r="G20" s="59"/>
      <c r="H20" s="63" t="s">
        <v>49</v>
      </c>
      <c r="I20" s="63"/>
      <c r="J20" s="64" t="s">
        <v>49</v>
      </c>
      <c r="K20" s="54"/>
      <c r="L20" s="63" t="s">
        <v>49</v>
      </c>
      <c r="M20" s="64"/>
      <c r="N20" s="64" t="s">
        <v>49</v>
      </c>
      <c r="O20" s="54"/>
      <c r="P20" s="290"/>
      <c r="Q20" s="291"/>
    </row>
    <row r="21" spans="2:17" x14ac:dyDescent="0.2">
      <c r="D21" s="65" t="s">
        <v>6</v>
      </c>
      <c r="E21" s="65"/>
      <c r="F21" s="229" t="s">
        <v>1</v>
      </c>
      <c r="G21" s="186"/>
      <c r="H21" s="235">
        <f>+'Rates Detail'!I126</f>
        <v>69.540000000000006</v>
      </c>
      <c r="I21" s="185">
        <v>1</v>
      </c>
      <c r="J21" s="225">
        <f>I21*H21</f>
        <v>69.540000000000006</v>
      </c>
      <c r="K21" s="149"/>
      <c r="L21" s="235">
        <f>+'Rates Detail'!J126</f>
        <v>70.22</v>
      </c>
      <c r="M21" s="187">
        <v>1</v>
      </c>
      <c r="N21" s="225">
        <f>M21*L21</f>
        <v>70.22</v>
      </c>
      <c r="O21" s="149"/>
      <c r="P21" s="193">
        <f>N21-J21</f>
        <v>0.67999999999999261</v>
      </c>
      <c r="Q21" s="234">
        <f>IF((J21)=0,"",(P21/J21))</f>
        <v>9.778544722461785E-3</v>
      </c>
    </row>
    <row r="22" spans="2:17" x14ac:dyDescent="0.2">
      <c r="D22" s="65" t="s">
        <v>56</v>
      </c>
      <c r="E22" s="65"/>
      <c r="F22" s="229" t="s">
        <v>1</v>
      </c>
      <c r="G22" s="186"/>
      <c r="H22" s="235">
        <f>+'Rates Detail'!I127</f>
        <v>23.56</v>
      </c>
      <c r="I22" s="189">
        <v>1</v>
      </c>
      <c r="J22" s="225">
        <f>I22*H22</f>
        <v>23.56</v>
      </c>
      <c r="K22" s="149"/>
      <c r="L22" s="235">
        <f>+'Rates Detail'!J127</f>
        <v>0</v>
      </c>
      <c r="M22" s="190">
        <v>1</v>
      </c>
      <c r="N22" s="225">
        <f>M22*L22</f>
        <v>0</v>
      </c>
      <c r="O22" s="149"/>
      <c r="P22" s="193">
        <f>N22-J22</f>
        <v>-23.56</v>
      </c>
      <c r="Q22" s="234">
        <f>IF((J22)=0,"",(P22/J22))</f>
        <v>-1</v>
      </c>
    </row>
    <row r="23" spans="2:17" x14ac:dyDescent="0.2">
      <c r="D23" s="65" t="s">
        <v>53</v>
      </c>
      <c r="E23" s="65"/>
      <c r="F23" s="229" t="s">
        <v>1</v>
      </c>
      <c r="G23" s="186"/>
      <c r="H23" s="235">
        <f>+'Rates Detail'!I128</f>
        <v>-0.13</v>
      </c>
      <c r="I23" s="185">
        <v>1</v>
      </c>
      <c r="J23" s="225">
        <f>I23*H23</f>
        <v>-0.13</v>
      </c>
      <c r="K23" s="149"/>
      <c r="L23" s="235">
        <f>+'Rates Detail'!J128</f>
        <v>0</v>
      </c>
      <c r="M23" s="187">
        <v>1</v>
      </c>
      <c r="N23" s="225">
        <f>M23*L23</f>
        <v>0</v>
      </c>
      <c r="O23" s="149"/>
      <c r="P23" s="193">
        <f>N23-J23</f>
        <v>0.13</v>
      </c>
      <c r="Q23" s="234">
        <f>IF((J23)=0,"",(P23/J23))</f>
        <v>-1</v>
      </c>
    </row>
    <row r="24" spans="2:17" x14ac:dyDescent="0.2">
      <c r="D24" s="65" t="s">
        <v>12</v>
      </c>
      <c r="E24" s="65"/>
      <c r="F24" s="229" t="s">
        <v>86</v>
      </c>
      <c r="G24" s="186"/>
      <c r="H24" s="224">
        <f>+'Rates Detail'!I133</f>
        <v>4.1852999999999998</v>
      </c>
      <c r="I24" s="185">
        <f>H16</f>
        <v>230</v>
      </c>
      <c r="J24" s="225">
        <f t="shared" ref="J24:J30" si="0">I24*H24</f>
        <v>962.61899999999991</v>
      </c>
      <c r="K24" s="149"/>
      <c r="L24" s="224">
        <f>+'Rates Detail'!J133</f>
        <v>4.2263000000000002</v>
      </c>
      <c r="M24" s="187">
        <f>H16</f>
        <v>230</v>
      </c>
      <c r="N24" s="225">
        <f t="shared" ref="N24:N30" si="1">M24*L24</f>
        <v>972.04900000000009</v>
      </c>
      <c r="O24" s="149"/>
      <c r="P24" s="193">
        <f t="shared" ref="P24:P47" si="2">N24-J24</f>
        <v>9.4300000000001774</v>
      </c>
      <c r="Q24" s="234">
        <f t="shared" ref="Q24:Q47" si="3">IF((J24)=0,"",(P24/J24))</f>
        <v>9.7961914319166545E-3</v>
      </c>
    </row>
    <row r="25" spans="2:17" x14ac:dyDescent="0.2">
      <c r="D25" s="65" t="s">
        <v>52</v>
      </c>
      <c r="E25" s="65"/>
      <c r="F25" s="229" t="s">
        <v>86</v>
      </c>
      <c r="G25" s="186"/>
      <c r="H25" s="224">
        <f>+'Rates Detail'!I149</f>
        <v>8.0199999999999994E-2</v>
      </c>
      <c r="I25" s="185">
        <f t="shared" ref="I25" si="4">I24</f>
        <v>230</v>
      </c>
      <c r="J25" s="225">
        <f t="shared" si="0"/>
        <v>18.445999999999998</v>
      </c>
      <c r="K25" s="149"/>
      <c r="L25" s="224">
        <f>+'Rates Detail'!J149</f>
        <v>8.0199999999999994E-2</v>
      </c>
      <c r="M25" s="187">
        <f t="shared" ref="M25" si="5">M24</f>
        <v>230</v>
      </c>
      <c r="N25" s="225">
        <f t="shared" si="1"/>
        <v>18.445999999999998</v>
      </c>
      <c r="O25" s="149"/>
      <c r="P25" s="193">
        <f t="shared" si="2"/>
        <v>0</v>
      </c>
      <c r="Q25" s="234">
        <f t="shared" si="3"/>
        <v>0</v>
      </c>
    </row>
    <row r="26" spans="2:17" x14ac:dyDescent="0.2">
      <c r="D26" s="65" t="s">
        <v>54</v>
      </c>
      <c r="E26" s="65"/>
      <c r="F26" s="229" t="s">
        <v>86</v>
      </c>
      <c r="G26" s="186"/>
      <c r="H26" s="224">
        <f>+'Rates Detail'!I141</f>
        <v>3.9199999999999999E-2</v>
      </c>
      <c r="I26" s="185">
        <v>230</v>
      </c>
      <c r="J26" s="225">
        <f>I26*H26</f>
        <v>9.016</v>
      </c>
      <c r="K26" s="149"/>
      <c r="L26" s="224">
        <f>+'Rates Detail'!J141</f>
        <v>3.9199999999999999E-2</v>
      </c>
      <c r="M26" s="187">
        <f>+I26</f>
        <v>230</v>
      </c>
      <c r="N26" s="225">
        <f t="shared" si="1"/>
        <v>9.016</v>
      </c>
      <c r="O26" s="149"/>
      <c r="P26" s="193">
        <f t="shared" si="2"/>
        <v>0</v>
      </c>
      <c r="Q26" s="234">
        <f t="shared" si="3"/>
        <v>0</v>
      </c>
    </row>
    <row r="27" spans="2:17" x14ac:dyDescent="0.2">
      <c r="D27" s="65" t="s">
        <v>96</v>
      </c>
      <c r="E27" s="65"/>
      <c r="F27" s="229" t="s">
        <v>86</v>
      </c>
      <c r="G27" s="186"/>
      <c r="H27" s="224">
        <f>'Rates Detail'!I140</f>
        <v>3.7000000000000002E-3</v>
      </c>
      <c r="I27" s="189">
        <f>H16</f>
        <v>230</v>
      </c>
      <c r="J27" s="225">
        <f>I27*H27</f>
        <v>0.85100000000000009</v>
      </c>
      <c r="K27" s="149"/>
      <c r="L27" s="224">
        <f>'Rates Detail'!J140</f>
        <v>0</v>
      </c>
      <c r="M27" s="190">
        <v>230</v>
      </c>
      <c r="N27" s="225">
        <f>M27*L27</f>
        <v>0</v>
      </c>
      <c r="O27" s="149"/>
      <c r="P27" s="193">
        <f>N27-J27</f>
        <v>-0.85100000000000009</v>
      </c>
      <c r="Q27" s="234">
        <f>IF((J27)=0,"",(P27/J27))</f>
        <v>-1</v>
      </c>
    </row>
    <row r="28" spans="2:17" x14ac:dyDescent="0.2">
      <c r="D28" s="177" t="s">
        <v>118</v>
      </c>
      <c r="E28" s="65"/>
      <c r="F28" s="229" t="s">
        <v>51</v>
      </c>
      <c r="G28" s="186"/>
      <c r="H28" s="236">
        <f>+J28/I28</f>
        <v>9.0902499999999997E-2</v>
      </c>
      <c r="I28" s="185">
        <f>SUM(I40:I41)*H49</f>
        <v>3599.9999999999995</v>
      </c>
      <c r="J28" s="225">
        <f>SUM(J40:J41)*H49</f>
        <v>327.24899999999997</v>
      </c>
      <c r="K28" s="149"/>
      <c r="L28" s="236">
        <f>+N28/M28</f>
        <v>9.0902499999999997E-2</v>
      </c>
      <c r="M28" s="185">
        <f>SUM(M40:M41)*L49</f>
        <v>3599.9999999999995</v>
      </c>
      <c r="N28" s="225">
        <f>SUM(N40:N41)*L49</f>
        <v>327.24899999999997</v>
      </c>
      <c r="O28" s="149"/>
      <c r="P28" s="193">
        <f>N28-J28</f>
        <v>0</v>
      </c>
      <c r="Q28" s="234">
        <f>IF((J28)=0,"",(P28/J28))</f>
        <v>0</v>
      </c>
    </row>
    <row r="29" spans="2:17" ht="25.5" x14ac:dyDescent="0.2">
      <c r="D29" s="75" t="s">
        <v>55</v>
      </c>
      <c r="E29" s="65"/>
      <c r="F29" s="229" t="s">
        <v>86</v>
      </c>
      <c r="G29" s="186"/>
      <c r="H29" s="224">
        <f>+SUM('Rates Detail'!I135:I138,'Rates Detail'!I143:I144)</f>
        <v>-1.1377999999999999</v>
      </c>
      <c r="I29" s="185">
        <f>I26</f>
        <v>230</v>
      </c>
      <c r="J29" s="225">
        <f>I29*H29</f>
        <v>-261.69399999999996</v>
      </c>
      <c r="K29" s="149"/>
      <c r="L29" s="224">
        <f>+SUM('Rates Detail'!J135:J139,'Rates Detail'!J143:J144)+'Rates Detail'!J146</f>
        <v>-0.95830000000000004</v>
      </c>
      <c r="M29" s="187">
        <f>+I29</f>
        <v>230</v>
      </c>
      <c r="N29" s="225">
        <f t="shared" si="1"/>
        <v>-220.40900000000002</v>
      </c>
      <c r="O29" s="149"/>
      <c r="P29" s="193">
        <f t="shared" si="2"/>
        <v>41.28499999999994</v>
      </c>
      <c r="Q29" s="234">
        <f t="shared" si="3"/>
        <v>-0.15776059061346437</v>
      </c>
    </row>
    <row r="30" spans="2:17" ht="13.5" thickBot="1" x14ac:dyDescent="0.25">
      <c r="D30" s="76"/>
      <c r="E30" s="65"/>
      <c r="F30" s="229"/>
      <c r="G30" s="186"/>
      <c r="H30" s="224"/>
      <c r="I30" s="194"/>
      <c r="J30" s="225">
        <f t="shared" si="0"/>
        <v>0</v>
      </c>
      <c r="K30" s="149"/>
      <c r="L30" s="224"/>
      <c r="M30" s="195"/>
      <c r="N30" s="225">
        <f t="shared" si="1"/>
        <v>0</v>
      </c>
      <c r="O30" s="149"/>
      <c r="P30" s="193">
        <f t="shared" si="2"/>
        <v>0</v>
      </c>
      <c r="Q30" s="234" t="str">
        <f t="shared" si="3"/>
        <v/>
      </c>
    </row>
    <row r="31" spans="2:17" ht="13.5" thickBot="1" x14ac:dyDescent="0.25">
      <c r="D31" s="55" t="s">
        <v>57</v>
      </c>
      <c r="F31" s="54"/>
      <c r="G31" s="230"/>
      <c r="H31" s="196"/>
      <c r="I31" s="197"/>
      <c r="J31" s="82">
        <f>SUM(J21:J30)</f>
        <v>1149.4570000000001</v>
      </c>
      <c r="K31" s="54"/>
      <c r="L31" s="196"/>
      <c r="M31" s="198"/>
      <c r="N31" s="82">
        <f>SUM(N21:N30)</f>
        <v>1176.5709999999999</v>
      </c>
      <c r="O31" s="54"/>
      <c r="P31" s="84">
        <f t="shared" si="2"/>
        <v>27.113999999999805</v>
      </c>
      <c r="Q31" s="85">
        <f t="shared" si="3"/>
        <v>2.3588529192479408E-2</v>
      </c>
    </row>
    <row r="32" spans="2:17" x14ac:dyDescent="0.2">
      <c r="D32" s="86" t="s">
        <v>58</v>
      </c>
      <c r="E32" s="86"/>
      <c r="F32" s="229" t="s">
        <v>86</v>
      </c>
      <c r="G32" s="232"/>
      <c r="H32" s="226">
        <f>+'Rates Detail'!I151</f>
        <v>2.6160000000000001</v>
      </c>
      <c r="I32" s="199">
        <f>+H16</f>
        <v>230</v>
      </c>
      <c r="J32" s="227">
        <f>I32*H32</f>
        <v>601.68000000000006</v>
      </c>
      <c r="K32" s="200"/>
      <c r="L32" s="226">
        <f>+'Rates Detail'!J151</f>
        <v>2.74</v>
      </c>
      <c r="M32" s="201">
        <f>+I32</f>
        <v>230</v>
      </c>
      <c r="N32" s="227">
        <f>M32*L32</f>
        <v>630.20000000000005</v>
      </c>
      <c r="O32" s="200"/>
      <c r="P32" s="202">
        <f t="shared" si="2"/>
        <v>28.519999999999982</v>
      </c>
      <c r="Q32" s="228">
        <f t="shared" si="3"/>
        <v>4.740061162079507E-2</v>
      </c>
    </row>
    <row r="33" spans="4:17" ht="26.25" thickBot="1" x14ac:dyDescent="0.25">
      <c r="D33" s="95" t="s">
        <v>59</v>
      </c>
      <c r="E33" s="86"/>
      <c r="F33" s="229" t="s">
        <v>86</v>
      </c>
      <c r="G33" s="232"/>
      <c r="H33" s="226">
        <f>+'Rates Detail'!I152</f>
        <v>2.0283000000000002</v>
      </c>
      <c r="I33" s="199">
        <f>I32</f>
        <v>230</v>
      </c>
      <c r="J33" s="227">
        <f>I33*H33</f>
        <v>466.50900000000007</v>
      </c>
      <c r="K33" s="200"/>
      <c r="L33" s="226">
        <f>+'Rates Detail'!J152</f>
        <v>2.0470000000000002</v>
      </c>
      <c r="M33" s="201">
        <f>M32</f>
        <v>230</v>
      </c>
      <c r="N33" s="227">
        <f>M33*L33</f>
        <v>470.81000000000006</v>
      </c>
      <c r="O33" s="200"/>
      <c r="P33" s="202">
        <f t="shared" si="2"/>
        <v>4.3009999999999877</v>
      </c>
      <c r="Q33" s="228">
        <f t="shared" si="3"/>
        <v>9.2195434600404001E-3</v>
      </c>
    </row>
    <row r="34" spans="4:17" ht="26.25" thickBot="1" x14ac:dyDescent="0.25">
      <c r="D34" s="96" t="s">
        <v>60</v>
      </c>
      <c r="E34" s="65"/>
      <c r="F34" s="149"/>
      <c r="G34" s="186"/>
      <c r="H34" s="203"/>
      <c r="I34" s="204"/>
      <c r="J34" s="99">
        <f>SUM(J31:J33)</f>
        <v>2217.6460000000002</v>
      </c>
      <c r="K34" s="100"/>
      <c r="L34" s="101"/>
      <c r="M34" s="102"/>
      <c r="N34" s="99">
        <f>SUM(N31:N33)</f>
        <v>2277.5810000000001</v>
      </c>
      <c r="O34" s="100"/>
      <c r="P34" s="103">
        <f t="shared" si="2"/>
        <v>59.934999999999945</v>
      </c>
      <c r="Q34" s="104">
        <f t="shared" si="3"/>
        <v>2.7026405476798344E-2</v>
      </c>
    </row>
    <row r="35" spans="4:17" ht="25.5" x14ac:dyDescent="0.2">
      <c r="D35" s="75" t="s">
        <v>61</v>
      </c>
      <c r="E35" s="65"/>
      <c r="F35" s="229" t="s">
        <v>51</v>
      </c>
      <c r="G35" s="186"/>
      <c r="H35" s="147">
        <f>+'Rates Detail'!I155</f>
        <v>4.4000000000000003E-3</v>
      </c>
      <c r="I35" s="233">
        <f>ROUND(L16*(1+H49),0)+1</f>
        <v>103601</v>
      </c>
      <c r="J35" s="205">
        <f>I35*H35</f>
        <v>455.84440000000001</v>
      </c>
      <c r="K35" s="149"/>
      <c r="L35" s="147">
        <f>+'Rates Detail'!J155</f>
        <v>4.4000000000000003E-3</v>
      </c>
      <c r="M35" s="187">
        <f>+I35</f>
        <v>103601</v>
      </c>
      <c r="N35" s="205">
        <f>M35*L35</f>
        <v>455.84440000000001</v>
      </c>
      <c r="O35" s="149"/>
      <c r="P35" s="193">
        <f t="shared" si="2"/>
        <v>0</v>
      </c>
      <c r="Q35" s="206">
        <f t="shared" si="3"/>
        <v>0</v>
      </c>
    </row>
    <row r="36" spans="4:17" ht="25.5" x14ac:dyDescent="0.2">
      <c r="D36" s="75" t="s">
        <v>62</v>
      </c>
      <c r="E36" s="65"/>
      <c r="F36" s="229" t="s">
        <v>51</v>
      </c>
      <c r="G36" s="186"/>
      <c r="H36" s="147">
        <f>+'Rates Detail'!I156</f>
        <v>1.1999999999999999E-3</v>
      </c>
      <c r="I36" s="185">
        <f>+I35</f>
        <v>103601</v>
      </c>
      <c r="J36" s="205">
        <f t="shared" ref="J36:J42" si="6">I36*H36</f>
        <v>124.32119999999999</v>
      </c>
      <c r="K36" s="149"/>
      <c r="L36" s="147">
        <f>+'Rates Detail'!J156</f>
        <v>1.1999999999999999E-3</v>
      </c>
      <c r="M36" s="187">
        <f>+M35</f>
        <v>103601</v>
      </c>
      <c r="N36" s="205">
        <f t="shared" ref="N36:N42" si="7">M36*L36</f>
        <v>124.32119999999999</v>
      </c>
      <c r="O36" s="149"/>
      <c r="P36" s="193">
        <f t="shared" si="2"/>
        <v>0</v>
      </c>
      <c r="Q36" s="206">
        <f t="shared" si="3"/>
        <v>0</v>
      </c>
    </row>
    <row r="37" spans="4:17" x14ac:dyDescent="0.2">
      <c r="D37" s="75" t="s">
        <v>63</v>
      </c>
      <c r="E37" s="65"/>
      <c r="F37" s="229"/>
      <c r="G37" s="186"/>
      <c r="H37" s="148"/>
      <c r="I37" s="185">
        <f>+I36</f>
        <v>103601</v>
      </c>
      <c r="J37" s="205">
        <f t="shared" si="6"/>
        <v>0</v>
      </c>
      <c r="K37" s="149"/>
      <c r="L37" s="148"/>
      <c r="M37" s="187">
        <f>M33</f>
        <v>230</v>
      </c>
      <c r="N37" s="205">
        <f t="shared" si="7"/>
        <v>0</v>
      </c>
      <c r="O37" s="149"/>
      <c r="P37" s="193">
        <f t="shared" si="2"/>
        <v>0</v>
      </c>
      <c r="Q37" s="206" t="str">
        <f t="shared" si="3"/>
        <v/>
      </c>
    </row>
    <row r="38" spans="4:17" x14ac:dyDescent="0.2">
      <c r="D38" s="65" t="s">
        <v>64</v>
      </c>
      <c r="E38" s="65"/>
      <c r="F38" s="229" t="s">
        <v>1</v>
      </c>
      <c r="G38" s="186"/>
      <c r="H38" s="147">
        <v>0.25</v>
      </c>
      <c r="I38" s="185">
        <v>1</v>
      </c>
      <c r="J38" s="205">
        <f t="shared" si="6"/>
        <v>0.25</v>
      </c>
      <c r="K38" s="149"/>
      <c r="L38" s="147">
        <v>0.25</v>
      </c>
      <c r="M38" s="187">
        <v>1</v>
      </c>
      <c r="N38" s="205">
        <f t="shared" si="7"/>
        <v>0.25</v>
      </c>
      <c r="O38" s="149"/>
      <c r="P38" s="193">
        <f t="shared" si="2"/>
        <v>0</v>
      </c>
      <c r="Q38" s="206">
        <f t="shared" si="3"/>
        <v>0</v>
      </c>
    </row>
    <row r="39" spans="4:17" x14ac:dyDescent="0.2">
      <c r="D39" s="65" t="s">
        <v>65</v>
      </c>
      <c r="E39" s="65"/>
      <c r="F39" s="229" t="s">
        <v>51</v>
      </c>
      <c r="G39" s="186"/>
      <c r="H39" s="147">
        <v>7.0000000000000001E-3</v>
      </c>
      <c r="I39" s="185">
        <f>+L16</f>
        <v>100000</v>
      </c>
      <c r="J39" s="205">
        <f t="shared" si="6"/>
        <v>700</v>
      </c>
      <c r="K39" s="149"/>
      <c r="L39" s="147">
        <f t="shared" ref="L39:M41" si="8">+H39</f>
        <v>7.0000000000000001E-3</v>
      </c>
      <c r="M39" s="187">
        <f t="shared" si="8"/>
        <v>100000</v>
      </c>
      <c r="N39" s="205">
        <f t="shared" si="7"/>
        <v>700</v>
      </c>
      <c r="O39" s="149"/>
      <c r="P39" s="193">
        <f t="shared" si="2"/>
        <v>0</v>
      </c>
      <c r="Q39" s="206">
        <f t="shared" si="3"/>
        <v>0</v>
      </c>
    </row>
    <row r="40" spans="4:17" x14ac:dyDescent="0.2">
      <c r="D40" s="65" t="s">
        <v>66</v>
      </c>
      <c r="E40" s="65"/>
      <c r="F40" s="229" t="s">
        <v>51</v>
      </c>
      <c r="G40" s="186"/>
      <c r="H40" s="147">
        <v>7.8E-2</v>
      </c>
      <c r="I40" s="185">
        <v>750</v>
      </c>
      <c r="J40" s="205">
        <f t="shared" si="6"/>
        <v>58.5</v>
      </c>
      <c r="K40" s="149"/>
      <c r="L40" s="147">
        <f t="shared" si="8"/>
        <v>7.8E-2</v>
      </c>
      <c r="M40" s="187">
        <f t="shared" si="8"/>
        <v>750</v>
      </c>
      <c r="N40" s="205">
        <f t="shared" si="7"/>
        <v>58.5</v>
      </c>
      <c r="O40" s="149"/>
      <c r="P40" s="193">
        <f t="shared" si="2"/>
        <v>0</v>
      </c>
      <c r="Q40" s="206">
        <f t="shared" si="3"/>
        <v>0</v>
      </c>
    </row>
    <row r="41" spans="4:17" x14ac:dyDescent="0.2">
      <c r="D41" s="110" t="s">
        <v>66</v>
      </c>
      <c r="E41" s="65"/>
      <c r="F41" s="229" t="s">
        <v>51</v>
      </c>
      <c r="G41" s="186"/>
      <c r="H41" s="147">
        <v>9.0999999999999998E-2</v>
      </c>
      <c r="I41" s="207">
        <f>+ROUND(I39-I40,0)</f>
        <v>99250</v>
      </c>
      <c r="J41" s="205">
        <f t="shared" si="6"/>
        <v>9031.75</v>
      </c>
      <c r="K41" s="149"/>
      <c r="L41" s="147">
        <f t="shared" si="8"/>
        <v>9.0999999999999998E-2</v>
      </c>
      <c r="M41" s="208">
        <f t="shared" si="8"/>
        <v>99250</v>
      </c>
      <c r="N41" s="205">
        <f t="shared" si="7"/>
        <v>9031.75</v>
      </c>
      <c r="O41" s="149"/>
      <c r="P41" s="193">
        <f t="shared" si="2"/>
        <v>0</v>
      </c>
      <c r="Q41" s="206">
        <f t="shared" si="3"/>
        <v>0</v>
      </c>
    </row>
    <row r="42" spans="4:17" ht="13.5" thickBot="1" x14ac:dyDescent="0.25">
      <c r="D42" s="76"/>
      <c r="E42" s="65"/>
      <c r="F42" s="229"/>
      <c r="G42" s="186"/>
      <c r="H42" s="147"/>
      <c r="I42" s="194"/>
      <c r="J42" s="205">
        <f t="shared" si="6"/>
        <v>0</v>
      </c>
      <c r="K42" s="149"/>
      <c r="L42" s="147"/>
      <c r="M42" s="195"/>
      <c r="N42" s="205">
        <f t="shared" si="7"/>
        <v>0</v>
      </c>
      <c r="O42" s="149"/>
      <c r="P42" s="193">
        <f t="shared" si="2"/>
        <v>0</v>
      </c>
      <c r="Q42" s="206" t="str">
        <f t="shared" si="3"/>
        <v/>
      </c>
    </row>
    <row r="43" spans="4:17" ht="13.5" thickBot="1" x14ac:dyDescent="0.25">
      <c r="D43" s="113" t="s">
        <v>67</v>
      </c>
      <c r="E43" s="65"/>
      <c r="F43" s="149"/>
      <c r="G43" s="149"/>
      <c r="H43" s="209"/>
      <c r="I43" s="210"/>
      <c r="J43" s="99">
        <f>SUM(J34:J42)</f>
        <v>12588.311600000001</v>
      </c>
      <c r="K43" s="100"/>
      <c r="L43" s="116"/>
      <c r="M43" s="117"/>
      <c r="N43" s="99">
        <f>SUM(N34:N42)</f>
        <v>12648.2466</v>
      </c>
      <c r="O43" s="100"/>
      <c r="P43" s="103">
        <f t="shared" si="2"/>
        <v>59.934999999999491</v>
      </c>
      <c r="Q43" s="104">
        <f t="shared" si="3"/>
        <v>4.7611627281294406E-3</v>
      </c>
    </row>
    <row r="44" spans="4:17" ht="13.5" thickBot="1" x14ac:dyDescent="0.25">
      <c r="D44" s="67" t="s">
        <v>68</v>
      </c>
      <c r="E44" s="65"/>
      <c r="F44" s="149"/>
      <c r="G44" s="149"/>
      <c r="H44" s="211">
        <v>0.13</v>
      </c>
      <c r="I44" s="212"/>
      <c r="J44" s="213">
        <f>J43*H44</f>
        <v>1636.4805080000001</v>
      </c>
      <c r="K44" s="149"/>
      <c r="L44" s="211">
        <v>0.13</v>
      </c>
      <c r="M44" s="214"/>
      <c r="N44" s="213">
        <f>N43*L44</f>
        <v>1644.272058</v>
      </c>
      <c r="O44" s="149"/>
      <c r="P44" s="193">
        <f t="shared" si="2"/>
        <v>7.7915499999999156</v>
      </c>
      <c r="Q44" s="206">
        <f t="shared" si="3"/>
        <v>4.7611627281294294E-3</v>
      </c>
    </row>
    <row r="45" spans="4:17" ht="26.25" thickBot="1" x14ac:dyDescent="0.25">
      <c r="D45" s="96" t="s">
        <v>69</v>
      </c>
      <c r="E45" s="65"/>
      <c r="F45" s="149"/>
      <c r="G45" s="149"/>
      <c r="H45" s="203"/>
      <c r="I45" s="204"/>
      <c r="J45" s="99">
        <f>ROUND(SUM(J43:J44),2)</f>
        <v>14224.79</v>
      </c>
      <c r="K45" s="100"/>
      <c r="L45" s="101"/>
      <c r="M45" s="102"/>
      <c r="N45" s="99">
        <f>ROUND(SUM(N43:N44),2)</f>
        <v>14292.52</v>
      </c>
      <c r="O45" s="100"/>
      <c r="P45" s="103">
        <f t="shared" si="2"/>
        <v>67.729999999999563</v>
      </c>
      <c r="Q45" s="104">
        <f t="shared" si="3"/>
        <v>4.7614059680318342E-3</v>
      </c>
    </row>
    <row r="46" spans="4:17" ht="27.75" thickBot="1" x14ac:dyDescent="0.25">
      <c r="D46" s="122" t="s">
        <v>70</v>
      </c>
      <c r="E46" s="65"/>
      <c r="F46" s="149"/>
      <c r="G46" s="149"/>
      <c r="H46" s="203"/>
      <c r="I46" s="215"/>
      <c r="J46" s="99">
        <v>0</v>
      </c>
      <c r="K46" s="100"/>
      <c r="L46" s="101"/>
      <c r="M46" s="102"/>
      <c r="N46" s="99">
        <v>0</v>
      </c>
      <c r="O46" s="100"/>
      <c r="P46" s="103">
        <f t="shared" si="2"/>
        <v>0</v>
      </c>
      <c r="Q46" s="104" t="str">
        <f t="shared" si="3"/>
        <v/>
      </c>
    </row>
    <row r="47" spans="4:17" ht="13.5" thickBot="1" x14ac:dyDescent="0.25">
      <c r="D47" s="96" t="s">
        <v>71</v>
      </c>
      <c r="E47" s="65"/>
      <c r="F47" s="149"/>
      <c r="G47" s="149"/>
      <c r="H47" s="216"/>
      <c r="I47" s="217"/>
      <c r="J47" s="126">
        <f>J45+J46</f>
        <v>14224.79</v>
      </c>
      <c r="K47" s="100"/>
      <c r="L47" s="127"/>
      <c r="M47" s="128"/>
      <c r="N47" s="126">
        <f>N45+N46</f>
        <v>14292.52</v>
      </c>
      <c r="O47" s="100"/>
      <c r="P47" s="129">
        <f t="shared" si="2"/>
        <v>67.729999999999563</v>
      </c>
      <c r="Q47" s="130">
        <f t="shared" si="3"/>
        <v>4.7614059680318342E-3</v>
      </c>
    </row>
    <row r="48" spans="4:17" ht="10.5" customHeight="1" x14ac:dyDescent="0.2"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2:17" x14ac:dyDescent="0.2">
      <c r="D49" s="55" t="s">
        <v>72</v>
      </c>
      <c r="F49" s="54"/>
      <c r="G49" s="54"/>
      <c r="H49" s="218">
        <v>3.5999999999999997E-2</v>
      </c>
      <c r="I49" s="54"/>
      <c r="J49" s="54"/>
      <c r="K49" s="54"/>
      <c r="L49" s="219">
        <f>+H49</f>
        <v>3.5999999999999997E-2</v>
      </c>
      <c r="M49" s="54"/>
      <c r="N49" s="54"/>
      <c r="O49" s="54"/>
      <c r="P49" s="54"/>
      <c r="Q49" s="54"/>
    </row>
    <row r="50" spans="2:17" ht="10.5" customHeight="1" x14ac:dyDescent="0.2"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2:17" ht="10.5" customHeight="1" x14ac:dyDescent="0.2">
      <c r="C51" s="133" t="s">
        <v>73</v>
      </c>
    </row>
    <row r="52" spans="2:17" ht="10.5" customHeight="1" x14ac:dyDescent="0.2"/>
    <row r="53" spans="2:17" x14ac:dyDescent="0.2">
      <c r="B53" s="55"/>
      <c r="C53" s="49" t="s">
        <v>74</v>
      </c>
    </row>
    <row r="54" spans="2:17" x14ac:dyDescent="0.2">
      <c r="C54" s="49" t="s">
        <v>75</v>
      </c>
    </row>
    <row r="56" spans="2:17" x14ac:dyDescent="0.2">
      <c r="C56" s="49" t="s">
        <v>76</v>
      </c>
    </row>
    <row r="57" spans="2:17" x14ac:dyDescent="0.2">
      <c r="C57" s="49" t="s">
        <v>77</v>
      </c>
    </row>
    <row r="59" spans="2:17" x14ac:dyDescent="0.2">
      <c r="C59" s="49" t="s">
        <v>78</v>
      </c>
    </row>
    <row r="60" spans="2:17" x14ac:dyDescent="0.2">
      <c r="C60" s="49" t="s">
        <v>79</v>
      </c>
    </row>
    <row r="61" spans="2:17" x14ac:dyDescent="0.2">
      <c r="C61" s="49" t="s">
        <v>80</v>
      </c>
    </row>
    <row r="62" spans="2:17" x14ac:dyDescent="0.2">
      <c r="C62" s="49" t="s">
        <v>81</v>
      </c>
    </row>
    <row r="63" spans="2:17" x14ac:dyDescent="0.2">
      <c r="C63" s="49" t="s">
        <v>82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2:G33 G35:G42 G21:G30">
      <formula1>$B$14:$B$19</formula1>
    </dataValidation>
    <dataValidation type="list" allowBlank="1" showInputMessage="1" showErrorMessage="1" prompt="Select Charge Unit - monthly, per kWh, per kW" sqref="F35:F42 F32:F33 F21:F30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55118110236220474" right="0.35433070866141736" top="0.98425196850393704" bottom="0.39370078740157483" header="0.51181102362204722" footer="0"/>
  <pageSetup scale="70" orientation="portrait" r:id="rId1"/>
  <headerFooter alignWithMargins="0">
    <oddHeader>&amp;R&amp;"Arial,Regular"&amp;10Enersource Hydro Mississauga Inc.
Filed:  August 16, 2013
2014 IRM Application
EB-2013-0124
Attachment C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f8c490df22a83b7cc998b02ceba9412c">
  <xsd:schema xmlns:xsd="http://www.w3.org/2001/XMLSchema" xmlns:p="http://schemas.microsoft.com/office/2006/metadata/properties" targetNamespace="http://schemas.microsoft.com/office/2006/metadata/properties" ma:root="true" ma:fieldsID="46ce51841bcaebe75ae25adb2fb3cbe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34429DA-250D-4A70-97B9-85231AF9886E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1E4CC7BB-21F5-49DA-A337-A2D98A343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CC816C-7C2A-4494-8D75-8B3AAFC07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Bill Impact</vt:lpstr>
      <vt:lpstr>Rates Detail</vt:lpstr>
      <vt:lpstr>RES-RPP</vt:lpstr>
      <vt:lpstr>RES-NonRPP</vt:lpstr>
      <vt:lpstr>GSLT50 RPP</vt:lpstr>
      <vt:lpstr>GSLT50 NonRPP</vt:lpstr>
      <vt:lpstr>USL RPP</vt:lpstr>
      <vt:lpstr>USL NonRPP</vt:lpstr>
      <vt:lpstr>GS50-499INT</vt:lpstr>
      <vt:lpstr>GS50-499NI</vt:lpstr>
      <vt:lpstr>GS500-4999INT</vt:lpstr>
      <vt:lpstr>GS500-499NI</vt:lpstr>
      <vt:lpstr>LU - Class A</vt:lpstr>
      <vt:lpstr>SL</vt:lpstr>
      <vt:lpstr>'Bill Impact'!Print_Area</vt:lpstr>
      <vt:lpstr>'GS500-4999INT'!Print_Area</vt:lpstr>
      <vt:lpstr>'GS500-499NI'!Print_Area</vt:lpstr>
      <vt:lpstr>'GS50-499INT'!Print_Area</vt:lpstr>
      <vt:lpstr>'GS50-499NI'!Print_Area</vt:lpstr>
      <vt:lpstr>'GSLT50 NonRPP'!Print_Area</vt:lpstr>
      <vt:lpstr>'GSLT50 RPP'!Print_Area</vt:lpstr>
      <vt:lpstr>'LU - Class A'!Print_Area</vt:lpstr>
      <vt:lpstr>'RES-NonRPP'!Print_Area</vt:lpstr>
      <vt:lpstr>'RES-RPP'!Print_Area</vt:lpstr>
      <vt:lpstr>SL!Print_Area</vt:lpstr>
      <vt:lpstr>'USL NonRPP'!Print_Area</vt:lpstr>
      <vt:lpstr>'USL RPP'!Print_Area</vt:lpstr>
      <vt:lpstr>'Bill Impact'!Print_Titles</vt:lpstr>
      <vt:lpstr>'Rates Detail'!Print_Titles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2013-08-15T12:58:48Z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