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15" windowWidth="28275" windowHeight="13290" tabRatio="926"/>
  </bookViews>
  <sheets>
    <sheet name="14. Bill Impacts - Residential" sheetId="1" r:id="rId1"/>
    <sheet name="14. Bill Impacts - GS &lt; 50 KW" sheetId="3" r:id="rId2"/>
    <sheet name="14. Bill Impacts - GS 50-999 KW" sheetId="4" r:id="rId3"/>
    <sheet name="14. Bill Impacts - GS 1000-4999" sheetId="5" r:id="rId4"/>
    <sheet name="14. Bill Impacts - Large Use" sheetId="6" r:id="rId5"/>
    <sheet name="14. Bill Impacts - USL" sheetId="7" r:id="rId6"/>
    <sheet name="14. Bill Impacts - Sent.Lights" sheetId="8" r:id="rId7"/>
    <sheet name="14. Bill Impacts - StreetLight" sheetId="10" r:id="rId8"/>
  </sheets>
  <externalReferences>
    <externalReference r:id="rId9"/>
  </externalReferences>
  <definedNames>
    <definedName name="BI_LDCLIST">'[1]3. Rate Class Selection'!$B$19:$B$27</definedName>
    <definedName name="_xlnm.Print_Area" localSheetId="1">'14. Bill Impacts - GS &lt; 50 KW'!$A$1:$N$49</definedName>
    <definedName name="_xlnm.Print_Area" localSheetId="3">'14. Bill Impacts - GS 1000-4999'!$A$1:$N$49</definedName>
    <definedName name="_xlnm.Print_Area" localSheetId="2">'14. Bill Impacts - GS 50-999 KW'!$A$1:$N$49</definedName>
    <definedName name="_xlnm.Print_Area" localSheetId="4">'14. Bill Impacts - Large Use'!$A$1:$N$49</definedName>
    <definedName name="_xlnm.Print_Area" localSheetId="0">'14. Bill Impacts - Residential'!$A$1:$N$49</definedName>
    <definedName name="_xlnm.Print_Area" localSheetId="6">'14. Bill Impacts - Sent.Lights'!$A$1:$N$49</definedName>
    <definedName name="_xlnm.Print_Area" localSheetId="7">'14. Bill Impacts - StreetLight'!$A$1:$N$49</definedName>
    <definedName name="_xlnm.Print_Area" localSheetId="5">'14. Bill Impacts - USL'!$A$1:$N$49</definedName>
  </definedNames>
  <calcPr calcId="125725" iterate="1"/>
</workbook>
</file>

<file path=xl/calcChain.xml><?xml version="1.0" encoding="utf-8"?>
<calcChain xmlns="http://schemas.openxmlformats.org/spreadsheetml/2006/main">
  <c r="R22" i="3"/>
  <c r="S22" s="1"/>
  <c r="S23"/>
  <c r="R23"/>
  <c r="Q23" i="7" l="1"/>
  <c r="Q22"/>
  <c r="Q23" i="6"/>
  <c r="Q22"/>
  <c r="Q23" i="5"/>
  <c r="Q22"/>
  <c r="Q23" i="4"/>
  <c r="Q22"/>
  <c r="Q23" i="3"/>
  <c r="Q22"/>
  <c r="Q23" i="1"/>
  <c r="Q22"/>
  <c r="F33" i="8"/>
  <c r="F32"/>
  <c r="F33" i="6"/>
  <c r="F32"/>
  <c r="J32"/>
  <c r="J33"/>
  <c r="F33" i="4"/>
  <c r="F32"/>
  <c r="J33" i="5"/>
  <c r="J32"/>
  <c r="F33"/>
  <c r="F32"/>
  <c r="S40" i="1"/>
  <c r="I27" i="10"/>
  <c r="E27"/>
  <c r="K41" l="1"/>
  <c r="G41"/>
  <c r="K40"/>
  <c r="G40"/>
  <c r="K39"/>
  <c r="G39"/>
  <c r="K37"/>
  <c r="G37"/>
  <c r="K33"/>
  <c r="G33"/>
  <c r="K32"/>
  <c r="G32"/>
  <c r="K30"/>
  <c r="M30" s="1"/>
  <c r="G30"/>
  <c r="N30" s="1"/>
  <c r="K29"/>
  <c r="G29"/>
  <c r="N29" s="1"/>
  <c r="K28"/>
  <c r="G28"/>
  <c r="K25"/>
  <c r="G25"/>
  <c r="N25" s="1"/>
  <c r="K24"/>
  <c r="G24"/>
  <c r="N24" s="1"/>
  <c r="K23"/>
  <c r="G23"/>
  <c r="K22"/>
  <c r="G22"/>
  <c r="E16"/>
  <c r="E12" s="1"/>
  <c r="J41" i="8"/>
  <c r="K41" s="1"/>
  <c r="G41"/>
  <c r="J40"/>
  <c r="K40" s="1"/>
  <c r="G40"/>
  <c r="J39"/>
  <c r="K39" s="1"/>
  <c r="G39"/>
  <c r="K37"/>
  <c r="G37"/>
  <c r="J33"/>
  <c r="K33" s="1"/>
  <c r="G33"/>
  <c r="J32"/>
  <c r="K32" s="1"/>
  <c r="G32"/>
  <c r="J30"/>
  <c r="K30" s="1"/>
  <c r="G30"/>
  <c r="N30" s="1"/>
  <c r="J29"/>
  <c r="K29" s="1"/>
  <c r="G29"/>
  <c r="N29" s="1"/>
  <c r="J28"/>
  <c r="K28" s="1"/>
  <c r="G28"/>
  <c r="I27"/>
  <c r="E27"/>
  <c r="J25"/>
  <c r="K25" s="1"/>
  <c r="G25"/>
  <c r="N25" s="1"/>
  <c r="K24"/>
  <c r="G24"/>
  <c r="N24" s="1"/>
  <c r="J23"/>
  <c r="K23" s="1"/>
  <c r="G23"/>
  <c r="K22"/>
  <c r="G22"/>
  <c r="E16"/>
  <c r="E12" s="1"/>
  <c r="J41" i="7"/>
  <c r="K41" s="1"/>
  <c r="G41"/>
  <c r="J40"/>
  <c r="K40" s="1"/>
  <c r="G40"/>
  <c r="J39"/>
  <c r="K39" s="1"/>
  <c r="G39"/>
  <c r="J38"/>
  <c r="K38" s="1"/>
  <c r="F38"/>
  <c r="G38" s="1"/>
  <c r="K37"/>
  <c r="G37"/>
  <c r="J36"/>
  <c r="K36" s="1"/>
  <c r="F36"/>
  <c r="G36" s="1"/>
  <c r="J35"/>
  <c r="K35" s="1"/>
  <c r="F35"/>
  <c r="G35" s="1"/>
  <c r="J33"/>
  <c r="K33" s="1"/>
  <c r="G33"/>
  <c r="J32"/>
  <c r="K32" s="1"/>
  <c r="G32"/>
  <c r="J30"/>
  <c r="K30" s="1"/>
  <c r="G30"/>
  <c r="N30" s="1"/>
  <c r="J29"/>
  <c r="K29" s="1"/>
  <c r="G29"/>
  <c r="N29" s="1"/>
  <c r="J28"/>
  <c r="K28" s="1"/>
  <c r="G28"/>
  <c r="I27"/>
  <c r="F27"/>
  <c r="J27" s="1"/>
  <c r="E27"/>
  <c r="J25"/>
  <c r="K25" s="1"/>
  <c r="G25"/>
  <c r="K24"/>
  <c r="M24" s="1"/>
  <c r="G24"/>
  <c r="N24" s="1"/>
  <c r="J23"/>
  <c r="K23" s="1"/>
  <c r="G23"/>
  <c r="K22"/>
  <c r="M22" s="1"/>
  <c r="N22" s="1"/>
  <c r="G22"/>
  <c r="E17"/>
  <c r="J41" i="6"/>
  <c r="K41" s="1"/>
  <c r="G41"/>
  <c r="J40"/>
  <c r="K40" s="1"/>
  <c r="G40"/>
  <c r="J39"/>
  <c r="K39" s="1"/>
  <c r="G39"/>
  <c r="K37"/>
  <c r="G37"/>
  <c r="M37" s="1"/>
  <c r="K33"/>
  <c r="G33"/>
  <c r="K32"/>
  <c r="G32"/>
  <c r="J30"/>
  <c r="K30" s="1"/>
  <c r="G30"/>
  <c r="N30" s="1"/>
  <c r="J29"/>
  <c r="K29" s="1"/>
  <c r="G29"/>
  <c r="N29" s="1"/>
  <c r="J28"/>
  <c r="K28" s="1"/>
  <c r="G28"/>
  <c r="I27"/>
  <c r="E27"/>
  <c r="J25"/>
  <c r="K25" s="1"/>
  <c r="G25"/>
  <c r="N25" s="1"/>
  <c r="K24"/>
  <c r="G24"/>
  <c r="N24" s="1"/>
  <c r="J23"/>
  <c r="K23" s="1"/>
  <c r="G23"/>
  <c r="K22"/>
  <c r="G22"/>
  <c r="E16"/>
  <c r="E12" s="1"/>
  <c r="J41" i="5"/>
  <c r="K41" s="1"/>
  <c r="G41"/>
  <c r="J40"/>
  <c r="K40" s="1"/>
  <c r="G40"/>
  <c r="J39"/>
  <c r="K39" s="1"/>
  <c r="M39" s="1"/>
  <c r="G39"/>
  <c r="K37"/>
  <c r="G37"/>
  <c r="K33"/>
  <c r="G33"/>
  <c r="K32"/>
  <c r="G32"/>
  <c r="J30"/>
  <c r="K30" s="1"/>
  <c r="G30"/>
  <c r="N30" s="1"/>
  <c r="J29"/>
  <c r="K29" s="1"/>
  <c r="G29"/>
  <c r="J28"/>
  <c r="K28" s="1"/>
  <c r="G28"/>
  <c r="I27"/>
  <c r="E27"/>
  <c r="J25"/>
  <c r="K25" s="1"/>
  <c r="G25"/>
  <c r="N25" s="1"/>
  <c r="K24"/>
  <c r="G24"/>
  <c r="N24" s="1"/>
  <c r="J23"/>
  <c r="K23" s="1"/>
  <c r="G23"/>
  <c r="K22"/>
  <c r="G22"/>
  <c r="E16"/>
  <c r="E12" s="1"/>
  <c r="J38" s="1"/>
  <c r="K38" s="1"/>
  <c r="J41" i="4"/>
  <c r="K41" s="1"/>
  <c r="G41"/>
  <c r="J40"/>
  <c r="K40" s="1"/>
  <c r="G40"/>
  <c r="J39"/>
  <c r="K39" s="1"/>
  <c r="G39"/>
  <c r="K37"/>
  <c r="G37"/>
  <c r="J33"/>
  <c r="K33" s="1"/>
  <c r="G33"/>
  <c r="J32"/>
  <c r="K32" s="1"/>
  <c r="M32" s="1"/>
  <c r="G32"/>
  <c r="J30"/>
  <c r="K30" s="1"/>
  <c r="G30"/>
  <c r="N30" s="1"/>
  <c r="J29"/>
  <c r="K29" s="1"/>
  <c r="M29" s="1"/>
  <c r="G29"/>
  <c r="N29" s="1"/>
  <c r="J28"/>
  <c r="K28" s="1"/>
  <c r="G28"/>
  <c r="I27"/>
  <c r="E27"/>
  <c r="J25"/>
  <c r="K25" s="1"/>
  <c r="G25"/>
  <c r="K24"/>
  <c r="G24"/>
  <c r="N24" s="1"/>
  <c r="J23"/>
  <c r="K23" s="1"/>
  <c r="G23"/>
  <c r="K22"/>
  <c r="G22"/>
  <c r="E16"/>
  <c r="E12" s="1"/>
  <c r="J41" i="3"/>
  <c r="K41" s="1"/>
  <c r="G41"/>
  <c r="J40"/>
  <c r="K40" s="1"/>
  <c r="G40"/>
  <c r="J39"/>
  <c r="K39" s="1"/>
  <c r="G39"/>
  <c r="J38"/>
  <c r="K38" s="1"/>
  <c r="F38"/>
  <c r="G38" s="1"/>
  <c r="K37"/>
  <c r="M37" s="1"/>
  <c r="N37" s="1"/>
  <c r="G37"/>
  <c r="J36"/>
  <c r="K36" s="1"/>
  <c r="F36"/>
  <c r="G36" s="1"/>
  <c r="J35"/>
  <c r="K35" s="1"/>
  <c r="F35"/>
  <c r="G35" s="1"/>
  <c r="J33"/>
  <c r="K33" s="1"/>
  <c r="G33"/>
  <c r="J32"/>
  <c r="K32" s="1"/>
  <c r="M32" s="1"/>
  <c r="G32"/>
  <c r="J30"/>
  <c r="K30" s="1"/>
  <c r="G30"/>
  <c r="N30" s="1"/>
  <c r="J29"/>
  <c r="K29" s="1"/>
  <c r="G29"/>
  <c r="N29" s="1"/>
  <c r="J28"/>
  <c r="K28" s="1"/>
  <c r="G28"/>
  <c r="I27"/>
  <c r="F27"/>
  <c r="J27" s="1"/>
  <c r="E27"/>
  <c r="J25"/>
  <c r="K25" s="1"/>
  <c r="G25"/>
  <c r="K24"/>
  <c r="G24"/>
  <c r="J23"/>
  <c r="K23" s="1"/>
  <c r="G23"/>
  <c r="K22"/>
  <c r="G22"/>
  <c r="E17"/>
  <c r="J41" i="1"/>
  <c r="K41" s="1"/>
  <c r="G41"/>
  <c r="J40"/>
  <c r="K40" s="1"/>
  <c r="G40"/>
  <c r="J39"/>
  <c r="K39" s="1"/>
  <c r="G39"/>
  <c r="J38"/>
  <c r="K38" s="1"/>
  <c r="F38"/>
  <c r="G38" s="1"/>
  <c r="K37"/>
  <c r="G37"/>
  <c r="J36"/>
  <c r="K36" s="1"/>
  <c r="F36"/>
  <c r="G36" s="1"/>
  <c r="J35"/>
  <c r="K35" s="1"/>
  <c r="F35"/>
  <c r="G35" s="1"/>
  <c r="J33"/>
  <c r="K33" s="1"/>
  <c r="G33"/>
  <c r="J32"/>
  <c r="K32" s="1"/>
  <c r="G32"/>
  <c r="J30"/>
  <c r="K30" s="1"/>
  <c r="G30"/>
  <c r="N30" s="1"/>
  <c r="J29"/>
  <c r="K29" s="1"/>
  <c r="G29"/>
  <c r="N29" s="1"/>
  <c r="J28"/>
  <c r="K28" s="1"/>
  <c r="G28"/>
  <c r="I27"/>
  <c r="F27"/>
  <c r="J27" s="1"/>
  <c r="E27"/>
  <c r="J25"/>
  <c r="K25" s="1"/>
  <c r="G25"/>
  <c r="K24"/>
  <c r="G24"/>
  <c r="J23"/>
  <c r="K23" s="1"/>
  <c r="G23"/>
  <c r="K22"/>
  <c r="G22"/>
  <c r="G26" s="1"/>
  <c r="E17"/>
  <c r="M30" l="1"/>
  <c r="M33" i="5"/>
  <c r="N33" s="1"/>
  <c r="N32"/>
  <c r="M23" i="3"/>
  <c r="M33"/>
  <c r="M30" i="4"/>
  <c r="M25" i="7"/>
  <c r="M23" i="8"/>
  <c r="N23" s="1"/>
  <c r="M23" i="1"/>
  <c r="M32"/>
  <c r="N32" s="1"/>
  <c r="M24" i="3"/>
  <c r="M32" i="7"/>
  <c r="N32" s="1"/>
  <c r="M32" i="8"/>
  <c r="N32" s="1"/>
  <c r="M33" i="1"/>
  <c r="N33" s="1"/>
  <c r="M40"/>
  <c r="M25" i="3"/>
  <c r="N25" s="1"/>
  <c r="M29"/>
  <c r="M24" i="6"/>
  <c r="G26" i="3"/>
  <c r="G31" s="1"/>
  <c r="G34" s="1"/>
  <c r="M25" i="4"/>
  <c r="N25" s="1"/>
  <c r="K26" i="8"/>
  <c r="M30"/>
  <c r="K26" i="3"/>
  <c r="M26" s="1"/>
  <c r="N26" s="1"/>
  <c r="G27"/>
  <c r="E17" i="4"/>
  <c r="M40"/>
  <c r="N40" s="1"/>
  <c r="M25" i="6"/>
  <c r="M30"/>
  <c r="M39"/>
  <c r="N39" s="1"/>
  <c r="K27" i="7"/>
  <c r="M33"/>
  <c r="N33" s="1"/>
  <c r="M25" i="8"/>
  <c r="M37"/>
  <c r="N37" s="1"/>
  <c r="K27" i="3"/>
  <c r="M41"/>
  <c r="N41" s="1"/>
  <c r="M22" i="4"/>
  <c r="N22" s="1"/>
  <c r="M24"/>
  <c r="M41"/>
  <c r="M29" i="5"/>
  <c r="M29" i="6"/>
  <c r="M32"/>
  <c r="N32" s="1"/>
  <c r="M35" i="7"/>
  <c r="N35" s="1"/>
  <c r="M39"/>
  <c r="N39" s="1"/>
  <c r="M33" i="8"/>
  <c r="N33" s="1"/>
  <c r="M39"/>
  <c r="N39" s="1"/>
  <c r="J38" i="6"/>
  <c r="K38" s="1"/>
  <c r="J36"/>
  <c r="K36" s="1"/>
  <c r="F27"/>
  <c r="J27" s="1"/>
  <c r="K27" s="1"/>
  <c r="F38"/>
  <c r="G38" s="1"/>
  <c r="F35"/>
  <c r="G35" s="1"/>
  <c r="M30" i="3"/>
  <c r="M40"/>
  <c r="M39" i="4"/>
  <c r="N39" s="1"/>
  <c r="G26" i="5"/>
  <c r="M25"/>
  <c r="M32"/>
  <c r="M41"/>
  <c r="N41" s="1"/>
  <c r="G26" i="6"/>
  <c r="M22" i="8"/>
  <c r="N22" s="1"/>
  <c r="M24"/>
  <c r="G26"/>
  <c r="M41" i="1"/>
  <c r="N41" s="1"/>
  <c r="M22" i="3"/>
  <c r="N22" s="1"/>
  <c r="N33"/>
  <c r="M39"/>
  <c r="N32" i="4"/>
  <c r="M33"/>
  <c r="N33" s="1"/>
  <c r="E17" i="5"/>
  <c r="M23"/>
  <c r="N23" s="1"/>
  <c r="M37"/>
  <c r="N37" s="1"/>
  <c r="E17" i="6"/>
  <c r="M33"/>
  <c r="N33" s="1"/>
  <c r="M41"/>
  <c r="N41" s="1"/>
  <c r="G27" i="7"/>
  <c r="M30"/>
  <c r="M41"/>
  <c r="N41" s="1"/>
  <c r="M29" i="8"/>
  <c r="M40"/>
  <c r="N40" s="1"/>
  <c r="M36" i="3"/>
  <c r="N36" s="1"/>
  <c r="N39"/>
  <c r="M37" i="1"/>
  <c r="N37" s="1"/>
  <c r="G26" i="4"/>
  <c r="G31" s="1"/>
  <c r="M37"/>
  <c r="N37" s="1"/>
  <c r="M22" i="5"/>
  <c r="N22" s="1"/>
  <c r="G31"/>
  <c r="G34" s="1"/>
  <c r="M30"/>
  <c r="M40"/>
  <c r="M22" i="6"/>
  <c r="N22" s="1"/>
  <c r="M40"/>
  <c r="N40" s="1"/>
  <c r="G26" i="7"/>
  <c r="G31" s="1"/>
  <c r="G34" s="1"/>
  <c r="M29"/>
  <c r="M37"/>
  <c r="N37" s="1"/>
  <c r="M40"/>
  <c r="N40" s="1"/>
  <c r="E17" i="8"/>
  <c r="M41"/>
  <c r="N41" s="1"/>
  <c r="N23" i="1"/>
  <c r="M24"/>
  <c r="N24" s="1"/>
  <c r="M22"/>
  <c r="N22" s="1"/>
  <c r="G31"/>
  <c r="G34" s="1"/>
  <c r="N40"/>
  <c r="K26"/>
  <c r="M26" s="1"/>
  <c r="N26" s="1"/>
  <c r="M25"/>
  <c r="N25" s="1"/>
  <c r="M29"/>
  <c r="M39"/>
  <c r="N39" s="1"/>
  <c r="G26" i="10"/>
  <c r="G31" s="1"/>
  <c r="G34" s="1"/>
  <c r="E17"/>
  <c r="M23"/>
  <c r="N23" s="1"/>
  <c r="M37"/>
  <c r="N37" s="1"/>
  <c r="M32"/>
  <c r="N32" s="1"/>
  <c r="M22"/>
  <c r="N22" s="1"/>
  <c r="M25"/>
  <c r="M24"/>
  <c r="M29"/>
  <c r="M39"/>
  <c r="N39" s="1"/>
  <c r="M41"/>
  <c r="N41" s="1"/>
  <c r="M40"/>
  <c r="M33"/>
  <c r="N33" s="1"/>
  <c r="G38"/>
  <c r="K27"/>
  <c r="K38"/>
  <c r="G36"/>
  <c r="K35"/>
  <c r="K36"/>
  <c r="G35"/>
  <c r="M28"/>
  <c r="G27"/>
  <c r="N40"/>
  <c r="K26"/>
  <c r="N28"/>
  <c r="K31" i="8"/>
  <c r="M28"/>
  <c r="N28" s="1"/>
  <c r="F35"/>
  <c r="G35" s="1"/>
  <c r="F27"/>
  <c r="J27" s="1"/>
  <c r="K27" s="1"/>
  <c r="J38"/>
  <c r="K38" s="1"/>
  <c r="F36"/>
  <c r="G36" s="1"/>
  <c r="J35"/>
  <c r="K35" s="1"/>
  <c r="F38"/>
  <c r="G38" s="1"/>
  <c r="J36"/>
  <c r="K36" s="1"/>
  <c r="G27"/>
  <c r="M28" i="7"/>
  <c r="K26"/>
  <c r="M23"/>
  <c r="N23" s="1"/>
  <c r="N25"/>
  <c r="M36"/>
  <c r="N36" s="1"/>
  <c r="M38"/>
  <c r="N38" s="1"/>
  <c r="N28"/>
  <c r="M28" i="6"/>
  <c r="N28" s="1"/>
  <c r="G31"/>
  <c r="K26"/>
  <c r="M26" s="1"/>
  <c r="N26" s="1"/>
  <c r="M23"/>
  <c r="N23" s="1"/>
  <c r="N37"/>
  <c r="J35"/>
  <c r="K35" s="1"/>
  <c r="F36"/>
  <c r="G36" s="1"/>
  <c r="M28" i="5"/>
  <c r="N28" s="1"/>
  <c r="N40"/>
  <c r="N39"/>
  <c r="M24"/>
  <c r="K26"/>
  <c r="M26" s="1"/>
  <c r="N26" s="1"/>
  <c r="F27"/>
  <c r="J27" s="1"/>
  <c r="K27" s="1"/>
  <c r="N29"/>
  <c r="F35"/>
  <c r="G35" s="1"/>
  <c r="J36"/>
  <c r="K36" s="1"/>
  <c r="F38"/>
  <c r="G38" s="1"/>
  <c r="J35"/>
  <c r="K35" s="1"/>
  <c r="F36"/>
  <c r="G36" s="1"/>
  <c r="K26" i="4"/>
  <c r="M23"/>
  <c r="N23" s="1"/>
  <c r="J36"/>
  <c r="K36" s="1"/>
  <c r="J38"/>
  <c r="K38" s="1"/>
  <c r="F36"/>
  <c r="G36" s="1"/>
  <c r="J35"/>
  <c r="K35" s="1"/>
  <c r="F38"/>
  <c r="G38" s="1"/>
  <c r="F35"/>
  <c r="G35" s="1"/>
  <c r="F27"/>
  <c r="J27" s="1"/>
  <c r="K27" s="1"/>
  <c r="M28"/>
  <c r="N28" s="1"/>
  <c r="G27"/>
  <c r="N41"/>
  <c r="M35" i="3"/>
  <c r="N35" s="1"/>
  <c r="M28"/>
  <c r="N28" s="1"/>
  <c r="N32"/>
  <c r="M38"/>
  <c r="N38" s="1"/>
  <c r="N23"/>
  <c r="N24"/>
  <c r="N40"/>
  <c r="G27" i="1"/>
  <c r="M38"/>
  <c r="N38" s="1"/>
  <c r="M35"/>
  <c r="N35" s="1"/>
  <c r="M36"/>
  <c r="N36" s="1"/>
  <c r="K27"/>
  <c r="M28"/>
  <c r="N28" s="1"/>
  <c r="M35" i="8" l="1"/>
  <c r="N35" s="1"/>
  <c r="M35" i="5"/>
  <c r="N35" s="1"/>
  <c r="M26" i="8"/>
  <c r="N26" s="1"/>
  <c r="M38" i="6"/>
  <c r="N38" s="1"/>
  <c r="M26" i="4"/>
  <c r="N26" s="1"/>
  <c r="M35" i="6"/>
  <c r="N35" s="1"/>
  <c r="M26" i="7"/>
  <c r="N26" s="1"/>
  <c r="G31" i="8"/>
  <c r="M31" s="1"/>
  <c r="N31" s="1"/>
  <c r="M27" i="7"/>
  <c r="N27" s="1"/>
  <c r="N27" i="3"/>
  <c r="M38" i="4"/>
  <c r="M27" i="1"/>
  <c r="N27" s="1"/>
  <c r="G27" i="6"/>
  <c r="K31" i="3"/>
  <c r="M31" s="1"/>
  <c r="N31" s="1"/>
  <c r="M27"/>
  <c r="M35" i="4"/>
  <c r="K31"/>
  <c r="M31" s="1"/>
  <c r="N31" s="1"/>
  <c r="M36"/>
  <c r="M36" i="8"/>
  <c r="M38"/>
  <c r="N38" s="1"/>
  <c r="M27" i="6"/>
  <c r="N27" s="1"/>
  <c r="N36" i="4"/>
  <c r="K31" i="1"/>
  <c r="M31" s="1"/>
  <c r="N31" s="1"/>
  <c r="M26" i="10"/>
  <c r="N26" s="1"/>
  <c r="M35"/>
  <c r="M36"/>
  <c r="N36" s="1"/>
  <c r="M27"/>
  <c r="N27" s="1"/>
  <c r="K31"/>
  <c r="N35"/>
  <c r="M38"/>
  <c r="N38" s="1"/>
  <c r="G43"/>
  <c r="G34" i="8"/>
  <c r="K34"/>
  <c r="N36"/>
  <c r="M27"/>
  <c r="N27" s="1"/>
  <c r="G43" i="7"/>
  <c r="K31"/>
  <c r="G34" i="6"/>
  <c r="K31"/>
  <c r="M36"/>
  <c r="N36" s="1"/>
  <c r="G43" i="5"/>
  <c r="M36"/>
  <c r="N36" s="1"/>
  <c r="K31"/>
  <c r="G27"/>
  <c r="M27" s="1"/>
  <c r="M38"/>
  <c r="N38" s="1"/>
  <c r="N27" i="4"/>
  <c r="M27"/>
  <c r="G34"/>
  <c r="N38"/>
  <c r="N35"/>
  <c r="G43" i="3"/>
  <c r="G43" i="1"/>
  <c r="K34" i="3" l="1"/>
  <c r="M34" s="1"/>
  <c r="N34" s="1"/>
  <c r="K34" i="4"/>
  <c r="M34" s="1"/>
  <c r="N34" s="1"/>
  <c r="K34" i="1"/>
  <c r="K43" s="1"/>
  <c r="G44" i="10"/>
  <c r="G45" s="1"/>
  <c r="K34"/>
  <c r="M31"/>
  <c r="N31" s="1"/>
  <c r="G43" i="8"/>
  <c r="K43"/>
  <c r="M34"/>
  <c r="N34" s="1"/>
  <c r="G44" i="7"/>
  <c r="G45" s="1"/>
  <c r="K34"/>
  <c r="M31"/>
  <c r="N31" s="1"/>
  <c r="G43" i="6"/>
  <c r="K34"/>
  <c r="M31"/>
  <c r="N31" s="1"/>
  <c r="G44" i="5"/>
  <c r="G45" s="1"/>
  <c r="K34"/>
  <c r="M31"/>
  <c r="N31" s="1"/>
  <c r="N27"/>
  <c r="G43" i="4"/>
  <c r="K43"/>
  <c r="G44" i="3"/>
  <c r="G45" s="1"/>
  <c r="G44" i="1"/>
  <c r="G45" s="1"/>
  <c r="M34" l="1"/>
  <c r="N34" s="1"/>
  <c r="K43" i="3"/>
  <c r="M43" s="1"/>
  <c r="N43" s="1"/>
  <c r="G46" i="10"/>
  <c r="K43"/>
  <c r="M34"/>
  <c r="N34" s="1"/>
  <c r="G44" i="8"/>
  <c r="G45" s="1"/>
  <c r="M43"/>
  <c r="N43" s="1"/>
  <c r="K44"/>
  <c r="K45" s="1"/>
  <c r="G46" i="7"/>
  <c r="G47" s="1"/>
  <c r="K43"/>
  <c r="M34"/>
  <c r="N34" s="1"/>
  <c r="G44" i="6"/>
  <c r="G45" s="1"/>
  <c r="K43"/>
  <c r="M34"/>
  <c r="N34" s="1"/>
  <c r="G46" i="5"/>
  <c r="G47" s="1"/>
  <c r="K43"/>
  <c r="M34"/>
  <c r="N34" s="1"/>
  <c r="K44" i="4"/>
  <c r="K45" s="1"/>
  <c r="M43"/>
  <c r="N43" s="1"/>
  <c r="G44"/>
  <c r="G45" s="1"/>
  <c r="G46" i="3"/>
  <c r="G46" i="1"/>
  <c r="G47" s="1"/>
  <c r="M43"/>
  <c r="N43" s="1"/>
  <c r="K44"/>
  <c r="M44" s="1"/>
  <c r="N44" s="1"/>
  <c r="K44" i="3" l="1"/>
  <c r="M44" s="1"/>
  <c r="N44" s="1"/>
  <c r="M44" i="8"/>
  <c r="N44" s="1"/>
  <c r="K44" i="10"/>
  <c r="M44" s="1"/>
  <c r="N44" s="1"/>
  <c r="M43"/>
  <c r="N43" s="1"/>
  <c r="G47"/>
  <c r="G46" i="8"/>
  <c r="M45"/>
  <c r="N45" s="1"/>
  <c r="K46"/>
  <c r="K44" i="7"/>
  <c r="M44" s="1"/>
  <c r="N44" s="1"/>
  <c r="M43"/>
  <c r="N43" s="1"/>
  <c r="K44" i="6"/>
  <c r="M44" s="1"/>
  <c r="N44" s="1"/>
  <c r="M43"/>
  <c r="N43" s="1"/>
  <c r="G46"/>
  <c r="K44" i="5"/>
  <c r="M44" s="1"/>
  <c r="N44" s="1"/>
  <c r="M43"/>
  <c r="N43" s="1"/>
  <c r="G46" i="4"/>
  <c r="G47" s="1"/>
  <c r="M44"/>
  <c r="N44" s="1"/>
  <c r="K46"/>
  <c r="M45"/>
  <c r="N45" s="1"/>
  <c r="G47" i="3"/>
  <c r="K45" i="1"/>
  <c r="K46" s="1"/>
  <c r="M46" s="1"/>
  <c r="N46" s="1"/>
  <c r="K45" i="3" l="1"/>
  <c r="M45" s="1"/>
  <c r="N45" s="1"/>
  <c r="M46" i="4"/>
  <c r="N46" s="1"/>
  <c r="K45" i="6"/>
  <c r="K46" s="1"/>
  <c r="M46" s="1"/>
  <c r="N46" s="1"/>
  <c r="M46" i="8"/>
  <c r="N46" s="1"/>
  <c r="K45" i="10"/>
  <c r="G47" i="8"/>
  <c r="K47"/>
  <c r="K45" i="7"/>
  <c r="G47" i="6"/>
  <c r="K45" i="5"/>
  <c r="K47" i="4"/>
  <c r="M47" s="1"/>
  <c r="N47" s="1"/>
  <c r="K46" i="3"/>
  <c r="M46" s="1"/>
  <c r="N46" s="1"/>
  <c r="M45" i="1"/>
  <c r="N45" s="1"/>
  <c r="K47"/>
  <c r="M47" s="1"/>
  <c r="N47" s="1"/>
  <c r="M45" i="6" l="1"/>
  <c r="N45" s="1"/>
  <c r="K47"/>
  <c r="M47" s="1"/>
  <c r="N47" s="1"/>
  <c r="K46" i="10"/>
  <c r="M46" s="1"/>
  <c r="N46" s="1"/>
  <c r="M45"/>
  <c r="N45" s="1"/>
  <c r="M47" i="8"/>
  <c r="N47" s="1"/>
  <c r="K46" i="7"/>
  <c r="M46" s="1"/>
  <c r="N46" s="1"/>
  <c r="M45"/>
  <c r="N45" s="1"/>
  <c r="K46" i="5"/>
  <c r="M46" s="1"/>
  <c r="N46" s="1"/>
  <c r="M45"/>
  <c r="N45" s="1"/>
  <c r="K47" i="3"/>
  <c r="M47" s="1"/>
  <c r="N47" s="1"/>
  <c r="K47" i="10" l="1"/>
  <c r="M47" s="1"/>
  <c r="N47" s="1"/>
  <c r="K47" i="7"/>
  <c r="M47" s="1"/>
  <c r="N47" s="1"/>
  <c r="K47" i="5"/>
  <c r="M47" s="1"/>
  <c r="N47" s="1"/>
</calcChain>
</file>

<file path=xl/sharedStrings.xml><?xml version="1.0" encoding="utf-8"?>
<sst xmlns="http://schemas.openxmlformats.org/spreadsheetml/2006/main" count="400" uniqueCount="51">
  <si>
    <t>Rate Class</t>
  </si>
  <si>
    <t>RESIDENTIAL</t>
  </si>
  <si>
    <t>Loss Factor</t>
  </si>
  <si>
    <t>Consumption</t>
  </si>
  <si>
    <t xml:space="preserve"> kWh</t>
  </si>
  <si>
    <t>If Billed on a kW basis:</t>
  </si>
  <si>
    <t>Demand</t>
  </si>
  <si>
    <t>kW</t>
  </si>
  <si>
    <t>Load Factor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</si>
  <si>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</si>
  <si>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</si>
  <si>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</si>
  <si>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</si>
  <si>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</si>
  <si>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</si>
  <si>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</si>
  <si>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</si>
  <si>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</si>
  <si>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</si>
  <si>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</si>
  <si>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</si>
  <si>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</si>
  <si>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</si>
  <si>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</si>
  <si>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</si>
  <si>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</si>
  <si>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</si>
  <si>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</si>
  <si>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</si>
  <si>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</si>
  <si>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</si>
  <si>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</si>
  <si>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</si>
  <si>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</si>
  <si>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</si>
  <si>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</si>
  <si>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</si>
  <si>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</si>
  <si>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</si>
  <si>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</si>
  <si>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</si>
  <si>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</si>
  <si>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</si>
  <si>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Note:  For distributors who have a majority of customers on Tiered pricing, please provide a separate bill impact for such customers.</t>
  </si>
  <si>
    <t>GENERAL SERVICE LESS THAN 50 KW</t>
  </si>
  <si>
    <t>GENERAL SERVICE 50 TO 999 KW</t>
  </si>
  <si>
    <t>GENERAL SERVICE INTERMEDIATE 1,000 TO 4,999 KW</t>
  </si>
  <si>
    <t>LARGE USE</t>
  </si>
  <si>
    <t>UNMETERED SCATTERED LOAD</t>
  </si>
  <si>
    <t>SENTINEL LIGHTING</t>
  </si>
  <si>
    <t>STREET LIGHTING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</si>
</sst>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_-;\-* #,##0.0000_-;_-* &quot;-&quot;??_-;_-@_-"/>
    <numFmt numFmtId="165" formatCode="_-* #,##0_-;\-* #,##0_-;_-* &quot;-&quot;??_-;_-@_-"/>
    <numFmt numFmtId="166" formatCode="_-&quot;$&quot;* #,##0.0000_-;\-&quot;$&quot;* #,##0.0000_-;_-&quot;$&quot;* &quot;-&quot;??_-;_-@_-"/>
    <numFmt numFmtId="167" formatCode="_-* #,##0.0_-;\-* #,##0.0_-;_-* &quot;-&quot;??_-;_-@_-"/>
    <numFmt numFmtId="169" formatCode="_-&quot;$&quot;* #,##0.000_-;\-&quot;$&quot;* #,##0.000_-;_-&quot;$&quot;* &quot;-&quot;??_-;_-@_-"/>
    <numFmt numFmtId="170" formatCode="_-&quot;$&quot;* #,##0.00000_-;\-&quot;$&quot;* #,##0.00000_-;_-&quot;$&quot;* &quot;-&quot;??_-;_-@_-"/>
    <numFmt numFmtId="172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4" applyFill="1" applyBorder="1" applyProtection="1">
      <protection locked="0"/>
    </xf>
    <xf numFmtId="0" fontId="2" fillId="0" borderId="0" xfId="4" applyFill="1" applyBorder="1" applyProtection="1">
      <protection locked="0"/>
    </xf>
    <xf numFmtId="0" fontId="3" fillId="0" borderId="0" xfId="4" applyFont="1" applyFill="1" applyProtection="1">
      <protection locked="0"/>
    </xf>
    <xf numFmtId="0" fontId="4" fillId="0" borderId="0" xfId="4" applyFont="1" applyFill="1" applyAlignment="1" applyProtection="1">
      <alignment horizontal="right" vertical="top"/>
      <protection locked="0"/>
    </xf>
    <xf numFmtId="0" fontId="2" fillId="0" borderId="0" xfId="4" applyProtection="1"/>
    <xf numFmtId="0" fontId="2" fillId="2" borderId="0" xfId="4" applyFill="1" applyBorder="1" applyProtection="1"/>
    <xf numFmtId="0" fontId="5" fillId="2" borderId="0" xfId="4" applyFont="1" applyFill="1" applyBorder="1" applyAlignment="1" applyProtection="1">
      <protection locked="0"/>
    </xf>
    <xf numFmtId="0" fontId="4" fillId="0" borderId="1" xfId="4" applyFont="1" applyFill="1" applyBorder="1" applyAlignment="1" applyProtection="1">
      <alignment horizontal="right" vertical="top"/>
      <protection locked="0"/>
    </xf>
    <xf numFmtId="0" fontId="2" fillId="2" borderId="0" xfId="4" applyFill="1" applyBorder="1" applyAlignment="1" applyProtection="1">
      <alignment horizontal="left" indent="1"/>
      <protection locked="0"/>
    </xf>
    <xf numFmtId="0" fontId="6" fillId="2" borderId="0" xfId="4" applyFont="1" applyFill="1" applyBorder="1" applyAlignment="1" applyProtection="1">
      <protection locked="0"/>
    </xf>
    <xf numFmtId="0" fontId="2" fillId="0" borderId="0" xfId="4" applyProtection="1">
      <protection locked="0"/>
    </xf>
    <xf numFmtId="0" fontId="3" fillId="0" borderId="0" xfId="4" applyFont="1" applyAlignment="1" applyProtection="1">
      <alignment horizontal="right"/>
      <protection locked="0"/>
    </xf>
    <xf numFmtId="0" fontId="6" fillId="4" borderId="0" xfId="4" applyFont="1" applyFill="1" applyAlignment="1" applyProtection="1">
      <alignment vertical="center"/>
      <protection locked="0"/>
    </xf>
    <xf numFmtId="0" fontId="6" fillId="0" borderId="0" xfId="4" applyFont="1" applyAlignment="1" applyProtection="1">
      <alignment horizontal="center"/>
      <protection locked="0"/>
    </xf>
    <xf numFmtId="164" fontId="3" fillId="4" borderId="0" xfId="1" applyNumberFormat="1" applyFont="1" applyFill="1" applyBorder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3" fillId="0" borderId="0" xfId="4" applyFont="1" applyProtection="1">
      <protection locked="0"/>
    </xf>
    <xf numFmtId="165" fontId="3" fillId="5" borderId="0" xfId="1" applyNumberFormat="1" applyFont="1" applyFill="1" applyBorder="1" applyProtection="1">
      <protection locked="0"/>
    </xf>
    <xf numFmtId="0" fontId="3" fillId="0" borderId="0" xfId="4" applyFont="1" applyProtection="1"/>
    <xf numFmtId="0" fontId="7" fillId="0" borderId="0" xfId="4" applyFont="1" applyFill="1" applyAlignment="1" applyProtection="1">
      <alignment horizontal="right"/>
      <protection locked="0"/>
    </xf>
    <xf numFmtId="0" fontId="3" fillId="0" borderId="2" xfId="4" applyFont="1" applyBorder="1" applyAlignment="1" applyProtection="1">
      <alignment horizontal="right"/>
      <protection locked="0"/>
    </xf>
    <xf numFmtId="0" fontId="2" fillId="0" borderId="2" xfId="4" applyBorder="1" applyProtection="1">
      <protection locked="0"/>
    </xf>
    <xf numFmtId="0" fontId="3" fillId="0" borderId="2" xfId="4" applyFont="1" applyBorder="1" applyAlignment="1" applyProtection="1">
      <alignment horizontal="center" vertical="center"/>
      <protection locked="0"/>
    </xf>
    <xf numFmtId="0" fontId="3" fillId="0" borderId="2" xfId="4" applyFont="1" applyBorder="1" applyProtection="1">
      <protection locked="0"/>
    </xf>
    <xf numFmtId="0" fontId="3" fillId="0" borderId="2" xfId="4" applyFont="1" applyFill="1" applyBorder="1" applyProtection="1"/>
    <xf numFmtId="9" fontId="3" fillId="0" borderId="2" xfId="3" applyFont="1" applyFill="1" applyBorder="1" applyProtection="1"/>
    <xf numFmtId="0" fontId="3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center" vertical="center"/>
    </xf>
    <xf numFmtId="0" fontId="2" fillId="0" borderId="0" xfId="4" applyFont="1" applyProtection="1"/>
    <xf numFmtId="0" fontId="3" fillId="0" borderId="0" xfId="4" applyFont="1" applyAlignment="1" applyProtection="1"/>
    <xf numFmtId="0" fontId="3" fillId="0" borderId="0" xfId="4" applyFont="1" applyAlignment="1" applyProtection="1">
      <alignment horizontal="center"/>
    </xf>
    <xf numFmtId="0" fontId="3" fillId="0" borderId="6" xfId="4" applyFont="1" applyBorder="1" applyAlignment="1" applyProtection="1">
      <alignment horizontal="center"/>
    </xf>
    <xf numFmtId="0" fontId="3" fillId="0" borderId="7" xfId="4" applyFont="1" applyBorder="1" applyAlignment="1" applyProtection="1">
      <alignment horizontal="center"/>
    </xf>
    <xf numFmtId="0" fontId="3" fillId="0" borderId="8" xfId="4" applyFont="1" applyBorder="1" applyAlignment="1" applyProtection="1">
      <alignment horizontal="center"/>
    </xf>
    <xf numFmtId="0" fontId="3" fillId="0" borderId="10" xfId="4" quotePrefix="1" applyFont="1" applyBorder="1" applyAlignment="1" applyProtection="1">
      <alignment horizontal="center"/>
    </xf>
    <xf numFmtId="0" fontId="3" fillId="0" borderId="11" xfId="4" quotePrefix="1" applyFont="1" applyBorder="1" applyAlignment="1" applyProtection="1">
      <alignment horizontal="center"/>
    </xf>
    <xf numFmtId="0" fontId="2" fillId="0" borderId="0" xfId="4" applyBorder="1" applyAlignment="1" applyProtection="1">
      <alignment vertical="top"/>
    </xf>
    <xf numFmtId="0" fontId="2" fillId="4" borderId="0" xfId="4" applyFill="1" applyBorder="1" applyAlignment="1" applyProtection="1">
      <alignment vertical="top"/>
    </xf>
    <xf numFmtId="0" fontId="2" fillId="0" borderId="0" xfId="4" applyFill="1" applyBorder="1" applyAlignment="1" applyProtection="1">
      <alignment vertical="top"/>
      <protection locked="0"/>
    </xf>
    <xf numFmtId="44" fontId="9" fillId="4" borderId="9" xfId="2" applyFont="1" applyFill="1" applyBorder="1" applyAlignment="1" applyProtection="1">
      <alignment horizontal="right" vertical="center"/>
      <protection locked="0"/>
    </xf>
    <xf numFmtId="0" fontId="10" fillId="0" borderId="9" xfId="4" applyFont="1" applyFill="1" applyBorder="1" applyAlignment="1" applyProtection="1">
      <alignment horizontal="right" vertical="center"/>
    </xf>
    <xf numFmtId="44" fontId="9" fillId="0" borderId="7" xfId="5" applyFont="1" applyBorder="1" applyAlignment="1" applyProtection="1">
      <alignment horizontal="right" vertical="center"/>
    </xf>
    <xf numFmtId="0" fontId="10" fillId="0" borderId="0" xfId="4" applyFont="1" applyBorder="1" applyAlignment="1" applyProtection="1">
      <alignment horizontal="right" vertical="center"/>
      <protection locked="0"/>
    </xf>
    <xf numFmtId="0" fontId="10" fillId="0" borderId="7" xfId="4" applyFont="1" applyFill="1" applyBorder="1" applyAlignment="1" applyProtection="1">
      <alignment horizontal="right" vertical="center"/>
      <protection locked="0"/>
    </xf>
    <xf numFmtId="44" fontId="9" fillId="0" borderId="7" xfId="5" applyNumberFormat="1" applyFont="1" applyBorder="1" applyAlignment="1" applyProtection="1">
      <alignment horizontal="right" vertical="center"/>
    </xf>
    <xf numFmtId="44" fontId="10" fillId="0" borderId="9" xfId="4" applyNumberFormat="1" applyFont="1" applyBorder="1" applyAlignment="1" applyProtection="1">
      <alignment horizontal="right" vertical="center"/>
    </xf>
    <xf numFmtId="10" fontId="9" fillId="0" borderId="7" xfId="6" applyNumberFormat="1" applyFont="1" applyBorder="1" applyAlignment="1" applyProtection="1">
      <alignment horizontal="right" vertical="center"/>
    </xf>
    <xf numFmtId="166" fontId="9" fillId="4" borderId="9" xfId="5" applyNumberFormat="1" applyFont="1" applyFill="1" applyBorder="1" applyAlignment="1" applyProtection="1">
      <alignment horizontal="right" vertical="center"/>
      <protection locked="0"/>
    </xf>
    <xf numFmtId="165" fontId="10" fillId="0" borderId="9" xfId="4" applyNumberFormat="1" applyFont="1" applyFill="1" applyBorder="1" applyAlignment="1" applyProtection="1">
      <alignment horizontal="right" vertical="center"/>
      <protection locked="0"/>
    </xf>
    <xf numFmtId="165" fontId="10" fillId="0" borderId="7" xfId="4" applyNumberFormat="1" applyFont="1" applyFill="1" applyBorder="1" applyAlignment="1" applyProtection="1">
      <alignment horizontal="right" vertical="center"/>
      <protection locked="0"/>
    </xf>
    <xf numFmtId="0" fontId="2" fillId="0" borderId="0" xfId="4" applyFill="1" applyBorder="1" applyAlignment="1" applyProtection="1">
      <alignment vertical="top"/>
    </xf>
    <xf numFmtId="44" fontId="9" fillId="4" borderId="9" xfId="5" applyNumberFormat="1" applyFont="1" applyFill="1" applyBorder="1" applyAlignment="1" applyProtection="1">
      <alignment horizontal="right" vertical="center"/>
      <protection locked="0"/>
    </xf>
    <xf numFmtId="0" fontId="2" fillId="0" borderId="2" xfId="4" applyBorder="1" applyAlignment="1" applyProtection="1">
      <alignment vertical="top"/>
    </xf>
    <xf numFmtId="0" fontId="2" fillId="0" borderId="2" xfId="4" applyFill="1" applyBorder="1" applyAlignment="1" applyProtection="1">
      <alignment vertical="top"/>
    </xf>
    <xf numFmtId="0" fontId="2" fillId="4" borderId="2" xfId="4" applyFill="1" applyBorder="1" applyAlignment="1" applyProtection="1">
      <alignment vertical="top"/>
    </xf>
    <xf numFmtId="0" fontId="2" fillId="0" borderId="2" xfId="4" applyFill="1" applyBorder="1" applyAlignment="1" applyProtection="1">
      <alignment vertical="top"/>
      <protection locked="0"/>
    </xf>
    <xf numFmtId="166" fontId="9" fillId="4" borderId="10" xfId="5" applyNumberFormat="1" applyFont="1" applyFill="1" applyBorder="1" applyAlignment="1" applyProtection="1">
      <alignment horizontal="right" vertical="center"/>
      <protection locked="0"/>
    </xf>
    <xf numFmtId="165" fontId="10" fillId="0" borderId="10" xfId="4" applyNumberFormat="1" applyFont="1" applyFill="1" applyBorder="1" applyAlignment="1" applyProtection="1">
      <alignment horizontal="right" vertical="center"/>
      <protection locked="0"/>
    </xf>
    <xf numFmtId="44" fontId="9" fillId="0" borderId="11" xfId="5" applyFont="1" applyBorder="1" applyAlignment="1" applyProtection="1">
      <alignment horizontal="right" vertical="center"/>
    </xf>
    <xf numFmtId="0" fontId="10" fillId="0" borderId="2" xfId="4" applyFont="1" applyBorder="1" applyAlignment="1" applyProtection="1">
      <alignment horizontal="right" vertical="center"/>
      <protection locked="0"/>
    </xf>
    <xf numFmtId="165" fontId="10" fillId="0" borderId="11" xfId="4" applyNumberFormat="1" applyFont="1" applyFill="1" applyBorder="1" applyAlignment="1" applyProtection="1">
      <alignment horizontal="right" vertical="center"/>
      <protection locked="0"/>
    </xf>
    <xf numFmtId="44" fontId="10" fillId="0" borderId="10" xfId="4" applyNumberFormat="1" applyFont="1" applyBorder="1" applyAlignment="1" applyProtection="1">
      <alignment horizontal="right" vertical="center"/>
    </xf>
    <xf numFmtId="10" fontId="9" fillId="0" borderId="11" xfId="6" applyNumberFormat="1" applyFont="1" applyBorder="1" applyAlignment="1" applyProtection="1">
      <alignment horizontal="right" vertical="center"/>
    </xf>
    <xf numFmtId="0" fontId="3" fillId="6" borderId="12" xfId="4" applyFont="1" applyFill="1" applyBorder="1" applyAlignment="1" applyProtection="1">
      <alignment vertical="top"/>
    </xf>
    <xf numFmtId="0" fontId="2" fillId="6" borderId="2" xfId="4" applyFill="1" applyBorder="1" applyAlignment="1" applyProtection="1">
      <alignment vertical="top"/>
    </xf>
    <xf numFmtId="0" fontId="2" fillId="6" borderId="2" xfId="4" applyFill="1" applyBorder="1" applyAlignment="1" applyProtection="1">
      <alignment vertical="top"/>
      <protection locked="0"/>
    </xf>
    <xf numFmtId="166" fontId="9" fillId="6" borderId="10" xfId="5" applyNumberFormat="1" applyFont="1" applyFill="1" applyBorder="1" applyAlignment="1" applyProtection="1">
      <alignment horizontal="right" vertical="center"/>
      <protection locked="0"/>
    </xf>
    <xf numFmtId="0" fontId="10" fillId="6" borderId="10" xfId="4" applyFont="1" applyFill="1" applyBorder="1" applyAlignment="1" applyProtection="1">
      <alignment horizontal="right" vertical="center"/>
      <protection locked="0"/>
    </xf>
    <xf numFmtId="44" fontId="9" fillId="6" borderId="11" xfId="5" applyFont="1" applyFill="1" applyBorder="1" applyAlignment="1" applyProtection="1">
      <alignment horizontal="right" vertical="center"/>
    </xf>
    <xf numFmtId="0" fontId="10" fillId="4" borderId="0" xfId="4" applyFont="1" applyFill="1" applyAlignment="1" applyProtection="1">
      <alignment horizontal="right" vertical="center"/>
      <protection locked="0"/>
    </xf>
    <xf numFmtId="0" fontId="10" fillId="6" borderId="11" xfId="4" applyFont="1" applyFill="1" applyBorder="1" applyAlignment="1" applyProtection="1">
      <alignment horizontal="right" vertical="center"/>
      <protection locked="0"/>
    </xf>
    <xf numFmtId="0" fontId="10" fillId="6" borderId="0" xfId="4" applyFont="1" applyFill="1" applyAlignment="1" applyProtection="1">
      <alignment horizontal="right" vertical="center"/>
      <protection locked="0"/>
    </xf>
    <xf numFmtId="44" fontId="11" fillId="6" borderId="10" xfId="4" applyNumberFormat="1" applyFont="1" applyFill="1" applyBorder="1" applyAlignment="1" applyProtection="1">
      <alignment horizontal="right" vertical="center"/>
    </xf>
    <xf numFmtId="10" fontId="11" fillId="6" borderId="11" xfId="6" applyNumberFormat="1" applyFont="1" applyFill="1" applyBorder="1" applyAlignment="1" applyProtection="1">
      <alignment horizontal="right" vertical="center"/>
    </xf>
    <xf numFmtId="0" fontId="2" fillId="0" borderId="0" xfId="4" applyFill="1" applyProtection="1"/>
    <xf numFmtId="0" fontId="2" fillId="0" borderId="0" xfId="4" applyFont="1" applyFill="1" applyAlignment="1" applyProtection="1">
      <alignment vertical="top" wrapText="1"/>
    </xf>
    <xf numFmtId="0" fontId="2" fillId="0" borderId="0" xfId="4" applyAlignment="1" applyProtection="1">
      <alignment vertical="top"/>
    </xf>
    <xf numFmtId="0" fontId="2" fillId="4" borderId="0" xfId="4" applyFill="1" applyAlignment="1" applyProtection="1">
      <alignment vertical="top"/>
    </xf>
    <xf numFmtId="0" fontId="2" fillId="0" borderId="0" xfId="4" applyFill="1" applyAlignment="1" applyProtection="1">
      <alignment vertical="top"/>
      <protection locked="0"/>
    </xf>
    <xf numFmtId="165" fontId="10" fillId="0" borderId="9" xfId="1" applyNumberFormat="1" applyFont="1" applyFill="1" applyBorder="1" applyAlignment="1" applyProtection="1">
      <alignment horizontal="right" vertical="center"/>
      <protection locked="0"/>
    </xf>
    <xf numFmtId="0" fontId="10" fillId="0" borderId="0" xfId="4" applyFont="1" applyAlignment="1" applyProtection="1">
      <alignment horizontal="right" vertical="center"/>
      <protection locked="0"/>
    </xf>
    <xf numFmtId="0" fontId="2" fillId="0" borderId="0" xfId="4" applyFont="1" applyAlignment="1" applyProtection="1">
      <alignment vertical="top"/>
    </xf>
    <xf numFmtId="0" fontId="3" fillId="6" borderId="3" xfId="4" applyFont="1" applyFill="1" applyBorder="1" applyAlignment="1" applyProtection="1">
      <alignment vertical="top" wrapText="1"/>
    </xf>
    <xf numFmtId="0" fontId="2" fillId="6" borderId="4" xfId="4" applyFill="1" applyBorder="1" applyProtection="1"/>
    <xf numFmtId="0" fontId="2" fillId="6" borderId="4" xfId="4" applyFill="1" applyBorder="1" applyProtection="1">
      <protection locked="0"/>
    </xf>
    <xf numFmtId="0" fontId="10" fillId="6" borderId="13" xfId="4" applyFont="1" applyFill="1" applyBorder="1" applyAlignment="1" applyProtection="1">
      <alignment horizontal="right" vertical="center"/>
      <protection locked="0"/>
    </xf>
    <xf numFmtId="44" fontId="11" fillId="6" borderId="5" xfId="4" applyNumberFormat="1" applyFont="1" applyFill="1" applyBorder="1" applyAlignment="1" applyProtection="1">
      <alignment horizontal="right" vertical="center"/>
    </xf>
    <xf numFmtId="0" fontId="10" fillId="6" borderId="5" xfId="4" applyFont="1" applyFill="1" applyBorder="1" applyAlignment="1" applyProtection="1">
      <alignment horizontal="right" vertical="center"/>
      <protection locked="0"/>
    </xf>
    <xf numFmtId="44" fontId="11" fillId="6" borderId="13" xfId="4" applyNumberFormat="1" applyFont="1" applyFill="1" applyBorder="1" applyAlignment="1" applyProtection="1">
      <alignment horizontal="right" vertical="center"/>
    </xf>
    <xf numFmtId="10" fontId="11" fillId="6" borderId="5" xfId="6" applyNumberFormat="1" applyFont="1" applyFill="1" applyBorder="1" applyAlignment="1" applyProtection="1">
      <alignment horizontal="right" vertical="center"/>
    </xf>
    <xf numFmtId="0" fontId="2" fillId="0" borderId="0" xfId="4" applyAlignment="1" applyProtection="1">
      <alignment vertical="center"/>
    </xf>
    <xf numFmtId="0" fontId="2" fillId="4" borderId="0" xfId="4" applyFill="1" applyAlignment="1" applyProtection="1">
      <alignment vertical="center"/>
    </xf>
    <xf numFmtId="0" fontId="2" fillId="0" borderId="0" xfId="4" applyFill="1" applyAlignment="1" applyProtection="1">
      <alignment vertical="center"/>
      <protection locked="0"/>
    </xf>
    <xf numFmtId="165" fontId="10" fillId="4" borderId="9" xfId="1" applyNumberFormat="1" applyFont="1" applyFill="1" applyBorder="1" applyAlignment="1" applyProtection="1">
      <alignment horizontal="right" vertical="center"/>
      <protection locked="0"/>
    </xf>
    <xf numFmtId="165" fontId="10" fillId="4" borderId="7" xfId="1" applyNumberFormat="1" applyFont="1" applyFill="1" applyBorder="1" applyAlignment="1" applyProtection="1">
      <alignment horizontal="right" vertical="center"/>
      <protection locked="0"/>
    </xf>
    <xf numFmtId="0" fontId="2" fillId="6" borderId="4" xfId="4" applyFill="1" applyBorder="1" applyAlignment="1" applyProtection="1">
      <alignment vertical="top"/>
    </xf>
    <xf numFmtId="0" fontId="2" fillId="6" borderId="4" xfId="4" applyFill="1" applyBorder="1" applyAlignment="1" applyProtection="1">
      <alignment vertical="top"/>
      <protection locked="0"/>
    </xf>
    <xf numFmtId="0" fontId="11" fillId="4" borderId="0" xfId="4" applyFont="1" applyFill="1" applyAlignment="1" applyProtection="1">
      <alignment horizontal="right" vertical="center"/>
      <protection locked="0"/>
    </xf>
    <xf numFmtId="0" fontId="11" fillId="6" borderId="13" xfId="4" applyFont="1" applyFill="1" applyBorder="1" applyAlignment="1" applyProtection="1">
      <alignment horizontal="right" vertical="center"/>
      <protection locked="0"/>
    </xf>
    <xf numFmtId="0" fontId="11" fillId="6" borderId="5" xfId="4" applyFont="1" applyFill="1" applyBorder="1" applyAlignment="1" applyProtection="1">
      <alignment horizontal="right" vertical="center"/>
      <protection locked="0"/>
    </xf>
    <xf numFmtId="0" fontId="11" fillId="6" borderId="0" xfId="4" applyFont="1" applyFill="1" applyAlignment="1" applyProtection="1">
      <alignment horizontal="right" vertical="center"/>
      <protection locked="0"/>
    </xf>
    <xf numFmtId="0" fontId="2" fillId="0" borderId="0" xfId="4" applyAlignment="1" applyProtection="1">
      <alignment vertical="top" wrapText="1"/>
    </xf>
    <xf numFmtId="166" fontId="10" fillId="4" borderId="9" xfId="5" applyNumberFormat="1" applyFont="1" applyFill="1" applyBorder="1" applyAlignment="1" applyProtection="1">
      <alignment horizontal="right" vertical="center"/>
      <protection locked="0"/>
    </xf>
    <xf numFmtId="44" fontId="10" fillId="0" borderId="7" xfId="5" applyFont="1" applyBorder="1" applyAlignment="1" applyProtection="1">
      <alignment horizontal="right" vertical="center"/>
    </xf>
    <xf numFmtId="10" fontId="10" fillId="0" borderId="7" xfId="6" applyNumberFormat="1" applyFont="1" applyBorder="1" applyAlignment="1" applyProtection="1">
      <alignment horizontal="right" vertical="center"/>
    </xf>
    <xf numFmtId="166" fontId="10" fillId="0" borderId="9" xfId="5" applyNumberFormat="1" applyFont="1" applyFill="1" applyBorder="1" applyAlignment="1" applyProtection="1">
      <alignment horizontal="right" vertical="center"/>
      <protection locked="0"/>
    </xf>
    <xf numFmtId="0" fontId="2" fillId="7" borderId="14" xfId="4" applyFont="1" applyFill="1" applyBorder="1" applyProtection="1"/>
    <xf numFmtId="0" fontId="2" fillId="7" borderId="15" xfId="4" applyFill="1" applyBorder="1" applyAlignment="1" applyProtection="1">
      <alignment vertical="top"/>
    </xf>
    <xf numFmtId="0" fontId="2" fillId="7" borderId="15" xfId="4" applyFill="1" applyBorder="1" applyAlignment="1" applyProtection="1">
      <alignment vertical="top"/>
      <protection locked="0"/>
    </xf>
    <xf numFmtId="166" fontId="10" fillId="7" borderId="16" xfId="5" applyNumberFormat="1" applyFont="1" applyFill="1" applyBorder="1" applyAlignment="1" applyProtection="1">
      <alignment horizontal="right" vertical="center"/>
      <protection locked="0"/>
    </xf>
    <xf numFmtId="0" fontId="10" fillId="7" borderId="17" xfId="4" applyFont="1" applyFill="1" applyBorder="1" applyAlignment="1" applyProtection="1">
      <alignment horizontal="right" vertical="center"/>
      <protection locked="0"/>
    </xf>
    <xf numFmtId="44" fontId="10" fillId="7" borderId="15" xfId="5" applyFont="1" applyFill="1" applyBorder="1" applyAlignment="1" applyProtection="1">
      <alignment horizontal="right" vertical="center"/>
    </xf>
    <xf numFmtId="0" fontId="10" fillId="7" borderId="15" xfId="4" applyFont="1" applyFill="1" applyBorder="1" applyAlignment="1" applyProtection="1">
      <alignment horizontal="right" vertical="center"/>
      <protection locked="0"/>
    </xf>
    <xf numFmtId="0" fontId="10" fillId="7" borderId="16" xfId="4" applyFont="1" applyFill="1" applyBorder="1" applyAlignment="1" applyProtection="1">
      <alignment horizontal="right" vertical="center"/>
      <protection locked="0"/>
    </xf>
    <xf numFmtId="44" fontId="10" fillId="7" borderId="16" xfId="4" applyNumberFormat="1" applyFont="1" applyFill="1" applyBorder="1" applyAlignment="1" applyProtection="1">
      <alignment horizontal="right" vertical="center"/>
    </xf>
    <xf numFmtId="10" fontId="10" fillId="7" borderId="18" xfId="6" applyNumberFormat="1" applyFont="1" applyFill="1" applyBorder="1" applyAlignment="1" applyProtection="1">
      <alignment horizontal="right" vertical="center"/>
    </xf>
    <xf numFmtId="0" fontId="3" fillId="0" borderId="0" xfId="4" applyFont="1" applyFill="1" applyAlignment="1" applyProtection="1">
      <alignment vertical="top"/>
    </xf>
    <xf numFmtId="0" fontId="2" fillId="0" borderId="0" xfId="4" applyAlignment="1" applyProtection="1">
      <alignment vertical="top"/>
      <protection locked="0"/>
    </xf>
    <xf numFmtId="9" fontId="10" fillId="0" borderId="9" xfId="4" applyNumberFormat="1" applyFont="1" applyFill="1" applyBorder="1" applyAlignment="1" applyProtection="1">
      <alignment horizontal="right" vertical="center"/>
    </xf>
    <xf numFmtId="9" fontId="10" fillId="0" borderId="0" xfId="4" applyNumberFormat="1" applyFont="1" applyFill="1" applyBorder="1" applyAlignment="1" applyProtection="1">
      <alignment horizontal="right" vertical="center"/>
    </xf>
    <xf numFmtId="44" fontId="11" fillId="0" borderId="19" xfId="4" applyNumberFormat="1" applyFont="1" applyFill="1" applyBorder="1" applyAlignment="1" applyProtection="1">
      <alignment horizontal="right" vertical="center"/>
    </xf>
    <xf numFmtId="0" fontId="11" fillId="0" borderId="9" xfId="4" applyFont="1" applyFill="1" applyBorder="1" applyAlignment="1" applyProtection="1">
      <alignment horizontal="right" vertical="center"/>
    </xf>
    <xf numFmtId="9" fontId="11" fillId="0" borderId="9" xfId="4" applyNumberFormat="1" applyFont="1" applyFill="1" applyBorder="1" applyAlignment="1" applyProtection="1">
      <alignment horizontal="right" vertical="center"/>
    </xf>
    <xf numFmtId="44" fontId="11" fillId="0" borderId="20" xfId="4" applyNumberFormat="1" applyFont="1" applyFill="1" applyBorder="1" applyAlignment="1" applyProtection="1">
      <alignment horizontal="right" vertical="center"/>
    </xf>
    <xf numFmtId="0" fontId="11" fillId="0" borderId="0" xfId="4" applyFont="1" applyFill="1" applyBorder="1" applyAlignment="1" applyProtection="1">
      <alignment horizontal="right" vertical="center"/>
      <protection locked="0"/>
    </xf>
    <xf numFmtId="44" fontId="11" fillId="0" borderId="9" xfId="4" applyNumberFormat="1" applyFont="1" applyFill="1" applyBorder="1" applyAlignment="1" applyProtection="1">
      <alignment horizontal="right" vertical="center"/>
    </xf>
    <xf numFmtId="10" fontId="11" fillId="0" borderId="7" xfId="6" applyNumberFormat="1" applyFont="1" applyFill="1" applyBorder="1" applyAlignment="1" applyProtection="1">
      <alignment horizontal="right" vertical="center"/>
    </xf>
    <xf numFmtId="0" fontId="2" fillId="0" borderId="0" xfId="4" applyFont="1" applyFill="1" applyAlignment="1" applyProtection="1">
      <alignment horizontal="left" vertical="top" indent="1"/>
    </xf>
    <xf numFmtId="0" fontId="10" fillId="0" borderId="0" xfId="4" applyFont="1" applyFill="1" applyBorder="1" applyAlignment="1" applyProtection="1">
      <alignment horizontal="right" vertical="center"/>
    </xf>
    <xf numFmtId="44" fontId="10" fillId="0" borderId="19" xfId="4" applyNumberFormat="1" applyFont="1" applyFill="1" applyBorder="1" applyAlignment="1" applyProtection="1">
      <alignment horizontal="right" vertical="center"/>
    </xf>
    <xf numFmtId="44" fontId="10" fillId="0" borderId="7" xfId="4" applyNumberFormat="1" applyFont="1" applyFill="1" applyBorder="1" applyAlignment="1" applyProtection="1">
      <alignment horizontal="right" vertical="center"/>
    </xf>
    <xf numFmtId="0" fontId="10" fillId="0" borderId="0" xfId="4" applyFont="1" applyFill="1" applyBorder="1" applyAlignment="1" applyProtection="1">
      <alignment horizontal="right" vertical="center"/>
      <protection locked="0"/>
    </xf>
    <xf numFmtId="44" fontId="10" fillId="0" borderId="9" xfId="4" applyNumberFormat="1" applyFont="1" applyFill="1" applyBorder="1" applyAlignment="1" applyProtection="1">
      <alignment horizontal="right" vertical="center"/>
    </xf>
    <xf numFmtId="10" fontId="10" fillId="0" borderId="7" xfId="6" applyNumberFormat="1" applyFont="1" applyFill="1" applyBorder="1" applyAlignment="1" applyProtection="1">
      <alignment horizontal="right" vertical="center"/>
    </xf>
    <xf numFmtId="0" fontId="3" fillId="0" borderId="0" xfId="4" applyFont="1" applyAlignment="1" applyProtection="1">
      <alignment horizontal="left" vertical="top" wrapText="1" indent="1"/>
    </xf>
    <xf numFmtId="44" fontId="14" fillId="0" borderId="19" xfId="4" applyNumberFormat="1" applyFont="1" applyFill="1" applyBorder="1" applyAlignment="1" applyProtection="1">
      <alignment horizontal="right" vertical="center"/>
    </xf>
    <xf numFmtId="44" fontId="14" fillId="0" borderId="7" xfId="4" applyNumberFormat="1" applyFont="1" applyFill="1" applyBorder="1" applyAlignment="1" applyProtection="1">
      <alignment horizontal="right" vertical="center"/>
    </xf>
    <xf numFmtId="44" fontId="14" fillId="0" borderId="9" xfId="4" applyNumberFormat="1" applyFont="1" applyFill="1" applyBorder="1" applyAlignment="1" applyProtection="1">
      <alignment horizontal="right" vertical="center"/>
    </xf>
    <xf numFmtId="10" fontId="14" fillId="0" borderId="7" xfId="6" applyNumberFormat="1" applyFont="1" applyFill="1" applyBorder="1" applyAlignment="1" applyProtection="1">
      <alignment horizontal="right" vertical="center"/>
    </xf>
    <xf numFmtId="0" fontId="2" fillId="6" borderId="0" xfId="4" applyFill="1" applyAlignment="1" applyProtection="1">
      <alignment vertical="top"/>
      <protection locked="0"/>
    </xf>
    <xf numFmtId="0" fontId="10" fillId="6" borderId="10" xfId="4" applyFont="1" applyFill="1" applyBorder="1" applyAlignment="1" applyProtection="1">
      <alignment horizontal="right" vertical="center"/>
    </xf>
    <xf numFmtId="0" fontId="10" fillId="6" borderId="2" xfId="4" applyFont="1" applyFill="1" applyBorder="1" applyAlignment="1" applyProtection="1">
      <alignment horizontal="right" vertical="center"/>
    </xf>
    <xf numFmtId="44" fontId="11" fillId="6" borderId="12" xfId="4" applyNumberFormat="1" applyFont="1" applyFill="1" applyBorder="1" applyAlignment="1" applyProtection="1">
      <alignment horizontal="right" vertical="center"/>
    </xf>
    <xf numFmtId="0" fontId="11" fillId="6" borderId="10" xfId="4" applyFont="1" applyFill="1" applyBorder="1" applyAlignment="1" applyProtection="1">
      <alignment horizontal="right" vertical="center"/>
    </xf>
    <xf numFmtId="44" fontId="11" fillId="6" borderId="11" xfId="4" applyNumberFormat="1" applyFont="1" applyFill="1" applyBorder="1" applyAlignment="1" applyProtection="1">
      <alignment horizontal="right" vertical="center"/>
    </xf>
    <xf numFmtId="0" fontId="11" fillId="6" borderId="2" xfId="4" applyFont="1" applyFill="1" applyBorder="1" applyAlignment="1" applyProtection="1">
      <alignment horizontal="right" vertical="center"/>
      <protection locked="0"/>
    </xf>
    <xf numFmtId="166" fontId="2" fillId="7" borderId="17" xfId="5" applyNumberFormat="1" applyFill="1" applyBorder="1" applyAlignment="1" applyProtection="1">
      <alignment vertical="top"/>
      <protection locked="0"/>
    </xf>
    <xf numFmtId="0" fontId="2" fillId="7" borderId="15" xfId="4" applyFill="1" applyBorder="1" applyAlignment="1" applyProtection="1">
      <alignment vertical="center"/>
      <protection locked="0"/>
    </xf>
    <xf numFmtId="44" fontId="2" fillId="7" borderId="21" xfId="5" applyFill="1" applyBorder="1" applyAlignment="1" applyProtection="1">
      <alignment vertical="center"/>
      <protection locked="0"/>
    </xf>
    <xf numFmtId="0" fontId="2" fillId="7" borderId="17" xfId="4" applyFill="1" applyBorder="1" applyAlignment="1" applyProtection="1">
      <alignment vertical="center"/>
      <protection locked="0"/>
    </xf>
    <xf numFmtId="44" fontId="2" fillId="7" borderId="16" xfId="5" applyFill="1" applyBorder="1" applyAlignment="1" applyProtection="1">
      <alignment vertical="center"/>
      <protection locked="0"/>
    </xf>
    <xf numFmtId="44" fontId="2" fillId="7" borderId="17" xfId="4" applyNumberFormat="1" applyFill="1" applyBorder="1" applyAlignment="1" applyProtection="1">
      <alignment vertical="center"/>
      <protection locked="0"/>
    </xf>
    <xf numFmtId="10" fontId="2" fillId="7" borderId="18" xfId="6" applyNumberFormat="1" applyFill="1" applyBorder="1" applyAlignment="1" applyProtection="1">
      <alignment vertical="center"/>
      <protection locked="0"/>
    </xf>
    <xf numFmtId="44" fontId="2" fillId="0" borderId="0" xfId="4" applyNumberFormat="1" applyProtection="1">
      <protection locked="0"/>
    </xf>
    <xf numFmtId="165" fontId="3" fillId="0" borderId="0" xfId="1" applyNumberFormat="1" applyFont="1" applyFill="1" applyBorder="1" applyProtection="1"/>
    <xf numFmtId="0" fontId="3" fillId="5" borderId="2" xfId="4" applyFont="1" applyFill="1" applyBorder="1" applyProtection="1">
      <protection locked="0"/>
    </xf>
    <xf numFmtId="9" fontId="3" fillId="5" borderId="2" xfId="3" applyFont="1" applyFill="1" applyBorder="1" applyProtection="1">
      <protection locked="0"/>
    </xf>
    <xf numFmtId="165" fontId="3" fillId="5" borderId="2" xfId="1" applyNumberFormat="1" applyFont="1" applyFill="1" applyBorder="1" applyProtection="1">
      <protection locked="0"/>
    </xf>
    <xf numFmtId="167" fontId="10" fillId="0" borderId="9" xfId="1" applyNumberFormat="1" applyFont="1" applyFill="1" applyBorder="1" applyAlignment="1" applyProtection="1">
      <alignment horizontal="right" vertical="center"/>
      <protection locked="0"/>
    </xf>
    <xf numFmtId="167" fontId="10" fillId="0" borderId="7" xfId="4" applyNumberFormat="1" applyFont="1" applyFill="1" applyBorder="1" applyAlignment="1" applyProtection="1">
      <alignment horizontal="right" vertical="center"/>
      <protection locked="0"/>
    </xf>
    <xf numFmtId="167" fontId="10" fillId="4" borderId="7" xfId="1" applyNumberFormat="1" applyFont="1" applyFill="1" applyBorder="1" applyAlignment="1" applyProtection="1">
      <alignment horizontal="right" vertical="center"/>
      <protection locked="0"/>
    </xf>
    <xf numFmtId="167" fontId="10" fillId="0" borderId="9" xfId="4" applyNumberFormat="1" applyFont="1" applyFill="1" applyBorder="1" applyAlignment="1" applyProtection="1">
      <alignment horizontal="right" vertical="center"/>
      <protection locked="0"/>
    </xf>
    <xf numFmtId="167" fontId="10" fillId="0" borderId="10" xfId="4" applyNumberFormat="1" applyFont="1" applyFill="1" applyBorder="1" applyAlignment="1" applyProtection="1">
      <alignment horizontal="right" vertical="center"/>
      <protection locked="0"/>
    </xf>
    <xf numFmtId="167" fontId="10" fillId="0" borderId="11" xfId="4" applyNumberFormat="1" applyFont="1" applyFill="1" applyBorder="1" applyAlignment="1" applyProtection="1">
      <alignment horizontal="right" vertical="center"/>
      <protection locked="0"/>
    </xf>
    <xf numFmtId="167" fontId="10" fillId="4" borderId="9" xfId="1" applyNumberFormat="1" applyFont="1" applyFill="1" applyBorder="1" applyAlignment="1" applyProtection="1">
      <alignment horizontal="right" vertical="center"/>
      <protection locked="0"/>
    </xf>
    <xf numFmtId="0" fontId="3" fillId="0" borderId="3" xfId="4" applyFont="1" applyBorder="1" applyAlignment="1" applyProtection="1">
      <alignment horizontal="center"/>
    </xf>
    <xf numFmtId="0" fontId="3" fillId="0" borderId="5" xfId="4" applyFont="1" applyBorder="1" applyAlignment="1" applyProtection="1">
      <alignment horizontal="center"/>
    </xf>
    <xf numFmtId="0" fontId="3" fillId="0" borderId="0" xfId="4" applyFont="1" applyAlignment="1" applyProtection="1">
      <alignment horizontal="center" wrapText="1"/>
    </xf>
    <xf numFmtId="0" fontId="2" fillId="0" borderId="0" xfId="4" applyAlignment="1" applyProtection="1">
      <alignment horizontal="center" wrapText="1"/>
    </xf>
    <xf numFmtId="0" fontId="3" fillId="0" borderId="9" xfId="4" applyFont="1" applyFill="1" applyBorder="1" applyAlignment="1" applyProtection="1">
      <alignment horizontal="center" wrapText="1"/>
    </xf>
    <xf numFmtId="0" fontId="2" fillId="0" borderId="10" xfId="4" applyBorder="1" applyAlignment="1" applyProtection="1">
      <alignment wrapText="1"/>
    </xf>
    <xf numFmtId="0" fontId="3" fillId="0" borderId="7" xfId="4" applyFont="1" applyFill="1" applyBorder="1" applyAlignment="1" applyProtection="1">
      <alignment horizontal="center" wrapText="1"/>
    </xf>
    <xf numFmtId="0" fontId="2" fillId="0" borderId="11" xfId="4" applyBorder="1" applyAlignment="1" applyProtection="1">
      <alignment wrapText="1"/>
    </xf>
    <xf numFmtId="0" fontId="2" fillId="0" borderId="2" xfId="4" applyBorder="1" applyAlignment="1" applyProtection="1">
      <alignment horizontal="left" vertical="center" wrapText="1"/>
    </xf>
    <xf numFmtId="0" fontId="3" fillId="6" borderId="0" xfId="4" applyFont="1" applyFill="1" applyAlignment="1" applyProtection="1">
      <alignment horizontal="left" vertical="top" wrapText="1"/>
    </xf>
    <xf numFmtId="0" fontId="5" fillId="2" borderId="0" xfId="4" applyFont="1" applyFill="1" applyBorder="1" applyAlignment="1" applyProtection="1">
      <alignment horizontal="left" indent="7"/>
      <protection locked="0"/>
    </xf>
    <xf numFmtId="0" fontId="3" fillId="3" borderId="0" xfId="4" applyFont="1" applyFill="1" applyAlignment="1" applyProtection="1">
      <alignment horizontal="left" vertical="center"/>
      <protection locked="0"/>
    </xf>
    <xf numFmtId="0" fontId="8" fillId="0" borderId="0" xfId="4" applyFont="1" applyAlignment="1" applyProtection="1">
      <alignment horizontal="left" vertical="top"/>
    </xf>
    <xf numFmtId="0" fontId="3" fillId="0" borderId="4" xfId="4" applyFont="1" applyBorder="1" applyAlignment="1" applyProtection="1">
      <alignment horizontal="center"/>
    </xf>
    <xf numFmtId="0" fontId="12" fillId="0" borderId="0" xfId="4" applyFont="1" applyAlignment="1" applyProtection="1">
      <alignment horizontal="left" vertical="top" wrapText="1" indent="1"/>
    </xf>
    <xf numFmtId="169" fontId="2" fillId="0" borderId="0" xfId="4" applyNumberFormat="1" applyProtection="1"/>
    <xf numFmtId="170" fontId="2" fillId="0" borderId="0" xfId="4" applyNumberFormat="1" applyProtection="1"/>
    <xf numFmtId="170" fontId="0" fillId="0" borderId="0" xfId="0" applyNumberFormat="1"/>
    <xf numFmtId="172" fontId="0" fillId="0" borderId="0" xfId="3" applyNumberFormat="1" applyFont="1"/>
  </cellXfs>
  <cellStyles count="7">
    <cellStyle name="Comma" xfId="1" builtinId="3"/>
    <cellStyle name="Currency" xfId="2" builtinId="4"/>
    <cellStyle name="Currency 2" xfId="5"/>
    <cellStyle name="Normal" xfId="0" builtinId="0"/>
    <cellStyle name="Normal 2" xfId="4"/>
    <cellStyle name="Percent" xfId="3" builtinId="5"/>
    <cellStyle name="Percent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85724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8467724" cy="17245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123825</xdr:colOff>
      <xdr:row>0</xdr:row>
      <xdr:rowOff>161925</xdr:rowOff>
    </xdr:from>
    <xdr:to>
      <xdr:col>5</xdr:col>
      <xdr:colOff>333374</xdr:colOff>
      <xdr:row>6</xdr:row>
      <xdr:rowOff>133042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1" t="6152" r="48056" b="74414"/>
        <a:stretch/>
      </xdr:blipFill>
      <xdr:spPr bwMode="auto">
        <a:xfrm>
          <a:off x="123825" y="438150"/>
          <a:ext cx="3724274" cy="123794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409575</xdr:colOff>
      <xdr:row>0</xdr:row>
      <xdr:rowOff>114300</xdr:rowOff>
    </xdr:from>
    <xdr:to>
      <xdr:col>12</xdr:col>
      <xdr:colOff>240723</xdr:colOff>
      <xdr:row>5</xdr:row>
      <xdr:rowOff>86578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43450" y="390525"/>
          <a:ext cx="3603048" cy="104860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5</xdr:row>
      <xdr:rowOff>95250</xdr:rowOff>
    </xdr:from>
    <xdr:to>
      <xdr:col>12</xdr:col>
      <xdr:colOff>67300</xdr:colOff>
      <xdr:row>7</xdr:row>
      <xdr:rowOff>92235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86400" y="1447800"/>
          <a:ext cx="2810500" cy="377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85724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467724" cy="17245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123825</xdr:colOff>
      <xdr:row>0</xdr:row>
      <xdr:rowOff>161925</xdr:rowOff>
    </xdr:from>
    <xdr:to>
      <xdr:col>5</xdr:col>
      <xdr:colOff>333374</xdr:colOff>
      <xdr:row>6</xdr:row>
      <xdr:rowOff>133042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1" t="6152" r="48056" b="74414"/>
        <a:stretch/>
      </xdr:blipFill>
      <xdr:spPr bwMode="auto">
        <a:xfrm>
          <a:off x="123825" y="352425"/>
          <a:ext cx="3724274" cy="123794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409575</xdr:colOff>
      <xdr:row>0</xdr:row>
      <xdr:rowOff>114300</xdr:rowOff>
    </xdr:from>
    <xdr:to>
      <xdr:col>11</xdr:col>
      <xdr:colOff>2598</xdr:colOff>
      <xdr:row>5</xdr:row>
      <xdr:rowOff>86578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43450" y="304800"/>
          <a:ext cx="3603048" cy="104860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5</xdr:row>
      <xdr:rowOff>95250</xdr:rowOff>
    </xdr:from>
    <xdr:to>
      <xdr:col>11</xdr:col>
      <xdr:colOff>625</xdr:colOff>
      <xdr:row>7</xdr:row>
      <xdr:rowOff>92235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86400" y="1362075"/>
          <a:ext cx="2810500" cy="3779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85724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467724" cy="17245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123825</xdr:colOff>
      <xdr:row>0</xdr:row>
      <xdr:rowOff>161925</xdr:rowOff>
    </xdr:from>
    <xdr:to>
      <xdr:col>5</xdr:col>
      <xdr:colOff>333374</xdr:colOff>
      <xdr:row>6</xdr:row>
      <xdr:rowOff>133042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1" t="6152" r="48056" b="74414"/>
        <a:stretch/>
      </xdr:blipFill>
      <xdr:spPr bwMode="auto">
        <a:xfrm>
          <a:off x="123825" y="352425"/>
          <a:ext cx="3724274" cy="123794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409575</xdr:colOff>
      <xdr:row>0</xdr:row>
      <xdr:rowOff>114300</xdr:rowOff>
    </xdr:from>
    <xdr:to>
      <xdr:col>11</xdr:col>
      <xdr:colOff>2598</xdr:colOff>
      <xdr:row>5</xdr:row>
      <xdr:rowOff>86578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43450" y="304800"/>
          <a:ext cx="3603048" cy="104860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5</xdr:row>
      <xdr:rowOff>95250</xdr:rowOff>
    </xdr:from>
    <xdr:to>
      <xdr:col>11</xdr:col>
      <xdr:colOff>625</xdr:colOff>
      <xdr:row>7</xdr:row>
      <xdr:rowOff>92235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86400" y="1362075"/>
          <a:ext cx="2810500" cy="377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85724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467724" cy="17245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123825</xdr:colOff>
      <xdr:row>0</xdr:row>
      <xdr:rowOff>161925</xdr:rowOff>
    </xdr:from>
    <xdr:to>
      <xdr:col>5</xdr:col>
      <xdr:colOff>333374</xdr:colOff>
      <xdr:row>6</xdr:row>
      <xdr:rowOff>133042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1" t="6152" r="48056" b="74414"/>
        <a:stretch/>
      </xdr:blipFill>
      <xdr:spPr bwMode="auto">
        <a:xfrm>
          <a:off x="123825" y="352425"/>
          <a:ext cx="3724274" cy="123794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409575</xdr:colOff>
      <xdr:row>0</xdr:row>
      <xdr:rowOff>114300</xdr:rowOff>
    </xdr:from>
    <xdr:to>
      <xdr:col>11</xdr:col>
      <xdr:colOff>2598</xdr:colOff>
      <xdr:row>5</xdr:row>
      <xdr:rowOff>86578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43450" y="304800"/>
          <a:ext cx="3603048" cy="104860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5</xdr:row>
      <xdr:rowOff>95250</xdr:rowOff>
    </xdr:from>
    <xdr:to>
      <xdr:col>11</xdr:col>
      <xdr:colOff>625</xdr:colOff>
      <xdr:row>7</xdr:row>
      <xdr:rowOff>92235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86400" y="1362075"/>
          <a:ext cx="2810500" cy="3779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85724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467724" cy="17245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123825</xdr:colOff>
      <xdr:row>0</xdr:row>
      <xdr:rowOff>161925</xdr:rowOff>
    </xdr:from>
    <xdr:to>
      <xdr:col>5</xdr:col>
      <xdr:colOff>333374</xdr:colOff>
      <xdr:row>6</xdr:row>
      <xdr:rowOff>133042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1" t="6152" r="48056" b="74414"/>
        <a:stretch/>
      </xdr:blipFill>
      <xdr:spPr bwMode="auto">
        <a:xfrm>
          <a:off x="123825" y="352425"/>
          <a:ext cx="3724274" cy="123794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409575</xdr:colOff>
      <xdr:row>0</xdr:row>
      <xdr:rowOff>114300</xdr:rowOff>
    </xdr:from>
    <xdr:to>
      <xdr:col>10</xdr:col>
      <xdr:colOff>726498</xdr:colOff>
      <xdr:row>5</xdr:row>
      <xdr:rowOff>86578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43450" y="304800"/>
          <a:ext cx="3603048" cy="104860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5</xdr:row>
      <xdr:rowOff>95250</xdr:rowOff>
    </xdr:from>
    <xdr:to>
      <xdr:col>10</xdr:col>
      <xdr:colOff>848350</xdr:colOff>
      <xdr:row>7</xdr:row>
      <xdr:rowOff>92235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86400" y="1362075"/>
          <a:ext cx="2810500" cy="3779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85724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467724" cy="17245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123825</xdr:colOff>
      <xdr:row>0</xdr:row>
      <xdr:rowOff>161925</xdr:rowOff>
    </xdr:from>
    <xdr:to>
      <xdr:col>5</xdr:col>
      <xdr:colOff>333374</xdr:colOff>
      <xdr:row>6</xdr:row>
      <xdr:rowOff>133042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1" t="6152" r="48056" b="74414"/>
        <a:stretch/>
      </xdr:blipFill>
      <xdr:spPr bwMode="auto">
        <a:xfrm>
          <a:off x="123825" y="352425"/>
          <a:ext cx="3724274" cy="123794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409575</xdr:colOff>
      <xdr:row>0</xdr:row>
      <xdr:rowOff>114300</xdr:rowOff>
    </xdr:from>
    <xdr:to>
      <xdr:col>11</xdr:col>
      <xdr:colOff>2598</xdr:colOff>
      <xdr:row>5</xdr:row>
      <xdr:rowOff>86578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43450" y="304800"/>
          <a:ext cx="3603048" cy="104860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5</xdr:row>
      <xdr:rowOff>95250</xdr:rowOff>
    </xdr:from>
    <xdr:to>
      <xdr:col>11</xdr:col>
      <xdr:colOff>625</xdr:colOff>
      <xdr:row>7</xdr:row>
      <xdr:rowOff>92235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86400" y="1362075"/>
          <a:ext cx="2810500" cy="377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85724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467724" cy="17245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123825</xdr:colOff>
      <xdr:row>0</xdr:row>
      <xdr:rowOff>161925</xdr:rowOff>
    </xdr:from>
    <xdr:to>
      <xdr:col>5</xdr:col>
      <xdr:colOff>333374</xdr:colOff>
      <xdr:row>6</xdr:row>
      <xdr:rowOff>133042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1" t="6152" r="48056" b="74414"/>
        <a:stretch/>
      </xdr:blipFill>
      <xdr:spPr bwMode="auto">
        <a:xfrm>
          <a:off x="123825" y="352425"/>
          <a:ext cx="3724274" cy="123794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409575</xdr:colOff>
      <xdr:row>0</xdr:row>
      <xdr:rowOff>114300</xdr:rowOff>
    </xdr:from>
    <xdr:to>
      <xdr:col>11</xdr:col>
      <xdr:colOff>2598</xdr:colOff>
      <xdr:row>5</xdr:row>
      <xdr:rowOff>86578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43450" y="304800"/>
          <a:ext cx="3603048" cy="104860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5</xdr:row>
      <xdr:rowOff>95250</xdr:rowOff>
    </xdr:from>
    <xdr:to>
      <xdr:col>11</xdr:col>
      <xdr:colOff>625</xdr:colOff>
      <xdr:row>7</xdr:row>
      <xdr:rowOff>92235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86400" y="1362075"/>
          <a:ext cx="2810500" cy="377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85724</xdr:colOff>
      <xdr:row>8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467724" cy="17245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123825</xdr:colOff>
      <xdr:row>0</xdr:row>
      <xdr:rowOff>161925</xdr:rowOff>
    </xdr:from>
    <xdr:to>
      <xdr:col>5</xdr:col>
      <xdr:colOff>333374</xdr:colOff>
      <xdr:row>6</xdr:row>
      <xdr:rowOff>133042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3661" t="6152" r="48056" b="74414"/>
        <a:stretch/>
      </xdr:blipFill>
      <xdr:spPr bwMode="auto">
        <a:xfrm>
          <a:off x="123825" y="352425"/>
          <a:ext cx="3724274" cy="1237942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409575</xdr:colOff>
      <xdr:row>0</xdr:row>
      <xdr:rowOff>114300</xdr:rowOff>
    </xdr:from>
    <xdr:to>
      <xdr:col>11</xdr:col>
      <xdr:colOff>2598</xdr:colOff>
      <xdr:row>5</xdr:row>
      <xdr:rowOff>86578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43450" y="304800"/>
          <a:ext cx="3603048" cy="1048603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5</xdr:row>
      <xdr:rowOff>95250</xdr:rowOff>
    </xdr:from>
    <xdr:to>
      <xdr:col>11</xdr:col>
      <xdr:colOff>625</xdr:colOff>
      <xdr:row>7</xdr:row>
      <xdr:rowOff>92235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86400" y="1362075"/>
          <a:ext cx="2810500" cy="377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IRM%20Rate%20Generator_V2.3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RESIDENTIAL</v>
          </cell>
        </row>
        <row r="20">
          <cell r="B20" t="str">
            <v>GENERAL SERVICE LESS THAN 50 KW</v>
          </cell>
        </row>
        <row r="21">
          <cell r="B21" t="str">
            <v>GENERAL SERVICE 50 TO 999 KW</v>
          </cell>
        </row>
        <row r="22">
          <cell r="B22" t="str">
            <v>GENERAL SERVICE INTERMEDIATE 1,000 TO 4,999 KW</v>
          </cell>
        </row>
        <row r="23">
          <cell r="B23" t="str">
            <v>LARGE USE</v>
          </cell>
        </row>
        <row r="24">
          <cell r="B24" t="str">
            <v>UNMETERED SCATTERED LOAD</v>
          </cell>
        </row>
        <row r="25">
          <cell r="B25" t="str">
            <v>SENTINEL LIGHTING</v>
          </cell>
        </row>
        <row r="26">
          <cell r="B26" t="str">
            <v>STREET LIGHTING</v>
          </cell>
        </row>
        <row r="27">
          <cell r="B27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tabSelected="1" workbookViewId="0">
      <selection activeCell="G12" sqref="G12"/>
    </sheetView>
  </sheetViews>
  <sheetFormatPr defaultRowHeight="15"/>
  <cols>
    <col min="1" max="1" width="26.5703125" style="11" customWidth="1"/>
    <col min="2" max="2" width="1.28515625" style="11" customWidth="1"/>
    <col min="3" max="3" width="11.28515625" style="11" customWidth="1"/>
    <col min="4" max="4" width="1.28515625" style="11" customWidth="1"/>
    <col min="5" max="7" width="12.7109375" style="11" customWidth="1"/>
    <col min="8" max="8" width="2.85546875" style="11" customWidth="1"/>
    <col min="9" max="11" width="12.7109375" style="11" customWidth="1"/>
    <col min="12" max="12" width="2.85546875" style="11" customWidth="1"/>
    <col min="13" max="13" width="12.7109375" style="11" customWidth="1"/>
    <col min="14" max="14" width="12.85546875" style="11" customWidth="1"/>
    <col min="15" max="15" width="3.85546875" style="5" customWidth="1"/>
    <col min="16" max="16" width="9.140625" style="5"/>
    <col min="17" max="17" width="13.140625" style="5" customWidth="1"/>
    <col min="18" max="18" width="9.140625" style="5"/>
  </cols>
  <sheetData>
    <row r="1" spans="1:18" ht="18">
      <c r="A1" s="7"/>
      <c r="B1" s="7"/>
      <c r="C1" s="7"/>
      <c r="D1" s="7"/>
      <c r="E1" s="7"/>
      <c r="F1" s="7"/>
      <c r="G1" s="7"/>
      <c r="H1" s="7"/>
      <c r="I1" s="7"/>
      <c r="J1" s="7"/>
      <c r="K1" s="1"/>
      <c r="L1" s="2"/>
      <c r="M1" s="3"/>
      <c r="N1" s="8"/>
      <c r="P1" s="6"/>
      <c r="Q1" s="6"/>
      <c r="R1" s="6"/>
    </row>
    <row r="2" spans="1:18" ht="18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"/>
      <c r="L2" s="2"/>
      <c r="M2" s="3"/>
      <c r="N2" s="8"/>
      <c r="P2" s="6"/>
      <c r="Q2" s="6"/>
      <c r="R2" s="6"/>
    </row>
    <row r="3" spans="1:18" ht="18">
      <c r="A3" s="7"/>
      <c r="B3" s="7"/>
      <c r="C3" s="7"/>
      <c r="D3" s="7"/>
      <c r="E3" s="7"/>
      <c r="F3" s="7"/>
      <c r="G3" s="7"/>
      <c r="H3" s="9"/>
      <c r="I3" s="9"/>
      <c r="J3" s="9"/>
      <c r="K3" s="1"/>
      <c r="L3" s="2"/>
      <c r="M3" s="3"/>
      <c r="N3" s="8"/>
      <c r="P3" s="6"/>
      <c r="Q3" s="6"/>
      <c r="R3" s="6"/>
    </row>
    <row r="4" spans="1:18" ht="15.75">
      <c r="A4" s="1"/>
      <c r="B4" s="10"/>
      <c r="C4" s="10"/>
      <c r="D4" s="10"/>
      <c r="E4" s="1"/>
      <c r="F4" s="1"/>
      <c r="G4" s="1"/>
      <c r="H4" s="1"/>
      <c r="I4" s="1"/>
      <c r="J4" s="1"/>
      <c r="K4" s="1"/>
      <c r="L4" s="2"/>
      <c r="M4" s="3"/>
      <c r="N4" s="4"/>
      <c r="P4" s="6"/>
      <c r="Q4" s="6"/>
      <c r="R4" s="6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P5" s="6"/>
      <c r="Q5" s="6"/>
      <c r="R5" s="6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P6" s="6"/>
      <c r="Q6" s="6"/>
      <c r="R6" s="6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P7" s="6"/>
      <c r="Q7" s="6"/>
      <c r="R7" s="6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5.75">
      <c r="A10" s="12" t="s">
        <v>0</v>
      </c>
      <c r="C10" s="177" t="s">
        <v>1</v>
      </c>
      <c r="D10" s="177"/>
      <c r="E10" s="177"/>
      <c r="F10" s="177"/>
      <c r="G10" s="177"/>
      <c r="H10" s="177"/>
      <c r="I10" s="177"/>
      <c r="J10" s="177"/>
      <c r="K10" s="177"/>
      <c r="L10" s="13"/>
      <c r="M10" s="13"/>
      <c r="N10" s="13"/>
    </row>
    <row r="11" spans="1:18" ht="15.75">
      <c r="A11" s="12" t="s">
        <v>2</v>
      </c>
      <c r="C11" s="14"/>
      <c r="D11" s="14"/>
      <c r="E11" s="15">
        <v>1.0429999999999999</v>
      </c>
      <c r="F11" s="14"/>
      <c r="G11" s="14"/>
      <c r="H11" s="14"/>
      <c r="I11" s="14"/>
      <c r="J11" s="14"/>
      <c r="K11" s="14"/>
      <c r="L11" s="14"/>
      <c r="M11" s="14"/>
      <c r="N11" s="14"/>
    </row>
    <row r="12" spans="1:18">
      <c r="A12" s="12" t="s">
        <v>3</v>
      </c>
      <c r="C12" s="16" t="s">
        <v>4</v>
      </c>
      <c r="D12" s="17"/>
      <c r="E12" s="18">
        <v>800</v>
      </c>
    </row>
    <row r="13" spans="1:18" hidden="1">
      <c r="A13" s="5"/>
      <c r="B13" s="5"/>
      <c r="C13" s="5"/>
      <c r="D13" s="5"/>
      <c r="E13" s="5"/>
      <c r="F13" s="19"/>
      <c r="G13" s="5"/>
      <c r="H13" s="5"/>
      <c r="I13" s="5"/>
      <c r="J13" s="5"/>
      <c r="K13" s="5"/>
      <c r="L13" s="5"/>
      <c r="M13" s="5"/>
      <c r="N13" s="5"/>
    </row>
    <row r="14" spans="1:18" hidden="1">
      <c r="A14" s="20" t="s">
        <v>5</v>
      </c>
      <c r="F14" s="17"/>
    </row>
    <row r="15" spans="1:18">
      <c r="A15" s="21" t="s">
        <v>6</v>
      </c>
      <c r="B15" s="22"/>
      <c r="C15" s="23" t="s">
        <v>7</v>
      </c>
      <c r="D15" s="24"/>
      <c r="E15" s="25"/>
      <c r="F15" s="17"/>
    </row>
    <row r="16" spans="1:18">
      <c r="A16" s="21" t="s">
        <v>8</v>
      </c>
      <c r="B16" s="22"/>
      <c r="C16" s="23"/>
      <c r="D16" s="24"/>
      <c r="E16" s="26"/>
    </row>
    <row r="17" spans="1:18" hidden="1">
      <c r="A17" s="27"/>
      <c r="B17" s="5"/>
      <c r="C17" s="28"/>
      <c r="D17" s="19"/>
      <c r="E17" s="178" t="str">
        <f>IF(AND(ISNUMBER(E15), ISBLANK(E16)), "Please enter a load factor", "")</f>
        <v/>
      </c>
      <c r="F17" s="178"/>
      <c r="G17" s="178"/>
      <c r="H17" s="178"/>
      <c r="I17" s="178"/>
      <c r="J17" s="178"/>
      <c r="K17" s="5"/>
      <c r="L17" s="5"/>
      <c r="M17" s="5"/>
      <c r="N17" s="5"/>
    </row>
    <row r="18" spans="1:18">
      <c r="A18" s="2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8">
      <c r="A19" s="29"/>
      <c r="B19" s="5"/>
      <c r="C19" s="30"/>
      <c r="D19" s="30"/>
      <c r="E19" s="166" t="s">
        <v>9</v>
      </c>
      <c r="F19" s="179"/>
      <c r="G19" s="167"/>
      <c r="H19" s="5"/>
      <c r="I19" s="166" t="s">
        <v>10</v>
      </c>
      <c r="J19" s="179"/>
      <c r="K19" s="167"/>
      <c r="L19" s="5"/>
      <c r="M19" s="166" t="s">
        <v>11</v>
      </c>
      <c r="N19" s="167"/>
    </row>
    <row r="20" spans="1:18">
      <c r="A20" s="29"/>
      <c r="B20" s="5"/>
      <c r="C20" s="168"/>
      <c r="D20" s="31"/>
      <c r="E20" s="32" t="s">
        <v>12</v>
      </c>
      <c r="F20" s="32" t="s">
        <v>13</v>
      </c>
      <c r="G20" s="33" t="s">
        <v>14</v>
      </c>
      <c r="H20" s="5"/>
      <c r="I20" s="32" t="s">
        <v>12</v>
      </c>
      <c r="J20" s="34" t="s">
        <v>13</v>
      </c>
      <c r="K20" s="33" t="s">
        <v>14</v>
      </c>
      <c r="L20" s="5"/>
      <c r="M20" s="170" t="s">
        <v>15</v>
      </c>
      <c r="N20" s="172" t="s">
        <v>16</v>
      </c>
    </row>
    <row r="21" spans="1:18">
      <c r="A21" s="29"/>
      <c r="B21" s="5"/>
      <c r="C21" s="169"/>
      <c r="D21" s="31"/>
      <c r="E21" s="35" t="s">
        <v>17</v>
      </c>
      <c r="F21" s="35"/>
      <c r="G21" s="36" t="s">
        <v>17</v>
      </c>
      <c r="H21" s="5"/>
      <c r="I21" s="35" t="s">
        <v>17</v>
      </c>
      <c r="J21" s="36"/>
      <c r="K21" s="36" t="s">
        <v>17</v>
      </c>
      <c r="L21" s="5"/>
      <c r="M21" s="171"/>
      <c r="N21" s="173"/>
    </row>
    <row r="22" spans="1:18">
      <c r="A22" s="37" t="s">
        <v>18</v>
      </c>
      <c r="B22" s="37"/>
      <c r="C22" s="38"/>
      <c r="D22" s="39"/>
      <c r="E22" s="40">
        <v>8.34</v>
      </c>
      <c r="F22" s="41">
        <v>1</v>
      </c>
      <c r="G22" s="42">
        <f>F22*E22</f>
        <v>8.34</v>
      </c>
      <c r="H22" s="43"/>
      <c r="I22" s="40">
        <v>8.42</v>
      </c>
      <c r="J22" s="44">
        <v>1</v>
      </c>
      <c r="K22" s="45">
        <f>J22*I22</f>
        <v>8.42</v>
      </c>
      <c r="L22" s="43"/>
      <c r="M22" s="46">
        <f>K22-G22</f>
        <v>8.0000000000000071E-2</v>
      </c>
      <c r="N22" s="47">
        <f>IF((G22)=0,"",(M22/G22))</f>
        <v>9.592326139088737E-3</v>
      </c>
      <c r="Q22" s="181">
        <f>E22*1.0098</f>
        <v>8.4217320000000004</v>
      </c>
    </row>
    <row r="23" spans="1:18">
      <c r="A23" s="37" t="s">
        <v>19</v>
      </c>
      <c r="B23" s="37"/>
      <c r="C23" s="38"/>
      <c r="D23" s="39"/>
      <c r="E23" s="48">
        <v>1.18E-2</v>
      </c>
      <c r="F23" s="49">
        <v>800</v>
      </c>
      <c r="G23" s="42">
        <f>F23*E23</f>
        <v>9.44</v>
      </c>
      <c r="H23" s="43"/>
      <c r="I23" s="48">
        <v>1.1900000000000001E-2</v>
      </c>
      <c r="J23" s="50">
        <f>F23</f>
        <v>800</v>
      </c>
      <c r="K23" s="42">
        <f>J23*I23</f>
        <v>9.5200000000000014</v>
      </c>
      <c r="L23" s="43"/>
      <c r="M23" s="46">
        <f>K23-G23</f>
        <v>8.0000000000001847E-2</v>
      </c>
      <c r="N23" s="47">
        <f>IF((G23)=0,"",(M23/G23))</f>
        <v>8.4745762711866367E-3</v>
      </c>
      <c r="Q23" s="182">
        <f>E23*1.0098</f>
        <v>1.191564E-2</v>
      </c>
    </row>
    <row r="24" spans="1:18">
      <c r="A24" s="51" t="s">
        <v>20</v>
      </c>
      <c r="B24" s="51"/>
      <c r="C24" s="38"/>
      <c r="D24" s="39"/>
      <c r="E24" s="52">
        <v>0.66999999999999993</v>
      </c>
      <c r="F24" s="41">
        <v>1</v>
      </c>
      <c r="G24" s="42">
        <f t="shared" ref="G24:G25" si="0">F24*E24</f>
        <v>0.66999999999999993</v>
      </c>
      <c r="H24" s="43"/>
      <c r="I24" s="52">
        <v>0.66999999999999993</v>
      </c>
      <c r="J24" s="44">
        <v>1</v>
      </c>
      <c r="K24" s="45">
        <f t="shared" ref="K24:K25" si="1">J24*I24</f>
        <v>0.66999999999999993</v>
      </c>
      <c r="L24" s="43"/>
      <c r="M24" s="46">
        <f t="shared" ref="M24:M27" si="2">K24-G24</f>
        <v>0</v>
      </c>
      <c r="N24" s="47">
        <f t="shared" ref="N24:N27" si="3">IF((G24)=0,"",(M24/G24))</f>
        <v>0</v>
      </c>
    </row>
    <row r="25" spans="1:18">
      <c r="A25" s="53" t="s">
        <v>21</v>
      </c>
      <c r="B25" s="54"/>
      <c r="C25" s="55"/>
      <c r="D25" s="56"/>
      <c r="E25" s="57">
        <v>2.0000000000000001E-4</v>
      </c>
      <c r="F25" s="58">
        <v>800</v>
      </c>
      <c r="G25" s="59">
        <f t="shared" si="0"/>
        <v>0.16</v>
      </c>
      <c r="H25" s="60"/>
      <c r="I25" s="57">
        <v>0</v>
      </c>
      <c r="J25" s="61">
        <f>F25</f>
        <v>800</v>
      </c>
      <c r="K25" s="59">
        <f t="shared" si="1"/>
        <v>0</v>
      </c>
      <c r="L25" s="60"/>
      <c r="M25" s="62">
        <f t="shared" si="2"/>
        <v>-0.16</v>
      </c>
      <c r="N25" s="63">
        <f t="shared" si="3"/>
        <v>-1</v>
      </c>
    </row>
    <row r="26" spans="1:18">
      <c r="A26" s="64" t="s">
        <v>22</v>
      </c>
      <c r="B26" s="65"/>
      <c r="C26" s="65"/>
      <c r="D26" s="66"/>
      <c r="E26" s="67"/>
      <c r="F26" s="68"/>
      <c r="G26" s="69">
        <f>SUM(G22:G25)</f>
        <v>18.610000000000003</v>
      </c>
      <c r="H26" s="70"/>
      <c r="I26" s="67"/>
      <c r="J26" s="71"/>
      <c r="K26" s="69">
        <f>SUM(K22:K25)</f>
        <v>18.61</v>
      </c>
      <c r="L26" s="72"/>
      <c r="M26" s="73">
        <f t="shared" si="2"/>
        <v>0</v>
      </c>
      <c r="N26" s="74">
        <f t="shared" si="3"/>
        <v>0</v>
      </c>
      <c r="O26" s="75"/>
      <c r="P26" s="75"/>
      <c r="Q26" s="75"/>
      <c r="R26" s="75"/>
    </row>
    <row r="27" spans="1:18">
      <c r="A27" s="76" t="s">
        <v>23</v>
      </c>
      <c r="B27" s="77"/>
      <c r="C27" s="78"/>
      <c r="D27" s="79"/>
      <c r="E27" s="48">
        <f>E39*0.64+E40*0.18+E41*0.18</f>
        <v>8.3919999999999995E-2</v>
      </c>
      <c r="F27" s="80">
        <f>E12*(E11-1)</f>
        <v>34.399999999999942</v>
      </c>
      <c r="G27" s="42">
        <f>E27*F27</f>
        <v>2.8868479999999948</v>
      </c>
      <c r="H27" s="70"/>
      <c r="I27" s="48">
        <f>I39*0.64+I40*0.18+I41*0.18</f>
        <v>8.3919999999999995E-2</v>
      </c>
      <c r="J27" s="80">
        <f>F27</f>
        <v>34.399999999999942</v>
      </c>
      <c r="K27" s="42">
        <f>I27*J27</f>
        <v>2.8868479999999948</v>
      </c>
      <c r="L27" s="81"/>
      <c r="M27" s="46">
        <f t="shared" si="2"/>
        <v>0</v>
      </c>
      <c r="N27" s="47">
        <f t="shared" si="3"/>
        <v>0</v>
      </c>
    </row>
    <row r="28" spans="1:18" ht="25.5">
      <c r="A28" s="76" t="s">
        <v>24</v>
      </c>
      <c r="B28" s="77"/>
      <c r="C28" s="78"/>
      <c r="D28" s="79"/>
      <c r="E28" s="48">
        <v>4.0000000000000002E-4</v>
      </c>
      <c r="F28" s="80">
        <v>800</v>
      </c>
      <c r="G28" s="42">
        <f>F28*E28</f>
        <v>0.32</v>
      </c>
      <c r="H28" s="70"/>
      <c r="I28" s="48">
        <v>4.0000000000000002E-4</v>
      </c>
      <c r="J28" s="80">
        <f>F28</f>
        <v>800</v>
      </c>
      <c r="K28" s="42">
        <f>J28*I28</f>
        <v>0.32</v>
      </c>
      <c r="L28" s="81"/>
      <c r="M28" s="46">
        <f>K28-G28</f>
        <v>0</v>
      </c>
      <c r="N28" s="47">
        <f>IF((G28)=0,"",(M28/G28))</f>
        <v>0</v>
      </c>
    </row>
    <row r="29" spans="1:18" hidden="1">
      <c r="A29" s="82" t="s">
        <v>25</v>
      </c>
      <c r="B29" s="77"/>
      <c r="C29" s="78"/>
      <c r="D29" s="79"/>
      <c r="E29" s="48"/>
      <c r="F29" s="80">
        <v>800</v>
      </c>
      <c r="G29" s="42">
        <f>F29*E29</f>
        <v>0</v>
      </c>
      <c r="H29" s="70"/>
      <c r="I29" s="48"/>
      <c r="J29" s="80">
        <f>F29</f>
        <v>800</v>
      </c>
      <c r="K29" s="42">
        <f>J29*I29</f>
        <v>0</v>
      </c>
      <c r="L29" s="81"/>
      <c r="M29" s="46">
        <f>K29-G29</f>
        <v>0</v>
      </c>
      <c r="N29" s="47" t="str">
        <f>IF((G29)=0,"",(M29/G29))</f>
        <v/>
      </c>
    </row>
    <row r="30" spans="1:18" hidden="1">
      <c r="A30" s="82" t="s">
        <v>26</v>
      </c>
      <c r="B30" s="77"/>
      <c r="C30" s="78"/>
      <c r="D30" s="79"/>
      <c r="E30" s="48"/>
      <c r="F30" s="80">
        <v>1</v>
      </c>
      <c r="G30" s="42">
        <f>F30*E30</f>
        <v>0</v>
      </c>
      <c r="H30" s="70"/>
      <c r="I30" s="48"/>
      <c r="J30" s="80">
        <f>F30</f>
        <v>1</v>
      </c>
      <c r="K30" s="42">
        <f>J30*I30</f>
        <v>0</v>
      </c>
      <c r="L30" s="81"/>
      <c r="M30" s="46">
        <f>K30-G30</f>
        <v>0</v>
      </c>
      <c r="N30" s="47" t="str">
        <f>IF((G30)=0,"",(M30/G30))</f>
        <v/>
      </c>
    </row>
    <row r="31" spans="1:18" ht="25.5">
      <c r="A31" s="83" t="s">
        <v>27</v>
      </c>
      <c r="B31" s="84"/>
      <c r="C31" s="84"/>
      <c r="D31" s="85"/>
      <c r="E31" s="86"/>
      <c r="F31" s="86"/>
      <c r="G31" s="87">
        <f>SUM(G28:G30)+G26</f>
        <v>18.930000000000003</v>
      </c>
      <c r="H31" s="70"/>
      <c r="I31" s="86"/>
      <c r="J31" s="88"/>
      <c r="K31" s="87">
        <f>SUM(K28:K30)+K26</f>
        <v>18.93</v>
      </c>
      <c r="L31" s="72"/>
      <c r="M31" s="89">
        <f t="shared" ref="M31:M47" si="4">K31-G31</f>
        <v>0</v>
      </c>
      <c r="N31" s="90">
        <f t="shared" ref="N31:N47" si="5">IF((G31)=0,"",(M31/G31))</f>
        <v>0</v>
      </c>
    </row>
    <row r="32" spans="1:18">
      <c r="A32" s="91" t="s">
        <v>28</v>
      </c>
      <c r="B32" s="91"/>
      <c r="C32" s="92"/>
      <c r="D32" s="93"/>
      <c r="E32" s="48">
        <v>7.1999999999999998E-3</v>
      </c>
      <c r="F32" s="94">
        <v>834.4</v>
      </c>
      <c r="G32" s="42">
        <f>F32*E32</f>
        <v>6.0076799999999997</v>
      </c>
      <c r="H32" s="70"/>
      <c r="I32" s="48">
        <v>7.4000000000000003E-3</v>
      </c>
      <c r="J32" s="95">
        <f>F32</f>
        <v>834.4</v>
      </c>
      <c r="K32" s="42">
        <f>J32*I32</f>
        <v>6.1745600000000005</v>
      </c>
      <c r="L32" s="81"/>
      <c r="M32" s="46">
        <f t="shared" si="4"/>
        <v>0.16688000000000081</v>
      </c>
      <c r="N32" s="47">
        <f t="shared" si="5"/>
        <v>2.7777777777777915E-2</v>
      </c>
    </row>
    <row r="33" spans="1:19">
      <c r="A33" s="174" t="s">
        <v>29</v>
      </c>
      <c r="B33" s="174"/>
      <c r="C33" s="174"/>
      <c r="D33" s="93"/>
      <c r="E33" s="48">
        <v>5.7000000000000002E-3</v>
      </c>
      <c r="F33" s="94">
        <v>834.4</v>
      </c>
      <c r="G33" s="42">
        <f>F33*E33</f>
        <v>4.7560799999999999</v>
      </c>
      <c r="H33" s="70"/>
      <c r="I33" s="48">
        <v>5.7000000000000002E-3</v>
      </c>
      <c r="J33" s="95">
        <f>F33</f>
        <v>834.4</v>
      </c>
      <c r="K33" s="42">
        <f>J33*I33</f>
        <v>4.7560799999999999</v>
      </c>
      <c r="L33" s="81"/>
      <c r="M33" s="46">
        <f t="shared" si="4"/>
        <v>0</v>
      </c>
      <c r="N33" s="47">
        <f t="shared" si="5"/>
        <v>0</v>
      </c>
    </row>
    <row r="34" spans="1:19" ht="25.5">
      <c r="A34" s="83" t="s">
        <v>30</v>
      </c>
      <c r="B34" s="96"/>
      <c r="C34" s="96"/>
      <c r="D34" s="97"/>
      <c r="E34" s="86"/>
      <c r="F34" s="86"/>
      <c r="G34" s="87">
        <f>SUM(G31:G33)</f>
        <v>29.693760000000005</v>
      </c>
      <c r="H34" s="98"/>
      <c r="I34" s="99"/>
      <c r="J34" s="100"/>
      <c r="K34" s="87">
        <f>SUM(K31:K33)</f>
        <v>29.86064</v>
      </c>
      <c r="L34" s="101"/>
      <c r="M34" s="89">
        <f t="shared" si="4"/>
        <v>0.16687999999999548</v>
      </c>
      <c r="N34" s="90">
        <f t="shared" si="5"/>
        <v>5.6200359940942286E-3</v>
      </c>
    </row>
    <row r="35" spans="1:19" ht="25.5">
      <c r="A35" s="102" t="s">
        <v>31</v>
      </c>
      <c r="B35" s="77"/>
      <c r="C35" s="78"/>
      <c r="D35" s="79"/>
      <c r="E35" s="103">
        <v>4.4000000000000003E-3</v>
      </c>
      <c r="F35" s="94">
        <f>E12*E11</f>
        <v>834.4</v>
      </c>
      <c r="G35" s="104">
        <f t="shared" ref="G35:G41" si="6">F35*E35</f>
        <v>3.67136</v>
      </c>
      <c r="H35" s="81"/>
      <c r="I35" s="103">
        <v>4.4000000000000003E-3</v>
      </c>
      <c r="J35" s="95">
        <f>E12*E11</f>
        <v>834.4</v>
      </c>
      <c r="K35" s="104">
        <f t="shared" ref="K35:K41" si="7">J35*I35</f>
        <v>3.67136</v>
      </c>
      <c r="L35" s="81"/>
      <c r="M35" s="46">
        <f t="shared" si="4"/>
        <v>0</v>
      </c>
      <c r="N35" s="105">
        <f t="shared" si="5"/>
        <v>0</v>
      </c>
    </row>
    <row r="36" spans="1:19" ht="25.5">
      <c r="A36" s="102" t="s">
        <v>32</v>
      </c>
      <c r="B36" s="77"/>
      <c r="C36" s="78"/>
      <c r="D36" s="79"/>
      <c r="E36" s="103">
        <v>1.1999999999999999E-3</v>
      </c>
      <c r="F36" s="94">
        <f>E12*E11</f>
        <v>834.4</v>
      </c>
      <c r="G36" s="104">
        <f t="shared" si="6"/>
        <v>1.0012799999999999</v>
      </c>
      <c r="H36" s="81"/>
      <c r="I36" s="103">
        <v>1.1999999999999999E-3</v>
      </c>
      <c r="J36" s="95">
        <f>E12*E11</f>
        <v>834.4</v>
      </c>
      <c r="K36" s="104">
        <f t="shared" si="7"/>
        <v>1.0012799999999999</v>
      </c>
      <c r="L36" s="81"/>
      <c r="M36" s="46">
        <f t="shared" si="4"/>
        <v>0</v>
      </c>
      <c r="N36" s="105">
        <f t="shared" si="5"/>
        <v>0</v>
      </c>
    </row>
    <row r="37" spans="1:19">
      <c r="A37" s="77" t="s">
        <v>33</v>
      </c>
      <c r="B37" s="77"/>
      <c r="C37" s="78"/>
      <c r="D37" s="79"/>
      <c r="E37" s="103">
        <v>0.25</v>
      </c>
      <c r="F37" s="94">
        <v>1</v>
      </c>
      <c r="G37" s="104">
        <f t="shared" si="6"/>
        <v>0.25</v>
      </c>
      <c r="H37" s="81"/>
      <c r="I37" s="103">
        <v>0.25</v>
      </c>
      <c r="J37" s="95">
        <v>1</v>
      </c>
      <c r="K37" s="104">
        <f t="shared" si="7"/>
        <v>0.25</v>
      </c>
      <c r="L37" s="81"/>
      <c r="M37" s="46">
        <f t="shared" si="4"/>
        <v>0</v>
      </c>
      <c r="N37" s="105">
        <f t="shared" si="5"/>
        <v>0</v>
      </c>
    </row>
    <row r="38" spans="1:19">
      <c r="A38" s="77" t="s">
        <v>34</v>
      </c>
      <c r="B38" s="77"/>
      <c r="C38" s="78"/>
      <c r="D38" s="79"/>
      <c r="E38" s="103">
        <v>7.0000000000000001E-3</v>
      </c>
      <c r="F38" s="94">
        <f>E12</f>
        <v>800</v>
      </c>
      <c r="G38" s="104">
        <f t="shared" si="6"/>
        <v>5.6000000000000005</v>
      </c>
      <c r="H38" s="81"/>
      <c r="I38" s="103">
        <v>7.0000000000000001E-3</v>
      </c>
      <c r="J38" s="95">
        <f>E12</f>
        <v>800</v>
      </c>
      <c r="K38" s="104">
        <f t="shared" si="7"/>
        <v>5.6000000000000005</v>
      </c>
      <c r="L38" s="81"/>
      <c r="M38" s="46">
        <f t="shared" si="4"/>
        <v>0</v>
      </c>
      <c r="N38" s="105">
        <f t="shared" si="5"/>
        <v>0</v>
      </c>
      <c r="S38">
        <v>1.67E-2</v>
      </c>
    </row>
    <row r="39" spans="1:19">
      <c r="A39" s="82" t="s">
        <v>35</v>
      </c>
      <c r="B39" s="77"/>
      <c r="C39" s="78"/>
      <c r="D39" s="79"/>
      <c r="E39" s="106">
        <v>6.7000000000000004E-2</v>
      </c>
      <c r="F39" s="94">
        <v>512</v>
      </c>
      <c r="G39" s="104">
        <f t="shared" si="6"/>
        <v>34.304000000000002</v>
      </c>
      <c r="H39" s="81"/>
      <c r="I39" s="103">
        <v>6.7000000000000004E-2</v>
      </c>
      <c r="J39" s="94">
        <f t="shared" ref="J39:J40" si="8">F39</f>
        <v>512</v>
      </c>
      <c r="K39" s="104">
        <f t="shared" si="7"/>
        <v>34.304000000000002</v>
      </c>
      <c r="L39" s="81"/>
      <c r="M39" s="46">
        <f t="shared" si="4"/>
        <v>0</v>
      </c>
      <c r="N39" s="105">
        <f t="shared" si="5"/>
        <v>0</v>
      </c>
      <c r="S39">
        <v>1.0098</v>
      </c>
    </row>
    <row r="40" spans="1:19">
      <c r="A40" s="82" t="s">
        <v>36</v>
      </c>
      <c r="B40" s="77"/>
      <c r="C40" s="78"/>
      <c r="D40" s="79"/>
      <c r="E40" s="106">
        <v>0.104</v>
      </c>
      <c r="F40" s="94">
        <v>144</v>
      </c>
      <c r="G40" s="104">
        <f t="shared" si="6"/>
        <v>14.975999999999999</v>
      </c>
      <c r="H40" s="81"/>
      <c r="I40" s="103">
        <v>0.104</v>
      </c>
      <c r="J40" s="94">
        <f t="shared" si="8"/>
        <v>144</v>
      </c>
      <c r="K40" s="104">
        <f t="shared" si="7"/>
        <v>14.975999999999999</v>
      </c>
      <c r="L40" s="81"/>
      <c r="M40" s="46">
        <f t="shared" si="4"/>
        <v>0</v>
      </c>
      <c r="N40" s="105">
        <f t="shared" si="5"/>
        <v>0</v>
      </c>
      <c r="S40">
        <f>S38*S39</f>
        <v>1.6863659999999999E-2</v>
      </c>
    </row>
    <row r="41" spans="1:19" ht="15.75" thickBot="1">
      <c r="A41" s="29" t="s">
        <v>37</v>
      </c>
      <c r="B41" s="77"/>
      <c r="C41" s="78"/>
      <c r="D41" s="79"/>
      <c r="E41" s="106">
        <v>0.124</v>
      </c>
      <c r="F41" s="94">
        <v>144</v>
      </c>
      <c r="G41" s="104">
        <f t="shared" si="6"/>
        <v>17.856000000000002</v>
      </c>
      <c r="H41" s="81"/>
      <c r="I41" s="103">
        <v>0.124</v>
      </c>
      <c r="J41" s="94">
        <f>F41</f>
        <v>144</v>
      </c>
      <c r="K41" s="104">
        <f t="shared" si="7"/>
        <v>17.856000000000002</v>
      </c>
      <c r="L41" s="81"/>
      <c r="M41" s="46">
        <f t="shared" si="4"/>
        <v>0</v>
      </c>
      <c r="N41" s="105">
        <f t="shared" si="5"/>
        <v>0</v>
      </c>
    </row>
    <row r="42" spans="1:19" ht="15.75" thickBot="1">
      <c r="A42" s="107"/>
      <c r="B42" s="108"/>
      <c r="C42" s="108"/>
      <c r="D42" s="109"/>
      <c r="E42" s="110"/>
      <c r="F42" s="111"/>
      <c r="G42" s="112"/>
      <c r="H42" s="113"/>
      <c r="I42" s="110"/>
      <c r="J42" s="114"/>
      <c r="K42" s="112"/>
      <c r="L42" s="113"/>
      <c r="M42" s="115"/>
      <c r="N42" s="116"/>
    </row>
    <row r="43" spans="1:19">
      <c r="A43" s="117" t="s">
        <v>38</v>
      </c>
      <c r="B43" s="77"/>
      <c r="C43" s="77"/>
      <c r="D43" s="118"/>
      <c r="E43" s="119"/>
      <c r="F43" s="120"/>
      <c r="G43" s="121">
        <f>SUM(G34:G38,G39:G41)</f>
        <v>107.35240000000002</v>
      </c>
      <c r="H43" s="122"/>
      <c r="I43" s="123"/>
      <c r="J43" s="123"/>
      <c r="K43" s="124">
        <f>SUM(K34:K38,K39:K41)</f>
        <v>107.51928000000001</v>
      </c>
      <c r="L43" s="125"/>
      <c r="M43" s="126">
        <f t="shared" ref="M43" si="9">K43-G43</f>
        <v>0.16687999999999192</v>
      </c>
      <c r="N43" s="127">
        <f t="shared" ref="N43" si="10">IF((G43)=0,"",(M43/G43))</f>
        <v>1.5545064665530709E-3</v>
      </c>
    </row>
    <row r="44" spans="1:19">
      <c r="A44" s="128" t="s">
        <v>39</v>
      </c>
      <c r="B44" s="77"/>
      <c r="C44" s="77"/>
      <c r="D44" s="118"/>
      <c r="E44" s="119">
        <v>0.13</v>
      </c>
      <c r="F44" s="129"/>
      <c r="G44" s="130">
        <f>G43*E44</f>
        <v>13.955812000000003</v>
      </c>
      <c r="H44" s="41"/>
      <c r="I44" s="119">
        <v>0.13</v>
      </c>
      <c r="J44" s="41"/>
      <c r="K44" s="131">
        <f>K43*I44</f>
        <v>13.977506400000001</v>
      </c>
      <c r="L44" s="132"/>
      <c r="M44" s="133">
        <f t="shared" si="4"/>
        <v>2.1694399999997671E-2</v>
      </c>
      <c r="N44" s="134">
        <f t="shared" si="5"/>
        <v>1.5545064665529792E-3</v>
      </c>
    </row>
    <row r="45" spans="1:19">
      <c r="A45" s="135" t="s">
        <v>40</v>
      </c>
      <c r="B45" s="77"/>
      <c r="C45" s="77"/>
      <c r="D45" s="118"/>
      <c r="E45" s="41"/>
      <c r="F45" s="129"/>
      <c r="G45" s="130">
        <f>G43+G44</f>
        <v>121.30821200000003</v>
      </c>
      <c r="H45" s="41"/>
      <c r="I45" s="41"/>
      <c r="J45" s="41"/>
      <c r="K45" s="131">
        <f>K43+K44</f>
        <v>121.4967864</v>
      </c>
      <c r="L45" s="132"/>
      <c r="M45" s="133">
        <f t="shared" si="4"/>
        <v>0.18857439999997894</v>
      </c>
      <c r="N45" s="134">
        <f t="shared" si="5"/>
        <v>1.5545064665529725E-3</v>
      </c>
    </row>
    <row r="46" spans="1:19">
      <c r="A46" s="180" t="s">
        <v>41</v>
      </c>
      <c r="B46" s="180"/>
      <c r="C46" s="180"/>
      <c r="D46" s="118"/>
      <c r="E46" s="41"/>
      <c r="F46" s="129"/>
      <c r="G46" s="136">
        <f>ROUND(-G45*10%,2)</f>
        <v>-12.13</v>
      </c>
      <c r="H46" s="41"/>
      <c r="I46" s="41"/>
      <c r="J46" s="41"/>
      <c r="K46" s="137">
        <f>ROUND(-K45*10%,2)</f>
        <v>-12.15</v>
      </c>
      <c r="L46" s="132"/>
      <c r="M46" s="138">
        <f t="shared" si="4"/>
        <v>-1.9999999999999574E-2</v>
      </c>
      <c r="N46" s="139">
        <f t="shared" si="5"/>
        <v>1.6488046166528913E-3</v>
      </c>
    </row>
    <row r="47" spans="1:19" ht="15.75" thickBot="1">
      <c r="A47" s="175" t="s">
        <v>42</v>
      </c>
      <c r="B47" s="175"/>
      <c r="C47" s="175"/>
      <c r="D47" s="140"/>
      <c r="E47" s="141"/>
      <c r="F47" s="142"/>
      <c r="G47" s="143">
        <f>G45+G46</f>
        <v>109.17821200000003</v>
      </c>
      <c r="H47" s="144"/>
      <c r="I47" s="144"/>
      <c r="J47" s="144"/>
      <c r="K47" s="145">
        <f>K45+K46</f>
        <v>109.3467864</v>
      </c>
      <c r="L47" s="146"/>
      <c r="M47" s="73">
        <f t="shared" si="4"/>
        <v>0.1685743999999687</v>
      </c>
      <c r="N47" s="74">
        <f t="shared" si="5"/>
        <v>1.5440296824055762E-3</v>
      </c>
    </row>
    <row r="48" spans="1:19" ht="15.75" thickBot="1">
      <c r="A48" s="107"/>
      <c r="B48" s="108"/>
      <c r="C48" s="108"/>
      <c r="D48" s="109"/>
      <c r="E48" s="147"/>
      <c r="F48" s="148"/>
      <c r="G48" s="149"/>
      <c r="H48" s="150"/>
      <c r="I48" s="147"/>
      <c r="J48" s="150"/>
      <c r="K48" s="151"/>
      <c r="L48" s="148"/>
      <c r="M48" s="152"/>
      <c r="N48" s="153"/>
    </row>
    <row r="49" spans="1:11">
      <c r="A49" s="5"/>
      <c r="B49" s="5"/>
      <c r="C49" s="5"/>
      <c r="K49" s="154"/>
    </row>
    <row r="50" spans="1:11">
      <c r="A50" s="5"/>
      <c r="B50" s="5"/>
      <c r="C50" s="5"/>
    </row>
    <row r="51" spans="1:11">
      <c r="A51" s="5"/>
      <c r="B51" s="5"/>
      <c r="C51" s="5"/>
    </row>
    <row r="52" spans="1:11">
      <c r="A52" s="19" t="s">
        <v>43</v>
      </c>
      <c r="B52" s="5"/>
      <c r="C52" s="5"/>
    </row>
    <row r="53" spans="1:11">
      <c r="A53" s="5"/>
      <c r="B53" s="5"/>
      <c r="C53" s="5"/>
    </row>
  </sheetData>
  <mergeCells count="12">
    <mergeCell ref="A47:C47"/>
    <mergeCell ref="A2:J2"/>
    <mergeCell ref="C10:K10"/>
    <mergeCell ref="E17:J17"/>
    <mergeCell ref="E19:G19"/>
    <mergeCell ref="I19:K19"/>
    <mergeCell ref="A46:C46"/>
    <mergeCell ref="M19:N19"/>
    <mergeCell ref="C20:C21"/>
    <mergeCell ref="M20:M21"/>
    <mergeCell ref="N20:N21"/>
    <mergeCell ref="A33:C33"/>
  </mergeCells>
  <dataValidations count="4">
    <dataValidation showDropDown="1" showInputMessage="1" showErrorMessage="1" prompt="Select Charge Unit - monthly, per kWh, per kW" sqref="C22:C25 C28:C30 C32 C35:C41"/>
    <dataValidation type="list" allowBlank="1" showInputMessage="1" showErrorMessage="1" sqref="D32:D33 D48 D22:D25 D28:D30 D35:D42">
      <formula1>#REF!</formula1>
    </dataValidation>
    <dataValidation type="list" allowBlank="1" showInputMessage="1" showErrorMessage="1" prompt="Select Charge Unit - monthly, per kWh, per kW" sqref="C42 C48">
      <formula1>"Monthly, per kWh, per kW"</formula1>
    </dataValidation>
    <dataValidation type="list" allowBlank="1" showInputMessage="1" showErrorMessage="1" sqref="C10">
      <formula1>BI_LDCLIST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workbookViewId="0"/>
  </sheetViews>
  <sheetFormatPr defaultRowHeight="15"/>
  <cols>
    <col min="1" max="1" width="26.5703125" style="11" customWidth="1"/>
    <col min="2" max="2" width="1.28515625" style="11" customWidth="1"/>
    <col min="3" max="3" width="11.28515625" style="11" customWidth="1"/>
    <col min="4" max="4" width="1.28515625" style="11" customWidth="1"/>
    <col min="5" max="7" width="12.7109375" style="11" customWidth="1"/>
    <col min="8" max="8" width="2.85546875" style="11" customWidth="1"/>
    <col min="9" max="11" width="12.7109375" style="11" customWidth="1"/>
    <col min="12" max="12" width="2.85546875" style="11" customWidth="1"/>
    <col min="13" max="13" width="12.7109375" style="11" customWidth="1"/>
    <col min="14" max="14" width="12.85546875" style="11" customWidth="1"/>
    <col min="15" max="15" width="3.85546875" style="5" customWidth="1"/>
    <col min="16" max="16" width="9.140625" style="5"/>
    <col min="17" max="17" width="12.28515625" customWidth="1"/>
    <col min="18" max="18" width="10" bestFit="1" customWidth="1"/>
  </cols>
  <sheetData>
    <row r="1" spans="1:18" ht="18">
      <c r="A1" s="7"/>
      <c r="B1" s="7"/>
      <c r="C1" s="7"/>
      <c r="D1" s="7"/>
      <c r="E1" s="7"/>
      <c r="F1" s="7"/>
      <c r="G1" s="7"/>
      <c r="H1" s="7"/>
      <c r="I1" s="7"/>
      <c r="J1" s="7"/>
      <c r="K1" s="1"/>
      <c r="L1" s="2"/>
      <c r="M1" s="3"/>
      <c r="N1" s="8"/>
      <c r="P1" s="6"/>
      <c r="Q1" s="6"/>
      <c r="R1" s="6"/>
    </row>
    <row r="2" spans="1:18" ht="18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"/>
      <c r="L2" s="2"/>
      <c r="M2" s="3"/>
      <c r="N2" s="8"/>
      <c r="P2" s="6"/>
      <c r="Q2" s="6"/>
      <c r="R2" s="6"/>
    </row>
    <row r="3" spans="1:18" ht="18">
      <c r="A3" s="7"/>
      <c r="B3" s="7"/>
      <c r="C3" s="7"/>
      <c r="D3" s="7"/>
      <c r="E3" s="7"/>
      <c r="F3" s="7"/>
      <c r="G3" s="7"/>
      <c r="H3" s="9"/>
      <c r="I3" s="9"/>
      <c r="J3" s="9"/>
      <c r="K3" s="1"/>
      <c r="L3" s="2"/>
      <c r="M3" s="3"/>
      <c r="N3" s="8"/>
      <c r="P3" s="6"/>
      <c r="Q3" s="6"/>
      <c r="R3" s="6"/>
    </row>
    <row r="4" spans="1:18" ht="15.75">
      <c r="A4" s="1"/>
      <c r="B4" s="10"/>
      <c r="C4" s="10"/>
      <c r="D4" s="10"/>
      <c r="E4" s="1"/>
      <c r="F4" s="1"/>
      <c r="G4" s="1"/>
      <c r="H4" s="1"/>
      <c r="I4" s="1"/>
      <c r="J4" s="1"/>
      <c r="K4" s="1"/>
      <c r="L4" s="2"/>
      <c r="M4" s="3"/>
      <c r="N4" s="4"/>
      <c r="P4" s="6"/>
      <c r="Q4" s="6"/>
      <c r="R4" s="6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P5" s="6"/>
      <c r="Q5" s="6"/>
      <c r="R5" s="6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P6" s="6"/>
      <c r="Q6" s="6"/>
      <c r="R6" s="6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P7" s="6"/>
      <c r="Q7" s="6"/>
      <c r="R7" s="6"/>
    </row>
    <row r="8" spans="1:18">
      <c r="Q8" s="5"/>
      <c r="R8" s="5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5.75">
      <c r="A10" s="12" t="s">
        <v>0</v>
      </c>
      <c r="C10" s="177" t="s">
        <v>44</v>
      </c>
      <c r="D10" s="177"/>
      <c r="E10" s="177"/>
      <c r="F10" s="177"/>
      <c r="G10" s="177"/>
      <c r="H10" s="177"/>
      <c r="I10" s="177"/>
      <c r="J10" s="177"/>
      <c r="K10" s="177"/>
      <c r="L10" s="13"/>
      <c r="M10" s="13"/>
      <c r="N10" s="13"/>
    </row>
    <row r="11" spans="1:18" ht="15.75">
      <c r="A11" s="12" t="s">
        <v>2</v>
      </c>
      <c r="C11" s="14"/>
      <c r="D11" s="14"/>
      <c r="E11" s="15">
        <v>1.0429999999999999</v>
      </c>
      <c r="F11" s="14"/>
      <c r="G11" s="14"/>
      <c r="H11" s="14"/>
      <c r="I11" s="14"/>
      <c r="J11" s="14"/>
      <c r="K11" s="14"/>
      <c r="L11" s="14"/>
      <c r="M11" s="14"/>
      <c r="N11" s="14"/>
    </row>
    <row r="12" spans="1:18">
      <c r="A12" s="12" t="s">
        <v>3</v>
      </c>
      <c r="C12" s="16" t="s">
        <v>4</v>
      </c>
      <c r="D12" s="17"/>
      <c r="E12" s="18">
        <v>2000</v>
      </c>
    </row>
    <row r="13" spans="1:18" hidden="1">
      <c r="A13" s="5"/>
      <c r="B13" s="5"/>
      <c r="C13" s="5"/>
      <c r="D13" s="5"/>
      <c r="E13" s="5"/>
      <c r="F13" s="19"/>
      <c r="G13" s="5"/>
      <c r="H13" s="5"/>
      <c r="I13" s="5"/>
      <c r="J13" s="5"/>
      <c r="K13" s="5"/>
      <c r="L13" s="5"/>
      <c r="M13" s="5"/>
      <c r="N13" s="5"/>
    </row>
    <row r="14" spans="1:18" hidden="1">
      <c r="A14" s="20" t="s">
        <v>5</v>
      </c>
      <c r="F14" s="17"/>
    </row>
    <row r="15" spans="1:18">
      <c r="A15" s="21" t="s">
        <v>6</v>
      </c>
      <c r="B15" s="22"/>
      <c r="C15" s="23" t="s">
        <v>7</v>
      </c>
      <c r="D15" s="24"/>
      <c r="E15" s="25"/>
      <c r="F15" s="17"/>
    </row>
    <row r="16" spans="1:18">
      <c r="A16" s="21" t="s">
        <v>8</v>
      </c>
      <c r="B16" s="22"/>
      <c r="C16" s="23"/>
      <c r="D16" s="24"/>
      <c r="E16" s="26"/>
    </row>
    <row r="17" spans="1:19" hidden="1">
      <c r="A17" s="27"/>
      <c r="B17" s="5"/>
      <c r="C17" s="28"/>
      <c r="D17" s="19"/>
      <c r="E17" s="178" t="str">
        <f>IF(AND(ISNUMBER(E15), ISBLANK(E16)), "Please enter a load factor", "")</f>
        <v/>
      </c>
      <c r="F17" s="178"/>
      <c r="G17" s="178"/>
      <c r="H17" s="178"/>
      <c r="I17" s="178"/>
      <c r="J17" s="178"/>
      <c r="K17" s="5"/>
      <c r="L17" s="5"/>
      <c r="M17" s="5"/>
      <c r="N17" s="5"/>
    </row>
    <row r="18" spans="1:19">
      <c r="A18" s="2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9">
      <c r="A19" s="29"/>
      <c r="B19" s="5"/>
      <c r="C19" s="30"/>
      <c r="D19" s="30"/>
      <c r="E19" s="166" t="s">
        <v>9</v>
      </c>
      <c r="F19" s="179"/>
      <c r="G19" s="167"/>
      <c r="H19" s="5"/>
      <c r="I19" s="166" t="s">
        <v>10</v>
      </c>
      <c r="J19" s="179"/>
      <c r="K19" s="167"/>
      <c r="L19" s="5"/>
      <c r="M19" s="166" t="s">
        <v>11</v>
      </c>
      <c r="N19" s="167"/>
    </row>
    <row r="20" spans="1:19">
      <c r="A20" s="29"/>
      <c r="B20" s="5"/>
      <c r="C20" s="168"/>
      <c r="D20" s="31"/>
      <c r="E20" s="32" t="s">
        <v>12</v>
      </c>
      <c r="F20" s="32" t="s">
        <v>13</v>
      </c>
      <c r="G20" s="33" t="s">
        <v>14</v>
      </c>
      <c r="H20" s="5"/>
      <c r="I20" s="32" t="s">
        <v>12</v>
      </c>
      <c r="J20" s="34" t="s">
        <v>13</v>
      </c>
      <c r="K20" s="33" t="s">
        <v>14</v>
      </c>
      <c r="L20" s="5"/>
      <c r="M20" s="170" t="s">
        <v>15</v>
      </c>
      <c r="N20" s="172" t="s">
        <v>16</v>
      </c>
    </row>
    <row r="21" spans="1:19">
      <c r="A21" s="29"/>
      <c r="B21" s="5"/>
      <c r="C21" s="169"/>
      <c r="D21" s="31"/>
      <c r="E21" s="35" t="s">
        <v>17</v>
      </c>
      <c r="F21" s="35"/>
      <c r="G21" s="36" t="s">
        <v>17</v>
      </c>
      <c r="H21" s="5"/>
      <c r="I21" s="35" t="s">
        <v>17</v>
      </c>
      <c r="J21" s="36"/>
      <c r="K21" s="36" t="s">
        <v>17</v>
      </c>
      <c r="L21" s="5"/>
      <c r="M21" s="171"/>
      <c r="N21" s="173"/>
    </row>
    <row r="22" spans="1:19">
      <c r="A22" s="37" t="s">
        <v>18</v>
      </c>
      <c r="B22" s="37"/>
      <c r="C22" s="38"/>
      <c r="D22" s="39"/>
      <c r="E22" s="40">
        <v>8.25</v>
      </c>
      <c r="F22" s="41">
        <v>1</v>
      </c>
      <c r="G22" s="42">
        <f>F22*E22</f>
        <v>8.25</v>
      </c>
      <c r="H22" s="43"/>
      <c r="I22" s="40">
        <v>8.33</v>
      </c>
      <c r="J22" s="44">
        <v>1</v>
      </c>
      <c r="K22" s="45">
        <f>J22*I22</f>
        <v>8.33</v>
      </c>
      <c r="L22" s="43"/>
      <c r="M22" s="46">
        <f>K22-G22</f>
        <v>8.0000000000000071E-2</v>
      </c>
      <c r="N22" s="47">
        <f>IF((G22)=0,"",(M22/G22))</f>
        <v>9.6969696969697056E-3</v>
      </c>
      <c r="Q22" s="181">
        <f>E22*1.0098</f>
        <v>8.3308499999999999</v>
      </c>
      <c r="R22" s="183">
        <f>8.25-Q22</f>
        <v>-8.0849999999999866E-2</v>
      </c>
      <c r="S22" s="184">
        <f>R22/Q22</f>
        <v>-9.7048920578332188E-3</v>
      </c>
    </row>
    <row r="23" spans="1:19">
      <c r="A23" s="37" t="s">
        <v>19</v>
      </c>
      <c r="B23" s="37"/>
      <c r="C23" s="38"/>
      <c r="D23" s="39"/>
      <c r="E23" s="48">
        <v>1.67E-2</v>
      </c>
      <c r="F23" s="49">
        <v>2000</v>
      </c>
      <c r="G23" s="42">
        <f>F23*E23</f>
        <v>33.4</v>
      </c>
      <c r="H23" s="43"/>
      <c r="I23" s="48">
        <v>1.6899999999999998E-2</v>
      </c>
      <c r="J23" s="50">
        <f>F23</f>
        <v>2000</v>
      </c>
      <c r="K23" s="42">
        <f>J23*I23</f>
        <v>33.799999999999997</v>
      </c>
      <c r="L23" s="43"/>
      <c r="M23" s="46">
        <f>K23-G23</f>
        <v>0.39999999999999858</v>
      </c>
      <c r="N23" s="47">
        <f>IF((G23)=0,"",(M23/G23))</f>
        <v>1.1976047904191574E-2</v>
      </c>
      <c r="Q23" s="182">
        <f>E23*1.0098</f>
        <v>1.6863659999999999E-2</v>
      </c>
      <c r="R23" s="183">
        <f>0.0169-Q23</f>
        <v>3.633999999999929E-5</v>
      </c>
      <c r="S23" s="184">
        <f>R23/Q23</f>
        <v>2.154929594168721E-3</v>
      </c>
    </row>
    <row r="24" spans="1:19">
      <c r="A24" s="51" t="s">
        <v>20</v>
      </c>
      <c r="B24" s="51"/>
      <c r="C24" s="38"/>
      <c r="D24" s="39"/>
      <c r="E24" s="52">
        <v>2.9200000000000004</v>
      </c>
      <c r="F24" s="41">
        <v>1</v>
      </c>
      <c r="G24" s="42">
        <f t="shared" ref="G24:G25" si="0">F24*E24</f>
        <v>2.9200000000000004</v>
      </c>
      <c r="H24" s="43"/>
      <c r="I24" s="52">
        <v>2.9200000000000004</v>
      </c>
      <c r="J24" s="44">
        <v>1</v>
      </c>
      <c r="K24" s="45">
        <f t="shared" ref="K24:K25" si="1">J24*I24</f>
        <v>2.9200000000000004</v>
      </c>
      <c r="L24" s="43"/>
      <c r="M24" s="46">
        <f t="shared" ref="M24:M27" si="2">K24-G24</f>
        <v>0</v>
      </c>
      <c r="N24" s="47">
        <f t="shared" ref="N24:N27" si="3">IF((G24)=0,"",(M24/G24))</f>
        <v>0</v>
      </c>
    </row>
    <row r="25" spans="1:19">
      <c r="A25" s="53" t="s">
        <v>21</v>
      </c>
      <c r="B25" s="54"/>
      <c r="C25" s="55"/>
      <c r="D25" s="56"/>
      <c r="E25" s="57">
        <v>1.1000000000000001E-3</v>
      </c>
      <c r="F25" s="58">
        <v>2000</v>
      </c>
      <c r="G25" s="59">
        <f t="shared" si="0"/>
        <v>2.2000000000000002</v>
      </c>
      <c r="H25" s="60"/>
      <c r="I25" s="57">
        <v>0</v>
      </c>
      <c r="J25" s="61">
        <f>F25</f>
        <v>2000</v>
      </c>
      <c r="K25" s="59">
        <f t="shared" si="1"/>
        <v>0</v>
      </c>
      <c r="L25" s="60"/>
      <c r="M25" s="62">
        <f t="shared" si="2"/>
        <v>-2.2000000000000002</v>
      </c>
      <c r="N25" s="63">
        <f t="shared" si="3"/>
        <v>-1</v>
      </c>
    </row>
    <row r="26" spans="1:19">
      <c r="A26" s="64" t="s">
        <v>22</v>
      </c>
      <c r="B26" s="65"/>
      <c r="C26" s="65"/>
      <c r="D26" s="66"/>
      <c r="E26" s="67"/>
      <c r="F26" s="68"/>
      <c r="G26" s="69">
        <f>SUM(G22:G25)</f>
        <v>46.77</v>
      </c>
      <c r="H26" s="70"/>
      <c r="I26" s="67"/>
      <c r="J26" s="71"/>
      <c r="K26" s="69">
        <f>SUM(K22:K25)</f>
        <v>45.05</v>
      </c>
      <c r="L26" s="72"/>
      <c r="M26" s="73">
        <f t="shared" si="2"/>
        <v>-1.720000000000006</v>
      </c>
      <c r="N26" s="74">
        <f t="shared" si="3"/>
        <v>-3.6775710925807267E-2</v>
      </c>
      <c r="O26" s="75"/>
      <c r="P26" s="75"/>
    </row>
    <row r="27" spans="1:19">
      <c r="A27" s="76" t="s">
        <v>23</v>
      </c>
      <c r="B27" s="77"/>
      <c r="C27" s="78"/>
      <c r="D27" s="79"/>
      <c r="E27" s="48">
        <f>E39*0.64+E40*0.18+E41*0.18</f>
        <v>8.3919999999999995E-2</v>
      </c>
      <c r="F27" s="80">
        <f>E12*(E11-1)</f>
        <v>85.999999999999858</v>
      </c>
      <c r="G27" s="42">
        <f>E27*F27</f>
        <v>7.217119999999988</v>
      </c>
      <c r="H27" s="70"/>
      <c r="I27" s="48">
        <f>I39*0.64+I40*0.18+I41*0.18</f>
        <v>8.3919999999999995E-2</v>
      </c>
      <c r="J27" s="80">
        <f>F27</f>
        <v>85.999999999999858</v>
      </c>
      <c r="K27" s="42">
        <f>I27*J27</f>
        <v>7.217119999999988</v>
      </c>
      <c r="L27" s="81"/>
      <c r="M27" s="46">
        <f t="shared" si="2"/>
        <v>0</v>
      </c>
      <c r="N27" s="47">
        <f t="shared" si="3"/>
        <v>0</v>
      </c>
    </row>
    <row r="28" spans="1:19" ht="25.5">
      <c r="A28" s="76" t="s">
        <v>24</v>
      </c>
      <c r="B28" s="77"/>
      <c r="C28" s="78"/>
      <c r="D28" s="79"/>
      <c r="E28" s="48">
        <v>2.9999999999999997E-4</v>
      </c>
      <c r="F28" s="80">
        <v>2000</v>
      </c>
      <c r="G28" s="42">
        <f>F28*E28</f>
        <v>0.6</v>
      </c>
      <c r="H28" s="70"/>
      <c r="I28" s="48">
        <v>2.9999999999999997E-4</v>
      </c>
      <c r="J28" s="80">
        <f>F28</f>
        <v>2000</v>
      </c>
      <c r="K28" s="42">
        <f>J28*I28</f>
        <v>0.6</v>
      </c>
      <c r="L28" s="81"/>
      <c r="M28" s="46">
        <f>K28-G28</f>
        <v>0</v>
      </c>
      <c r="N28" s="47">
        <f>IF((G28)=0,"",(M28/G28))</f>
        <v>0</v>
      </c>
    </row>
    <row r="29" spans="1:19" hidden="1">
      <c r="A29" s="82" t="s">
        <v>25</v>
      </c>
      <c r="B29" s="77"/>
      <c r="C29" s="78"/>
      <c r="D29" s="79"/>
      <c r="E29" s="48"/>
      <c r="F29" s="80">
        <v>2000</v>
      </c>
      <c r="G29" s="42">
        <f>F29*E29</f>
        <v>0</v>
      </c>
      <c r="H29" s="70"/>
      <c r="I29" s="48"/>
      <c r="J29" s="80">
        <f>F29</f>
        <v>2000</v>
      </c>
      <c r="K29" s="42">
        <f>J29*I29</f>
        <v>0</v>
      </c>
      <c r="L29" s="81"/>
      <c r="M29" s="46">
        <f>K29-G29</f>
        <v>0</v>
      </c>
      <c r="N29" s="47" t="str">
        <f>IF((G29)=0,"",(M29/G29))</f>
        <v/>
      </c>
    </row>
    <row r="30" spans="1:19" hidden="1">
      <c r="A30" s="82" t="s">
        <v>26</v>
      </c>
      <c r="B30" s="77"/>
      <c r="C30" s="78"/>
      <c r="D30" s="79"/>
      <c r="E30" s="48"/>
      <c r="F30" s="80">
        <v>1</v>
      </c>
      <c r="G30" s="42">
        <f>F30*E30</f>
        <v>0</v>
      </c>
      <c r="H30" s="70"/>
      <c r="I30" s="48"/>
      <c r="J30" s="80">
        <f>F30</f>
        <v>1</v>
      </c>
      <c r="K30" s="42">
        <f>J30*I30</f>
        <v>0</v>
      </c>
      <c r="L30" s="81"/>
      <c r="M30" s="46">
        <f>K30-G30</f>
        <v>0</v>
      </c>
      <c r="N30" s="47" t="str">
        <f>IF((G30)=0,"",(M30/G30))</f>
        <v/>
      </c>
    </row>
    <row r="31" spans="1:19" ht="25.5">
      <c r="A31" s="83" t="s">
        <v>27</v>
      </c>
      <c r="B31" s="84"/>
      <c r="C31" s="84"/>
      <c r="D31" s="85"/>
      <c r="E31" s="86"/>
      <c r="F31" s="86"/>
      <c r="G31" s="87">
        <f>SUM(G28:G30)+G26</f>
        <v>47.370000000000005</v>
      </c>
      <c r="H31" s="70"/>
      <c r="I31" s="86"/>
      <c r="J31" s="88"/>
      <c r="K31" s="87">
        <f>SUM(K28:K30)+K26</f>
        <v>45.65</v>
      </c>
      <c r="L31" s="72"/>
      <c r="M31" s="89">
        <f t="shared" ref="M31:M47" si="4">K31-G31</f>
        <v>-1.720000000000006</v>
      </c>
      <c r="N31" s="90">
        <f t="shared" ref="N31:N47" si="5">IF((G31)=0,"",(M31/G31))</f>
        <v>-3.6309900781085196E-2</v>
      </c>
    </row>
    <row r="32" spans="1:19">
      <c r="A32" s="91" t="s">
        <v>28</v>
      </c>
      <c r="B32" s="91"/>
      <c r="C32" s="92"/>
      <c r="D32" s="93"/>
      <c r="E32" s="48">
        <v>6.6E-3</v>
      </c>
      <c r="F32" s="94">
        <v>2086</v>
      </c>
      <c r="G32" s="42">
        <f>F32*E32</f>
        <v>13.7676</v>
      </c>
      <c r="H32" s="70"/>
      <c r="I32" s="48">
        <v>6.7999999999999996E-3</v>
      </c>
      <c r="J32" s="95">
        <f>F32</f>
        <v>2086</v>
      </c>
      <c r="K32" s="42">
        <f>J32*I32</f>
        <v>14.184799999999999</v>
      </c>
      <c r="L32" s="81"/>
      <c r="M32" s="46">
        <f t="shared" si="4"/>
        <v>0.41719999999999935</v>
      </c>
      <c r="N32" s="47">
        <f t="shared" si="5"/>
        <v>3.0303030303030255E-2</v>
      </c>
    </row>
    <row r="33" spans="1:14">
      <c r="A33" s="174" t="s">
        <v>29</v>
      </c>
      <c r="B33" s="174"/>
      <c r="C33" s="174"/>
      <c r="D33" s="93"/>
      <c r="E33" s="48">
        <v>5.1999999999999998E-3</v>
      </c>
      <c r="F33" s="94">
        <v>2086</v>
      </c>
      <c r="G33" s="42">
        <f>F33*E33</f>
        <v>10.847199999999999</v>
      </c>
      <c r="H33" s="70"/>
      <c r="I33" s="48">
        <v>5.1999999999999998E-3</v>
      </c>
      <c r="J33" s="95">
        <f>F33</f>
        <v>2086</v>
      </c>
      <c r="K33" s="42">
        <f>J33*I33</f>
        <v>10.847199999999999</v>
      </c>
      <c r="L33" s="81"/>
      <c r="M33" s="46">
        <f t="shared" si="4"/>
        <v>0</v>
      </c>
      <c r="N33" s="47">
        <f t="shared" si="5"/>
        <v>0</v>
      </c>
    </row>
    <row r="34" spans="1:14" ht="25.5">
      <c r="A34" s="83" t="s">
        <v>30</v>
      </c>
      <c r="B34" s="96"/>
      <c r="C34" s="96"/>
      <c r="D34" s="97"/>
      <c r="E34" s="86"/>
      <c r="F34" s="86"/>
      <c r="G34" s="87">
        <f>SUM(G31:G33)</f>
        <v>71.984800000000007</v>
      </c>
      <c r="H34" s="98"/>
      <c r="I34" s="99"/>
      <c r="J34" s="100"/>
      <c r="K34" s="87">
        <f>SUM(K31:K33)</f>
        <v>70.682000000000002</v>
      </c>
      <c r="L34" s="101"/>
      <c r="M34" s="89">
        <f t="shared" si="4"/>
        <v>-1.3028000000000048</v>
      </c>
      <c r="N34" s="90">
        <f t="shared" si="5"/>
        <v>-1.809826518931781E-2</v>
      </c>
    </row>
    <row r="35" spans="1:14" ht="25.5">
      <c r="A35" s="102" t="s">
        <v>31</v>
      </c>
      <c r="B35" s="77"/>
      <c r="C35" s="78"/>
      <c r="D35" s="79"/>
      <c r="E35" s="103">
        <v>4.4000000000000003E-3</v>
      </c>
      <c r="F35" s="94">
        <f>E12*E11</f>
        <v>2086</v>
      </c>
      <c r="G35" s="104">
        <f t="shared" ref="G35:G41" si="6">F35*E35</f>
        <v>9.1783999999999999</v>
      </c>
      <c r="H35" s="81"/>
      <c r="I35" s="103">
        <v>4.4000000000000003E-3</v>
      </c>
      <c r="J35" s="95">
        <f>E12*E11</f>
        <v>2086</v>
      </c>
      <c r="K35" s="104">
        <f t="shared" ref="K35:K41" si="7">J35*I35</f>
        <v>9.1783999999999999</v>
      </c>
      <c r="L35" s="81"/>
      <c r="M35" s="46">
        <f t="shared" si="4"/>
        <v>0</v>
      </c>
      <c r="N35" s="105">
        <f t="shared" si="5"/>
        <v>0</v>
      </c>
    </row>
    <row r="36" spans="1:14" ht="25.5">
      <c r="A36" s="102" t="s">
        <v>32</v>
      </c>
      <c r="B36" s="77"/>
      <c r="C36" s="78"/>
      <c r="D36" s="79"/>
      <c r="E36" s="103">
        <v>1.1999999999999999E-3</v>
      </c>
      <c r="F36" s="94">
        <f>E12*E11</f>
        <v>2086</v>
      </c>
      <c r="G36" s="104">
        <f t="shared" si="6"/>
        <v>2.5031999999999996</v>
      </c>
      <c r="H36" s="81"/>
      <c r="I36" s="103">
        <v>1.1999999999999999E-3</v>
      </c>
      <c r="J36" s="95">
        <f>E12*E11</f>
        <v>2086</v>
      </c>
      <c r="K36" s="104">
        <f t="shared" si="7"/>
        <v>2.5031999999999996</v>
      </c>
      <c r="L36" s="81"/>
      <c r="M36" s="46">
        <f t="shared" si="4"/>
        <v>0</v>
      </c>
      <c r="N36" s="105">
        <f t="shared" si="5"/>
        <v>0</v>
      </c>
    </row>
    <row r="37" spans="1:14">
      <c r="A37" s="77" t="s">
        <v>33</v>
      </c>
      <c r="B37" s="77"/>
      <c r="C37" s="78"/>
      <c r="D37" s="79"/>
      <c r="E37" s="103">
        <v>0.25</v>
      </c>
      <c r="F37" s="94">
        <v>1</v>
      </c>
      <c r="G37" s="104">
        <f t="shared" si="6"/>
        <v>0.25</v>
      </c>
      <c r="H37" s="81"/>
      <c r="I37" s="103">
        <v>0.25</v>
      </c>
      <c r="J37" s="95">
        <v>1</v>
      </c>
      <c r="K37" s="104">
        <f t="shared" si="7"/>
        <v>0.25</v>
      </c>
      <c r="L37" s="81"/>
      <c r="M37" s="46">
        <f t="shared" si="4"/>
        <v>0</v>
      </c>
      <c r="N37" s="105">
        <f t="shared" si="5"/>
        <v>0</v>
      </c>
    </row>
    <row r="38" spans="1:14">
      <c r="A38" s="77" t="s">
        <v>34</v>
      </c>
      <c r="B38" s="77"/>
      <c r="C38" s="78"/>
      <c r="D38" s="79"/>
      <c r="E38" s="103">
        <v>7.0000000000000001E-3</v>
      </c>
      <c r="F38" s="94">
        <f>E12</f>
        <v>2000</v>
      </c>
      <c r="G38" s="104">
        <f t="shared" si="6"/>
        <v>14</v>
      </c>
      <c r="H38" s="81"/>
      <c r="I38" s="103">
        <v>7.0000000000000001E-3</v>
      </c>
      <c r="J38" s="95">
        <f>E12</f>
        <v>2000</v>
      </c>
      <c r="K38" s="104">
        <f t="shared" si="7"/>
        <v>14</v>
      </c>
      <c r="L38" s="81"/>
      <c r="M38" s="46">
        <f t="shared" si="4"/>
        <v>0</v>
      </c>
      <c r="N38" s="105">
        <f t="shared" si="5"/>
        <v>0</v>
      </c>
    </row>
    <row r="39" spans="1:14">
      <c r="A39" s="82" t="s">
        <v>35</v>
      </c>
      <c r="B39" s="77"/>
      <c r="C39" s="78"/>
      <c r="D39" s="79"/>
      <c r="E39" s="106">
        <v>6.7000000000000004E-2</v>
      </c>
      <c r="F39" s="94">
        <v>1280</v>
      </c>
      <c r="G39" s="104">
        <f t="shared" si="6"/>
        <v>85.76</v>
      </c>
      <c r="H39" s="81"/>
      <c r="I39" s="103">
        <v>6.7000000000000004E-2</v>
      </c>
      <c r="J39" s="94">
        <f t="shared" ref="J39:J40" si="8">F39</f>
        <v>1280</v>
      </c>
      <c r="K39" s="104">
        <f t="shared" si="7"/>
        <v>85.76</v>
      </c>
      <c r="L39" s="81"/>
      <c r="M39" s="46">
        <f t="shared" si="4"/>
        <v>0</v>
      </c>
      <c r="N39" s="105">
        <f t="shared" si="5"/>
        <v>0</v>
      </c>
    </row>
    <row r="40" spans="1:14">
      <c r="A40" s="82" t="s">
        <v>36</v>
      </c>
      <c r="B40" s="77"/>
      <c r="C40" s="78"/>
      <c r="D40" s="79"/>
      <c r="E40" s="106">
        <v>0.104</v>
      </c>
      <c r="F40" s="94">
        <v>360</v>
      </c>
      <c r="G40" s="104">
        <f t="shared" si="6"/>
        <v>37.44</v>
      </c>
      <c r="H40" s="81"/>
      <c r="I40" s="103">
        <v>0.104</v>
      </c>
      <c r="J40" s="94">
        <f t="shared" si="8"/>
        <v>360</v>
      </c>
      <c r="K40" s="104">
        <f t="shared" si="7"/>
        <v>37.44</v>
      </c>
      <c r="L40" s="81"/>
      <c r="M40" s="46">
        <f t="shared" si="4"/>
        <v>0</v>
      </c>
      <c r="N40" s="105">
        <f t="shared" si="5"/>
        <v>0</v>
      </c>
    </row>
    <row r="41" spans="1:14" ht="15.75" thickBot="1">
      <c r="A41" s="29" t="s">
        <v>37</v>
      </c>
      <c r="B41" s="77"/>
      <c r="C41" s="78"/>
      <c r="D41" s="79"/>
      <c r="E41" s="106">
        <v>0.124</v>
      </c>
      <c r="F41" s="94">
        <v>360</v>
      </c>
      <c r="G41" s="104">
        <f t="shared" si="6"/>
        <v>44.64</v>
      </c>
      <c r="H41" s="81"/>
      <c r="I41" s="103">
        <v>0.124</v>
      </c>
      <c r="J41" s="94">
        <f>F41</f>
        <v>360</v>
      </c>
      <c r="K41" s="104">
        <f t="shared" si="7"/>
        <v>44.64</v>
      </c>
      <c r="L41" s="81"/>
      <c r="M41" s="46">
        <f t="shared" si="4"/>
        <v>0</v>
      </c>
      <c r="N41" s="105">
        <f t="shared" si="5"/>
        <v>0</v>
      </c>
    </row>
    <row r="42" spans="1:14" ht="15.75" thickBot="1">
      <c r="A42" s="107"/>
      <c r="B42" s="108"/>
      <c r="C42" s="108"/>
      <c r="D42" s="109"/>
      <c r="E42" s="110"/>
      <c r="F42" s="111"/>
      <c r="G42" s="112"/>
      <c r="H42" s="113"/>
      <c r="I42" s="110"/>
      <c r="J42" s="114"/>
      <c r="K42" s="112"/>
      <c r="L42" s="113"/>
      <c r="M42" s="115"/>
      <c r="N42" s="116"/>
    </row>
    <row r="43" spans="1:14">
      <c r="A43" s="117" t="s">
        <v>38</v>
      </c>
      <c r="B43" s="77"/>
      <c r="C43" s="77"/>
      <c r="D43" s="118"/>
      <c r="E43" s="119"/>
      <c r="F43" s="120"/>
      <c r="G43" s="121">
        <f>SUM(G34:G38,G39:G41)</f>
        <v>265.75639999999999</v>
      </c>
      <c r="H43" s="122"/>
      <c r="I43" s="123"/>
      <c r="J43" s="123"/>
      <c r="K43" s="124">
        <f>SUM(K34:K38,K39:K41)</f>
        <v>264.45359999999999</v>
      </c>
      <c r="L43" s="125"/>
      <c r="M43" s="126">
        <f t="shared" ref="M43" si="9">K43-G43</f>
        <v>-1.3027999999999906</v>
      </c>
      <c r="N43" s="127">
        <f t="shared" ref="N43" si="10">IF((G43)=0,"",(M43/G43))</f>
        <v>-4.9022337749908967E-3</v>
      </c>
    </row>
    <row r="44" spans="1:14">
      <c r="A44" s="128" t="s">
        <v>39</v>
      </c>
      <c r="B44" s="77"/>
      <c r="C44" s="77"/>
      <c r="D44" s="118"/>
      <c r="E44" s="119">
        <v>0.13</v>
      </c>
      <c r="F44" s="129"/>
      <c r="G44" s="130">
        <f>G43*E44</f>
        <v>34.548332000000002</v>
      </c>
      <c r="H44" s="41"/>
      <c r="I44" s="119">
        <v>0.13</v>
      </c>
      <c r="J44" s="41"/>
      <c r="K44" s="131">
        <f>K43*I44</f>
        <v>34.378968</v>
      </c>
      <c r="L44" s="132"/>
      <c r="M44" s="133">
        <f t="shared" si="4"/>
        <v>-0.16936400000000162</v>
      </c>
      <c r="N44" s="134">
        <f t="shared" si="5"/>
        <v>-4.9022337749909783E-3</v>
      </c>
    </row>
    <row r="45" spans="1:14">
      <c r="A45" s="135" t="s">
        <v>40</v>
      </c>
      <c r="B45" s="77"/>
      <c r="C45" s="77"/>
      <c r="D45" s="118"/>
      <c r="E45" s="41"/>
      <c r="F45" s="129"/>
      <c r="G45" s="130">
        <f>G43+G44</f>
        <v>300.304732</v>
      </c>
      <c r="H45" s="41"/>
      <c r="I45" s="41"/>
      <c r="J45" s="41"/>
      <c r="K45" s="131">
        <f>K43+K44</f>
        <v>298.83256799999998</v>
      </c>
      <c r="L45" s="132"/>
      <c r="M45" s="133">
        <f t="shared" si="4"/>
        <v>-1.4721640000000207</v>
      </c>
      <c r="N45" s="134">
        <f t="shared" si="5"/>
        <v>-4.902233774991E-3</v>
      </c>
    </row>
    <row r="46" spans="1:14">
      <c r="A46" s="180" t="s">
        <v>41</v>
      </c>
      <c r="B46" s="180"/>
      <c r="C46" s="180"/>
      <c r="D46" s="118"/>
      <c r="E46" s="41"/>
      <c r="F46" s="129"/>
      <c r="G46" s="136">
        <f>ROUND(-G45*10%,2)</f>
        <v>-30.03</v>
      </c>
      <c r="H46" s="41"/>
      <c r="I46" s="41"/>
      <c r="J46" s="41"/>
      <c r="K46" s="137">
        <f>ROUND(-K45*10%,2)</f>
        <v>-29.88</v>
      </c>
      <c r="L46" s="132"/>
      <c r="M46" s="138">
        <f t="shared" si="4"/>
        <v>0.15000000000000213</v>
      </c>
      <c r="N46" s="139">
        <f t="shared" si="5"/>
        <v>-4.9950049950050661E-3</v>
      </c>
    </row>
    <row r="47" spans="1:14" ht="15.75" thickBot="1">
      <c r="A47" s="175" t="s">
        <v>42</v>
      </c>
      <c r="B47" s="175"/>
      <c r="C47" s="175"/>
      <c r="D47" s="140"/>
      <c r="E47" s="141"/>
      <c r="F47" s="142"/>
      <c r="G47" s="143">
        <f>G45+G46</f>
        <v>270.27473199999997</v>
      </c>
      <c r="H47" s="144"/>
      <c r="I47" s="144"/>
      <c r="J47" s="144"/>
      <c r="K47" s="145">
        <f>K45+K46</f>
        <v>268.95256799999999</v>
      </c>
      <c r="L47" s="146"/>
      <c r="M47" s="73">
        <f t="shared" si="4"/>
        <v>-1.3221639999999866</v>
      </c>
      <c r="N47" s="74">
        <f t="shared" si="5"/>
        <v>-4.8919260421280766E-3</v>
      </c>
    </row>
    <row r="48" spans="1:14" ht="15.75" thickBot="1">
      <c r="A48" s="107"/>
      <c r="B48" s="108"/>
      <c r="C48" s="108"/>
      <c r="D48" s="109"/>
      <c r="E48" s="147"/>
      <c r="F48" s="148"/>
      <c r="G48" s="149"/>
      <c r="H48" s="150"/>
      <c r="I48" s="147"/>
      <c r="J48" s="150"/>
      <c r="K48" s="151"/>
      <c r="L48" s="148"/>
      <c r="M48" s="152"/>
      <c r="N48" s="153"/>
    </row>
    <row r="49" spans="1:11">
      <c r="A49" s="5"/>
      <c r="B49" s="5"/>
      <c r="C49" s="5"/>
      <c r="K49" s="154"/>
    </row>
    <row r="50" spans="1:11">
      <c r="A50" s="5"/>
      <c r="B50" s="5"/>
      <c r="C50" s="5"/>
    </row>
    <row r="51" spans="1:11">
      <c r="A51" s="5"/>
      <c r="B51" s="5"/>
      <c r="C51" s="5"/>
    </row>
    <row r="52" spans="1:11">
      <c r="A52" s="19" t="s">
        <v>43</v>
      </c>
      <c r="B52" s="5"/>
      <c r="C52" s="5"/>
    </row>
    <row r="53" spans="1:11">
      <c r="A53" s="5"/>
      <c r="B53" s="5"/>
      <c r="C53" s="5"/>
    </row>
  </sheetData>
  <mergeCells count="12">
    <mergeCell ref="A47:C47"/>
    <mergeCell ref="A2:J2"/>
    <mergeCell ref="C10:K10"/>
    <mergeCell ref="E17:J17"/>
    <mergeCell ref="E19:G19"/>
    <mergeCell ref="I19:K19"/>
    <mergeCell ref="A46:C46"/>
    <mergeCell ref="M19:N19"/>
    <mergeCell ref="C20:C21"/>
    <mergeCell ref="M20:M21"/>
    <mergeCell ref="N20:N21"/>
    <mergeCell ref="A33:C33"/>
  </mergeCells>
  <dataValidations count="4">
    <dataValidation showDropDown="1" showInputMessage="1" showErrorMessage="1" prompt="Select Charge Unit - monthly, per kWh, per kW" sqref="C22:C25 C28:C30 C32 C35:C41"/>
    <dataValidation type="list" allowBlank="1" showInputMessage="1" showErrorMessage="1" sqref="D32:D33 D48 D22:D25 D28:D30 D35:D42">
      <formula1>#REF!</formula1>
    </dataValidation>
    <dataValidation type="list" allowBlank="1" showInputMessage="1" showErrorMessage="1" prompt="Select Charge Unit - monthly, per kWh, per kW" sqref="C42 C48">
      <formula1>"Monthly, per kWh, per kW"</formula1>
    </dataValidation>
    <dataValidation type="list" allowBlank="1" showInputMessage="1" showErrorMessage="1" sqref="C10">
      <formula1>BI_LDCLIST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headerFooter>
    <oddFooter>&amp;L&amp;A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workbookViewId="0">
      <selection activeCell="Q22" sqref="Q22:Q23"/>
    </sheetView>
  </sheetViews>
  <sheetFormatPr defaultRowHeight="15"/>
  <cols>
    <col min="1" max="1" width="26.5703125" style="11" customWidth="1"/>
    <col min="2" max="2" width="1.28515625" style="11" customWidth="1"/>
    <col min="3" max="3" width="11.28515625" style="11" customWidth="1"/>
    <col min="4" max="4" width="1.28515625" style="11" customWidth="1"/>
    <col min="5" max="7" width="12.7109375" style="11" customWidth="1"/>
    <col min="8" max="8" width="2.85546875" style="11" customWidth="1"/>
    <col min="9" max="11" width="12.7109375" style="11" customWidth="1"/>
    <col min="12" max="12" width="2.85546875" style="11" customWidth="1"/>
    <col min="13" max="13" width="12.7109375" style="11" customWidth="1"/>
    <col min="14" max="14" width="12.85546875" style="11" customWidth="1"/>
    <col min="15" max="15" width="3.85546875" style="5" customWidth="1"/>
    <col min="16" max="16" width="9.140625" style="5"/>
    <col min="17" max="17" width="11.85546875" style="5" customWidth="1"/>
  </cols>
  <sheetData>
    <row r="1" spans="1:18" ht="18">
      <c r="A1" s="7"/>
      <c r="B1" s="7"/>
      <c r="C1" s="7"/>
      <c r="D1" s="7"/>
      <c r="E1" s="7"/>
      <c r="F1" s="7"/>
      <c r="G1" s="7"/>
      <c r="H1" s="7"/>
      <c r="I1" s="7"/>
      <c r="J1" s="7"/>
      <c r="K1" s="1"/>
      <c r="L1" s="2"/>
      <c r="M1" s="3"/>
      <c r="N1" s="8"/>
      <c r="P1" s="6"/>
      <c r="Q1" s="6"/>
      <c r="R1" s="6"/>
    </row>
    <row r="2" spans="1:18" ht="18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"/>
      <c r="L2" s="2"/>
      <c r="M2" s="3"/>
      <c r="N2" s="8"/>
      <c r="P2" s="6"/>
      <c r="Q2" s="6"/>
      <c r="R2" s="6"/>
    </row>
    <row r="3" spans="1:18" ht="18">
      <c r="A3" s="7"/>
      <c r="B3" s="7"/>
      <c r="C3" s="7"/>
      <c r="D3" s="7"/>
      <c r="E3" s="7"/>
      <c r="F3" s="7"/>
      <c r="G3" s="7"/>
      <c r="H3" s="9"/>
      <c r="I3" s="9"/>
      <c r="J3" s="9"/>
      <c r="K3" s="1"/>
      <c r="L3" s="2"/>
      <c r="M3" s="3"/>
      <c r="N3" s="8"/>
      <c r="P3" s="6"/>
      <c r="Q3" s="6"/>
      <c r="R3" s="6"/>
    </row>
    <row r="4" spans="1:18" ht="15.75">
      <c r="A4" s="1"/>
      <c r="B4" s="10"/>
      <c r="C4" s="10"/>
      <c r="D4" s="10"/>
      <c r="E4" s="1"/>
      <c r="F4" s="1"/>
      <c r="G4" s="1"/>
      <c r="H4" s="1"/>
      <c r="I4" s="1"/>
      <c r="J4" s="1"/>
      <c r="K4" s="1"/>
      <c r="L4" s="2"/>
      <c r="M4" s="3"/>
      <c r="N4" s="4"/>
      <c r="P4" s="6"/>
      <c r="Q4" s="6"/>
      <c r="R4" s="6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P5" s="6"/>
      <c r="Q5" s="6"/>
      <c r="R5" s="6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P6" s="6"/>
      <c r="Q6" s="6"/>
      <c r="R6" s="6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P7" s="6"/>
      <c r="Q7" s="6"/>
      <c r="R7" s="6"/>
    </row>
    <row r="8" spans="1:18">
      <c r="R8" s="5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5.75">
      <c r="A10" s="12" t="s">
        <v>0</v>
      </c>
      <c r="C10" s="177" t="s">
        <v>45</v>
      </c>
      <c r="D10" s="177"/>
      <c r="E10" s="177"/>
      <c r="F10" s="177"/>
      <c r="G10" s="177"/>
      <c r="H10" s="177"/>
      <c r="I10" s="177"/>
      <c r="J10" s="177"/>
      <c r="K10" s="177"/>
      <c r="L10" s="13"/>
      <c r="M10" s="13"/>
      <c r="N10" s="13"/>
    </row>
    <row r="11" spans="1:18" ht="15.75">
      <c r="A11" s="12" t="s">
        <v>2</v>
      </c>
      <c r="C11" s="14"/>
      <c r="D11" s="14"/>
      <c r="E11" s="15">
        <v>1.0429999999999999</v>
      </c>
      <c r="F11" s="14"/>
      <c r="G11" s="14"/>
      <c r="H11" s="14"/>
      <c r="I11" s="14"/>
      <c r="J11" s="14"/>
      <c r="K11" s="14"/>
      <c r="L11" s="14"/>
      <c r="M11" s="14"/>
      <c r="N11" s="14"/>
    </row>
    <row r="12" spans="1:18">
      <c r="A12" s="12" t="s">
        <v>3</v>
      </c>
      <c r="C12" s="16" t="s">
        <v>4</v>
      </c>
      <c r="D12" s="17"/>
      <c r="E12" s="155">
        <f>730*E15*E16</f>
        <v>57941</v>
      </c>
    </row>
    <row r="13" spans="1:18" hidden="1">
      <c r="A13" s="5"/>
      <c r="B13" s="5"/>
      <c r="C13" s="5"/>
      <c r="D13" s="5"/>
      <c r="E13" s="5"/>
      <c r="F13" s="19"/>
      <c r="G13" s="5"/>
      <c r="H13" s="5"/>
      <c r="I13" s="5"/>
      <c r="J13" s="5"/>
      <c r="K13" s="5"/>
      <c r="L13" s="5"/>
      <c r="M13" s="5"/>
      <c r="N13" s="5"/>
    </row>
    <row r="14" spans="1:18" hidden="1">
      <c r="A14" s="20" t="s">
        <v>5</v>
      </c>
      <c r="F14" s="17"/>
    </row>
    <row r="15" spans="1:18">
      <c r="A15" s="21" t="s">
        <v>6</v>
      </c>
      <c r="B15" s="22"/>
      <c r="C15" s="23" t="s">
        <v>7</v>
      </c>
      <c r="D15" s="24"/>
      <c r="E15" s="156">
        <v>142</v>
      </c>
      <c r="F15" s="17"/>
    </row>
    <row r="16" spans="1:18">
      <c r="A16" s="21" t="s">
        <v>8</v>
      </c>
      <c r="B16" s="22"/>
      <c r="C16" s="23"/>
      <c r="D16" s="24"/>
      <c r="E16" s="157">
        <f>57941/730/142</f>
        <v>0.55895234420219952</v>
      </c>
    </row>
    <row r="17" spans="1:17" hidden="1">
      <c r="A17" s="27"/>
      <c r="B17" s="5"/>
      <c r="C17" s="28"/>
      <c r="D17" s="19"/>
      <c r="E17" s="178" t="str">
        <f>IF(AND(ISNUMBER(E15), ISBLANK(E16)), "Please enter a load factor", "")</f>
        <v/>
      </c>
      <c r="F17" s="178"/>
      <c r="G17" s="178"/>
      <c r="H17" s="178"/>
      <c r="I17" s="178"/>
      <c r="J17" s="178"/>
      <c r="K17" s="5"/>
      <c r="L17" s="5"/>
      <c r="M17" s="5"/>
      <c r="N17" s="5"/>
    </row>
    <row r="18" spans="1:17">
      <c r="A18" s="2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7">
      <c r="A19" s="29"/>
      <c r="B19" s="5"/>
      <c r="C19" s="30"/>
      <c r="D19" s="30"/>
      <c r="E19" s="166" t="s">
        <v>9</v>
      </c>
      <c r="F19" s="179"/>
      <c r="G19" s="167"/>
      <c r="H19" s="5"/>
      <c r="I19" s="166" t="s">
        <v>10</v>
      </c>
      <c r="J19" s="179"/>
      <c r="K19" s="167"/>
      <c r="L19" s="5"/>
      <c r="M19" s="166" t="s">
        <v>11</v>
      </c>
      <c r="N19" s="167"/>
    </row>
    <row r="20" spans="1:17">
      <c r="A20" s="29"/>
      <c r="B20" s="5"/>
      <c r="C20" s="168"/>
      <c r="D20" s="31"/>
      <c r="E20" s="32" t="s">
        <v>12</v>
      </c>
      <c r="F20" s="32" t="s">
        <v>13</v>
      </c>
      <c r="G20" s="33" t="s">
        <v>14</v>
      </c>
      <c r="H20" s="5"/>
      <c r="I20" s="32" t="s">
        <v>12</v>
      </c>
      <c r="J20" s="34" t="s">
        <v>13</v>
      </c>
      <c r="K20" s="33" t="s">
        <v>14</v>
      </c>
      <c r="L20" s="5"/>
      <c r="M20" s="170" t="s">
        <v>15</v>
      </c>
      <c r="N20" s="172" t="s">
        <v>16</v>
      </c>
    </row>
    <row r="21" spans="1:17">
      <c r="A21" s="29"/>
      <c r="B21" s="5"/>
      <c r="C21" s="169"/>
      <c r="D21" s="31"/>
      <c r="E21" s="35" t="s">
        <v>17</v>
      </c>
      <c r="F21" s="35"/>
      <c r="G21" s="36" t="s">
        <v>17</v>
      </c>
      <c r="H21" s="5"/>
      <c r="I21" s="35" t="s">
        <v>17</v>
      </c>
      <c r="J21" s="36"/>
      <c r="K21" s="36" t="s">
        <v>17</v>
      </c>
      <c r="L21" s="5"/>
      <c r="M21" s="171"/>
      <c r="N21" s="173"/>
    </row>
    <row r="22" spans="1:17">
      <c r="A22" s="37" t="s">
        <v>18</v>
      </c>
      <c r="B22" s="37"/>
      <c r="C22" s="38"/>
      <c r="D22" s="39"/>
      <c r="E22" s="40">
        <v>42.47</v>
      </c>
      <c r="F22" s="41">
        <v>1</v>
      </c>
      <c r="G22" s="42">
        <f>F22*E22</f>
        <v>42.47</v>
      </c>
      <c r="H22" s="43"/>
      <c r="I22" s="40">
        <v>42.89</v>
      </c>
      <c r="J22" s="44">
        <v>1</v>
      </c>
      <c r="K22" s="45">
        <f>J22*I22</f>
        <v>42.89</v>
      </c>
      <c r="L22" s="43"/>
      <c r="M22" s="46">
        <f>K22-G22</f>
        <v>0.42000000000000171</v>
      </c>
      <c r="N22" s="47">
        <f>IF((G22)=0,"",(M22/G22))</f>
        <v>9.8893336472804742E-3</v>
      </c>
      <c r="Q22" s="181">
        <f>E22*1.0098</f>
        <v>42.886206000000001</v>
      </c>
    </row>
    <row r="23" spans="1:17">
      <c r="A23" s="37" t="s">
        <v>19</v>
      </c>
      <c r="B23" s="37"/>
      <c r="C23" s="38"/>
      <c r="D23" s="39"/>
      <c r="E23" s="48">
        <v>3.6530999999999998</v>
      </c>
      <c r="F23" s="49">
        <v>142</v>
      </c>
      <c r="G23" s="42">
        <f>F23*E23</f>
        <v>518.74019999999996</v>
      </c>
      <c r="H23" s="43"/>
      <c r="I23" s="48">
        <v>3.6888999999999998</v>
      </c>
      <c r="J23" s="50">
        <f>F23</f>
        <v>142</v>
      </c>
      <c r="K23" s="42">
        <f>J23*I23</f>
        <v>523.82380000000001</v>
      </c>
      <c r="L23" s="43"/>
      <c r="M23" s="46">
        <f>K23-G23</f>
        <v>5.0836000000000467</v>
      </c>
      <c r="N23" s="47">
        <f>IF((G23)=0,"",(M23/G23))</f>
        <v>9.7998959787578589E-3</v>
      </c>
      <c r="Q23" s="182">
        <f>E23*1.0098</f>
        <v>3.6889003799999998</v>
      </c>
    </row>
    <row r="24" spans="1:17">
      <c r="A24" s="51" t="s">
        <v>20</v>
      </c>
      <c r="B24" s="51"/>
      <c r="C24" s="38"/>
      <c r="D24" s="39"/>
      <c r="E24" s="52">
        <v>0</v>
      </c>
      <c r="F24" s="41">
        <v>1</v>
      </c>
      <c r="G24" s="42">
        <f t="shared" ref="G24:G25" si="0">F24*E24</f>
        <v>0</v>
      </c>
      <c r="H24" s="43"/>
      <c r="I24" s="52">
        <v>0</v>
      </c>
      <c r="J24" s="44">
        <v>1</v>
      </c>
      <c r="K24" s="45">
        <f t="shared" ref="K24:K25" si="1">J24*I24</f>
        <v>0</v>
      </c>
      <c r="L24" s="43"/>
      <c r="M24" s="46">
        <f t="shared" ref="M24:M27" si="2">K24-G24</f>
        <v>0</v>
      </c>
      <c r="N24" s="47" t="str">
        <f t="shared" ref="N24:N27" si="3">IF((G24)=0,"",(M24/G24))</f>
        <v/>
      </c>
    </row>
    <row r="25" spans="1:17">
      <c r="A25" s="53" t="s">
        <v>21</v>
      </c>
      <c r="B25" s="54"/>
      <c r="C25" s="55"/>
      <c r="D25" s="56"/>
      <c r="E25" s="57">
        <v>1.61E-2</v>
      </c>
      <c r="F25" s="58">
        <v>142</v>
      </c>
      <c r="G25" s="59">
        <f t="shared" si="0"/>
        <v>2.2862</v>
      </c>
      <c r="H25" s="60"/>
      <c r="I25" s="57">
        <v>0</v>
      </c>
      <c r="J25" s="61">
        <f>F25</f>
        <v>142</v>
      </c>
      <c r="K25" s="59">
        <f t="shared" si="1"/>
        <v>0</v>
      </c>
      <c r="L25" s="60"/>
      <c r="M25" s="62">
        <f t="shared" si="2"/>
        <v>-2.2862</v>
      </c>
      <c r="N25" s="63">
        <f t="shared" si="3"/>
        <v>-1</v>
      </c>
    </row>
    <row r="26" spans="1:17">
      <c r="A26" s="64" t="s">
        <v>22</v>
      </c>
      <c r="B26" s="65"/>
      <c r="C26" s="65"/>
      <c r="D26" s="66"/>
      <c r="E26" s="67"/>
      <c r="F26" s="68"/>
      <c r="G26" s="69">
        <f>SUM(G22:G25)</f>
        <v>563.49639999999999</v>
      </c>
      <c r="H26" s="70"/>
      <c r="I26" s="67"/>
      <c r="J26" s="71"/>
      <c r="K26" s="69">
        <f>SUM(K22:K25)</f>
        <v>566.71379999999999</v>
      </c>
      <c r="L26" s="72"/>
      <c r="M26" s="73">
        <f t="shared" si="2"/>
        <v>3.2173999999999978</v>
      </c>
      <c r="N26" s="74">
        <f t="shared" si="3"/>
        <v>5.7097081720486548E-3</v>
      </c>
      <c r="O26" s="75"/>
      <c r="P26" s="75"/>
      <c r="Q26" s="75"/>
    </row>
    <row r="27" spans="1:17">
      <c r="A27" s="76" t="s">
        <v>23</v>
      </c>
      <c r="B27" s="77"/>
      <c r="C27" s="78"/>
      <c r="D27" s="79"/>
      <c r="E27" s="48">
        <f>E39*0.64+E40*0.18+E41*0.18</f>
        <v>8.3919999999999995E-2</v>
      </c>
      <c r="F27" s="80">
        <f>E12*(E11-1)</f>
        <v>2491.4629999999956</v>
      </c>
      <c r="G27" s="42">
        <f>E27*F27</f>
        <v>209.08357495999962</v>
      </c>
      <c r="H27" s="70"/>
      <c r="I27" s="48">
        <f>I39*0.64+I40*0.18+I41*0.18</f>
        <v>8.3919999999999995E-2</v>
      </c>
      <c r="J27" s="80">
        <f>F27</f>
        <v>2491.4629999999956</v>
      </c>
      <c r="K27" s="42">
        <f>I27*J27</f>
        <v>209.08357495999962</v>
      </c>
      <c r="L27" s="81"/>
      <c r="M27" s="46">
        <f t="shared" si="2"/>
        <v>0</v>
      </c>
      <c r="N27" s="47">
        <f t="shared" si="3"/>
        <v>0</v>
      </c>
    </row>
    <row r="28" spans="1:17" ht="25.5">
      <c r="A28" s="76" t="s">
        <v>24</v>
      </c>
      <c r="B28" s="77"/>
      <c r="C28" s="78"/>
      <c r="D28" s="79"/>
      <c r="E28" s="48">
        <v>7.3000000000000001E-3</v>
      </c>
      <c r="F28" s="80">
        <v>142</v>
      </c>
      <c r="G28" s="42">
        <f>F28*E28</f>
        <v>1.0366</v>
      </c>
      <c r="H28" s="70"/>
      <c r="I28" s="48">
        <v>7.3000000000000001E-3</v>
      </c>
      <c r="J28" s="80">
        <f>F28</f>
        <v>142</v>
      </c>
      <c r="K28" s="42">
        <f>J28*I28</f>
        <v>1.0366</v>
      </c>
      <c r="L28" s="81"/>
      <c r="M28" s="46">
        <f>K28-G28</f>
        <v>0</v>
      </c>
      <c r="N28" s="47">
        <f>IF((G28)=0,"",(M28/G28))</f>
        <v>0</v>
      </c>
    </row>
    <row r="29" spans="1:17" hidden="1">
      <c r="A29" s="82" t="s">
        <v>25</v>
      </c>
      <c r="B29" s="77"/>
      <c r="C29" s="78"/>
      <c r="D29" s="79"/>
      <c r="E29" s="48"/>
      <c r="F29" s="80">
        <v>142</v>
      </c>
      <c r="G29" s="42">
        <f>F29*E29</f>
        <v>0</v>
      </c>
      <c r="H29" s="70"/>
      <c r="I29" s="48"/>
      <c r="J29" s="80">
        <f>F29</f>
        <v>142</v>
      </c>
      <c r="K29" s="42">
        <f>J29*I29</f>
        <v>0</v>
      </c>
      <c r="L29" s="81"/>
      <c r="M29" s="46">
        <f>K29-G29</f>
        <v>0</v>
      </c>
      <c r="N29" s="47" t="str">
        <f>IF((G29)=0,"",(M29/G29))</f>
        <v/>
      </c>
    </row>
    <row r="30" spans="1:17" hidden="1">
      <c r="A30" s="82" t="s">
        <v>26</v>
      </c>
      <c r="B30" s="77"/>
      <c r="C30" s="78"/>
      <c r="D30" s="79"/>
      <c r="E30" s="48"/>
      <c r="F30" s="80">
        <v>1</v>
      </c>
      <c r="G30" s="42">
        <f>F30*E30</f>
        <v>0</v>
      </c>
      <c r="H30" s="70"/>
      <c r="I30" s="48"/>
      <c r="J30" s="80">
        <f>F30</f>
        <v>1</v>
      </c>
      <c r="K30" s="42">
        <f>J30*I30</f>
        <v>0</v>
      </c>
      <c r="L30" s="81"/>
      <c r="M30" s="46">
        <f>K30-G30</f>
        <v>0</v>
      </c>
      <c r="N30" s="47" t="str">
        <f>IF((G30)=0,"",(M30/G30))</f>
        <v/>
      </c>
    </row>
    <row r="31" spans="1:17" ht="25.5">
      <c r="A31" s="83" t="s">
        <v>27</v>
      </c>
      <c r="B31" s="84"/>
      <c r="C31" s="84"/>
      <c r="D31" s="85"/>
      <c r="E31" s="86"/>
      <c r="F31" s="86"/>
      <c r="G31" s="87">
        <f>SUM(G28:G30)+G26</f>
        <v>564.53300000000002</v>
      </c>
      <c r="H31" s="70"/>
      <c r="I31" s="86"/>
      <c r="J31" s="88"/>
      <c r="K31" s="87">
        <f>SUM(K28:K30)+K26</f>
        <v>567.75040000000001</v>
      </c>
      <c r="L31" s="72"/>
      <c r="M31" s="89">
        <f t="shared" ref="M31:M47" si="4">K31-G31</f>
        <v>3.2173999999999978</v>
      </c>
      <c r="N31" s="90">
        <f t="shared" ref="N31:N47" si="5">IF((G31)=0,"",(M31/G31))</f>
        <v>5.6992239603353527E-3</v>
      </c>
    </row>
    <row r="32" spans="1:17">
      <c r="A32" s="91" t="s">
        <v>28</v>
      </c>
      <c r="B32" s="91"/>
      <c r="C32" s="92"/>
      <c r="D32" s="93"/>
      <c r="E32" s="48">
        <v>2.3925000000000001</v>
      </c>
      <c r="F32" s="94">
        <f>$E$15</f>
        <v>142</v>
      </c>
      <c r="G32" s="42">
        <f>F32*E32</f>
        <v>339.73500000000001</v>
      </c>
      <c r="H32" s="70"/>
      <c r="I32" s="48">
        <v>2.4708000000000001</v>
      </c>
      <c r="J32" s="95">
        <f>F32</f>
        <v>142</v>
      </c>
      <c r="K32" s="42">
        <f>J32*I32</f>
        <v>350.85360000000003</v>
      </c>
      <c r="L32" s="81"/>
      <c r="M32" s="46">
        <f t="shared" si="4"/>
        <v>11.118600000000015</v>
      </c>
      <c r="N32" s="47">
        <f t="shared" si="5"/>
        <v>3.2727272727272771E-2</v>
      </c>
    </row>
    <row r="33" spans="1:14">
      <c r="A33" s="174" t="s">
        <v>29</v>
      </c>
      <c r="B33" s="174"/>
      <c r="C33" s="174"/>
      <c r="D33" s="93"/>
      <c r="E33" s="48">
        <v>1.8654999999999999</v>
      </c>
      <c r="F33" s="94">
        <f>$E$15</f>
        <v>142</v>
      </c>
      <c r="G33" s="42">
        <f>F33*E33</f>
        <v>264.90100000000001</v>
      </c>
      <c r="H33" s="70"/>
      <c r="I33" s="48">
        <v>1.8573</v>
      </c>
      <c r="J33" s="95">
        <f>F33</f>
        <v>142</v>
      </c>
      <c r="K33" s="42">
        <f>J33*I33</f>
        <v>263.73660000000001</v>
      </c>
      <c r="L33" s="81"/>
      <c r="M33" s="46">
        <f t="shared" si="4"/>
        <v>-1.1644000000000005</v>
      </c>
      <c r="N33" s="47">
        <f t="shared" si="5"/>
        <v>-4.3956043956043973E-3</v>
      </c>
    </row>
    <row r="34" spans="1:14" ht="25.5">
      <c r="A34" s="83" t="s">
        <v>30</v>
      </c>
      <c r="B34" s="96"/>
      <c r="C34" s="96"/>
      <c r="D34" s="97"/>
      <c r="E34" s="86"/>
      <c r="F34" s="86"/>
      <c r="G34" s="87">
        <f>SUM(G31:G33)</f>
        <v>1169.1690000000001</v>
      </c>
      <c r="H34" s="98"/>
      <c r="I34" s="99"/>
      <c r="J34" s="100"/>
      <c r="K34" s="87">
        <f>SUM(K31:K33)</f>
        <v>1182.3406</v>
      </c>
      <c r="L34" s="101"/>
      <c r="M34" s="89">
        <f t="shared" si="4"/>
        <v>13.171599999999899</v>
      </c>
      <c r="N34" s="90">
        <f t="shared" si="5"/>
        <v>1.1265779369791619E-2</v>
      </c>
    </row>
    <row r="35" spans="1:14" ht="25.5">
      <c r="A35" s="102" t="s">
        <v>31</v>
      </c>
      <c r="B35" s="77"/>
      <c r="C35" s="78"/>
      <c r="D35" s="79"/>
      <c r="E35" s="103">
        <v>4.4000000000000003E-3</v>
      </c>
      <c r="F35" s="94">
        <f>E12*E11</f>
        <v>60432.462999999996</v>
      </c>
      <c r="G35" s="104">
        <f t="shared" ref="G35:G41" si="6">F35*E35</f>
        <v>265.90283720000002</v>
      </c>
      <c r="H35" s="81"/>
      <c r="I35" s="103">
        <v>4.4000000000000003E-3</v>
      </c>
      <c r="J35" s="95">
        <f>E12*E11</f>
        <v>60432.462999999996</v>
      </c>
      <c r="K35" s="104">
        <f t="shared" ref="K35:K41" si="7">J35*I35</f>
        <v>265.90283720000002</v>
      </c>
      <c r="L35" s="81"/>
      <c r="M35" s="46">
        <f t="shared" si="4"/>
        <v>0</v>
      </c>
      <c r="N35" s="105">
        <f t="shared" si="5"/>
        <v>0</v>
      </c>
    </row>
    <row r="36" spans="1:14" ht="25.5">
      <c r="A36" s="102" t="s">
        <v>32</v>
      </c>
      <c r="B36" s="77"/>
      <c r="C36" s="78"/>
      <c r="D36" s="79"/>
      <c r="E36" s="103">
        <v>1.1999999999999999E-3</v>
      </c>
      <c r="F36" s="94">
        <f>E12*E11</f>
        <v>60432.462999999996</v>
      </c>
      <c r="G36" s="104">
        <f t="shared" si="6"/>
        <v>72.518955599999984</v>
      </c>
      <c r="H36" s="81"/>
      <c r="I36" s="103">
        <v>1.1999999999999999E-3</v>
      </c>
      <c r="J36" s="95">
        <f>E12*E11</f>
        <v>60432.462999999996</v>
      </c>
      <c r="K36" s="104">
        <f t="shared" si="7"/>
        <v>72.518955599999984</v>
      </c>
      <c r="L36" s="81"/>
      <c r="M36" s="46">
        <f t="shared" si="4"/>
        <v>0</v>
      </c>
      <c r="N36" s="105">
        <f t="shared" si="5"/>
        <v>0</v>
      </c>
    </row>
    <row r="37" spans="1:14">
      <c r="A37" s="77" t="s">
        <v>33</v>
      </c>
      <c r="B37" s="77"/>
      <c r="C37" s="78"/>
      <c r="D37" s="79"/>
      <c r="E37" s="103">
        <v>0.25</v>
      </c>
      <c r="F37" s="94">
        <v>1</v>
      </c>
      <c r="G37" s="104">
        <f t="shared" si="6"/>
        <v>0.25</v>
      </c>
      <c r="H37" s="81"/>
      <c r="I37" s="103">
        <v>0.25</v>
      </c>
      <c r="J37" s="95">
        <v>1</v>
      </c>
      <c r="K37" s="104">
        <f t="shared" si="7"/>
        <v>0.25</v>
      </c>
      <c r="L37" s="81"/>
      <c r="M37" s="46">
        <f t="shared" si="4"/>
        <v>0</v>
      </c>
      <c r="N37" s="105">
        <f t="shared" si="5"/>
        <v>0</v>
      </c>
    </row>
    <row r="38" spans="1:14">
      <c r="A38" s="77" t="s">
        <v>34</v>
      </c>
      <c r="B38" s="77"/>
      <c r="C38" s="78"/>
      <c r="D38" s="79"/>
      <c r="E38" s="103">
        <v>7.0000000000000001E-3</v>
      </c>
      <c r="F38" s="94">
        <f>E12</f>
        <v>57941</v>
      </c>
      <c r="G38" s="104">
        <f t="shared" si="6"/>
        <v>405.58699999999999</v>
      </c>
      <c r="H38" s="81"/>
      <c r="I38" s="103">
        <v>7.0000000000000001E-3</v>
      </c>
      <c r="J38" s="95">
        <f>E12</f>
        <v>57941</v>
      </c>
      <c r="K38" s="104">
        <f t="shared" si="7"/>
        <v>405.58699999999999</v>
      </c>
      <c r="L38" s="81"/>
      <c r="M38" s="46">
        <f t="shared" si="4"/>
        <v>0</v>
      </c>
      <c r="N38" s="105">
        <f t="shared" si="5"/>
        <v>0</v>
      </c>
    </row>
    <row r="39" spans="1:14">
      <c r="A39" s="82" t="s">
        <v>35</v>
      </c>
      <c r="B39" s="77"/>
      <c r="C39" s="78"/>
      <c r="D39" s="79"/>
      <c r="E39" s="106">
        <v>6.7000000000000004E-2</v>
      </c>
      <c r="F39" s="94">
        <v>38676.776319999997</v>
      </c>
      <c r="G39" s="104">
        <f t="shared" si="6"/>
        <v>2591.3440134399998</v>
      </c>
      <c r="H39" s="81"/>
      <c r="I39" s="103">
        <v>6.7000000000000004E-2</v>
      </c>
      <c r="J39" s="94">
        <f t="shared" ref="J39:J40" si="8">F39</f>
        <v>38676.776319999997</v>
      </c>
      <c r="K39" s="104">
        <f t="shared" si="7"/>
        <v>2591.3440134399998</v>
      </c>
      <c r="L39" s="81"/>
      <c r="M39" s="46">
        <f t="shared" si="4"/>
        <v>0</v>
      </c>
      <c r="N39" s="105">
        <f t="shared" si="5"/>
        <v>0</v>
      </c>
    </row>
    <row r="40" spans="1:14">
      <c r="A40" s="82" t="s">
        <v>36</v>
      </c>
      <c r="B40" s="77"/>
      <c r="C40" s="78"/>
      <c r="D40" s="79"/>
      <c r="E40" s="106">
        <v>0.104</v>
      </c>
      <c r="F40" s="94">
        <v>10877.843339999998</v>
      </c>
      <c r="G40" s="104">
        <f t="shared" si="6"/>
        <v>1131.2957073599996</v>
      </c>
      <c r="H40" s="81"/>
      <c r="I40" s="103">
        <v>0.104</v>
      </c>
      <c r="J40" s="94">
        <f t="shared" si="8"/>
        <v>10877.843339999998</v>
      </c>
      <c r="K40" s="104">
        <f t="shared" si="7"/>
        <v>1131.2957073599996</v>
      </c>
      <c r="L40" s="81"/>
      <c r="M40" s="46">
        <f t="shared" si="4"/>
        <v>0</v>
      </c>
      <c r="N40" s="105">
        <f t="shared" si="5"/>
        <v>0</v>
      </c>
    </row>
    <row r="41" spans="1:14" ht="15.75" thickBot="1">
      <c r="A41" s="29" t="s">
        <v>37</v>
      </c>
      <c r="B41" s="77"/>
      <c r="C41" s="78"/>
      <c r="D41" s="79"/>
      <c r="E41" s="106">
        <v>0.124</v>
      </c>
      <c r="F41" s="94">
        <v>10877.843339999998</v>
      </c>
      <c r="G41" s="104">
        <f t="shared" si="6"/>
        <v>1348.8525741599997</v>
      </c>
      <c r="H41" s="81"/>
      <c r="I41" s="103">
        <v>0.124</v>
      </c>
      <c r="J41" s="94">
        <f>F41</f>
        <v>10877.843339999998</v>
      </c>
      <c r="K41" s="104">
        <f t="shared" si="7"/>
        <v>1348.8525741599997</v>
      </c>
      <c r="L41" s="81"/>
      <c r="M41" s="46">
        <f t="shared" si="4"/>
        <v>0</v>
      </c>
      <c r="N41" s="105">
        <f t="shared" si="5"/>
        <v>0</v>
      </c>
    </row>
    <row r="42" spans="1:14" ht="15.75" thickBot="1">
      <c r="A42" s="107"/>
      <c r="B42" s="108"/>
      <c r="C42" s="108"/>
      <c r="D42" s="109"/>
      <c r="E42" s="110"/>
      <c r="F42" s="111"/>
      <c r="G42" s="112"/>
      <c r="H42" s="113"/>
      <c r="I42" s="110"/>
      <c r="J42" s="114"/>
      <c r="K42" s="112"/>
      <c r="L42" s="113"/>
      <c r="M42" s="115"/>
      <c r="N42" s="116"/>
    </row>
    <row r="43" spans="1:14">
      <c r="A43" s="117" t="s">
        <v>38</v>
      </c>
      <c r="B43" s="77"/>
      <c r="C43" s="77"/>
      <c r="D43" s="118"/>
      <c r="E43" s="119"/>
      <c r="F43" s="120"/>
      <c r="G43" s="121">
        <f>SUM(G34:G38,G39:G41)</f>
        <v>6984.9200877599988</v>
      </c>
      <c r="H43" s="122"/>
      <c r="I43" s="123"/>
      <c r="J43" s="123"/>
      <c r="K43" s="124">
        <f>SUM(K34:K38,K39:K41)</f>
        <v>6998.0916877599984</v>
      </c>
      <c r="L43" s="125"/>
      <c r="M43" s="126">
        <f t="shared" ref="M43" si="9">K43-G43</f>
        <v>13.171599999999671</v>
      </c>
      <c r="N43" s="127">
        <f t="shared" ref="N43" si="10">IF((G43)=0,"",(M43/G43))</f>
        <v>1.8857194977908022E-3</v>
      </c>
    </row>
    <row r="44" spans="1:14">
      <c r="A44" s="128" t="s">
        <v>39</v>
      </c>
      <c r="B44" s="77"/>
      <c r="C44" s="77"/>
      <c r="D44" s="118"/>
      <c r="E44" s="119">
        <v>0.13</v>
      </c>
      <c r="F44" s="129"/>
      <c r="G44" s="130">
        <f>G43*E44</f>
        <v>908.03961140879983</v>
      </c>
      <c r="H44" s="41"/>
      <c r="I44" s="119">
        <v>0.13</v>
      </c>
      <c r="J44" s="41"/>
      <c r="K44" s="131">
        <f>K43*I44</f>
        <v>909.75191940879984</v>
      </c>
      <c r="L44" s="132"/>
      <c r="M44" s="133">
        <f t="shared" si="4"/>
        <v>1.7123080000000073</v>
      </c>
      <c r="N44" s="134">
        <f t="shared" si="5"/>
        <v>1.8857194977908573E-3</v>
      </c>
    </row>
    <row r="45" spans="1:14">
      <c r="A45" s="135" t="s">
        <v>40</v>
      </c>
      <c r="B45" s="77"/>
      <c r="C45" s="77"/>
      <c r="D45" s="118"/>
      <c r="E45" s="41"/>
      <c r="F45" s="129"/>
      <c r="G45" s="130">
        <f>G43+G44</f>
        <v>7892.9596991687986</v>
      </c>
      <c r="H45" s="41"/>
      <c r="I45" s="41"/>
      <c r="J45" s="41"/>
      <c r="K45" s="131">
        <f>K43+K44</f>
        <v>7907.8436071687984</v>
      </c>
      <c r="L45" s="132"/>
      <c r="M45" s="133">
        <f t="shared" si="4"/>
        <v>14.883907999999792</v>
      </c>
      <c r="N45" s="134">
        <f t="shared" si="5"/>
        <v>1.885719497790823E-3</v>
      </c>
    </row>
    <row r="46" spans="1:14">
      <c r="A46" s="180" t="s">
        <v>41</v>
      </c>
      <c r="B46" s="180"/>
      <c r="C46" s="180"/>
      <c r="D46" s="118"/>
      <c r="E46" s="41"/>
      <c r="F46" s="129"/>
      <c r="G46" s="136">
        <f>ROUND(-G45*10%,2)</f>
        <v>-789.3</v>
      </c>
      <c r="H46" s="41"/>
      <c r="I46" s="41"/>
      <c r="J46" s="41"/>
      <c r="K46" s="137">
        <f>ROUND(-K45*10%,2)</f>
        <v>-790.78</v>
      </c>
      <c r="L46" s="132"/>
      <c r="M46" s="138">
        <f t="shared" si="4"/>
        <v>-1.4800000000000182</v>
      </c>
      <c r="N46" s="139">
        <f t="shared" si="5"/>
        <v>1.8750791840871891E-3</v>
      </c>
    </row>
    <row r="47" spans="1:14" ht="15.75" thickBot="1">
      <c r="A47" s="175" t="s">
        <v>42</v>
      </c>
      <c r="B47" s="175"/>
      <c r="C47" s="175"/>
      <c r="D47" s="140"/>
      <c r="E47" s="141"/>
      <c r="F47" s="142"/>
      <c r="G47" s="143">
        <f>G45+G46</f>
        <v>7103.6596991687984</v>
      </c>
      <c r="H47" s="144"/>
      <c r="I47" s="144"/>
      <c r="J47" s="144"/>
      <c r="K47" s="145">
        <f>K45+K46</f>
        <v>7117.0636071687986</v>
      </c>
      <c r="L47" s="146"/>
      <c r="M47" s="73">
        <f t="shared" si="4"/>
        <v>13.403908000000229</v>
      </c>
      <c r="N47" s="74">
        <f t="shared" si="5"/>
        <v>1.8869017615763075E-3</v>
      </c>
    </row>
    <row r="48" spans="1:14" ht="15.75" thickBot="1">
      <c r="A48" s="107"/>
      <c r="B48" s="108"/>
      <c r="C48" s="108"/>
      <c r="D48" s="109"/>
      <c r="E48" s="147"/>
      <c r="F48" s="148"/>
      <c r="G48" s="149"/>
      <c r="H48" s="150"/>
      <c r="I48" s="147"/>
      <c r="J48" s="150"/>
      <c r="K48" s="151"/>
      <c r="L48" s="148"/>
      <c r="M48" s="152"/>
      <c r="N48" s="153"/>
    </row>
    <row r="49" spans="1:11">
      <c r="A49" s="5"/>
      <c r="B49" s="5"/>
      <c r="C49" s="5"/>
      <c r="K49" s="154"/>
    </row>
    <row r="50" spans="1:11">
      <c r="A50" s="5"/>
      <c r="B50" s="5"/>
      <c r="C50" s="5"/>
    </row>
    <row r="51" spans="1:11">
      <c r="A51" s="5"/>
      <c r="B51" s="5"/>
      <c r="C51" s="5"/>
    </row>
    <row r="52" spans="1:11">
      <c r="A52" s="19" t="s">
        <v>43</v>
      </c>
      <c r="B52" s="5"/>
      <c r="C52" s="5"/>
    </row>
    <row r="53" spans="1:11">
      <c r="A53" s="5"/>
      <c r="B53" s="5"/>
      <c r="C53" s="5"/>
    </row>
  </sheetData>
  <mergeCells count="12">
    <mergeCell ref="A47:C47"/>
    <mergeCell ref="A2:J2"/>
    <mergeCell ref="C10:K10"/>
    <mergeCell ref="E17:J17"/>
    <mergeCell ref="E19:G19"/>
    <mergeCell ref="I19:K19"/>
    <mergeCell ref="A46:C46"/>
    <mergeCell ref="M19:N19"/>
    <mergeCell ref="C20:C21"/>
    <mergeCell ref="M20:M21"/>
    <mergeCell ref="N20:N21"/>
    <mergeCell ref="A33:C33"/>
  </mergeCells>
  <dataValidations count="4">
    <dataValidation showDropDown="1" showInputMessage="1" showErrorMessage="1" prompt="Select Charge Unit - monthly, per kWh, per kW" sqref="C22:C25 C28:C30 C32 C35:C41"/>
    <dataValidation type="list" allowBlank="1" showInputMessage="1" showErrorMessage="1" sqref="D32:D33 D48 D22:D25 D28:D30 D35:D42">
      <formula1>#REF!</formula1>
    </dataValidation>
    <dataValidation type="list" allowBlank="1" showInputMessage="1" showErrorMessage="1" prompt="Select Charge Unit - monthly, per kWh, per kW" sqref="C42 C48">
      <formula1>"Monthly, per kWh, per kW"</formula1>
    </dataValidation>
    <dataValidation type="list" allowBlank="1" showInputMessage="1" showErrorMessage="1" sqref="C10">
      <formula1>BI_LDCLIST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headerFooter>
    <oddFooter>&amp;L&amp;A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topLeftCell="A6" workbookViewId="0">
      <selection activeCell="Q22" sqref="Q22:Q23"/>
    </sheetView>
  </sheetViews>
  <sheetFormatPr defaultRowHeight="15"/>
  <cols>
    <col min="1" max="1" width="26.5703125" style="11" customWidth="1"/>
    <col min="2" max="2" width="1.28515625" style="11" customWidth="1"/>
    <col min="3" max="3" width="11.28515625" style="11" customWidth="1"/>
    <col min="4" max="4" width="1.28515625" style="11" customWidth="1"/>
    <col min="5" max="7" width="12.7109375" style="11" customWidth="1"/>
    <col min="8" max="8" width="2.85546875" style="11" customWidth="1"/>
    <col min="9" max="11" width="12.7109375" style="11" customWidth="1"/>
    <col min="12" max="12" width="2.85546875" style="11" customWidth="1"/>
    <col min="13" max="13" width="12.7109375" style="11" customWidth="1"/>
    <col min="14" max="14" width="12.85546875" style="11" customWidth="1"/>
    <col min="15" max="15" width="3.85546875" style="5" customWidth="1"/>
    <col min="16" max="16" width="9.140625" style="5"/>
    <col min="17" max="17" width="12.7109375" customWidth="1"/>
  </cols>
  <sheetData>
    <row r="1" spans="1:18" ht="18">
      <c r="A1" s="7"/>
      <c r="B1" s="7"/>
      <c r="C1" s="7"/>
      <c r="D1" s="7"/>
      <c r="E1" s="7"/>
      <c r="F1" s="7"/>
      <c r="G1" s="7"/>
      <c r="H1" s="7"/>
      <c r="I1" s="7"/>
      <c r="J1" s="7"/>
      <c r="K1" s="1"/>
      <c r="L1" s="2"/>
      <c r="M1" s="3"/>
      <c r="N1" s="8"/>
      <c r="P1" s="6"/>
      <c r="Q1" s="6"/>
      <c r="R1" s="6"/>
    </row>
    <row r="2" spans="1:18" ht="18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"/>
      <c r="L2" s="2"/>
      <c r="M2" s="3"/>
      <c r="N2" s="8"/>
      <c r="P2" s="6"/>
      <c r="Q2" s="6"/>
      <c r="R2" s="6"/>
    </row>
    <row r="3" spans="1:18" ht="18">
      <c r="A3" s="7"/>
      <c r="B3" s="7"/>
      <c r="C3" s="7"/>
      <c r="D3" s="7"/>
      <c r="E3" s="7"/>
      <c r="F3" s="7"/>
      <c r="G3" s="7"/>
      <c r="H3" s="9"/>
      <c r="I3" s="9"/>
      <c r="J3" s="9"/>
      <c r="K3" s="1"/>
      <c r="L3" s="2"/>
      <c r="M3" s="3"/>
      <c r="N3" s="8"/>
      <c r="P3" s="6"/>
      <c r="Q3" s="6"/>
      <c r="R3" s="6"/>
    </row>
    <row r="4" spans="1:18" ht="15.75">
      <c r="A4" s="1"/>
      <c r="B4" s="10"/>
      <c r="C4" s="10"/>
      <c r="D4" s="10"/>
      <c r="E4" s="1"/>
      <c r="F4" s="1"/>
      <c r="G4" s="1"/>
      <c r="H4" s="1"/>
      <c r="I4" s="1"/>
      <c r="J4" s="1"/>
      <c r="K4" s="1"/>
      <c r="L4" s="2"/>
      <c r="M4" s="3"/>
      <c r="N4" s="4"/>
      <c r="P4" s="6"/>
      <c r="Q4" s="6"/>
      <c r="R4" s="6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P5" s="6"/>
      <c r="Q5" s="6"/>
      <c r="R5" s="6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P6" s="6"/>
      <c r="Q6" s="6"/>
      <c r="R6" s="6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P7" s="6"/>
      <c r="Q7" s="6"/>
      <c r="R7" s="6"/>
    </row>
    <row r="8" spans="1:18">
      <c r="Q8" s="5"/>
      <c r="R8" s="5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5.75">
      <c r="A10" s="12" t="s">
        <v>0</v>
      </c>
      <c r="C10" s="177" t="s">
        <v>46</v>
      </c>
      <c r="D10" s="177"/>
      <c r="E10" s="177"/>
      <c r="F10" s="177"/>
      <c r="G10" s="177"/>
      <c r="H10" s="177"/>
      <c r="I10" s="177"/>
      <c r="J10" s="177"/>
      <c r="K10" s="177"/>
      <c r="L10" s="13"/>
      <c r="M10" s="13"/>
      <c r="N10" s="13"/>
    </row>
    <row r="11" spans="1:18" ht="15.75">
      <c r="A11" s="12" t="s">
        <v>2</v>
      </c>
      <c r="C11" s="14"/>
      <c r="D11" s="14"/>
      <c r="E11" s="15">
        <v>1.0429999999999999</v>
      </c>
      <c r="F11" s="14"/>
      <c r="G11" s="14"/>
      <c r="H11" s="14"/>
      <c r="I11" s="14"/>
      <c r="J11" s="14"/>
      <c r="K11" s="14"/>
      <c r="L11" s="14"/>
      <c r="M11" s="14"/>
      <c r="N11" s="14"/>
    </row>
    <row r="12" spans="1:18">
      <c r="A12" s="12" t="s">
        <v>3</v>
      </c>
      <c r="C12" s="16" t="s">
        <v>4</v>
      </c>
      <c r="D12" s="17"/>
      <c r="E12" s="155">
        <f>730*E15*E16</f>
        <v>673193</v>
      </c>
    </row>
    <row r="13" spans="1:18" hidden="1">
      <c r="A13" s="5"/>
      <c r="B13" s="5"/>
      <c r="C13" s="5"/>
      <c r="D13" s="5"/>
      <c r="E13" s="5"/>
      <c r="F13" s="19"/>
      <c r="G13" s="5"/>
      <c r="H13" s="5"/>
      <c r="I13" s="5"/>
      <c r="J13" s="5"/>
      <c r="K13" s="5"/>
      <c r="L13" s="5"/>
      <c r="M13" s="5"/>
      <c r="N13" s="5"/>
    </row>
    <row r="14" spans="1:18" hidden="1">
      <c r="A14" s="20" t="s">
        <v>5</v>
      </c>
      <c r="F14" s="17"/>
    </row>
    <row r="15" spans="1:18">
      <c r="A15" s="21" t="s">
        <v>6</v>
      </c>
      <c r="B15" s="22"/>
      <c r="C15" s="23" t="s">
        <v>7</v>
      </c>
      <c r="D15" s="24"/>
      <c r="E15" s="158">
        <v>1626</v>
      </c>
      <c r="F15" s="17"/>
    </row>
    <row r="16" spans="1:18">
      <c r="A16" s="21" t="s">
        <v>8</v>
      </c>
      <c r="B16" s="22"/>
      <c r="C16" s="23"/>
      <c r="D16" s="24"/>
      <c r="E16" s="157">
        <f>673193/730/1626</f>
        <v>0.56714771942239972</v>
      </c>
    </row>
    <row r="17" spans="1:17" hidden="1">
      <c r="A17" s="27"/>
      <c r="B17" s="5"/>
      <c r="C17" s="28"/>
      <c r="D17" s="19"/>
      <c r="E17" s="178" t="str">
        <f>IF(AND(ISNUMBER(E15), ISBLANK(E16)), "Please enter a load factor", "")</f>
        <v/>
      </c>
      <c r="F17" s="178"/>
      <c r="G17" s="178"/>
      <c r="H17" s="178"/>
      <c r="I17" s="178"/>
      <c r="J17" s="178"/>
      <c r="K17" s="5"/>
      <c r="L17" s="5"/>
      <c r="M17" s="5"/>
      <c r="N17" s="5"/>
    </row>
    <row r="18" spans="1:17">
      <c r="A18" s="2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7">
      <c r="A19" s="29"/>
      <c r="B19" s="5"/>
      <c r="C19" s="30"/>
      <c r="D19" s="30"/>
      <c r="E19" s="166" t="s">
        <v>9</v>
      </c>
      <c r="F19" s="179"/>
      <c r="G19" s="167"/>
      <c r="H19" s="5"/>
      <c r="I19" s="166" t="s">
        <v>10</v>
      </c>
      <c r="J19" s="179"/>
      <c r="K19" s="167"/>
      <c r="L19" s="5"/>
      <c r="M19" s="166" t="s">
        <v>11</v>
      </c>
      <c r="N19" s="167"/>
    </row>
    <row r="20" spans="1:17">
      <c r="A20" s="29"/>
      <c r="B20" s="5"/>
      <c r="C20" s="168"/>
      <c r="D20" s="31"/>
      <c r="E20" s="32" t="s">
        <v>12</v>
      </c>
      <c r="F20" s="32" t="s">
        <v>13</v>
      </c>
      <c r="G20" s="33" t="s">
        <v>14</v>
      </c>
      <c r="H20" s="5"/>
      <c r="I20" s="32" t="s">
        <v>12</v>
      </c>
      <c r="J20" s="34" t="s">
        <v>13</v>
      </c>
      <c r="K20" s="33" t="s">
        <v>14</v>
      </c>
      <c r="L20" s="5"/>
      <c r="M20" s="170" t="s">
        <v>15</v>
      </c>
      <c r="N20" s="172" t="s">
        <v>16</v>
      </c>
    </row>
    <row r="21" spans="1:17">
      <c r="A21" s="29"/>
      <c r="B21" s="5"/>
      <c r="C21" s="169"/>
      <c r="D21" s="31"/>
      <c r="E21" s="35" t="s">
        <v>17</v>
      </c>
      <c r="F21" s="35"/>
      <c r="G21" s="36" t="s">
        <v>17</v>
      </c>
      <c r="H21" s="5"/>
      <c r="I21" s="35" t="s">
        <v>17</v>
      </c>
      <c r="J21" s="36"/>
      <c r="K21" s="36" t="s">
        <v>17</v>
      </c>
      <c r="L21" s="5"/>
      <c r="M21" s="171"/>
      <c r="N21" s="173"/>
    </row>
    <row r="22" spans="1:17">
      <c r="A22" s="37" t="s">
        <v>18</v>
      </c>
      <c r="B22" s="37"/>
      <c r="C22" s="38"/>
      <c r="D22" s="39"/>
      <c r="E22" s="40">
        <v>1202.92</v>
      </c>
      <c r="F22" s="41">
        <v>1</v>
      </c>
      <c r="G22" s="42">
        <f>F22*E22</f>
        <v>1202.92</v>
      </c>
      <c r="H22" s="43"/>
      <c r="I22" s="40">
        <v>1214.71</v>
      </c>
      <c r="J22" s="44">
        <v>1</v>
      </c>
      <c r="K22" s="45">
        <f>J22*I22</f>
        <v>1214.71</v>
      </c>
      <c r="L22" s="43"/>
      <c r="M22" s="46">
        <f>K22-G22</f>
        <v>11.789999999999964</v>
      </c>
      <c r="N22" s="47">
        <f>IF((G22)=0,"",(M22/G22))</f>
        <v>9.8011505337012965E-3</v>
      </c>
      <c r="Q22" s="181">
        <f>E22*1.0098</f>
        <v>1214.7086160000001</v>
      </c>
    </row>
    <row r="23" spans="1:17">
      <c r="A23" s="37" t="s">
        <v>19</v>
      </c>
      <c r="B23" s="37"/>
      <c r="C23" s="38"/>
      <c r="D23" s="39"/>
      <c r="E23" s="48">
        <v>2.5527000000000002</v>
      </c>
      <c r="F23" s="49">
        <v>1626</v>
      </c>
      <c r="G23" s="42">
        <f>F23*E23</f>
        <v>4150.6902</v>
      </c>
      <c r="H23" s="43"/>
      <c r="I23" s="48">
        <v>2.5777000000000001</v>
      </c>
      <c r="J23" s="50">
        <f>F23</f>
        <v>1626</v>
      </c>
      <c r="K23" s="42">
        <f>J23*I23</f>
        <v>4191.3402000000006</v>
      </c>
      <c r="L23" s="43"/>
      <c r="M23" s="46">
        <f>K23-G23</f>
        <v>40.650000000000546</v>
      </c>
      <c r="N23" s="47">
        <f>IF((G23)=0,"",(M23/G23))</f>
        <v>9.7935519254124404E-3</v>
      </c>
      <c r="Q23" s="182">
        <f>E23*1.0098</f>
        <v>2.5777164600000004</v>
      </c>
    </row>
    <row r="24" spans="1:17">
      <c r="A24" s="51" t="s">
        <v>20</v>
      </c>
      <c r="B24" s="51"/>
      <c r="C24" s="38"/>
      <c r="D24" s="39"/>
      <c r="E24" s="52">
        <v>0</v>
      </c>
      <c r="F24" s="41">
        <v>1</v>
      </c>
      <c r="G24" s="42">
        <f t="shared" ref="G24:G25" si="0">F24*E24</f>
        <v>0</v>
      </c>
      <c r="H24" s="43"/>
      <c r="I24" s="52">
        <v>0</v>
      </c>
      <c r="J24" s="44">
        <v>1</v>
      </c>
      <c r="K24" s="45">
        <f t="shared" ref="K24:K25" si="1">J24*I24</f>
        <v>0</v>
      </c>
      <c r="L24" s="43"/>
      <c r="M24" s="46">
        <f t="shared" ref="M24:M27" si="2">K24-G24</f>
        <v>0</v>
      </c>
      <c r="N24" s="47" t="str">
        <f t="shared" ref="N24:N27" si="3">IF((G24)=0,"",(M24/G24))</f>
        <v/>
      </c>
    </row>
    <row r="25" spans="1:17">
      <c r="A25" s="53" t="s">
        <v>21</v>
      </c>
      <c r="B25" s="54"/>
      <c r="C25" s="55"/>
      <c r="D25" s="56"/>
      <c r="E25" s="57">
        <v>0</v>
      </c>
      <c r="F25" s="58">
        <v>1626</v>
      </c>
      <c r="G25" s="59">
        <f t="shared" si="0"/>
        <v>0</v>
      </c>
      <c r="H25" s="60"/>
      <c r="I25" s="57">
        <v>0</v>
      </c>
      <c r="J25" s="61">
        <f>F25</f>
        <v>1626</v>
      </c>
      <c r="K25" s="59">
        <f t="shared" si="1"/>
        <v>0</v>
      </c>
      <c r="L25" s="60"/>
      <c r="M25" s="62">
        <f t="shared" si="2"/>
        <v>0</v>
      </c>
      <c r="N25" s="63" t="str">
        <f t="shared" si="3"/>
        <v/>
      </c>
    </row>
    <row r="26" spans="1:17">
      <c r="A26" s="64" t="s">
        <v>22</v>
      </c>
      <c r="B26" s="65"/>
      <c r="C26" s="65"/>
      <c r="D26" s="66"/>
      <c r="E26" s="67"/>
      <c r="F26" s="68"/>
      <c r="G26" s="69">
        <f>SUM(G22:G25)</f>
        <v>5353.6102000000001</v>
      </c>
      <c r="H26" s="70"/>
      <c r="I26" s="67"/>
      <c r="J26" s="71"/>
      <c r="K26" s="69">
        <f>SUM(K22:K25)</f>
        <v>5406.0502000000006</v>
      </c>
      <c r="L26" s="72"/>
      <c r="M26" s="73">
        <f t="shared" si="2"/>
        <v>52.440000000000509</v>
      </c>
      <c r="N26" s="74">
        <f t="shared" si="3"/>
        <v>9.7952592812977878E-3</v>
      </c>
      <c r="O26" s="75"/>
      <c r="P26" s="75"/>
    </row>
    <row r="27" spans="1:17">
      <c r="A27" s="76" t="s">
        <v>23</v>
      </c>
      <c r="B27" s="77"/>
      <c r="C27" s="78"/>
      <c r="D27" s="79"/>
      <c r="E27" s="48">
        <f>E39*0.64+E40*0.18+E41*0.18</f>
        <v>8.3919999999999995E-2</v>
      </c>
      <c r="F27" s="80">
        <f>E12*(E11-1)</f>
        <v>28947.298999999952</v>
      </c>
      <c r="G27" s="42">
        <f>E27*F27</f>
        <v>2429.2573320799956</v>
      </c>
      <c r="H27" s="70"/>
      <c r="I27" s="48">
        <f>I39*0.64+I40*0.18+I41*0.18</f>
        <v>8.3919999999999995E-2</v>
      </c>
      <c r="J27" s="80">
        <f>F27</f>
        <v>28947.298999999952</v>
      </c>
      <c r="K27" s="42">
        <f>I27*J27</f>
        <v>2429.2573320799956</v>
      </c>
      <c r="L27" s="81"/>
      <c r="M27" s="46">
        <f t="shared" si="2"/>
        <v>0</v>
      </c>
      <c r="N27" s="47">
        <f t="shared" si="3"/>
        <v>0</v>
      </c>
    </row>
    <row r="28" spans="1:17" ht="25.5">
      <c r="A28" s="76" t="s">
        <v>24</v>
      </c>
      <c r="B28" s="77"/>
      <c r="C28" s="78"/>
      <c r="D28" s="79"/>
      <c r="E28" s="48">
        <v>-2.4400000000000002E-2</v>
      </c>
      <c r="F28" s="80">
        <v>1626</v>
      </c>
      <c r="G28" s="42">
        <f>F28*E28</f>
        <v>-39.674400000000006</v>
      </c>
      <c r="H28" s="70"/>
      <c r="I28" s="48">
        <v>-2.4400000000000002E-2</v>
      </c>
      <c r="J28" s="80">
        <f>F28</f>
        <v>1626</v>
      </c>
      <c r="K28" s="42">
        <f>J28*I28</f>
        <v>-39.674400000000006</v>
      </c>
      <c r="L28" s="81"/>
      <c r="M28" s="46">
        <f>K28-G28</f>
        <v>0</v>
      </c>
      <c r="N28" s="47">
        <f>IF((G28)=0,"",(M28/G28))</f>
        <v>0</v>
      </c>
    </row>
    <row r="29" spans="1:17" hidden="1">
      <c r="A29" s="82" t="s">
        <v>25</v>
      </c>
      <c r="B29" s="77"/>
      <c r="C29" s="78"/>
      <c r="D29" s="79"/>
      <c r="E29" s="48"/>
      <c r="F29" s="80">
        <v>1626</v>
      </c>
      <c r="G29" s="42">
        <f>F29*E29</f>
        <v>0</v>
      </c>
      <c r="H29" s="70"/>
      <c r="I29" s="48"/>
      <c r="J29" s="80">
        <f>F29</f>
        <v>1626</v>
      </c>
      <c r="K29" s="42">
        <f>J29*I29</f>
        <v>0</v>
      </c>
      <c r="L29" s="81"/>
      <c r="M29" s="46">
        <f>K29-G29</f>
        <v>0</v>
      </c>
      <c r="N29" s="47" t="str">
        <f>IF((G29)=0,"",(M29/G29))</f>
        <v/>
      </c>
    </row>
    <row r="30" spans="1:17" hidden="1">
      <c r="A30" s="82" t="s">
        <v>26</v>
      </c>
      <c r="B30" s="77"/>
      <c r="C30" s="78"/>
      <c r="D30" s="79"/>
      <c r="E30" s="48"/>
      <c r="F30" s="80">
        <v>1</v>
      </c>
      <c r="G30" s="42">
        <f>F30*E30</f>
        <v>0</v>
      </c>
      <c r="H30" s="70"/>
      <c r="I30" s="48"/>
      <c r="J30" s="80">
        <f>F30</f>
        <v>1</v>
      </c>
      <c r="K30" s="42">
        <f>J30*I30</f>
        <v>0</v>
      </c>
      <c r="L30" s="81"/>
      <c r="M30" s="46">
        <f>K30-G30</f>
        <v>0</v>
      </c>
      <c r="N30" s="47" t="str">
        <f>IF((G30)=0,"",(M30/G30))</f>
        <v/>
      </c>
    </row>
    <row r="31" spans="1:17" ht="25.5">
      <c r="A31" s="83" t="s">
        <v>27</v>
      </c>
      <c r="B31" s="84"/>
      <c r="C31" s="84"/>
      <c r="D31" s="85"/>
      <c r="E31" s="86"/>
      <c r="F31" s="86"/>
      <c r="G31" s="87">
        <f>SUM(G28:G30)+G26</f>
        <v>5313.9358000000002</v>
      </c>
      <c r="H31" s="70"/>
      <c r="I31" s="86"/>
      <c r="J31" s="88"/>
      <c r="K31" s="87">
        <f>SUM(K28:K30)+K26</f>
        <v>5366.3758000000007</v>
      </c>
      <c r="L31" s="72"/>
      <c r="M31" s="89">
        <f t="shared" ref="M31:M47" si="4">K31-G31</f>
        <v>52.440000000000509</v>
      </c>
      <c r="N31" s="90">
        <f t="shared" ref="N31:N47" si="5">IF((G31)=0,"",(M31/G31))</f>
        <v>9.8683917107166615E-3</v>
      </c>
    </row>
    <row r="32" spans="1:17">
      <c r="A32" s="91" t="s">
        <v>28</v>
      </c>
      <c r="B32" s="91"/>
      <c r="C32" s="92"/>
      <c r="D32" s="93"/>
      <c r="E32" s="48">
        <v>3.0665</v>
      </c>
      <c r="F32" s="94">
        <f>$E$15</f>
        <v>1626</v>
      </c>
      <c r="G32" s="42">
        <f>F32*E32</f>
        <v>4986.1289999999999</v>
      </c>
      <c r="H32" s="70"/>
      <c r="I32" s="48">
        <v>3.1669</v>
      </c>
      <c r="J32" s="95">
        <f t="shared" ref="J32:J33" si="6">$E$15</f>
        <v>1626</v>
      </c>
      <c r="K32" s="42">
        <f>J32*I32</f>
        <v>5149.3793999999998</v>
      </c>
      <c r="L32" s="81"/>
      <c r="M32" s="46">
        <f t="shared" si="4"/>
        <v>163.2503999999999</v>
      </c>
      <c r="N32" s="47">
        <f t="shared" si="5"/>
        <v>3.2740909832056068E-2</v>
      </c>
    </row>
    <row r="33" spans="1:14">
      <c r="A33" s="174" t="s">
        <v>29</v>
      </c>
      <c r="B33" s="174"/>
      <c r="C33" s="174"/>
      <c r="D33" s="93"/>
      <c r="E33" s="48">
        <v>2.3698000000000001</v>
      </c>
      <c r="F33" s="94">
        <f>$E$15</f>
        <v>1626</v>
      </c>
      <c r="G33" s="42">
        <f>F33*E33</f>
        <v>3853.2948000000001</v>
      </c>
      <c r="H33" s="70"/>
      <c r="I33" s="48">
        <v>2.3593999999999999</v>
      </c>
      <c r="J33" s="95">
        <f t="shared" si="6"/>
        <v>1626</v>
      </c>
      <c r="K33" s="42">
        <f>J33*I33</f>
        <v>3836.3843999999999</v>
      </c>
      <c r="L33" s="81"/>
      <c r="M33" s="46">
        <f t="shared" si="4"/>
        <v>-16.910400000000209</v>
      </c>
      <c r="N33" s="47">
        <f t="shared" si="5"/>
        <v>-4.3885559962866605E-3</v>
      </c>
    </row>
    <row r="34" spans="1:14" ht="25.5">
      <c r="A34" s="83" t="s">
        <v>30</v>
      </c>
      <c r="B34" s="96"/>
      <c r="C34" s="96"/>
      <c r="D34" s="97"/>
      <c r="E34" s="86"/>
      <c r="F34" s="86"/>
      <c r="G34" s="87">
        <f>SUM(G31:G33)</f>
        <v>14153.3596</v>
      </c>
      <c r="H34" s="98"/>
      <c r="I34" s="99"/>
      <c r="J34" s="100"/>
      <c r="K34" s="87">
        <f>SUM(K31:K33)</f>
        <v>14352.139599999999</v>
      </c>
      <c r="L34" s="101"/>
      <c r="M34" s="89">
        <f t="shared" si="4"/>
        <v>198.77999999999884</v>
      </c>
      <c r="N34" s="90">
        <f t="shared" si="5"/>
        <v>1.4044721933017151E-2</v>
      </c>
    </row>
    <row r="35" spans="1:14" ht="25.5">
      <c r="A35" s="102" t="s">
        <v>31</v>
      </c>
      <c r="B35" s="77"/>
      <c r="C35" s="78"/>
      <c r="D35" s="79"/>
      <c r="E35" s="103">
        <v>4.4000000000000003E-3</v>
      </c>
      <c r="F35" s="94">
        <f>E12*E11</f>
        <v>702140.299</v>
      </c>
      <c r="G35" s="104">
        <f t="shared" ref="G35:G41" si="7">F35*E35</f>
        <v>3089.4173156000002</v>
      </c>
      <c r="H35" s="81"/>
      <c r="I35" s="103">
        <v>4.4000000000000003E-3</v>
      </c>
      <c r="J35" s="95">
        <f>E12*E11</f>
        <v>702140.299</v>
      </c>
      <c r="K35" s="104">
        <f t="shared" ref="K35:K41" si="8">J35*I35</f>
        <v>3089.4173156000002</v>
      </c>
      <c r="L35" s="81"/>
      <c r="M35" s="46">
        <f t="shared" si="4"/>
        <v>0</v>
      </c>
      <c r="N35" s="105">
        <f t="shared" si="5"/>
        <v>0</v>
      </c>
    </row>
    <row r="36" spans="1:14" ht="25.5">
      <c r="A36" s="102" t="s">
        <v>32</v>
      </c>
      <c r="B36" s="77"/>
      <c r="C36" s="78"/>
      <c r="D36" s="79"/>
      <c r="E36" s="103">
        <v>1.1999999999999999E-3</v>
      </c>
      <c r="F36" s="94">
        <f>E12*E11</f>
        <v>702140.299</v>
      </c>
      <c r="G36" s="104">
        <f t="shared" si="7"/>
        <v>842.56835879999994</v>
      </c>
      <c r="H36" s="81"/>
      <c r="I36" s="103">
        <v>1.1999999999999999E-3</v>
      </c>
      <c r="J36" s="95">
        <f>E12*E11</f>
        <v>702140.299</v>
      </c>
      <c r="K36" s="104">
        <f t="shared" si="8"/>
        <v>842.56835879999994</v>
      </c>
      <c r="L36" s="81"/>
      <c r="M36" s="46">
        <f t="shared" si="4"/>
        <v>0</v>
      </c>
      <c r="N36" s="105">
        <f t="shared" si="5"/>
        <v>0</v>
      </c>
    </row>
    <row r="37" spans="1:14">
      <c r="A37" s="77" t="s">
        <v>33</v>
      </c>
      <c r="B37" s="77"/>
      <c r="C37" s="78"/>
      <c r="D37" s="79"/>
      <c r="E37" s="103">
        <v>0.25</v>
      </c>
      <c r="F37" s="94">
        <v>1</v>
      </c>
      <c r="G37" s="104">
        <f t="shared" si="7"/>
        <v>0.25</v>
      </c>
      <c r="H37" s="81"/>
      <c r="I37" s="103">
        <v>0.25</v>
      </c>
      <c r="J37" s="95">
        <v>1</v>
      </c>
      <c r="K37" s="104">
        <f t="shared" si="8"/>
        <v>0.25</v>
      </c>
      <c r="L37" s="81"/>
      <c r="M37" s="46">
        <f t="shared" si="4"/>
        <v>0</v>
      </c>
      <c r="N37" s="105">
        <f t="shared" si="5"/>
        <v>0</v>
      </c>
    </row>
    <row r="38" spans="1:14">
      <c r="A38" s="77" t="s">
        <v>34</v>
      </c>
      <c r="B38" s="77"/>
      <c r="C38" s="78"/>
      <c r="D38" s="79"/>
      <c r="E38" s="103">
        <v>7.0000000000000001E-3</v>
      </c>
      <c r="F38" s="94">
        <f>E12</f>
        <v>673193</v>
      </c>
      <c r="G38" s="104">
        <f t="shared" si="7"/>
        <v>4712.3509999999997</v>
      </c>
      <c r="H38" s="81"/>
      <c r="I38" s="103">
        <v>7.0000000000000001E-3</v>
      </c>
      <c r="J38" s="95">
        <f>E12</f>
        <v>673193</v>
      </c>
      <c r="K38" s="104">
        <f t="shared" si="8"/>
        <v>4712.3509999999997</v>
      </c>
      <c r="L38" s="81"/>
      <c r="M38" s="46">
        <f t="shared" si="4"/>
        <v>0</v>
      </c>
      <c r="N38" s="105">
        <f t="shared" si="5"/>
        <v>0</v>
      </c>
    </row>
    <row r="39" spans="1:14">
      <c r="A39" s="82" t="s">
        <v>35</v>
      </c>
      <c r="B39" s="77"/>
      <c r="C39" s="78"/>
      <c r="D39" s="79"/>
      <c r="E39" s="106">
        <v>6.7000000000000004E-2</v>
      </c>
      <c r="F39" s="94">
        <v>449369.79135999997</v>
      </c>
      <c r="G39" s="104">
        <f t="shared" si="7"/>
        <v>30107.77602112</v>
      </c>
      <c r="H39" s="81"/>
      <c r="I39" s="103">
        <v>6.7000000000000004E-2</v>
      </c>
      <c r="J39" s="94">
        <f t="shared" ref="J39:J40" si="9">F39</f>
        <v>449369.79135999997</v>
      </c>
      <c r="K39" s="104">
        <f t="shared" si="8"/>
        <v>30107.77602112</v>
      </c>
      <c r="L39" s="81"/>
      <c r="M39" s="46">
        <f t="shared" si="4"/>
        <v>0</v>
      </c>
      <c r="N39" s="105">
        <f t="shared" si="5"/>
        <v>0</v>
      </c>
    </row>
    <row r="40" spans="1:14">
      <c r="A40" s="82" t="s">
        <v>36</v>
      </c>
      <c r="B40" s="77"/>
      <c r="C40" s="78"/>
      <c r="D40" s="79"/>
      <c r="E40" s="106">
        <v>0.104</v>
      </c>
      <c r="F40" s="94">
        <v>126385.25381999998</v>
      </c>
      <c r="G40" s="104">
        <f t="shared" si="7"/>
        <v>13144.066397279998</v>
      </c>
      <c r="H40" s="81"/>
      <c r="I40" s="103">
        <v>0.104</v>
      </c>
      <c r="J40" s="94">
        <f t="shared" si="9"/>
        <v>126385.25381999998</v>
      </c>
      <c r="K40" s="104">
        <f t="shared" si="8"/>
        <v>13144.066397279998</v>
      </c>
      <c r="L40" s="81"/>
      <c r="M40" s="46">
        <f t="shared" si="4"/>
        <v>0</v>
      </c>
      <c r="N40" s="105">
        <f t="shared" si="5"/>
        <v>0</v>
      </c>
    </row>
    <row r="41" spans="1:14" ht="15.75" thickBot="1">
      <c r="A41" s="29" t="s">
        <v>37</v>
      </c>
      <c r="B41" s="77"/>
      <c r="C41" s="78"/>
      <c r="D41" s="79"/>
      <c r="E41" s="106">
        <v>0.124</v>
      </c>
      <c r="F41" s="94">
        <v>126385.25381999998</v>
      </c>
      <c r="G41" s="104">
        <f t="shared" si="7"/>
        <v>15671.771473679997</v>
      </c>
      <c r="H41" s="81"/>
      <c r="I41" s="103">
        <v>0.124</v>
      </c>
      <c r="J41" s="94">
        <f>F41</f>
        <v>126385.25381999998</v>
      </c>
      <c r="K41" s="104">
        <f t="shared" si="8"/>
        <v>15671.771473679997</v>
      </c>
      <c r="L41" s="81"/>
      <c r="M41" s="46">
        <f t="shared" si="4"/>
        <v>0</v>
      </c>
      <c r="N41" s="105">
        <f t="shared" si="5"/>
        <v>0</v>
      </c>
    </row>
    <row r="42" spans="1:14" ht="15.75" thickBot="1">
      <c r="A42" s="107"/>
      <c r="B42" s="108"/>
      <c r="C42" s="108"/>
      <c r="D42" s="109"/>
      <c r="E42" s="110"/>
      <c r="F42" s="111"/>
      <c r="G42" s="112"/>
      <c r="H42" s="113"/>
      <c r="I42" s="110"/>
      <c r="J42" s="114"/>
      <c r="K42" s="112"/>
      <c r="L42" s="113"/>
      <c r="M42" s="115"/>
      <c r="N42" s="116"/>
    </row>
    <row r="43" spans="1:14">
      <c r="A43" s="117" t="s">
        <v>38</v>
      </c>
      <c r="B43" s="77"/>
      <c r="C43" s="77"/>
      <c r="D43" s="118"/>
      <c r="E43" s="119"/>
      <c r="F43" s="120"/>
      <c r="G43" s="121">
        <f>SUM(G34:G38,G39:G41)</f>
        <v>81721.560166479991</v>
      </c>
      <c r="H43" s="122"/>
      <c r="I43" s="123"/>
      <c r="J43" s="123"/>
      <c r="K43" s="124">
        <f>SUM(K34:K38,K39:K41)</f>
        <v>81920.340166479989</v>
      </c>
      <c r="L43" s="125"/>
      <c r="M43" s="126">
        <f t="shared" ref="M43" si="10">K43-G43</f>
        <v>198.77999999999884</v>
      </c>
      <c r="N43" s="127">
        <f t="shared" ref="N43" si="11">IF((G43)=0,"",(M43/G43))</f>
        <v>2.4324058375176875E-3</v>
      </c>
    </row>
    <row r="44" spans="1:14">
      <c r="A44" s="128" t="s">
        <v>39</v>
      </c>
      <c r="B44" s="77"/>
      <c r="C44" s="77"/>
      <c r="D44" s="118"/>
      <c r="E44" s="119">
        <v>0.13</v>
      </c>
      <c r="F44" s="129"/>
      <c r="G44" s="130">
        <f>G43*E44</f>
        <v>10623.802821642399</v>
      </c>
      <c r="H44" s="41"/>
      <c r="I44" s="119">
        <v>0.13</v>
      </c>
      <c r="J44" s="41"/>
      <c r="K44" s="131">
        <f>K43*I44</f>
        <v>10649.644221642398</v>
      </c>
      <c r="L44" s="132"/>
      <c r="M44" s="133">
        <f t="shared" si="4"/>
        <v>25.841399999999339</v>
      </c>
      <c r="N44" s="134">
        <f t="shared" si="5"/>
        <v>2.4324058375176393E-3</v>
      </c>
    </row>
    <row r="45" spans="1:14">
      <c r="A45" s="135" t="s">
        <v>40</v>
      </c>
      <c r="B45" s="77"/>
      <c r="C45" s="77"/>
      <c r="D45" s="118"/>
      <c r="E45" s="41"/>
      <c r="F45" s="129"/>
      <c r="G45" s="130">
        <f>G43+G44</f>
        <v>92345.36298812239</v>
      </c>
      <c r="H45" s="41"/>
      <c r="I45" s="41"/>
      <c r="J45" s="41"/>
      <c r="K45" s="131">
        <f>K43+K44</f>
        <v>92569.984388122393</v>
      </c>
      <c r="L45" s="132"/>
      <c r="M45" s="133">
        <f t="shared" si="4"/>
        <v>224.62140000000363</v>
      </c>
      <c r="N45" s="134">
        <f t="shared" si="5"/>
        <v>2.4324058375177408E-3</v>
      </c>
    </row>
    <row r="46" spans="1:14">
      <c r="A46" s="180" t="s">
        <v>41</v>
      </c>
      <c r="B46" s="180"/>
      <c r="C46" s="180"/>
      <c r="D46" s="118"/>
      <c r="E46" s="41"/>
      <c r="F46" s="129"/>
      <c r="G46" s="136">
        <f>ROUND(-G45*10%,2)</f>
        <v>-9234.5400000000009</v>
      </c>
      <c r="H46" s="41"/>
      <c r="I46" s="41"/>
      <c r="J46" s="41"/>
      <c r="K46" s="137">
        <f>ROUND(-K45*10%,2)</f>
        <v>-9257</v>
      </c>
      <c r="L46" s="132"/>
      <c r="M46" s="138">
        <f t="shared" si="4"/>
        <v>-22.459999999999127</v>
      </c>
      <c r="N46" s="139">
        <f t="shared" si="5"/>
        <v>2.43217312394544E-3</v>
      </c>
    </row>
    <row r="47" spans="1:14" ht="15.75" thickBot="1">
      <c r="A47" s="175" t="s">
        <v>42</v>
      </c>
      <c r="B47" s="175"/>
      <c r="C47" s="175"/>
      <c r="D47" s="140"/>
      <c r="E47" s="141"/>
      <c r="F47" s="142"/>
      <c r="G47" s="143">
        <f>G45+G46</f>
        <v>83110.822988122382</v>
      </c>
      <c r="H47" s="144"/>
      <c r="I47" s="144"/>
      <c r="J47" s="144"/>
      <c r="K47" s="145">
        <f>K45+K46</f>
        <v>83312.984388122393</v>
      </c>
      <c r="L47" s="146"/>
      <c r="M47" s="73">
        <f t="shared" si="4"/>
        <v>202.16140000001178</v>
      </c>
      <c r="N47" s="74">
        <f t="shared" si="5"/>
        <v>2.4324316945929327E-3</v>
      </c>
    </row>
    <row r="48" spans="1:14" ht="15.75" thickBot="1">
      <c r="A48" s="107"/>
      <c r="B48" s="108"/>
      <c r="C48" s="108"/>
      <c r="D48" s="109"/>
      <c r="E48" s="147"/>
      <c r="F48" s="148"/>
      <c r="G48" s="149"/>
      <c r="H48" s="150"/>
      <c r="I48" s="147"/>
      <c r="J48" s="150"/>
      <c r="K48" s="151"/>
      <c r="L48" s="148"/>
      <c r="M48" s="152"/>
      <c r="N48" s="153"/>
    </row>
    <row r="49" spans="1:11">
      <c r="A49" s="5"/>
      <c r="B49" s="5"/>
      <c r="C49" s="5"/>
      <c r="K49" s="154"/>
    </row>
    <row r="50" spans="1:11">
      <c r="A50" s="5"/>
      <c r="B50" s="5"/>
      <c r="C50" s="5"/>
    </row>
    <row r="51" spans="1:11">
      <c r="A51" s="5"/>
      <c r="B51" s="5"/>
      <c r="C51" s="5"/>
    </row>
    <row r="52" spans="1:11">
      <c r="A52" s="19" t="s">
        <v>43</v>
      </c>
      <c r="B52" s="5"/>
      <c r="C52" s="5"/>
    </row>
    <row r="53" spans="1:11">
      <c r="A53" s="5"/>
      <c r="B53" s="5"/>
      <c r="C53" s="5"/>
    </row>
  </sheetData>
  <mergeCells count="12">
    <mergeCell ref="A47:C47"/>
    <mergeCell ref="A2:J2"/>
    <mergeCell ref="C10:K10"/>
    <mergeCell ref="E17:J17"/>
    <mergeCell ref="E19:G19"/>
    <mergeCell ref="I19:K19"/>
    <mergeCell ref="A46:C46"/>
    <mergeCell ref="M19:N19"/>
    <mergeCell ref="C20:C21"/>
    <mergeCell ref="M20:M21"/>
    <mergeCell ref="N20:N21"/>
    <mergeCell ref="A33:C33"/>
  </mergeCells>
  <dataValidations count="4">
    <dataValidation showDropDown="1" showInputMessage="1" showErrorMessage="1" prompt="Select Charge Unit - monthly, per kWh, per kW" sqref="C22:C25 C28:C30 C32 C35:C41"/>
    <dataValidation type="list" allowBlank="1" showInputMessage="1" showErrorMessage="1" sqref="D32:D33 D48 D22:D25 D28:D30 D35:D42">
      <formula1>#REF!</formula1>
    </dataValidation>
    <dataValidation type="list" allowBlank="1" showInputMessage="1" showErrorMessage="1" prompt="Select Charge Unit - monthly, per kWh, per kW" sqref="C42 C48">
      <formula1>"Monthly, per kWh, per kW"</formula1>
    </dataValidation>
    <dataValidation type="list" allowBlank="1" showInputMessage="1" showErrorMessage="1" sqref="C10">
      <formula1>BI_LDCLIST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headerFooter>
    <oddFooter>&amp;L&amp;A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workbookViewId="0">
      <selection activeCell="Q22" sqref="Q22:Q23"/>
    </sheetView>
  </sheetViews>
  <sheetFormatPr defaultRowHeight="15"/>
  <cols>
    <col min="1" max="1" width="26.5703125" style="11" customWidth="1"/>
    <col min="2" max="2" width="1.28515625" style="11" customWidth="1"/>
    <col min="3" max="3" width="11.28515625" style="11" customWidth="1"/>
    <col min="4" max="4" width="1.28515625" style="11" customWidth="1"/>
    <col min="5" max="6" width="12.7109375" style="11" customWidth="1"/>
    <col min="7" max="7" width="14.5703125" style="11" customWidth="1"/>
    <col min="8" max="8" width="2.85546875" style="11" customWidth="1"/>
    <col min="9" max="10" width="12.7109375" style="11" customWidth="1"/>
    <col min="11" max="11" width="14" style="11" bestFit="1" customWidth="1"/>
    <col min="12" max="12" width="2.85546875" style="11" customWidth="1"/>
    <col min="13" max="13" width="12.7109375" style="11" customWidth="1"/>
    <col min="14" max="14" width="12.85546875" style="11" customWidth="1"/>
    <col min="15" max="15" width="3.85546875" style="5" customWidth="1"/>
    <col min="17" max="17" width="13.140625" customWidth="1"/>
  </cols>
  <sheetData>
    <row r="1" spans="1:18" ht="18">
      <c r="A1" s="7"/>
      <c r="B1" s="7"/>
      <c r="C1" s="7"/>
      <c r="D1" s="7"/>
      <c r="E1" s="7"/>
      <c r="F1" s="7"/>
      <c r="G1" s="7"/>
      <c r="H1" s="7"/>
      <c r="I1" s="7"/>
      <c r="J1" s="7"/>
      <c r="K1" s="1"/>
      <c r="L1" s="2"/>
      <c r="M1" s="3"/>
      <c r="N1" s="8"/>
      <c r="P1" s="6"/>
      <c r="Q1" s="6"/>
      <c r="R1" s="6"/>
    </row>
    <row r="2" spans="1:18" ht="18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"/>
      <c r="L2" s="2"/>
      <c r="M2" s="3"/>
      <c r="N2" s="8"/>
      <c r="P2" s="6"/>
      <c r="Q2" s="6"/>
      <c r="R2" s="6"/>
    </row>
    <row r="3" spans="1:18" ht="18">
      <c r="A3" s="7"/>
      <c r="B3" s="7"/>
      <c r="C3" s="7"/>
      <c r="D3" s="7"/>
      <c r="E3" s="7"/>
      <c r="F3" s="7"/>
      <c r="G3" s="7"/>
      <c r="H3" s="9"/>
      <c r="I3" s="9"/>
      <c r="J3" s="9"/>
      <c r="K3" s="1"/>
      <c r="L3" s="2"/>
      <c r="M3" s="3"/>
      <c r="N3" s="8"/>
      <c r="P3" s="6"/>
      <c r="Q3" s="6"/>
      <c r="R3" s="6"/>
    </row>
    <row r="4" spans="1:18" ht="15.75">
      <c r="A4" s="1"/>
      <c r="B4" s="10"/>
      <c r="C4" s="10"/>
      <c r="D4" s="10"/>
      <c r="E4" s="1"/>
      <c r="F4" s="1"/>
      <c r="G4" s="1"/>
      <c r="H4" s="1"/>
      <c r="I4" s="1"/>
      <c r="J4" s="1"/>
      <c r="K4" s="1"/>
      <c r="L4" s="2"/>
      <c r="M4" s="3"/>
      <c r="N4" s="4"/>
      <c r="P4" s="6"/>
      <c r="Q4" s="6"/>
      <c r="R4" s="6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P5" s="6"/>
      <c r="Q5" s="6"/>
      <c r="R5" s="6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P6" s="6"/>
      <c r="Q6" s="6"/>
      <c r="R6" s="6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P7" s="6"/>
      <c r="Q7" s="6"/>
      <c r="R7" s="6"/>
    </row>
    <row r="8" spans="1:18">
      <c r="P8" s="5"/>
      <c r="Q8" s="5"/>
      <c r="R8" s="5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5.75">
      <c r="A10" s="12" t="s">
        <v>0</v>
      </c>
      <c r="C10" s="177" t="s">
        <v>47</v>
      </c>
      <c r="D10" s="177"/>
      <c r="E10" s="177"/>
      <c r="F10" s="177"/>
      <c r="G10" s="177"/>
      <c r="H10" s="177"/>
      <c r="I10" s="177"/>
      <c r="J10" s="177"/>
      <c r="K10" s="177"/>
      <c r="L10" s="13"/>
      <c r="M10" s="13"/>
      <c r="N10" s="13"/>
    </row>
    <row r="11" spans="1:18" ht="15.75">
      <c r="A11" s="12" t="s">
        <v>2</v>
      </c>
      <c r="C11" s="14"/>
      <c r="D11" s="14"/>
      <c r="E11" s="15">
        <v>1.0429999999999999</v>
      </c>
      <c r="F11" s="14"/>
      <c r="G11" s="14"/>
      <c r="H11" s="14"/>
      <c r="I11" s="14"/>
      <c r="J11" s="14"/>
      <c r="K11" s="14"/>
      <c r="L11" s="14"/>
      <c r="M11" s="14"/>
      <c r="N11" s="14"/>
    </row>
    <row r="12" spans="1:18">
      <c r="A12" s="12" t="s">
        <v>3</v>
      </c>
      <c r="C12" s="16" t="s">
        <v>4</v>
      </c>
      <c r="D12" s="17"/>
      <c r="E12" s="155">
        <f>730*E15*E16</f>
        <v>2800000</v>
      </c>
    </row>
    <row r="13" spans="1:18" hidden="1">
      <c r="A13" s="5"/>
      <c r="B13" s="5"/>
      <c r="C13" s="5"/>
      <c r="D13" s="5"/>
      <c r="E13" s="5"/>
      <c r="F13" s="19"/>
      <c r="G13" s="5"/>
      <c r="H13" s="5"/>
      <c r="I13" s="5"/>
      <c r="J13" s="5"/>
      <c r="K13" s="5"/>
      <c r="L13" s="5"/>
      <c r="M13" s="5"/>
      <c r="N13" s="5"/>
    </row>
    <row r="14" spans="1:18" hidden="1">
      <c r="A14" s="20" t="s">
        <v>5</v>
      </c>
      <c r="F14" s="17"/>
    </row>
    <row r="15" spans="1:18">
      <c r="A15" s="21" t="s">
        <v>6</v>
      </c>
      <c r="B15" s="22"/>
      <c r="C15" s="23" t="s">
        <v>7</v>
      </c>
      <c r="D15" s="24"/>
      <c r="E15" s="158">
        <v>5800</v>
      </c>
      <c r="F15" s="17"/>
    </row>
    <row r="16" spans="1:18">
      <c r="A16" s="21" t="s">
        <v>8</v>
      </c>
      <c r="B16" s="22"/>
      <c r="C16" s="23"/>
      <c r="D16" s="24"/>
      <c r="E16" s="157">
        <f>2800000/730/5800</f>
        <v>0.66131317902692488</v>
      </c>
    </row>
    <row r="17" spans="1:17" hidden="1">
      <c r="A17" s="27"/>
      <c r="B17" s="5"/>
      <c r="C17" s="28"/>
      <c r="D17" s="19"/>
      <c r="E17" s="178" t="str">
        <f>IF(AND(ISNUMBER(E15), ISBLANK(E16)), "Please enter a load factor", "")</f>
        <v/>
      </c>
      <c r="F17" s="178"/>
      <c r="G17" s="178"/>
      <c r="H17" s="178"/>
      <c r="I17" s="178"/>
      <c r="J17" s="178"/>
      <c r="K17" s="5"/>
      <c r="L17" s="5"/>
      <c r="M17" s="5"/>
      <c r="N17" s="5"/>
    </row>
    <row r="18" spans="1:17">
      <c r="A18" s="2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7">
      <c r="A19" s="29"/>
      <c r="B19" s="5"/>
      <c r="C19" s="30"/>
      <c r="D19" s="30"/>
      <c r="E19" s="166" t="s">
        <v>9</v>
      </c>
      <c r="F19" s="179"/>
      <c r="G19" s="167"/>
      <c r="H19" s="5"/>
      <c r="I19" s="166" t="s">
        <v>10</v>
      </c>
      <c r="J19" s="179"/>
      <c r="K19" s="167"/>
      <c r="L19" s="5"/>
      <c r="M19" s="166" t="s">
        <v>11</v>
      </c>
      <c r="N19" s="167"/>
    </row>
    <row r="20" spans="1:17">
      <c r="A20" s="29"/>
      <c r="B20" s="5"/>
      <c r="C20" s="168"/>
      <c r="D20" s="31"/>
      <c r="E20" s="32" t="s">
        <v>12</v>
      </c>
      <c r="F20" s="32" t="s">
        <v>13</v>
      </c>
      <c r="G20" s="33" t="s">
        <v>14</v>
      </c>
      <c r="H20" s="5"/>
      <c r="I20" s="32" t="s">
        <v>12</v>
      </c>
      <c r="J20" s="34" t="s">
        <v>13</v>
      </c>
      <c r="K20" s="33" t="s">
        <v>14</v>
      </c>
      <c r="L20" s="5"/>
      <c r="M20" s="170" t="s">
        <v>15</v>
      </c>
      <c r="N20" s="172" t="s">
        <v>16</v>
      </c>
    </row>
    <row r="21" spans="1:17">
      <c r="A21" s="29"/>
      <c r="B21" s="5"/>
      <c r="C21" s="169"/>
      <c r="D21" s="31"/>
      <c r="E21" s="35" t="s">
        <v>17</v>
      </c>
      <c r="F21" s="35"/>
      <c r="G21" s="36" t="s">
        <v>17</v>
      </c>
      <c r="H21" s="5"/>
      <c r="I21" s="35" t="s">
        <v>17</v>
      </c>
      <c r="J21" s="36"/>
      <c r="K21" s="36" t="s">
        <v>17</v>
      </c>
      <c r="L21" s="5"/>
      <c r="M21" s="171"/>
      <c r="N21" s="173"/>
    </row>
    <row r="22" spans="1:17">
      <c r="A22" s="37" t="s">
        <v>18</v>
      </c>
      <c r="B22" s="37"/>
      <c r="C22" s="38"/>
      <c r="D22" s="39"/>
      <c r="E22" s="40">
        <v>8144.39</v>
      </c>
      <c r="F22" s="41">
        <v>1</v>
      </c>
      <c r="G22" s="42">
        <f>F22*E22</f>
        <v>8144.39</v>
      </c>
      <c r="H22" s="43"/>
      <c r="I22" s="40">
        <v>8224.2099999999991</v>
      </c>
      <c r="J22" s="44">
        <v>1</v>
      </c>
      <c r="K22" s="45">
        <f>J22*I22</f>
        <v>8224.2099999999991</v>
      </c>
      <c r="L22" s="43"/>
      <c r="M22" s="46">
        <f>K22-G22</f>
        <v>79.819999999998799</v>
      </c>
      <c r="N22" s="47">
        <f>IF((G22)=0,"",(M22/G22))</f>
        <v>9.8006112182740263E-3</v>
      </c>
      <c r="Q22" s="181">
        <f>E22*1.0098</f>
        <v>8224.2050220000001</v>
      </c>
    </row>
    <row r="23" spans="1:17">
      <c r="A23" s="37" t="s">
        <v>19</v>
      </c>
      <c r="B23" s="37"/>
      <c r="C23" s="38"/>
      <c r="D23" s="39"/>
      <c r="E23" s="48">
        <v>2.0217999999999998</v>
      </c>
      <c r="F23" s="49">
        <v>5800</v>
      </c>
      <c r="G23" s="42">
        <f>F23*E23</f>
        <v>11726.439999999999</v>
      </c>
      <c r="H23" s="43"/>
      <c r="I23" s="48">
        <v>2.0415999999999999</v>
      </c>
      <c r="J23" s="50">
        <f>F23</f>
        <v>5800</v>
      </c>
      <c r="K23" s="42">
        <f>J23*I23</f>
        <v>11841.279999999999</v>
      </c>
      <c r="L23" s="43"/>
      <c r="M23" s="46">
        <f>K23-G23</f>
        <v>114.84000000000015</v>
      </c>
      <c r="N23" s="47">
        <f>IF((G23)=0,"",(M23/G23))</f>
        <v>9.7932535364526792E-3</v>
      </c>
      <c r="Q23" s="182">
        <f>E23*1.0098</f>
        <v>2.04161364</v>
      </c>
    </row>
    <row r="24" spans="1:17">
      <c r="A24" s="51" t="s">
        <v>20</v>
      </c>
      <c r="B24" s="51"/>
      <c r="C24" s="38"/>
      <c r="D24" s="39"/>
      <c r="E24" s="52">
        <v>0</v>
      </c>
      <c r="F24" s="41">
        <v>1</v>
      </c>
      <c r="G24" s="42">
        <f t="shared" ref="G24:G25" si="0">F24*E24</f>
        <v>0</v>
      </c>
      <c r="H24" s="43"/>
      <c r="I24" s="52">
        <v>0</v>
      </c>
      <c r="J24" s="44">
        <v>1</v>
      </c>
      <c r="K24" s="45">
        <f t="shared" ref="K24:K25" si="1">J24*I24</f>
        <v>0</v>
      </c>
      <c r="L24" s="43"/>
      <c r="M24" s="46">
        <f t="shared" ref="M24:M27" si="2">K24-G24</f>
        <v>0</v>
      </c>
      <c r="N24" s="47" t="str">
        <f t="shared" ref="N24:N27" si="3">IF((G24)=0,"",(M24/G24))</f>
        <v/>
      </c>
    </row>
    <row r="25" spans="1:17">
      <c r="A25" s="53" t="s">
        <v>21</v>
      </c>
      <c r="B25" s="54"/>
      <c r="C25" s="55"/>
      <c r="D25" s="56"/>
      <c r="E25" s="57">
        <v>0</v>
      </c>
      <c r="F25" s="58">
        <v>5800</v>
      </c>
      <c r="G25" s="59">
        <f t="shared" si="0"/>
        <v>0</v>
      </c>
      <c r="H25" s="60"/>
      <c r="I25" s="57">
        <v>0</v>
      </c>
      <c r="J25" s="61">
        <f>F25</f>
        <v>5800</v>
      </c>
      <c r="K25" s="59">
        <f t="shared" si="1"/>
        <v>0</v>
      </c>
      <c r="L25" s="60"/>
      <c r="M25" s="62">
        <f t="shared" si="2"/>
        <v>0</v>
      </c>
      <c r="N25" s="63" t="str">
        <f t="shared" si="3"/>
        <v/>
      </c>
    </row>
    <row r="26" spans="1:17">
      <c r="A26" s="64" t="s">
        <v>22</v>
      </c>
      <c r="B26" s="65"/>
      <c r="C26" s="65"/>
      <c r="D26" s="66"/>
      <c r="E26" s="67"/>
      <c r="F26" s="68"/>
      <c r="G26" s="69">
        <f>SUM(G22:G25)</f>
        <v>19870.829999999998</v>
      </c>
      <c r="H26" s="70"/>
      <c r="I26" s="67"/>
      <c r="J26" s="71"/>
      <c r="K26" s="69">
        <f>SUM(K22:K25)</f>
        <v>20065.489999999998</v>
      </c>
      <c r="L26" s="72"/>
      <c r="M26" s="73">
        <f t="shared" si="2"/>
        <v>194.65999999999985</v>
      </c>
      <c r="N26" s="74">
        <f t="shared" si="3"/>
        <v>9.7962692046582797E-3</v>
      </c>
      <c r="O26" s="75"/>
    </row>
    <row r="27" spans="1:17">
      <c r="A27" s="76" t="s">
        <v>23</v>
      </c>
      <c r="B27" s="77"/>
      <c r="C27" s="78"/>
      <c r="D27" s="79"/>
      <c r="E27" s="48">
        <f>E39*0.64+E40*0.18+E41*0.18</f>
        <v>8.3919999999999995E-2</v>
      </c>
      <c r="F27" s="80">
        <f>E12*(E11-1)</f>
        <v>120399.9999999998</v>
      </c>
      <c r="G27" s="42">
        <f>E27*F27</f>
        <v>10103.967999999983</v>
      </c>
      <c r="H27" s="70"/>
      <c r="I27" s="48">
        <f>I39*0.64+I40*0.18+I41*0.18</f>
        <v>8.3919999999999995E-2</v>
      </c>
      <c r="J27" s="80">
        <f>F27</f>
        <v>120399.9999999998</v>
      </c>
      <c r="K27" s="42">
        <f>I27*J27</f>
        <v>10103.967999999983</v>
      </c>
      <c r="L27" s="81"/>
      <c r="M27" s="46">
        <f t="shared" si="2"/>
        <v>0</v>
      </c>
      <c r="N27" s="47">
        <f t="shared" si="3"/>
        <v>0</v>
      </c>
    </row>
    <row r="28" spans="1:17" ht="25.5">
      <c r="A28" s="76" t="s">
        <v>24</v>
      </c>
      <c r="B28" s="77"/>
      <c r="C28" s="78"/>
      <c r="D28" s="79"/>
      <c r="E28" s="48">
        <v>-2.5100000000000001E-2</v>
      </c>
      <c r="F28" s="80">
        <v>5800</v>
      </c>
      <c r="G28" s="42">
        <f>F28*E28</f>
        <v>-145.58000000000001</v>
      </c>
      <c r="H28" s="70"/>
      <c r="I28" s="48">
        <v>-2.5100000000000001E-2</v>
      </c>
      <c r="J28" s="80">
        <f>F28</f>
        <v>5800</v>
      </c>
      <c r="K28" s="42">
        <f>J28*I28</f>
        <v>-145.58000000000001</v>
      </c>
      <c r="L28" s="81"/>
      <c r="M28" s="46">
        <f>K28-G28</f>
        <v>0</v>
      </c>
      <c r="N28" s="47">
        <f>IF((G28)=0,"",(M28/G28))</f>
        <v>0</v>
      </c>
    </row>
    <row r="29" spans="1:17" hidden="1">
      <c r="A29" s="82" t="s">
        <v>25</v>
      </c>
      <c r="B29" s="77"/>
      <c r="C29" s="78"/>
      <c r="D29" s="79"/>
      <c r="E29" s="48"/>
      <c r="F29" s="80">
        <v>5800</v>
      </c>
      <c r="G29" s="42">
        <f>F29*E29</f>
        <v>0</v>
      </c>
      <c r="H29" s="70"/>
      <c r="I29" s="48"/>
      <c r="J29" s="80">
        <f>F29</f>
        <v>5800</v>
      </c>
      <c r="K29" s="42">
        <f>J29*I29</f>
        <v>0</v>
      </c>
      <c r="L29" s="81"/>
      <c r="M29" s="46">
        <f>K29-G29</f>
        <v>0</v>
      </c>
      <c r="N29" s="47" t="str">
        <f>IF((G29)=0,"",(M29/G29))</f>
        <v/>
      </c>
    </row>
    <row r="30" spans="1:17" hidden="1">
      <c r="A30" s="82" t="s">
        <v>26</v>
      </c>
      <c r="B30" s="77"/>
      <c r="C30" s="78"/>
      <c r="D30" s="79"/>
      <c r="E30" s="48"/>
      <c r="F30" s="80">
        <v>1</v>
      </c>
      <c r="G30" s="42">
        <f>F30*E30</f>
        <v>0</v>
      </c>
      <c r="H30" s="70"/>
      <c r="I30" s="48"/>
      <c r="J30" s="80">
        <f>F30</f>
        <v>1</v>
      </c>
      <c r="K30" s="42">
        <f>J30*I30</f>
        <v>0</v>
      </c>
      <c r="L30" s="81"/>
      <c r="M30" s="46">
        <f>K30-G30</f>
        <v>0</v>
      </c>
      <c r="N30" s="47" t="str">
        <f>IF((G30)=0,"",(M30/G30))</f>
        <v/>
      </c>
    </row>
    <row r="31" spans="1:17" ht="25.5">
      <c r="A31" s="83" t="s">
        <v>27</v>
      </c>
      <c r="B31" s="84"/>
      <c r="C31" s="84"/>
      <c r="D31" s="85"/>
      <c r="E31" s="86"/>
      <c r="F31" s="86"/>
      <c r="G31" s="87">
        <f>SUM(G28:G30)+G26</f>
        <v>19725.249999999996</v>
      </c>
      <c r="H31" s="70"/>
      <c r="I31" s="86"/>
      <c r="J31" s="88"/>
      <c r="K31" s="87">
        <f>SUM(K28:K30)+K26</f>
        <v>19919.909999999996</v>
      </c>
      <c r="L31" s="72"/>
      <c r="M31" s="89">
        <f t="shared" ref="M31:M47" si="4">K31-G31</f>
        <v>194.65999999999985</v>
      </c>
      <c r="N31" s="90">
        <f t="shared" ref="N31:N47" si="5">IF((G31)=0,"",(M31/G31))</f>
        <v>9.8685694731372176E-3</v>
      </c>
    </row>
    <row r="32" spans="1:17">
      <c r="A32" s="91" t="s">
        <v>28</v>
      </c>
      <c r="B32" s="91"/>
      <c r="C32" s="92"/>
      <c r="D32" s="93"/>
      <c r="E32" s="48">
        <v>3.2673000000000001</v>
      </c>
      <c r="F32" s="95">
        <f>$E$15</f>
        <v>5800</v>
      </c>
      <c r="G32" s="42">
        <f>F32*E32</f>
        <v>18950.34</v>
      </c>
      <c r="H32" s="70"/>
      <c r="I32" s="48">
        <v>3.3742999999999999</v>
      </c>
      <c r="J32" s="95">
        <f>$E$15</f>
        <v>5800</v>
      </c>
      <c r="K32" s="42">
        <f>J32*I32</f>
        <v>19570.939999999999</v>
      </c>
      <c r="L32" s="81"/>
      <c r="M32" s="46">
        <f t="shared" si="4"/>
        <v>620.59999999999854</v>
      </c>
      <c r="N32" s="47">
        <f t="shared" si="5"/>
        <v>3.2748752792825804E-2</v>
      </c>
    </row>
    <row r="33" spans="1:14">
      <c r="A33" s="174" t="s">
        <v>29</v>
      </c>
      <c r="B33" s="174"/>
      <c r="C33" s="174"/>
      <c r="D33" s="93"/>
      <c r="E33" s="48">
        <v>2.5857999999999999</v>
      </c>
      <c r="F33" s="95">
        <f>$E$15</f>
        <v>5800</v>
      </c>
      <c r="G33" s="42">
        <f>F33*E33</f>
        <v>14997.64</v>
      </c>
      <c r="H33" s="70"/>
      <c r="I33" s="48">
        <v>2.5743999999999998</v>
      </c>
      <c r="J33" s="95">
        <f>$E$15</f>
        <v>5800</v>
      </c>
      <c r="K33" s="42">
        <f>J33*I33</f>
        <v>14931.519999999999</v>
      </c>
      <c r="L33" s="81"/>
      <c r="M33" s="46">
        <f t="shared" si="4"/>
        <v>-66.1200000000008</v>
      </c>
      <c r="N33" s="47">
        <f t="shared" si="5"/>
        <v>-4.4086936344652095E-3</v>
      </c>
    </row>
    <row r="34" spans="1:14" ht="25.5">
      <c r="A34" s="83" t="s">
        <v>30</v>
      </c>
      <c r="B34" s="96"/>
      <c r="C34" s="96"/>
      <c r="D34" s="97"/>
      <c r="E34" s="86"/>
      <c r="F34" s="86"/>
      <c r="G34" s="87">
        <f>SUM(G31:G33)</f>
        <v>53673.229999999996</v>
      </c>
      <c r="H34" s="98"/>
      <c r="I34" s="99"/>
      <c r="J34" s="100"/>
      <c r="K34" s="87">
        <f>SUM(K31:K33)</f>
        <v>54422.369999999988</v>
      </c>
      <c r="L34" s="101"/>
      <c r="M34" s="89">
        <f t="shared" si="4"/>
        <v>749.13999999999214</v>
      </c>
      <c r="N34" s="90">
        <f t="shared" si="5"/>
        <v>1.395742346789996E-2</v>
      </c>
    </row>
    <row r="35" spans="1:14" ht="25.5">
      <c r="A35" s="102" t="s">
        <v>31</v>
      </c>
      <c r="B35" s="77"/>
      <c r="C35" s="78"/>
      <c r="D35" s="79"/>
      <c r="E35" s="103">
        <v>4.4000000000000003E-3</v>
      </c>
      <c r="F35" s="94">
        <f>E12*E11</f>
        <v>2920400</v>
      </c>
      <c r="G35" s="104">
        <f t="shared" ref="G35:G41" si="6">F35*E35</f>
        <v>12849.76</v>
      </c>
      <c r="H35" s="81"/>
      <c r="I35" s="103">
        <v>4.4000000000000003E-3</v>
      </c>
      <c r="J35" s="95">
        <f>E12*E11</f>
        <v>2920400</v>
      </c>
      <c r="K35" s="104">
        <f t="shared" ref="K35:K41" si="7">J35*I35</f>
        <v>12849.76</v>
      </c>
      <c r="L35" s="81"/>
      <c r="M35" s="46">
        <f t="shared" si="4"/>
        <v>0</v>
      </c>
      <c r="N35" s="105">
        <f t="shared" si="5"/>
        <v>0</v>
      </c>
    </row>
    <row r="36" spans="1:14" ht="25.5">
      <c r="A36" s="102" t="s">
        <v>32</v>
      </c>
      <c r="B36" s="77"/>
      <c r="C36" s="78"/>
      <c r="D36" s="79"/>
      <c r="E36" s="103">
        <v>1.1999999999999999E-3</v>
      </c>
      <c r="F36" s="94">
        <f>E12*E11</f>
        <v>2920400</v>
      </c>
      <c r="G36" s="104">
        <f t="shared" si="6"/>
        <v>3504.4799999999996</v>
      </c>
      <c r="H36" s="81"/>
      <c r="I36" s="103">
        <v>1.1999999999999999E-3</v>
      </c>
      <c r="J36" s="95">
        <f>E12*E11</f>
        <v>2920400</v>
      </c>
      <c r="K36" s="104">
        <f t="shared" si="7"/>
        <v>3504.4799999999996</v>
      </c>
      <c r="L36" s="81"/>
      <c r="M36" s="46">
        <f t="shared" si="4"/>
        <v>0</v>
      </c>
      <c r="N36" s="105">
        <f t="shared" si="5"/>
        <v>0</v>
      </c>
    </row>
    <row r="37" spans="1:14">
      <c r="A37" s="77" t="s">
        <v>33</v>
      </c>
      <c r="B37" s="77"/>
      <c r="C37" s="78"/>
      <c r="D37" s="79"/>
      <c r="E37" s="103">
        <v>0.25</v>
      </c>
      <c r="F37" s="94">
        <v>1</v>
      </c>
      <c r="G37" s="104">
        <f t="shared" si="6"/>
        <v>0.25</v>
      </c>
      <c r="H37" s="81"/>
      <c r="I37" s="103">
        <v>0.25</v>
      </c>
      <c r="J37" s="95">
        <v>1</v>
      </c>
      <c r="K37" s="104">
        <f t="shared" si="7"/>
        <v>0.25</v>
      </c>
      <c r="L37" s="81"/>
      <c r="M37" s="46">
        <f t="shared" si="4"/>
        <v>0</v>
      </c>
      <c r="N37" s="105">
        <f t="shared" si="5"/>
        <v>0</v>
      </c>
    </row>
    <row r="38" spans="1:14">
      <c r="A38" s="77" t="s">
        <v>34</v>
      </c>
      <c r="B38" s="77"/>
      <c r="C38" s="78"/>
      <c r="D38" s="79"/>
      <c r="E38" s="103">
        <v>7.0000000000000001E-3</v>
      </c>
      <c r="F38" s="94">
        <f>E12</f>
        <v>2800000</v>
      </c>
      <c r="G38" s="104">
        <f t="shared" si="6"/>
        <v>19600</v>
      </c>
      <c r="H38" s="81"/>
      <c r="I38" s="103">
        <v>7.0000000000000001E-3</v>
      </c>
      <c r="J38" s="95">
        <f>E12</f>
        <v>2800000</v>
      </c>
      <c r="K38" s="104">
        <f t="shared" si="7"/>
        <v>19600</v>
      </c>
      <c r="L38" s="81"/>
      <c r="M38" s="46">
        <f t="shared" si="4"/>
        <v>0</v>
      </c>
      <c r="N38" s="105">
        <f t="shared" si="5"/>
        <v>0</v>
      </c>
    </row>
    <row r="39" spans="1:14">
      <c r="A39" s="82" t="s">
        <v>35</v>
      </c>
      <c r="B39" s="77"/>
      <c r="C39" s="78"/>
      <c r="D39" s="79"/>
      <c r="E39" s="106">
        <v>6.7000000000000004E-2</v>
      </c>
      <c r="F39" s="94">
        <v>1869055.9999999998</v>
      </c>
      <c r="G39" s="104">
        <f t="shared" si="6"/>
        <v>125226.75199999999</v>
      </c>
      <c r="H39" s="81"/>
      <c r="I39" s="103">
        <v>6.7000000000000004E-2</v>
      </c>
      <c r="J39" s="94">
        <f t="shared" ref="J39:J40" si="8">F39</f>
        <v>1869055.9999999998</v>
      </c>
      <c r="K39" s="104">
        <f t="shared" si="7"/>
        <v>125226.75199999999</v>
      </c>
      <c r="L39" s="81"/>
      <c r="M39" s="46">
        <f t="shared" si="4"/>
        <v>0</v>
      </c>
      <c r="N39" s="105">
        <f t="shared" si="5"/>
        <v>0</v>
      </c>
    </row>
    <row r="40" spans="1:14">
      <c r="A40" s="82" t="s">
        <v>36</v>
      </c>
      <c r="B40" s="77"/>
      <c r="C40" s="78"/>
      <c r="D40" s="79"/>
      <c r="E40" s="106">
        <v>0.104</v>
      </c>
      <c r="F40" s="94">
        <v>525672</v>
      </c>
      <c r="G40" s="104">
        <f t="shared" si="6"/>
        <v>54669.887999999999</v>
      </c>
      <c r="H40" s="81"/>
      <c r="I40" s="103">
        <v>0.104</v>
      </c>
      <c r="J40" s="94">
        <f t="shared" si="8"/>
        <v>525672</v>
      </c>
      <c r="K40" s="104">
        <f t="shared" si="7"/>
        <v>54669.887999999999</v>
      </c>
      <c r="L40" s="81"/>
      <c r="M40" s="46">
        <f t="shared" si="4"/>
        <v>0</v>
      </c>
      <c r="N40" s="105">
        <f t="shared" si="5"/>
        <v>0</v>
      </c>
    </row>
    <row r="41" spans="1:14" ht="15.75" thickBot="1">
      <c r="A41" s="29" t="s">
        <v>37</v>
      </c>
      <c r="B41" s="77"/>
      <c r="C41" s="78"/>
      <c r="D41" s="79"/>
      <c r="E41" s="106">
        <v>0.124</v>
      </c>
      <c r="F41" s="94">
        <v>525672</v>
      </c>
      <c r="G41" s="104">
        <f t="shared" si="6"/>
        <v>65183.328000000001</v>
      </c>
      <c r="H41" s="81"/>
      <c r="I41" s="103">
        <v>0.124</v>
      </c>
      <c r="J41" s="94">
        <f>F41</f>
        <v>525672</v>
      </c>
      <c r="K41" s="104">
        <f t="shared" si="7"/>
        <v>65183.328000000001</v>
      </c>
      <c r="L41" s="81"/>
      <c r="M41" s="46">
        <f t="shared" si="4"/>
        <v>0</v>
      </c>
      <c r="N41" s="105">
        <f t="shared" si="5"/>
        <v>0</v>
      </c>
    </row>
    <row r="42" spans="1:14" ht="15.75" thickBot="1">
      <c r="A42" s="107"/>
      <c r="B42" s="108"/>
      <c r="C42" s="108"/>
      <c r="D42" s="109"/>
      <c r="E42" s="110"/>
      <c r="F42" s="111"/>
      <c r="G42" s="112"/>
      <c r="H42" s="113"/>
      <c r="I42" s="110"/>
      <c r="J42" s="114"/>
      <c r="K42" s="112"/>
      <c r="L42" s="113"/>
      <c r="M42" s="115"/>
      <c r="N42" s="116"/>
    </row>
    <row r="43" spans="1:14">
      <c r="A43" s="117" t="s">
        <v>38</v>
      </c>
      <c r="B43" s="77"/>
      <c r="C43" s="77"/>
      <c r="D43" s="118"/>
      <c r="E43" s="119"/>
      <c r="F43" s="120"/>
      <c r="G43" s="121">
        <f>SUM(G34:G38,G39:G41)</f>
        <v>334707.68799999997</v>
      </c>
      <c r="H43" s="122"/>
      <c r="I43" s="123"/>
      <c r="J43" s="123"/>
      <c r="K43" s="124">
        <f>SUM(K34:K38,K39:K41)</f>
        <v>335456.82799999992</v>
      </c>
      <c r="L43" s="125"/>
      <c r="M43" s="126">
        <f t="shared" ref="M43" si="9">K43-G43</f>
        <v>749.13999999995576</v>
      </c>
      <c r="N43" s="127">
        <f t="shared" ref="N43" si="10">IF((G43)=0,"",(M43/G43))</f>
        <v>2.2381917919971884E-3</v>
      </c>
    </row>
    <row r="44" spans="1:14">
      <c r="A44" s="128" t="s">
        <v>39</v>
      </c>
      <c r="B44" s="77"/>
      <c r="C44" s="77"/>
      <c r="D44" s="118"/>
      <c r="E44" s="119">
        <v>0.13</v>
      </c>
      <c r="F44" s="129"/>
      <c r="G44" s="130">
        <f>G43*E44</f>
        <v>43511.99944</v>
      </c>
      <c r="H44" s="41"/>
      <c r="I44" s="119">
        <v>0.13</v>
      </c>
      <c r="J44" s="41"/>
      <c r="K44" s="131">
        <f>K43*I44</f>
        <v>43609.387639999994</v>
      </c>
      <c r="L44" s="132"/>
      <c r="M44" s="133">
        <f t="shared" si="4"/>
        <v>97.388199999993958</v>
      </c>
      <c r="N44" s="134">
        <f t="shared" si="5"/>
        <v>2.2381917919971814E-3</v>
      </c>
    </row>
    <row r="45" spans="1:14">
      <c r="A45" s="135" t="s">
        <v>40</v>
      </c>
      <c r="B45" s="77"/>
      <c r="C45" s="77"/>
      <c r="D45" s="118"/>
      <c r="E45" s="41"/>
      <c r="F45" s="129"/>
      <c r="G45" s="130">
        <f>G43+G44</f>
        <v>378219.68743999995</v>
      </c>
      <c r="H45" s="41"/>
      <c r="I45" s="41"/>
      <c r="J45" s="41"/>
      <c r="K45" s="131">
        <f>K43+K44</f>
        <v>379066.21563999989</v>
      </c>
      <c r="L45" s="132"/>
      <c r="M45" s="133">
        <f t="shared" si="4"/>
        <v>846.52819999994244</v>
      </c>
      <c r="N45" s="134">
        <f t="shared" si="5"/>
        <v>2.2381917919971684E-3</v>
      </c>
    </row>
    <row r="46" spans="1:14">
      <c r="A46" s="180" t="s">
        <v>41</v>
      </c>
      <c r="B46" s="180"/>
      <c r="C46" s="180"/>
      <c r="D46" s="118"/>
      <c r="E46" s="41"/>
      <c r="F46" s="129"/>
      <c r="G46" s="136">
        <f>ROUND(-G45*10%,2)</f>
        <v>-37821.97</v>
      </c>
      <c r="H46" s="41"/>
      <c r="I46" s="41"/>
      <c r="J46" s="41"/>
      <c r="K46" s="137">
        <f>ROUND(-K45*10%,2)</f>
        <v>-37906.620000000003</v>
      </c>
      <c r="L46" s="132"/>
      <c r="M46" s="138">
        <f t="shared" si="4"/>
        <v>-84.650000000001455</v>
      </c>
      <c r="N46" s="139">
        <f t="shared" si="5"/>
        <v>2.2381171578318487E-3</v>
      </c>
    </row>
    <row r="47" spans="1:14" ht="15.75" thickBot="1">
      <c r="A47" s="175" t="s">
        <v>42</v>
      </c>
      <c r="B47" s="175"/>
      <c r="C47" s="175"/>
      <c r="D47" s="140"/>
      <c r="E47" s="141"/>
      <c r="F47" s="142"/>
      <c r="G47" s="143">
        <f>G45+G46</f>
        <v>340397.71743999992</v>
      </c>
      <c r="H47" s="144"/>
      <c r="I47" s="144"/>
      <c r="J47" s="144"/>
      <c r="K47" s="145">
        <f>K45+K46</f>
        <v>341159.5956399999</v>
      </c>
      <c r="L47" s="146"/>
      <c r="M47" s="73">
        <f t="shared" si="4"/>
        <v>761.87819999997737</v>
      </c>
      <c r="N47" s="74">
        <f t="shared" si="5"/>
        <v>2.2382000846826169E-3</v>
      </c>
    </row>
    <row r="48" spans="1:14" ht="15.75" thickBot="1">
      <c r="A48" s="107"/>
      <c r="B48" s="108"/>
      <c r="C48" s="108"/>
      <c r="D48" s="109"/>
      <c r="E48" s="147"/>
      <c r="F48" s="148"/>
      <c r="G48" s="149"/>
      <c r="H48" s="150"/>
      <c r="I48" s="147"/>
      <c r="J48" s="150"/>
      <c r="K48" s="151"/>
      <c r="L48" s="148"/>
      <c r="M48" s="152"/>
      <c r="N48" s="153"/>
    </row>
    <row r="49" spans="1:11">
      <c r="A49" s="5"/>
      <c r="B49" s="5"/>
      <c r="C49" s="5"/>
      <c r="K49" s="154"/>
    </row>
    <row r="50" spans="1:11">
      <c r="A50" s="5"/>
      <c r="B50" s="5"/>
      <c r="C50" s="5"/>
    </row>
    <row r="51" spans="1:11">
      <c r="A51" s="5"/>
      <c r="B51" s="5"/>
      <c r="C51" s="5"/>
    </row>
    <row r="52" spans="1:11">
      <c r="A52" s="19" t="s">
        <v>43</v>
      </c>
      <c r="B52" s="5"/>
      <c r="C52" s="5"/>
    </row>
    <row r="53" spans="1:11">
      <c r="A53" s="5"/>
      <c r="B53" s="5"/>
      <c r="C53" s="5"/>
    </row>
  </sheetData>
  <mergeCells count="12">
    <mergeCell ref="A47:C47"/>
    <mergeCell ref="A2:J2"/>
    <mergeCell ref="C10:K10"/>
    <mergeCell ref="E17:J17"/>
    <mergeCell ref="E19:G19"/>
    <mergeCell ref="I19:K19"/>
    <mergeCell ref="A46:C46"/>
    <mergeCell ref="M19:N19"/>
    <mergeCell ref="C20:C21"/>
    <mergeCell ref="M20:M21"/>
    <mergeCell ref="N20:N21"/>
    <mergeCell ref="A33:C33"/>
  </mergeCells>
  <dataValidations count="4">
    <dataValidation showDropDown="1" showInputMessage="1" showErrorMessage="1" prompt="Select Charge Unit - monthly, per kWh, per kW" sqref="C22:C25 C28:C30 C32 C35:C41"/>
    <dataValidation type="list" allowBlank="1" showInputMessage="1" showErrorMessage="1" sqref="D32:D33 D48 D22:D25 D28:D30 D35:D42">
      <formula1>#REF!</formula1>
    </dataValidation>
    <dataValidation type="list" allowBlank="1" showInputMessage="1" showErrorMessage="1" prompt="Select Charge Unit - monthly, per kWh, per kW" sqref="C42 C48">
      <formula1>"Monthly, per kWh, per kW"</formula1>
    </dataValidation>
    <dataValidation type="list" allowBlank="1" showInputMessage="1" showErrorMessage="1" sqref="C10">
      <formula1>BI_LDCLIST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headerFooter>
    <oddFooter>&amp;L&amp;A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topLeftCell="A4" workbookViewId="0">
      <selection activeCell="Q23" sqref="Q23"/>
    </sheetView>
  </sheetViews>
  <sheetFormatPr defaultRowHeight="15"/>
  <cols>
    <col min="1" max="1" width="26.5703125" style="11" customWidth="1"/>
    <col min="2" max="2" width="1.28515625" style="11" customWidth="1"/>
    <col min="3" max="3" width="11.28515625" style="11" customWidth="1"/>
    <col min="4" max="4" width="1.28515625" style="11" customWidth="1"/>
    <col min="5" max="7" width="12.7109375" style="11" customWidth="1"/>
    <col min="8" max="8" width="2.85546875" style="11" customWidth="1"/>
    <col min="9" max="11" width="12.7109375" style="11" customWidth="1"/>
    <col min="12" max="12" width="2.85546875" style="11" customWidth="1"/>
    <col min="13" max="13" width="12.7109375" style="11" customWidth="1"/>
    <col min="14" max="14" width="12.85546875" style="11" customWidth="1"/>
    <col min="15" max="15" width="3.85546875" style="5" customWidth="1"/>
    <col min="16" max="16" width="9.140625" style="5"/>
    <col min="17" max="17" width="12.140625" style="5" customWidth="1"/>
  </cols>
  <sheetData>
    <row r="1" spans="1:18" ht="18">
      <c r="A1" s="7"/>
      <c r="B1" s="7"/>
      <c r="C1" s="7"/>
      <c r="D1" s="7"/>
      <c r="E1" s="7"/>
      <c r="F1" s="7"/>
      <c r="G1" s="7"/>
      <c r="H1" s="7"/>
      <c r="I1" s="7"/>
      <c r="J1" s="7"/>
      <c r="K1" s="1"/>
      <c r="L1" s="2"/>
      <c r="M1" s="3"/>
      <c r="N1" s="8"/>
      <c r="P1" s="6"/>
      <c r="Q1" s="6"/>
      <c r="R1" s="6"/>
    </row>
    <row r="2" spans="1:18" ht="18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"/>
      <c r="L2" s="2"/>
      <c r="M2" s="3"/>
      <c r="N2" s="8"/>
      <c r="P2" s="6"/>
      <c r="Q2" s="6"/>
      <c r="R2" s="6"/>
    </row>
    <row r="3" spans="1:18" ht="18">
      <c r="A3" s="7"/>
      <c r="B3" s="7"/>
      <c r="C3" s="7"/>
      <c r="D3" s="7"/>
      <c r="E3" s="7"/>
      <c r="F3" s="7"/>
      <c r="G3" s="7"/>
      <c r="H3" s="9"/>
      <c r="I3" s="9"/>
      <c r="J3" s="9"/>
      <c r="K3" s="1"/>
      <c r="L3" s="2"/>
      <c r="M3" s="3"/>
      <c r="N3" s="8"/>
      <c r="P3" s="6"/>
      <c r="Q3" s="6"/>
      <c r="R3" s="6"/>
    </row>
    <row r="4" spans="1:18" ht="15.75">
      <c r="A4" s="1"/>
      <c r="B4" s="10"/>
      <c r="C4" s="10"/>
      <c r="D4" s="10"/>
      <c r="E4" s="1"/>
      <c r="F4" s="1"/>
      <c r="G4" s="1"/>
      <c r="H4" s="1"/>
      <c r="I4" s="1"/>
      <c r="J4" s="1"/>
      <c r="K4" s="1"/>
      <c r="L4" s="2"/>
      <c r="M4" s="3"/>
      <c r="N4" s="4"/>
      <c r="P4" s="6"/>
      <c r="Q4" s="6"/>
      <c r="R4" s="6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P5" s="6"/>
      <c r="Q5" s="6"/>
      <c r="R5" s="6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P6" s="6"/>
      <c r="Q6" s="6"/>
      <c r="R6" s="6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P7" s="6"/>
      <c r="Q7" s="6"/>
      <c r="R7" s="6"/>
    </row>
    <row r="8" spans="1:18">
      <c r="R8" s="5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5.75">
      <c r="A10" s="12" t="s">
        <v>0</v>
      </c>
      <c r="C10" s="177" t="s">
        <v>48</v>
      </c>
      <c r="D10" s="177"/>
      <c r="E10" s="177"/>
      <c r="F10" s="177"/>
      <c r="G10" s="177"/>
      <c r="H10" s="177"/>
      <c r="I10" s="177"/>
      <c r="J10" s="177"/>
      <c r="K10" s="177"/>
      <c r="L10" s="13"/>
      <c r="M10" s="13"/>
      <c r="N10" s="13"/>
    </row>
    <row r="11" spans="1:18" ht="15.75">
      <c r="A11" s="12" t="s">
        <v>2</v>
      </c>
      <c r="C11" s="14"/>
      <c r="D11" s="14"/>
      <c r="E11" s="15">
        <v>1.0429999999999999</v>
      </c>
      <c r="F11" s="14"/>
      <c r="G11" s="14"/>
      <c r="H11" s="14"/>
      <c r="I11" s="14"/>
      <c r="J11" s="14"/>
      <c r="K11" s="14"/>
      <c r="L11" s="14"/>
      <c r="M11" s="14"/>
      <c r="N11" s="14"/>
    </row>
    <row r="12" spans="1:18">
      <c r="A12" s="12" t="s">
        <v>3</v>
      </c>
      <c r="C12" s="16" t="s">
        <v>4</v>
      </c>
      <c r="D12" s="17"/>
      <c r="E12" s="18">
        <v>777</v>
      </c>
    </row>
    <row r="13" spans="1:18" hidden="1">
      <c r="A13" s="5"/>
      <c r="B13" s="5"/>
      <c r="C13" s="5"/>
      <c r="D13" s="5"/>
      <c r="E13" s="5"/>
      <c r="F13" s="19"/>
      <c r="G13" s="5"/>
      <c r="H13" s="5"/>
      <c r="I13" s="5"/>
      <c r="J13" s="5"/>
      <c r="K13" s="5"/>
      <c r="L13" s="5"/>
      <c r="M13" s="5"/>
      <c r="N13" s="5"/>
    </row>
    <row r="14" spans="1:18" hidden="1">
      <c r="A14" s="20" t="s">
        <v>5</v>
      </c>
      <c r="F14" s="17"/>
    </row>
    <row r="15" spans="1:18">
      <c r="A15" s="21" t="s">
        <v>6</v>
      </c>
      <c r="B15" s="22"/>
      <c r="C15" s="23" t="s">
        <v>7</v>
      </c>
      <c r="D15" s="24"/>
      <c r="E15" s="25"/>
      <c r="F15" s="17"/>
    </row>
    <row r="16" spans="1:18">
      <c r="A16" s="21" t="s">
        <v>8</v>
      </c>
      <c r="B16" s="22"/>
      <c r="C16" s="23"/>
      <c r="D16" s="24"/>
      <c r="E16" s="26"/>
    </row>
    <row r="17" spans="1:17" hidden="1">
      <c r="A17" s="27"/>
      <c r="B17" s="5"/>
      <c r="C17" s="28"/>
      <c r="D17" s="19"/>
      <c r="E17" s="178" t="str">
        <f>IF(AND(ISNUMBER(E15), ISBLANK(E16)), "Please enter a load factor", "")</f>
        <v/>
      </c>
      <c r="F17" s="178"/>
      <c r="G17" s="178"/>
      <c r="H17" s="178"/>
      <c r="I17" s="178"/>
      <c r="J17" s="178"/>
      <c r="K17" s="5"/>
      <c r="L17" s="5"/>
      <c r="M17" s="5"/>
      <c r="N17" s="5"/>
    </row>
    <row r="18" spans="1:17">
      <c r="A18" s="2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7">
      <c r="A19" s="29"/>
      <c r="B19" s="5"/>
      <c r="C19" s="30"/>
      <c r="D19" s="30"/>
      <c r="E19" s="166" t="s">
        <v>9</v>
      </c>
      <c r="F19" s="179"/>
      <c r="G19" s="167"/>
      <c r="H19" s="5"/>
      <c r="I19" s="166" t="s">
        <v>10</v>
      </c>
      <c r="J19" s="179"/>
      <c r="K19" s="167"/>
      <c r="L19" s="5"/>
      <c r="M19" s="166" t="s">
        <v>11</v>
      </c>
      <c r="N19" s="167"/>
    </row>
    <row r="20" spans="1:17">
      <c r="A20" s="29"/>
      <c r="B20" s="5"/>
      <c r="C20" s="168"/>
      <c r="D20" s="31"/>
      <c r="E20" s="32" t="s">
        <v>12</v>
      </c>
      <c r="F20" s="32" t="s">
        <v>13</v>
      </c>
      <c r="G20" s="33" t="s">
        <v>14</v>
      </c>
      <c r="H20" s="5"/>
      <c r="I20" s="32" t="s">
        <v>12</v>
      </c>
      <c r="J20" s="34" t="s">
        <v>13</v>
      </c>
      <c r="K20" s="33" t="s">
        <v>14</v>
      </c>
      <c r="L20" s="5"/>
      <c r="M20" s="170" t="s">
        <v>15</v>
      </c>
      <c r="N20" s="172" t="s">
        <v>16</v>
      </c>
    </row>
    <row r="21" spans="1:17">
      <c r="A21" s="29"/>
      <c r="B21" s="5"/>
      <c r="C21" s="169"/>
      <c r="D21" s="31"/>
      <c r="E21" s="35" t="s">
        <v>17</v>
      </c>
      <c r="F21" s="35"/>
      <c r="G21" s="36" t="s">
        <v>17</v>
      </c>
      <c r="H21" s="5"/>
      <c r="I21" s="35" t="s">
        <v>17</v>
      </c>
      <c r="J21" s="36"/>
      <c r="K21" s="36" t="s">
        <v>17</v>
      </c>
      <c r="L21" s="5"/>
      <c r="M21" s="171"/>
      <c r="N21" s="173"/>
    </row>
    <row r="22" spans="1:17">
      <c r="A22" s="37" t="s">
        <v>18</v>
      </c>
      <c r="B22" s="37"/>
      <c r="C22" s="38"/>
      <c r="D22" s="39"/>
      <c r="E22" s="40">
        <v>3.29</v>
      </c>
      <c r="F22" s="41">
        <v>1</v>
      </c>
      <c r="G22" s="42">
        <f>F22*E22</f>
        <v>3.29</v>
      </c>
      <c r="H22" s="43"/>
      <c r="I22" s="40">
        <v>3.32</v>
      </c>
      <c r="J22" s="44">
        <v>1</v>
      </c>
      <c r="K22" s="45">
        <f>J22*I22</f>
        <v>3.32</v>
      </c>
      <c r="L22" s="43"/>
      <c r="M22" s="46">
        <f>K22-G22</f>
        <v>2.9999999999999805E-2</v>
      </c>
      <c r="N22" s="47">
        <f>IF((G22)=0,"",(M22/G22))</f>
        <v>9.118541033434591E-3</v>
      </c>
      <c r="Q22" s="181">
        <f>E22*1.0098</f>
        <v>3.3222420000000001</v>
      </c>
    </row>
    <row r="23" spans="1:17">
      <c r="A23" s="37" t="s">
        <v>19</v>
      </c>
      <c r="B23" s="37"/>
      <c r="C23" s="38"/>
      <c r="D23" s="39"/>
      <c r="E23" s="48">
        <v>1.34E-2</v>
      </c>
      <c r="F23" s="49">
        <v>777</v>
      </c>
      <c r="G23" s="42">
        <f>F23*E23</f>
        <v>10.411799999999999</v>
      </c>
      <c r="H23" s="43"/>
      <c r="I23" s="48">
        <v>1.35E-2</v>
      </c>
      <c r="J23" s="50">
        <f>F23</f>
        <v>777</v>
      </c>
      <c r="K23" s="42">
        <f>J23*I23</f>
        <v>10.4895</v>
      </c>
      <c r="L23" s="43"/>
      <c r="M23" s="46">
        <f>K23-G23</f>
        <v>7.7700000000000102E-2</v>
      </c>
      <c r="N23" s="47">
        <f>IF((G23)=0,"",(M23/G23))</f>
        <v>7.4626865671641894E-3</v>
      </c>
      <c r="Q23" s="182">
        <f>E23*1.0098</f>
        <v>1.3531320000000001E-2</v>
      </c>
    </row>
    <row r="24" spans="1:17">
      <c r="A24" s="51" t="s">
        <v>20</v>
      </c>
      <c r="B24" s="51"/>
      <c r="C24" s="38"/>
      <c r="D24" s="39"/>
      <c r="E24" s="52">
        <v>0</v>
      </c>
      <c r="F24" s="41">
        <v>1</v>
      </c>
      <c r="G24" s="42">
        <f t="shared" ref="G24:G25" si="0">F24*E24</f>
        <v>0</v>
      </c>
      <c r="H24" s="43"/>
      <c r="I24" s="52">
        <v>0</v>
      </c>
      <c r="J24" s="44">
        <v>1</v>
      </c>
      <c r="K24" s="45">
        <f t="shared" ref="K24:K25" si="1">J24*I24</f>
        <v>0</v>
      </c>
      <c r="L24" s="43"/>
      <c r="M24" s="46">
        <f t="shared" ref="M24:M27" si="2">K24-G24</f>
        <v>0</v>
      </c>
      <c r="N24" s="47" t="str">
        <f t="shared" ref="N24:N27" si="3">IF((G24)=0,"",(M24/G24))</f>
        <v/>
      </c>
    </row>
    <row r="25" spans="1:17">
      <c r="A25" s="53" t="s">
        <v>21</v>
      </c>
      <c r="B25" s="54"/>
      <c r="C25" s="55"/>
      <c r="D25" s="56"/>
      <c r="E25" s="57">
        <v>4.1999999999999997E-3</v>
      </c>
      <c r="F25" s="58">
        <v>777</v>
      </c>
      <c r="G25" s="59">
        <f t="shared" si="0"/>
        <v>3.2633999999999999</v>
      </c>
      <c r="H25" s="60"/>
      <c r="I25" s="57">
        <v>0</v>
      </c>
      <c r="J25" s="61">
        <f>F25</f>
        <v>777</v>
      </c>
      <c r="K25" s="59">
        <f t="shared" si="1"/>
        <v>0</v>
      </c>
      <c r="L25" s="60"/>
      <c r="M25" s="62">
        <f t="shared" si="2"/>
        <v>-3.2633999999999999</v>
      </c>
      <c r="N25" s="63">
        <f t="shared" si="3"/>
        <v>-1</v>
      </c>
    </row>
    <row r="26" spans="1:17">
      <c r="A26" s="64" t="s">
        <v>22</v>
      </c>
      <c r="B26" s="65"/>
      <c r="C26" s="65"/>
      <c r="D26" s="66"/>
      <c r="E26" s="67"/>
      <c r="F26" s="68"/>
      <c r="G26" s="69">
        <f>SUM(G22:G25)</f>
        <v>16.965199999999999</v>
      </c>
      <c r="H26" s="70"/>
      <c r="I26" s="67"/>
      <c r="J26" s="71"/>
      <c r="K26" s="69">
        <f>SUM(K22:K25)</f>
        <v>13.8095</v>
      </c>
      <c r="L26" s="72"/>
      <c r="M26" s="73">
        <f t="shared" si="2"/>
        <v>-3.1556999999999995</v>
      </c>
      <c r="N26" s="74">
        <f t="shared" si="3"/>
        <v>-0.18601018555631527</v>
      </c>
      <c r="O26" s="75"/>
      <c r="P26" s="75"/>
      <c r="Q26" s="75"/>
    </row>
    <row r="27" spans="1:17">
      <c r="A27" s="76" t="s">
        <v>23</v>
      </c>
      <c r="B27" s="77"/>
      <c r="C27" s="78"/>
      <c r="D27" s="79"/>
      <c r="E27" s="48">
        <f>E39*0.64+E40*0.18+E41*0.18</f>
        <v>8.3919999999999995E-2</v>
      </c>
      <c r="F27" s="80">
        <f>E12*(E11-1)</f>
        <v>33.410999999999945</v>
      </c>
      <c r="G27" s="42">
        <f>E27*F27</f>
        <v>2.8038511199999951</v>
      </c>
      <c r="H27" s="70"/>
      <c r="I27" s="48">
        <f>I39*0.64+I40*0.18+I41*0.18</f>
        <v>8.3919999999999995E-2</v>
      </c>
      <c r="J27" s="80">
        <f>F27</f>
        <v>33.410999999999945</v>
      </c>
      <c r="K27" s="42">
        <f>I27*J27</f>
        <v>2.8038511199999951</v>
      </c>
      <c r="L27" s="81"/>
      <c r="M27" s="46">
        <f t="shared" si="2"/>
        <v>0</v>
      </c>
      <c r="N27" s="47">
        <f t="shared" si="3"/>
        <v>0</v>
      </c>
    </row>
    <row r="28" spans="1:17" ht="25.5">
      <c r="A28" s="76" t="s">
        <v>24</v>
      </c>
      <c r="B28" s="77"/>
      <c r="C28" s="78"/>
      <c r="D28" s="79"/>
      <c r="E28" s="48">
        <v>2.0000000000000001E-4</v>
      </c>
      <c r="F28" s="80">
        <v>777</v>
      </c>
      <c r="G28" s="42">
        <f>F28*E28</f>
        <v>0.15540000000000001</v>
      </c>
      <c r="H28" s="70"/>
      <c r="I28" s="48">
        <v>2.0000000000000001E-4</v>
      </c>
      <c r="J28" s="80">
        <f>F28</f>
        <v>777</v>
      </c>
      <c r="K28" s="42">
        <f>J28*I28</f>
        <v>0.15540000000000001</v>
      </c>
      <c r="L28" s="81"/>
      <c r="M28" s="46">
        <f>K28-G28</f>
        <v>0</v>
      </c>
      <c r="N28" s="47">
        <f>IF((G28)=0,"",(M28/G28))</f>
        <v>0</v>
      </c>
    </row>
    <row r="29" spans="1:17" hidden="1">
      <c r="A29" s="82" t="s">
        <v>25</v>
      </c>
      <c r="B29" s="77"/>
      <c r="C29" s="78"/>
      <c r="D29" s="79"/>
      <c r="E29" s="48"/>
      <c r="F29" s="80">
        <v>777</v>
      </c>
      <c r="G29" s="42">
        <f>F29*E29</f>
        <v>0</v>
      </c>
      <c r="H29" s="70"/>
      <c r="I29" s="48"/>
      <c r="J29" s="80">
        <f>F29</f>
        <v>777</v>
      </c>
      <c r="K29" s="42">
        <f>J29*I29</f>
        <v>0</v>
      </c>
      <c r="L29" s="81"/>
      <c r="M29" s="46">
        <f>K29-G29</f>
        <v>0</v>
      </c>
      <c r="N29" s="47" t="str">
        <f>IF((G29)=0,"",(M29/G29))</f>
        <v/>
      </c>
    </row>
    <row r="30" spans="1:17" hidden="1">
      <c r="A30" s="82" t="s">
        <v>26</v>
      </c>
      <c r="B30" s="77"/>
      <c r="C30" s="78"/>
      <c r="D30" s="79"/>
      <c r="E30" s="48"/>
      <c r="F30" s="80">
        <v>1</v>
      </c>
      <c r="G30" s="42">
        <f>F30*E30</f>
        <v>0</v>
      </c>
      <c r="H30" s="70"/>
      <c r="I30" s="48"/>
      <c r="J30" s="80">
        <f>F30</f>
        <v>1</v>
      </c>
      <c r="K30" s="42">
        <f>J30*I30</f>
        <v>0</v>
      </c>
      <c r="L30" s="81"/>
      <c r="M30" s="46">
        <f>K30-G30</f>
        <v>0</v>
      </c>
      <c r="N30" s="47" t="str">
        <f>IF((G30)=0,"",(M30/G30))</f>
        <v/>
      </c>
    </row>
    <row r="31" spans="1:17" ht="25.5">
      <c r="A31" s="83" t="s">
        <v>27</v>
      </c>
      <c r="B31" s="84"/>
      <c r="C31" s="84"/>
      <c r="D31" s="85"/>
      <c r="E31" s="86"/>
      <c r="F31" s="86"/>
      <c r="G31" s="87">
        <f>SUM(G28:G30)+G26</f>
        <v>17.1206</v>
      </c>
      <c r="H31" s="70"/>
      <c r="I31" s="86"/>
      <c r="J31" s="88"/>
      <c r="K31" s="87">
        <f>SUM(K28:K30)+K26</f>
        <v>13.9649</v>
      </c>
      <c r="L31" s="72"/>
      <c r="M31" s="89">
        <f t="shared" ref="M31:M47" si="4">K31-G31</f>
        <v>-3.1556999999999995</v>
      </c>
      <c r="N31" s="90">
        <f t="shared" ref="N31:N47" si="5">IF((G31)=0,"",(M31/G31))</f>
        <v>-0.1843218111514783</v>
      </c>
    </row>
    <row r="32" spans="1:17">
      <c r="A32" s="91" t="s">
        <v>28</v>
      </c>
      <c r="B32" s="91"/>
      <c r="C32" s="92"/>
      <c r="D32" s="93"/>
      <c r="E32" s="48">
        <v>6.6E-3</v>
      </c>
      <c r="F32" s="94">
        <v>810.41099999999994</v>
      </c>
      <c r="G32" s="42">
        <f>F32*E32</f>
        <v>5.3487125999999998</v>
      </c>
      <c r="H32" s="70"/>
      <c r="I32" s="48">
        <v>6.7999999999999996E-3</v>
      </c>
      <c r="J32" s="95">
        <f>F32</f>
        <v>810.41099999999994</v>
      </c>
      <c r="K32" s="42">
        <f>J32*I32</f>
        <v>5.5107947999999993</v>
      </c>
      <c r="L32" s="81"/>
      <c r="M32" s="46">
        <f t="shared" si="4"/>
        <v>0.16208219999999951</v>
      </c>
      <c r="N32" s="47">
        <f t="shared" si="5"/>
        <v>3.0303030303030214E-2</v>
      </c>
    </row>
    <row r="33" spans="1:14">
      <c r="A33" s="174" t="s">
        <v>29</v>
      </c>
      <c r="B33" s="174"/>
      <c r="C33" s="174"/>
      <c r="D33" s="93"/>
      <c r="E33" s="48">
        <v>5.1999999999999998E-3</v>
      </c>
      <c r="F33" s="94">
        <v>810.41099999999994</v>
      </c>
      <c r="G33" s="42">
        <f>F33*E33</f>
        <v>4.2141371999999997</v>
      </c>
      <c r="H33" s="70"/>
      <c r="I33" s="48">
        <v>5.1999999999999998E-3</v>
      </c>
      <c r="J33" s="95">
        <f>F33</f>
        <v>810.41099999999994</v>
      </c>
      <c r="K33" s="42">
        <f>J33*I33</f>
        <v>4.2141371999999997</v>
      </c>
      <c r="L33" s="81"/>
      <c r="M33" s="46">
        <f t="shared" si="4"/>
        <v>0</v>
      </c>
      <c r="N33" s="47">
        <f t="shared" si="5"/>
        <v>0</v>
      </c>
    </row>
    <row r="34" spans="1:14" ht="25.5">
      <c r="A34" s="83" t="s">
        <v>30</v>
      </c>
      <c r="B34" s="96"/>
      <c r="C34" s="96"/>
      <c r="D34" s="97"/>
      <c r="E34" s="86"/>
      <c r="F34" s="86"/>
      <c r="G34" s="87">
        <f>SUM(G31:G33)</f>
        <v>26.683449799999998</v>
      </c>
      <c r="H34" s="98"/>
      <c r="I34" s="99"/>
      <c r="J34" s="100"/>
      <c r="K34" s="87">
        <f>SUM(K31:K33)</f>
        <v>23.689831999999999</v>
      </c>
      <c r="L34" s="101"/>
      <c r="M34" s="89">
        <f t="shared" si="4"/>
        <v>-2.9936177999999991</v>
      </c>
      <c r="N34" s="90">
        <f t="shared" si="5"/>
        <v>-0.1121900587232165</v>
      </c>
    </row>
    <row r="35" spans="1:14" ht="25.5">
      <c r="A35" s="102" t="s">
        <v>31</v>
      </c>
      <c r="B35" s="77"/>
      <c r="C35" s="78"/>
      <c r="D35" s="79"/>
      <c r="E35" s="103">
        <v>4.4000000000000003E-3</v>
      </c>
      <c r="F35" s="94">
        <f>E12*E11</f>
        <v>810.41099999999994</v>
      </c>
      <c r="G35" s="104">
        <f t="shared" ref="G35:G41" si="6">F35*E35</f>
        <v>3.5658083999999999</v>
      </c>
      <c r="H35" s="81"/>
      <c r="I35" s="103">
        <v>4.4000000000000003E-3</v>
      </c>
      <c r="J35" s="95">
        <f>E12*E11</f>
        <v>810.41099999999994</v>
      </c>
      <c r="K35" s="104">
        <f t="shared" ref="K35:K41" si="7">J35*I35</f>
        <v>3.5658083999999999</v>
      </c>
      <c r="L35" s="81"/>
      <c r="M35" s="46">
        <f t="shared" si="4"/>
        <v>0</v>
      </c>
      <c r="N35" s="105">
        <f t="shared" si="5"/>
        <v>0</v>
      </c>
    </row>
    <row r="36" spans="1:14" ht="25.5">
      <c r="A36" s="102" t="s">
        <v>32</v>
      </c>
      <c r="B36" s="77"/>
      <c r="C36" s="78"/>
      <c r="D36" s="79"/>
      <c r="E36" s="103">
        <v>1.1999999999999999E-3</v>
      </c>
      <c r="F36" s="94">
        <f>E12*E11</f>
        <v>810.41099999999994</v>
      </c>
      <c r="G36" s="104">
        <f t="shared" si="6"/>
        <v>0.97249319999999984</v>
      </c>
      <c r="H36" s="81"/>
      <c r="I36" s="103">
        <v>1.1999999999999999E-3</v>
      </c>
      <c r="J36" s="95">
        <f>E12*E11</f>
        <v>810.41099999999994</v>
      </c>
      <c r="K36" s="104">
        <f t="shared" si="7"/>
        <v>0.97249319999999984</v>
      </c>
      <c r="L36" s="81"/>
      <c r="M36" s="46">
        <f t="shared" si="4"/>
        <v>0</v>
      </c>
      <c r="N36" s="105">
        <f t="shared" si="5"/>
        <v>0</v>
      </c>
    </row>
    <row r="37" spans="1:14">
      <c r="A37" s="77" t="s">
        <v>33</v>
      </c>
      <c r="B37" s="77"/>
      <c r="C37" s="78"/>
      <c r="D37" s="79"/>
      <c r="E37" s="103">
        <v>0.25</v>
      </c>
      <c r="F37" s="94">
        <v>1</v>
      </c>
      <c r="G37" s="104">
        <f t="shared" si="6"/>
        <v>0.25</v>
      </c>
      <c r="H37" s="81"/>
      <c r="I37" s="103">
        <v>0.25</v>
      </c>
      <c r="J37" s="95">
        <v>1</v>
      </c>
      <c r="K37" s="104">
        <f t="shared" si="7"/>
        <v>0.25</v>
      </c>
      <c r="L37" s="81"/>
      <c r="M37" s="46">
        <f t="shared" si="4"/>
        <v>0</v>
      </c>
      <c r="N37" s="105">
        <f t="shared" si="5"/>
        <v>0</v>
      </c>
    </row>
    <row r="38" spans="1:14">
      <c r="A38" s="77" t="s">
        <v>34</v>
      </c>
      <c r="B38" s="77"/>
      <c r="C38" s="78"/>
      <c r="D38" s="79"/>
      <c r="E38" s="103">
        <v>7.0000000000000001E-3</v>
      </c>
      <c r="F38" s="94">
        <f>E12</f>
        <v>777</v>
      </c>
      <c r="G38" s="104">
        <f t="shared" si="6"/>
        <v>5.4390000000000001</v>
      </c>
      <c r="H38" s="81"/>
      <c r="I38" s="103">
        <v>7.0000000000000001E-3</v>
      </c>
      <c r="J38" s="95">
        <f>E12</f>
        <v>777</v>
      </c>
      <c r="K38" s="104">
        <f t="shared" si="7"/>
        <v>5.4390000000000001</v>
      </c>
      <c r="L38" s="81"/>
      <c r="M38" s="46">
        <f t="shared" si="4"/>
        <v>0</v>
      </c>
      <c r="N38" s="105">
        <f t="shared" si="5"/>
        <v>0</v>
      </c>
    </row>
    <row r="39" spans="1:14">
      <c r="A39" s="82" t="s">
        <v>35</v>
      </c>
      <c r="B39" s="77"/>
      <c r="C39" s="78"/>
      <c r="D39" s="79"/>
      <c r="E39" s="106">
        <v>6.7000000000000004E-2</v>
      </c>
      <c r="F39" s="94">
        <v>497.28000000000003</v>
      </c>
      <c r="G39" s="104">
        <f t="shared" si="6"/>
        <v>33.317760000000007</v>
      </c>
      <c r="H39" s="81"/>
      <c r="I39" s="103">
        <v>6.7000000000000004E-2</v>
      </c>
      <c r="J39" s="94">
        <f t="shared" ref="J39:J40" si="8">F39</f>
        <v>497.28000000000003</v>
      </c>
      <c r="K39" s="104">
        <f t="shared" si="7"/>
        <v>33.317760000000007</v>
      </c>
      <c r="L39" s="81"/>
      <c r="M39" s="46">
        <f t="shared" si="4"/>
        <v>0</v>
      </c>
      <c r="N39" s="105">
        <f t="shared" si="5"/>
        <v>0</v>
      </c>
    </row>
    <row r="40" spans="1:14">
      <c r="A40" s="82" t="s">
        <v>36</v>
      </c>
      <c r="B40" s="77"/>
      <c r="C40" s="78"/>
      <c r="D40" s="79"/>
      <c r="E40" s="106">
        <v>0.104</v>
      </c>
      <c r="F40" s="94">
        <v>139.85999999999999</v>
      </c>
      <c r="G40" s="104">
        <f t="shared" si="6"/>
        <v>14.545439999999997</v>
      </c>
      <c r="H40" s="81"/>
      <c r="I40" s="103">
        <v>0.104</v>
      </c>
      <c r="J40" s="94">
        <f t="shared" si="8"/>
        <v>139.85999999999999</v>
      </c>
      <c r="K40" s="104">
        <f t="shared" si="7"/>
        <v>14.545439999999997</v>
      </c>
      <c r="L40" s="81"/>
      <c r="M40" s="46">
        <f t="shared" si="4"/>
        <v>0</v>
      </c>
      <c r="N40" s="105">
        <f t="shared" si="5"/>
        <v>0</v>
      </c>
    </row>
    <row r="41" spans="1:14" ht="15.75" thickBot="1">
      <c r="A41" s="29" t="s">
        <v>37</v>
      </c>
      <c r="B41" s="77"/>
      <c r="C41" s="78"/>
      <c r="D41" s="79"/>
      <c r="E41" s="106">
        <v>0.124</v>
      </c>
      <c r="F41" s="94">
        <v>139.85999999999999</v>
      </c>
      <c r="G41" s="104">
        <f t="shared" si="6"/>
        <v>17.342639999999999</v>
      </c>
      <c r="H41" s="81"/>
      <c r="I41" s="103">
        <v>0.124</v>
      </c>
      <c r="J41" s="94">
        <f>F41</f>
        <v>139.85999999999999</v>
      </c>
      <c r="K41" s="104">
        <f t="shared" si="7"/>
        <v>17.342639999999999</v>
      </c>
      <c r="L41" s="81"/>
      <c r="M41" s="46">
        <f t="shared" si="4"/>
        <v>0</v>
      </c>
      <c r="N41" s="105">
        <f t="shared" si="5"/>
        <v>0</v>
      </c>
    </row>
    <row r="42" spans="1:14" ht="15.75" thickBot="1">
      <c r="A42" s="107"/>
      <c r="B42" s="108"/>
      <c r="C42" s="108"/>
      <c r="D42" s="109"/>
      <c r="E42" s="110"/>
      <c r="F42" s="111"/>
      <c r="G42" s="112"/>
      <c r="H42" s="113"/>
      <c r="I42" s="110"/>
      <c r="J42" s="114"/>
      <c r="K42" s="112"/>
      <c r="L42" s="113"/>
      <c r="M42" s="115"/>
      <c r="N42" s="116"/>
    </row>
    <row r="43" spans="1:14">
      <c r="A43" s="117" t="s">
        <v>38</v>
      </c>
      <c r="B43" s="77"/>
      <c r="C43" s="77"/>
      <c r="D43" s="118"/>
      <c r="E43" s="119"/>
      <c r="F43" s="120"/>
      <c r="G43" s="121">
        <f>SUM(G34:G38,G39:G41)</f>
        <v>102.1165914</v>
      </c>
      <c r="H43" s="122"/>
      <c r="I43" s="123"/>
      <c r="J43" s="123"/>
      <c r="K43" s="124">
        <f>SUM(K34:K38,K39:K41)</f>
        <v>99.122973600000009</v>
      </c>
      <c r="L43" s="125"/>
      <c r="M43" s="126">
        <f t="shared" ref="M43" si="9">K43-G43</f>
        <v>-2.9936177999999956</v>
      </c>
      <c r="N43" s="127">
        <f t="shared" ref="N43" si="10">IF((G43)=0,"",(M43/G43))</f>
        <v>-2.9315684737984658E-2</v>
      </c>
    </row>
    <row r="44" spans="1:14">
      <c r="A44" s="128" t="s">
        <v>39</v>
      </c>
      <c r="B44" s="77"/>
      <c r="C44" s="77"/>
      <c r="D44" s="118"/>
      <c r="E44" s="119">
        <v>0.13</v>
      </c>
      <c r="F44" s="129"/>
      <c r="G44" s="130">
        <f>G43*E44</f>
        <v>13.275156882000001</v>
      </c>
      <c r="H44" s="41"/>
      <c r="I44" s="119">
        <v>0.13</v>
      </c>
      <c r="J44" s="41"/>
      <c r="K44" s="131">
        <f>K43*I44</f>
        <v>12.885986568000002</v>
      </c>
      <c r="L44" s="132"/>
      <c r="M44" s="133">
        <f t="shared" si="4"/>
        <v>-0.38917031399999935</v>
      </c>
      <c r="N44" s="134">
        <f t="shared" si="5"/>
        <v>-2.9315684737984651E-2</v>
      </c>
    </row>
    <row r="45" spans="1:14">
      <c r="A45" s="135" t="s">
        <v>40</v>
      </c>
      <c r="B45" s="77"/>
      <c r="C45" s="77"/>
      <c r="D45" s="118"/>
      <c r="E45" s="41"/>
      <c r="F45" s="129"/>
      <c r="G45" s="130">
        <f>G43+G44</f>
        <v>115.39174828200001</v>
      </c>
      <c r="H45" s="41"/>
      <c r="I45" s="41"/>
      <c r="J45" s="41"/>
      <c r="K45" s="131">
        <f>K43+K44</f>
        <v>112.00896016800002</v>
      </c>
      <c r="L45" s="132"/>
      <c r="M45" s="133">
        <f t="shared" si="4"/>
        <v>-3.3827881139999931</v>
      </c>
      <c r="N45" s="134">
        <f t="shared" si="5"/>
        <v>-2.931568473798464E-2</v>
      </c>
    </row>
    <row r="46" spans="1:14">
      <c r="A46" s="180" t="s">
        <v>41</v>
      </c>
      <c r="B46" s="180"/>
      <c r="C46" s="180"/>
      <c r="D46" s="118"/>
      <c r="E46" s="41"/>
      <c r="F46" s="129"/>
      <c r="G46" s="136">
        <f>ROUND(-G45*10%,2)</f>
        <v>-11.54</v>
      </c>
      <c r="H46" s="41"/>
      <c r="I46" s="41"/>
      <c r="J46" s="41"/>
      <c r="K46" s="137">
        <f>ROUND(-K45*10%,2)</f>
        <v>-11.2</v>
      </c>
      <c r="L46" s="132"/>
      <c r="M46" s="138">
        <f t="shared" si="4"/>
        <v>0.33999999999999986</v>
      </c>
      <c r="N46" s="139">
        <f t="shared" si="5"/>
        <v>-2.9462738301559783E-2</v>
      </c>
    </row>
    <row r="47" spans="1:14" ht="15.75" thickBot="1">
      <c r="A47" s="175" t="s">
        <v>42</v>
      </c>
      <c r="B47" s="175"/>
      <c r="C47" s="175"/>
      <c r="D47" s="140"/>
      <c r="E47" s="141"/>
      <c r="F47" s="142"/>
      <c r="G47" s="143">
        <f>G45+G46</f>
        <v>103.85174828200002</v>
      </c>
      <c r="H47" s="144"/>
      <c r="I47" s="144"/>
      <c r="J47" s="144"/>
      <c r="K47" s="145">
        <f>K45+K46</f>
        <v>100.80896016800001</v>
      </c>
      <c r="L47" s="146"/>
      <c r="M47" s="73">
        <f t="shared" si="4"/>
        <v>-3.0427881140000039</v>
      </c>
      <c r="N47" s="74">
        <f t="shared" si="5"/>
        <v>-2.9299344154877283E-2</v>
      </c>
    </row>
    <row r="48" spans="1:14" ht="15.75" thickBot="1">
      <c r="A48" s="107"/>
      <c r="B48" s="108"/>
      <c r="C48" s="108"/>
      <c r="D48" s="109"/>
      <c r="E48" s="147"/>
      <c r="F48" s="148"/>
      <c r="G48" s="149"/>
      <c r="H48" s="150"/>
      <c r="I48" s="147"/>
      <c r="J48" s="150"/>
      <c r="K48" s="151"/>
      <c r="L48" s="148"/>
      <c r="M48" s="152"/>
      <c r="N48" s="153"/>
    </row>
    <row r="49" spans="1:11">
      <c r="A49" s="5"/>
      <c r="B49" s="5"/>
      <c r="C49" s="5"/>
      <c r="K49" s="154"/>
    </row>
    <row r="50" spans="1:11">
      <c r="A50" s="5"/>
      <c r="B50" s="5"/>
      <c r="C50" s="5"/>
    </row>
    <row r="51" spans="1:11">
      <c r="A51" s="5"/>
      <c r="B51" s="5"/>
      <c r="C51" s="5"/>
    </row>
    <row r="52" spans="1:11">
      <c r="A52" s="19" t="s">
        <v>43</v>
      </c>
      <c r="B52" s="5"/>
      <c r="C52" s="5"/>
    </row>
    <row r="53" spans="1:11">
      <c r="A53" s="5"/>
      <c r="B53" s="5"/>
      <c r="C53" s="5"/>
    </row>
  </sheetData>
  <mergeCells count="12">
    <mergeCell ref="A47:C47"/>
    <mergeCell ref="A2:J2"/>
    <mergeCell ref="C10:K10"/>
    <mergeCell ref="E17:J17"/>
    <mergeCell ref="E19:G19"/>
    <mergeCell ref="I19:K19"/>
    <mergeCell ref="A46:C46"/>
    <mergeCell ref="M19:N19"/>
    <mergeCell ref="C20:C21"/>
    <mergeCell ref="M20:M21"/>
    <mergeCell ref="N20:N21"/>
    <mergeCell ref="A33:C33"/>
  </mergeCells>
  <dataValidations count="4">
    <dataValidation showDropDown="1" showInputMessage="1" showErrorMessage="1" prompt="Select Charge Unit - monthly, per kWh, per kW" sqref="C22:C25 C28:C30 C32 C35:C41"/>
    <dataValidation type="list" allowBlank="1" showInputMessage="1" showErrorMessage="1" sqref="D32:D33 D48 D22:D25 D28:D30 D35:D42">
      <formula1>#REF!</formula1>
    </dataValidation>
    <dataValidation type="list" allowBlank="1" showInputMessage="1" showErrorMessage="1" prompt="Select Charge Unit - monthly, per kWh, per kW" sqref="C42 C48">
      <formula1>"Monthly, per kWh, per kW"</formula1>
    </dataValidation>
    <dataValidation type="list" allowBlank="1" showInputMessage="1" showErrorMessage="1" sqref="C10">
      <formula1>BI_LDCLIST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headerFooter>
    <oddFooter>&amp;L&amp;A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topLeftCell="A4" workbookViewId="0">
      <selection activeCell="J35" sqref="J35"/>
    </sheetView>
  </sheetViews>
  <sheetFormatPr defaultRowHeight="15"/>
  <cols>
    <col min="1" max="1" width="26.5703125" style="11" customWidth="1"/>
    <col min="2" max="2" width="1.28515625" style="11" customWidth="1"/>
    <col min="3" max="3" width="11.28515625" style="11" customWidth="1"/>
    <col min="4" max="4" width="1.28515625" style="11" customWidth="1"/>
    <col min="5" max="7" width="12.7109375" style="11" customWidth="1"/>
    <col min="8" max="8" width="2.85546875" style="11" customWidth="1"/>
    <col min="9" max="11" width="12.7109375" style="11" customWidth="1"/>
    <col min="12" max="12" width="2.85546875" style="11" customWidth="1"/>
    <col min="13" max="13" width="12.7109375" style="11" customWidth="1"/>
    <col min="14" max="14" width="12.85546875" style="11" customWidth="1"/>
    <col min="15" max="15" width="3.85546875" style="5" customWidth="1"/>
    <col min="16" max="16" width="9.140625" style="5"/>
  </cols>
  <sheetData>
    <row r="1" spans="1:18" ht="18">
      <c r="A1" s="7"/>
      <c r="B1" s="7"/>
      <c r="C1" s="7"/>
      <c r="D1" s="7"/>
      <c r="E1" s="7"/>
      <c r="F1" s="7"/>
      <c r="G1" s="7"/>
      <c r="H1" s="7"/>
      <c r="I1" s="7"/>
      <c r="J1" s="7"/>
      <c r="K1" s="1"/>
      <c r="L1" s="2"/>
      <c r="M1" s="3"/>
      <c r="N1" s="8"/>
      <c r="P1" s="6"/>
      <c r="Q1" s="6"/>
      <c r="R1" s="6"/>
    </row>
    <row r="2" spans="1:18" ht="18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"/>
      <c r="L2" s="2"/>
      <c r="M2" s="3"/>
      <c r="N2" s="8"/>
      <c r="P2" s="6"/>
      <c r="Q2" s="6"/>
      <c r="R2" s="6"/>
    </row>
    <row r="3" spans="1:18" ht="18">
      <c r="A3" s="7"/>
      <c r="B3" s="7"/>
      <c r="C3" s="7"/>
      <c r="D3" s="7"/>
      <c r="E3" s="7"/>
      <c r="F3" s="7"/>
      <c r="G3" s="7"/>
      <c r="H3" s="9"/>
      <c r="I3" s="9"/>
      <c r="J3" s="9"/>
      <c r="K3" s="1"/>
      <c r="L3" s="2"/>
      <c r="M3" s="3"/>
      <c r="N3" s="8"/>
      <c r="P3" s="6"/>
      <c r="Q3" s="6"/>
      <c r="R3" s="6"/>
    </row>
    <row r="4" spans="1:18" ht="15.75">
      <c r="A4" s="1"/>
      <c r="B4" s="10"/>
      <c r="C4" s="10"/>
      <c r="D4" s="10"/>
      <c r="E4" s="1"/>
      <c r="F4" s="1"/>
      <c r="G4" s="1"/>
      <c r="H4" s="1"/>
      <c r="I4" s="1"/>
      <c r="J4" s="1"/>
      <c r="K4" s="1"/>
      <c r="L4" s="2"/>
      <c r="M4" s="3"/>
      <c r="N4" s="4"/>
      <c r="P4" s="6"/>
      <c r="Q4" s="6"/>
      <c r="R4" s="6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P5" s="6"/>
      <c r="Q5" s="6"/>
      <c r="R5" s="6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P6" s="6"/>
      <c r="Q6" s="6"/>
      <c r="R6" s="6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P7" s="6"/>
      <c r="Q7" s="6"/>
      <c r="R7" s="6"/>
    </row>
    <row r="8" spans="1:18">
      <c r="Q8" s="5"/>
      <c r="R8" s="5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5.75">
      <c r="A10" s="12" t="s">
        <v>0</v>
      </c>
      <c r="C10" s="177" t="s">
        <v>49</v>
      </c>
      <c r="D10" s="177"/>
      <c r="E10" s="177"/>
      <c r="F10" s="177"/>
      <c r="G10" s="177"/>
      <c r="H10" s="177"/>
      <c r="I10" s="177"/>
      <c r="J10" s="177"/>
      <c r="K10" s="177"/>
      <c r="L10" s="13"/>
      <c r="M10" s="13"/>
      <c r="N10" s="13"/>
    </row>
    <row r="11" spans="1:18" ht="15.75">
      <c r="A11" s="12" t="s">
        <v>2</v>
      </c>
      <c r="C11" s="14"/>
      <c r="D11" s="14"/>
      <c r="E11" s="15">
        <v>1.0429999999999999</v>
      </c>
      <c r="F11" s="14"/>
      <c r="G11" s="14"/>
      <c r="H11" s="14"/>
      <c r="I11" s="14"/>
      <c r="J11" s="14"/>
      <c r="K11" s="14"/>
      <c r="L11" s="14"/>
      <c r="M11" s="14"/>
      <c r="N11" s="14"/>
    </row>
    <row r="12" spans="1:18">
      <c r="A12" s="12" t="s">
        <v>3</v>
      </c>
      <c r="C12" s="16" t="s">
        <v>4</v>
      </c>
      <c r="D12" s="17"/>
      <c r="E12" s="155">
        <f>730*E15*E16</f>
        <v>180</v>
      </c>
    </row>
    <row r="13" spans="1:18" hidden="1">
      <c r="A13" s="5"/>
      <c r="B13" s="5"/>
      <c r="C13" s="5"/>
      <c r="D13" s="5"/>
      <c r="E13" s="5"/>
      <c r="F13" s="19"/>
      <c r="G13" s="5"/>
      <c r="H13" s="5"/>
      <c r="I13" s="5"/>
      <c r="J13" s="5"/>
      <c r="K13" s="5"/>
      <c r="L13" s="5"/>
      <c r="M13" s="5"/>
      <c r="N13" s="5"/>
    </row>
    <row r="14" spans="1:18" hidden="1">
      <c r="A14" s="20" t="s">
        <v>5</v>
      </c>
      <c r="F14" s="17"/>
    </row>
    <row r="15" spans="1:18">
      <c r="A15" s="21" t="s">
        <v>6</v>
      </c>
      <c r="B15" s="22"/>
      <c r="C15" s="23" t="s">
        <v>7</v>
      </c>
      <c r="D15" s="24"/>
      <c r="E15" s="156">
        <v>0.5</v>
      </c>
      <c r="F15" s="17"/>
    </row>
    <row r="16" spans="1:18">
      <c r="A16" s="21" t="s">
        <v>8</v>
      </c>
      <c r="B16" s="22"/>
      <c r="C16" s="23"/>
      <c r="D16" s="24"/>
      <c r="E16" s="157">
        <f>180/730/0.5</f>
        <v>0.49315068493150682</v>
      </c>
    </row>
    <row r="17" spans="1:16" hidden="1">
      <c r="A17" s="27"/>
      <c r="B17" s="5"/>
      <c r="C17" s="28"/>
      <c r="D17" s="19"/>
      <c r="E17" s="178" t="str">
        <f>IF(AND(ISNUMBER(E15), ISBLANK(E16)), "Please enter a load factor", "")</f>
        <v/>
      </c>
      <c r="F17" s="178"/>
      <c r="G17" s="178"/>
      <c r="H17" s="178"/>
      <c r="I17" s="178"/>
      <c r="J17" s="178"/>
      <c r="K17" s="5"/>
      <c r="L17" s="5"/>
      <c r="M17" s="5"/>
      <c r="N17" s="5"/>
    </row>
    <row r="18" spans="1:16">
      <c r="A18" s="2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6">
      <c r="A19" s="29"/>
      <c r="B19" s="5"/>
      <c r="C19" s="30"/>
      <c r="D19" s="30"/>
      <c r="E19" s="166" t="s">
        <v>9</v>
      </c>
      <c r="F19" s="179"/>
      <c r="G19" s="167"/>
      <c r="H19" s="5"/>
      <c r="I19" s="166" t="s">
        <v>10</v>
      </c>
      <c r="J19" s="179"/>
      <c r="K19" s="167"/>
      <c r="L19" s="5"/>
      <c r="M19" s="166" t="s">
        <v>11</v>
      </c>
      <c r="N19" s="167"/>
    </row>
    <row r="20" spans="1:16">
      <c r="A20" s="29"/>
      <c r="B20" s="5"/>
      <c r="C20" s="168"/>
      <c r="D20" s="31"/>
      <c r="E20" s="32" t="s">
        <v>12</v>
      </c>
      <c r="F20" s="32" t="s">
        <v>13</v>
      </c>
      <c r="G20" s="33" t="s">
        <v>14</v>
      </c>
      <c r="H20" s="5"/>
      <c r="I20" s="32" t="s">
        <v>12</v>
      </c>
      <c r="J20" s="34" t="s">
        <v>13</v>
      </c>
      <c r="K20" s="33" t="s">
        <v>14</v>
      </c>
      <c r="L20" s="5"/>
      <c r="M20" s="170" t="s">
        <v>15</v>
      </c>
      <c r="N20" s="172" t="s">
        <v>16</v>
      </c>
    </row>
    <row r="21" spans="1:16">
      <c r="A21" s="29"/>
      <c r="B21" s="5"/>
      <c r="C21" s="169"/>
      <c r="D21" s="31"/>
      <c r="E21" s="35" t="s">
        <v>17</v>
      </c>
      <c r="F21" s="35"/>
      <c r="G21" s="36" t="s">
        <v>17</v>
      </c>
      <c r="H21" s="5"/>
      <c r="I21" s="35" t="s">
        <v>17</v>
      </c>
      <c r="J21" s="36"/>
      <c r="K21" s="36" t="s">
        <v>17</v>
      </c>
      <c r="L21" s="5"/>
      <c r="M21" s="171"/>
      <c r="N21" s="173"/>
    </row>
    <row r="22" spans="1:16">
      <c r="A22" s="37" t="s">
        <v>18</v>
      </c>
      <c r="B22" s="37"/>
      <c r="C22" s="38"/>
      <c r="D22" s="39"/>
      <c r="E22" s="40">
        <v>4.2699999999999996</v>
      </c>
      <c r="F22" s="41">
        <v>1</v>
      </c>
      <c r="G22" s="42">
        <f>F22*E22</f>
        <v>4.2699999999999996</v>
      </c>
      <c r="H22" s="43"/>
      <c r="I22" s="40">
        <v>4.3099999999999996</v>
      </c>
      <c r="J22" s="44">
        <v>1</v>
      </c>
      <c r="K22" s="45">
        <f>J22*I22</f>
        <v>4.3099999999999996</v>
      </c>
      <c r="L22" s="43"/>
      <c r="M22" s="46">
        <f>K22-G22</f>
        <v>4.0000000000000036E-2</v>
      </c>
      <c r="N22" s="47">
        <f>IF((G22)=0,"",(M22/G22))</f>
        <v>9.3676814988290485E-3</v>
      </c>
    </row>
    <row r="23" spans="1:16">
      <c r="A23" s="37" t="s">
        <v>19</v>
      </c>
      <c r="B23" s="37"/>
      <c r="C23" s="38"/>
      <c r="D23" s="39"/>
      <c r="E23" s="48">
        <v>6.1166</v>
      </c>
      <c r="F23" s="162">
        <v>0.5</v>
      </c>
      <c r="G23" s="42">
        <f>F23*E23</f>
        <v>3.0583</v>
      </c>
      <c r="H23" s="43"/>
      <c r="I23" s="48">
        <v>6.1764999999999999</v>
      </c>
      <c r="J23" s="160">
        <f>F23</f>
        <v>0.5</v>
      </c>
      <c r="K23" s="42">
        <f>J23*I23</f>
        <v>3.0882499999999999</v>
      </c>
      <c r="L23" s="43"/>
      <c r="M23" s="46">
        <f>K23-G23</f>
        <v>2.9949999999999921E-2</v>
      </c>
      <c r="N23" s="47">
        <f>IF((G23)=0,"",(M23/G23))</f>
        <v>9.7930222672726417E-3</v>
      </c>
    </row>
    <row r="24" spans="1:16">
      <c r="A24" s="51" t="s">
        <v>20</v>
      </c>
      <c r="B24" s="51"/>
      <c r="C24" s="38"/>
      <c r="D24" s="39"/>
      <c r="E24" s="52">
        <v>0</v>
      </c>
      <c r="F24" s="41">
        <v>1</v>
      </c>
      <c r="G24" s="42">
        <f t="shared" ref="G24:G25" si="0">F24*E24</f>
        <v>0</v>
      </c>
      <c r="H24" s="43"/>
      <c r="I24" s="52">
        <v>0</v>
      </c>
      <c r="J24" s="44">
        <v>1</v>
      </c>
      <c r="K24" s="45">
        <f t="shared" ref="K24:K25" si="1">J24*I24</f>
        <v>0</v>
      </c>
      <c r="L24" s="43"/>
      <c r="M24" s="46">
        <f t="shared" ref="M24:M27" si="2">K24-G24</f>
        <v>0</v>
      </c>
      <c r="N24" s="47" t="str">
        <f t="shared" ref="N24:N27" si="3">IF((G24)=0,"",(M24/G24))</f>
        <v/>
      </c>
    </row>
    <row r="25" spans="1:16">
      <c r="A25" s="53" t="s">
        <v>21</v>
      </c>
      <c r="B25" s="54"/>
      <c r="C25" s="55"/>
      <c r="D25" s="56"/>
      <c r="E25" s="57">
        <v>0</v>
      </c>
      <c r="F25" s="163">
        <v>0.5</v>
      </c>
      <c r="G25" s="59">
        <f t="shared" si="0"/>
        <v>0</v>
      </c>
      <c r="H25" s="60"/>
      <c r="I25" s="57">
        <v>0</v>
      </c>
      <c r="J25" s="164">
        <f>F25</f>
        <v>0.5</v>
      </c>
      <c r="K25" s="59">
        <f t="shared" si="1"/>
        <v>0</v>
      </c>
      <c r="L25" s="60"/>
      <c r="M25" s="62">
        <f t="shared" si="2"/>
        <v>0</v>
      </c>
      <c r="N25" s="63" t="str">
        <f t="shared" si="3"/>
        <v/>
      </c>
    </row>
    <row r="26" spans="1:16">
      <c r="A26" s="64" t="s">
        <v>22</v>
      </c>
      <c r="B26" s="65"/>
      <c r="C26" s="65"/>
      <c r="D26" s="66"/>
      <c r="E26" s="67"/>
      <c r="F26" s="68"/>
      <c r="G26" s="69">
        <f>SUM(G22:G25)</f>
        <v>7.3282999999999996</v>
      </c>
      <c r="H26" s="70"/>
      <c r="I26" s="67"/>
      <c r="J26" s="71"/>
      <c r="K26" s="69">
        <f>SUM(K22:K25)</f>
        <v>7.3982499999999991</v>
      </c>
      <c r="L26" s="72"/>
      <c r="M26" s="73">
        <f t="shared" si="2"/>
        <v>6.9949999999999513E-2</v>
      </c>
      <c r="N26" s="74">
        <f t="shared" si="3"/>
        <v>9.5451878334674497E-3</v>
      </c>
      <c r="O26" s="75"/>
      <c r="P26" s="75"/>
    </row>
    <row r="27" spans="1:16">
      <c r="A27" s="76" t="s">
        <v>23</v>
      </c>
      <c r="B27" s="77"/>
      <c r="C27" s="78"/>
      <c r="D27" s="79"/>
      <c r="E27" s="48">
        <f>E39*0.64+E40*0.18+E41*0.18</f>
        <v>8.3919999999999995E-2</v>
      </c>
      <c r="F27" s="80">
        <f>E12*(E11-1)</f>
        <v>7.7399999999999869</v>
      </c>
      <c r="G27" s="42">
        <f>E27*F27</f>
        <v>0.64954079999999881</v>
      </c>
      <c r="H27" s="70"/>
      <c r="I27" s="48">
        <f>I39*0.64+I40*0.18+I41*0.18</f>
        <v>8.3919999999999995E-2</v>
      </c>
      <c r="J27" s="80">
        <f>F27</f>
        <v>7.7399999999999869</v>
      </c>
      <c r="K27" s="42">
        <f>I27*J27</f>
        <v>0.64954079999999881</v>
      </c>
      <c r="L27" s="81"/>
      <c r="M27" s="46">
        <f t="shared" si="2"/>
        <v>0</v>
      </c>
      <c r="N27" s="47">
        <f t="shared" si="3"/>
        <v>0</v>
      </c>
    </row>
    <row r="28" spans="1:16" ht="25.5">
      <c r="A28" s="76" t="s">
        <v>24</v>
      </c>
      <c r="B28" s="77"/>
      <c r="C28" s="78"/>
      <c r="D28" s="79"/>
      <c r="E28" s="48">
        <v>0.2409</v>
      </c>
      <c r="F28" s="159">
        <v>0.5</v>
      </c>
      <c r="G28" s="42">
        <f>F28*E28</f>
        <v>0.12045</v>
      </c>
      <c r="H28" s="70"/>
      <c r="I28" s="48">
        <v>0.2409</v>
      </c>
      <c r="J28" s="159">
        <f>F28</f>
        <v>0.5</v>
      </c>
      <c r="K28" s="42">
        <f>J28*I28</f>
        <v>0.12045</v>
      </c>
      <c r="L28" s="81"/>
      <c r="M28" s="46">
        <f>K28-G28</f>
        <v>0</v>
      </c>
      <c r="N28" s="47">
        <f>IF((G28)=0,"",(M28/G28))</f>
        <v>0</v>
      </c>
    </row>
    <row r="29" spans="1:16" hidden="1">
      <c r="A29" s="82" t="s">
        <v>25</v>
      </c>
      <c r="B29" s="77"/>
      <c r="C29" s="78"/>
      <c r="D29" s="79"/>
      <c r="E29" s="48"/>
      <c r="F29" s="159">
        <v>0.5</v>
      </c>
      <c r="G29" s="42">
        <f>F29*E29</f>
        <v>0</v>
      </c>
      <c r="H29" s="70"/>
      <c r="I29" s="48"/>
      <c r="J29" s="159">
        <f>F29</f>
        <v>0.5</v>
      </c>
      <c r="K29" s="42">
        <f>J29*I29</f>
        <v>0</v>
      </c>
      <c r="L29" s="81"/>
      <c r="M29" s="46">
        <f>K29-G29</f>
        <v>0</v>
      </c>
      <c r="N29" s="47" t="str">
        <f>IF((G29)=0,"",(M29/G29))</f>
        <v/>
      </c>
    </row>
    <row r="30" spans="1:16" hidden="1">
      <c r="A30" s="82" t="s">
        <v>26</v>
      </c>
      <c r="B30" s="77"/>
      <c r="C30" s="78"/>
      <c r="D30" s="79"/>
      <c r="E30" s="48"/>
      <c r="F30" s="80">
        <v>1</v>
      </c>
      <c r="G30" s="42">
        <f>F30*E30</f>
        <v>0</v>
      </c>
      <c r="H30" s="70"/>
      <c r="I30" s="48"/>
      <c r="J30" s="80">
        <f>F30</f>
        <v>1</v>
      </c>
      <c r="K30" s="42">
        <f>J30*I30</f>
        <v>0</v>
      </c>
      <c r="L30" s="81"/>
      <c r="M30" s="46">
        <f>K30-G30</f>
        <v>0</v>
      </c>
      <c r="N30" s="47" t="str">
        <f>IF((G30)=0,"",(M30/G30))</f>
        <v/>
      </c>
    </row>
    <row r="31" spans="1:16" ht="25.5">
      <c r="A31" s="83" t="s">
        <v>27</v>
      </c>
      <c r="B31" s="84"/>
      <c r="C31" s="84"/>
      <c r="D31" s="85"/>
      <c r="E31" s="86"/>
      <c r="F31" s="86"/>
      <c r="G31" s="87">
        <f>SUM(G28:G30)+G26</f>
        <v>7.4487499999999995</v>
      </c>
      <c r="H31" s="70"/>
      <c r="I31" s="86"/>
      <c r="J31" s="88"/>
      <c r="K31" s="87">
        <f>SUM(K28:K30)+K26</f>
        <v>7.5186999999999991</v>
      </c>
      <c r="L31" s="72"/>
      <c r="M31" s="89">
        <f t="shared" ref="M31:M47" si="4">K31-G31</f>
        <v>6.9949999999999513E-2</v>
      </c>
      <c r="N31" s="90">
        <f t="shared" ref="N31:N47" si="5">IF((G31)=0,"",(M31/G31))</f>
        <v>9.3908373888235627E-3</v>
      </c>
    </row>
    <row r="32" spans="1:16">
      <c r="A32" s="91" t="s">
        <v>28</v>
      </c>
      <c r="B32" s="91"/>
      <c r="C32" s="92"/>
      <c r="D32" s="93"/>
      <c r="E32" s="48">
        <v>1.6501999999999999</v>
      </c>
      <c r="F32" s="165">
        <f>$E$15</f>
        <v>0.5</v>
      </c>
      <c r="G32" s="42">
        <f>F32*E32</f>
        <v>0.82509999999999994</v>
      </c>
      <c r="H32" s="70"/>
      <c r="I32" s="48">
        <v>1.7041999999999999</v>
      </c>
      <c r="J32" s="161">
        <f>F32</f>
        <v>0.5</v>
      </c>
      <c r="K32" s="42">
        <f>J32*I32</f>
        <v>0.85209999999999997</v>
      </c>
      <c r="L32" s="81"/>
      <c r="M32" s="46">
        <f t="shared" si="4"/>
        <v>2.7000000000000024E-2</v>
      </c>
      <c r="N32" s="47">
        <f t="shared" si="5"/>
        <v>3.2723306265907193E-2</v>
      </c>
    </row>
    <row r="33" spans="1:14">
      <c r="A33" s="174" t="s">
        <v>29</v>
      </c>
      <c r="B33" s="174"/>
      <c r="C33" s="174"/>
      <c r="D33" s="93"/>
      <c r="E33" s="48">
        <v>2.19</v>
      </c>
      <c r="F33" s="165">
        <f>$E$15</f>
        <v>0.5</v>
      </c>
      <c r="G33" s="42">
        <f>F33*E33</f>
        <v>1.095</v>
      </c>
      <c r="H33" s="70"/>
      <c r="I33" s="48">
        <v>2.1802999999999999</v>
      </c>
      <c r="J33" s="161">
        <f>F33</f>
        <v>0.5</v>
      </c>
      <c r="K33" s="42">
        <f>J33*I33</f>
        <v>1.09015</v>
      </c>
      <c r="L33" s="81"/>
      <c r="M33" s="46">
        <f t="shared" si="4"/>
        <v>-4.850000000000021E-3</v>
      </c>
      <c r="N33" s="47">
        <f t="shared" si="5"/>
        <v>-4.4292237442922567E-3</v>
      </c>
    </row>
    <row r="34" spans="1:14" ht="25.5">
      <c r="A34" s="83" t="s">
        <v>30</v>
      </c>
      <c r="B34" s="96"/>
      <c r="C34" s="96"/>
      <c r="D34" s="97"/>
      <c r="E34" s="86"/>
      <c r="F34" s="86"/>
      <c r="G34" s="87">
        <f>SUM(G31:G33)</f>
        <v>9.3688500000000001</v>
      </c>
      <c r="H34" s="98"/>
      <c r="I34" s="99"/>
      <c r="J34" s="100"/>
      <c r="K34" s="87">
        <f>SUM(K31:K33)</f>
        <v>9.4609499999999986</v>
      </c>
      <c r="L34" s="101"/>
      <c r="M34" s="89">
        <f t="shared" si="4"/>
        <v>9.2099999999998516E-2</v>
      </c>
      <c r="N34" s="90">
        <f t="shared" si="5"/>
        <v>9.8304487743958446E-3</v>
      </c>
    </row>
    <row r="35" spans="1:14" ht="25.5">
      <c r="A35" s="102" t="s">
        <v>31</v>
      </c>
      <c r="B35" s="77"/>
      <c r="C35" s="78"/>
      <c r="D35" s="79"/>
      <c r="E35" s="103">
        <v>4.4000000000000003E-3</v>
      </c>
      <c r="F35" s="94">
        <f>E12*E11</f>
        <v>187.73999999999998</v>
      </c>
      <c r="G35" s="104">
        <f t="shared" ref="G35:G41" si="6">F35*E35</f>
        <v>0.82605600000000001</v>
      </c>
      <c r="H35" s="81"/>
      <c r="I35" s="103">
        <v>4.4000000000000003E-3</v>
      </c>
      <c r="J35" s="95">
        <f>E12*E11</f>
        <v>187.73999999999998</v>
      </c>
      <c r="K35" s="104">
        <f t="shared" ref="K35:K41" si="7">J35*I35</f>
        <v>0.82605600000000001</v>
      </c>
      <c r="L35" s="81"/>
      <c r="M35" s="46">
        <f t="shared" si="4"/>
        <v>0</v>
      </c>
      <c r="N35" s="105">
        <f t="shared" si="5"/>
        <v>0</v>
      </c>
    </row>
    <row r="36" spans="1:14" ht="25.5">
      <c r="A36" s="102" t="s">
        <v>32</v>
      </c>
      <c r="B36" s="77"/>
      <c r="C36" s="78"/>
      <c r="D36" s="79"/>
      <c r="E36" s="103">
        <v>1.1999999999999999E-3</v>
      </c>
      <c r="F36" s="94">
        <f>E12*E11</f>
        <v>187.73999999999998</v>
      </c>
      <c r="G36" s="104">
        <f t="shared" si="6"/>
        <v>0.22528799999999996</v>
      </c>
      <c r="H36" s="81"/>
      <c r="I36" s="103">
        <v>1.1999999999999999E-3</v>
      </c>
      <c r="J36" s="95">
        <f>E12*E11</f>
        <v>187.73999999999998</v>
      </c>
      <c r="K36" s="104">
        <f t="shared" si="7"/>
        <v>0.22528799999999996</v>
      </c>
      <c r="L36" s="81"/>
      <c r="M36" s="46">
        <f t="shared" si="4"/>
        <v>0</v>
      </c>
      <c r="N36" s="105">
        <f t="shared" si="5"/>
        <v>0</v>
      </c>
    </row>
    <row r="37" spans="1:14">
      <c r="A37" s="77" t="s">
        <v>33</v>
      </c>
      <c r="B37" s="77"/>
      <c r="C37" s="78"/>
      <c r="D37" s="79"/>
      <c r="E37" s="103">
        <v>0.25</v>
      </c>
      <c r="F37" s="94">
        <v>1</v>
      </c>
      <c r="G37" s="104">
        <f t="shared" si="6"/>
        <v>0.25</v>
      </c>
      <c r="H37" s="81"/>
      <c r="I37" s="103">
        <v>0.25</v>
      </c>
      <c r="J37" s="95">
        <v>1</v>
      </c>
      <c r="K37" s="104">
        <f t="shared" si="7"/>
        <v>0.25</v>
      </c>
      <c r="L37" s="81"/>
      <c r="M37" s="46">
        <f t="shared" si="4"/>
        <v>0</v>
      </c>
      <c r="N37" s="105">
        <f t="shared" si="5"/>
        <v>0</v>
      </c>
    </row>
    <row r="38" spans="1:14">
      <c r="A38" s="77" t="s">
        <v>34</v>
      </c>
      <c r="B38" s="77"/>
      <c r="C38" s="78"/>
      <c r="D38" s="79"/>
      <c r="E38" s="103">
        <v>7.0000000000000001E-3</v>
      </c>
      <c r="F38" s="94">
        <f>E12</f>
        <v>180</v>
      </c>
      <c r="G38" s="104">
        <f t="shared" si="6"/>
        <v>1.26</v>
      </c>
      <c r="H38" s="81"/>
      <c r="I38" s="103">
        <v>7.0000000000000001E-3</v>
      </c>
      <c r="J38" s="95">
        <f>E12</f>
        <v>180</v>
      </c>
      <c r="K38" s="104">
        <f t="shared" si="7"/>
        <v>1.26</v>
      </c>
      <c r="L38" s="81"/>
      <c r="M38" s="46">
        <f t="shared" si="4"/>
        <v>0</v>
      </c>
      <c r="N38" s="105">
        <f t="shared" si="5"/>
        <v>0</v>
      </c>
    </row>
    <row r="39" spans="1:14">
      <c r="A39" s="82" t="s">
        <v>35</v>
      </c>
      <c r="B39" s="77"/>
      <c r="C39" s="78"/>
      <c r="D39" s="79"/>
      <c r="E39" s="106">
        <v>6.7000000000000004E-2</v>
      </c>
      <c r="F39" s="94">
        <v>120.1536</v>
      </c>
      <c r="G39" s="104">
        <f t="shared" si="6"/>
        <v>8.0502912000000002</v>
      </c>
      <c r="H39" s="81"/>
      <c r="I39" s="103">
        <v>6.7000000000000004E-2</v>
      </c>
      <c r="J39" s="94">
        <f t="shared" ref="J39:J40" si="8">F39</f>
        <v>120.1536</v>
      </c>
      <c r="K39" s="104">
        <f t="shared" si="7"/>
        <v>8.0502912000000002</v>
      </c>
      <c r="L39" s="81"/>
      <c r="M39" s="46">
        <f t="shared" si="4"/>
        <v>0</v>
      </c>
      <c r="N39" s="105">
        <f t="shared" si="5"/>
        <v>0</v>
      </c>
    </row>
    <row r="40" spans="1:14">
      <c r="A40" s="82" t="s">
        <v>36</v>
      </c>
      <c r="B40" s="77"/>
      <c r="C40" s="78"/>
      <c r="D40" s="79"/>
      <c r="E40" s="106">
        <v>0.104</v>
      </c>
      <c r="F40" s="94">
        <v>33.793199999999999</v>
      </c>
      <c r="G40" s="104">
        <f t="shared" si="6"/>
        <v>3.5144927999999998</v>
      </c>
      <c r="H40" s="81"/>
      <c r="I40" s="103">
        <v>0.104</v>
      </c>
      <c r="J40" s="94">
        <f t="shared" si="8"/>
        <v>33.793199999999999</v>
      </c>
      <c r="K40" s="104">
        <f t="shared" si="7"/>
        <v>3.5144927999999998</v>
      </c>
      <c r="L40" s="81"/>
      <c r="M40" s="46">
        <f t="shared" si="4"/>
        <v>0</v>
      </c>
      <c r="N40" s="105">
        <f t="shared" si="5"/>
        <v>0</v>
      </c>
    </row>
    <row r="41" spans="1:14" ht="15.75" thickBot="1">
      <c r="A41" s="29" t="s">
        <v>37</v>
      </c>
      <c r="B41" s="77"/>
      <c r="C41" s="78"/>
      <c r="D41" s="79"/>
      <c r="E41" s="106">
        <v>0.124</v>
      </c>
      <c r="F41" s="94">
        <v>33.793199999999999</v>
      </c>
      <c r="G41" s="104">
        <f t="shared" si="6"/>
        <v>4.1903568</v>
      </c>
      <c r="H41" s="81"/>
      <c r="I41" s="103">
        <v>0.124</v>
      </c>
      <c r="J41" s="94">
        <f>F41</f>
        <v>33.793199999999999</v>
      </c>
      <c r="K41" s="104">
        <f t="shared" si="7"/>
        <v>4.1903568</v>
      </c>
      <c r="L41" s="81"/>
      <c r="M41" s="46">
        <f t="shared" si="4"/>
        <v>0</v>
      </c>
      <c r="N41" s="105">
        <f t="shared" si="5"/>
        <v>0</v>
      </c>
    </row>
    <row r="42" spans="1:14" ht="15.75" thickBot="1">
      <c r="A42" s="107"/>
      <c r="B42" s="108"/>
      <c r="C42" s="108"/>
      <c r="D42" s="109"/>
      <c r="E42" s="110"/>
      <c r="F42" s="111"/>
      <c r="G42" s="112"/>
      <c r="H42" s="113"/>
      <c r="I42" s="110"/>
      <c r="J42" s="114"/>
      <c r="K42" s="112"/>
      <c r="L42" s="113"/>
      <c r="M42" s="115"/>
      <c r="N42" s="116"/>
    </row>
    <row r="43" spans="1:14">
      <c r="A43" s="117" t="s">
        <v>38</v>
      </c>
      <c r="B43" s="77"/>
      <c r="C43" s="77"/>
      <c r="D43" s="118"/>
      <c r="E43" s="119"/>
      <c r="F43" s="120"/>
      <c r="G43" s="121">
        <f>SUM(G34:G38,G39:G41)</f>
        <v>27.6853348</v>
      </c>
      <c r="H43" s="122"/>
      <c r="I43" s="123"/>
      <c r="J43" s="123"/>
      <c r="K43" s="124">
        <f>SUM(K34:K38,K39:K41)</f>
        <v>27.777434799999998</v>
      </c>
      <c r="L43" s="125"/>
      <c r="M43" s="126">
        <f t="shared" ref="M43" si="9">K43-G43</f>
        <v>9.2099999999998516E-2</v>
      </c>
      <c r="N43" s="127">
        <f t="shared" ref="N43" si="10">IF((G43)=0,"",(M43/G43))</f>
        <v>3.3266709853911002E-3</v>
      </c>
    </row>
    <row r="44" spans="1:14">
      <c r="A44" s="128" t="s">
        <v>39</v>
      </c>
      <c r="B44" s="77"/>
      <c r="C44" s="77"/>
      <c r="D44" s="118"/>
      <c r="E44" s="119">
        <v>0.13</v>
      </c>
      <c r="F44" s="129"/>
      <c r="G44" s="130">
        <f>G43*E44</f>
        <v>3.5990935240000002</v>
      </c>
      <c r="H44" s="41"/>
      <c r="I44" s="119">
        <v>0.13</v>
      </c>
      <c r="J44" s="41"/>
      <c r="K44" s="131">
        <f>K43*I44</f>
        <v>3.6110665239999999</v>
      </c>
      <c r="L44" s="132"/>
      <c r="M44" s="133">
        <f t="shared" si="4"/>
        <v>1.1972999999999789E-2</v>
      </c>
      <c r="N44" s="134">
        <f t="shared" si="5"/>
        <v>3.326670985391095E-3</v>
      </c>
    </row>
    <row r="45" spans="1:14">
      <c r="A45" s="135" t="s">
        <v>40</v>
      </c>
      <c r="B45" s="77"/>
      <c r="C45" s="77"/>
      <c r="D45" s="118"/>
      <c r="E45" s="41"/>
      <c r="F45" s="129"/>
      <c r="G45" s="130">
        <f>G43+G44</f>
        <v>31.284428324</v>
      </c>
      <c r="H45" s="41"/>
      <c r="I45" s="41"/>
      <c r="J45" s="41"/>
      <c r="K45" s="131">
        <f>K43+K44</f>
        <v>31.388501323999996</v>
      </c>
      <c r="L45" s="132"/>
      <c r="M45" s="133">
        <f t="shared" si="4"/>
        <v>0.10407299999999609</v>
      </c>
      <c r="N45" s="134">
        <f t="shared" si="5"/>
        <v>3.3266709853910286E-3</v>
      </c>
    </row>
    <row r="46" spans="1:14">
      <c r="A46" s="180" t="s">
        <v>41</v>
      </c>
      <c r="B46" s="180"/>
      <c r="C46" s="180"/>
      <c r="D46" s="118"/>
      <c r="E46" s="41"/>
      <c r="F46" s="129"/>
      <c r="G46" s="136">
        <f>ROUND(-G45*10%,2)</f>
        <v>-3.13</v>
      </c>
      <c r="H46" s="41"/>
      <c r="I46" s="41"/>
      <c r="J46" s="41"/>
      <c r="K46" s="137">
        <f>ROUND(-K45*10%,2)</f>
        <v>-3.14</v>
      </c>
      <c r="L46" s="132"/>
      <c r="M46" s="138">
        <f t="shared" si="4"/>
        <v>-1.0000000000000231E-2</v>
      </c>
      <c r="N46" s="139">
        <f t="shared" si="5"/>
        <v>3.194888178913812E-3</v>
      </c>
    </row>
    <row r="47" spans="1:14" ht="15.75" thickBot="1">
      <c r="A47" s="175" t="s">
        <v>42</v>
      </c>
      <c r="B47" s="175"/>
      <c r="C47" s="175"/>
      <c r="D47" s="140"/>
      <c r="E47" s="141"/>
      <c r="F47" s="142"/>
      <c r="G47" s="143">
        <f>G45+G46</f>
        <v>28.154428324000001</v>
      </c>
      <c r="H47" s="144"/>
      <c r="I47" s="144"/>
      <c r="J47" s="144"/>
      <c r="K47" s="145">
        <f>K45+K46</f>
        <v>28.248501323999996</v>
      </c>
      <c r="L47" s="146"/>
      <c r="M47" s="73">
        <f t="shared" si="4"/>
        <v>9.4072999999994522E-2</v>
      </c>
      <c r="N47" s="74">
        <f t="shared" si="5"/>
        <v>3.3413216179496281E-3</v>
      </c>
    </row>
    <row r="48" spans="1:14" ht="15.75" thickBot="1">
      <c r="A48" s="107"/>
      <c r="B48" s="108"/>
      <c r="C48" s="108"/>
      <c r="D48" s="109"/>
      <c r="E48" s="147"/>
      <c r="F48" s="148"/>
      <c r="G48" s="149"/>
      <c r="H48" s="150"/>
      <c r="I48" s="147"/>
      <c r="J48" s="150"/>
      <c r="K48" s="151"/>
      <c r="L48" s="148"/>
      <c r="M48" s="152"/>
      <c r="N48" s="153"/>
    </row>
    <row r="49" spans="1:11">
      <c r="A49" s="5"/>
      <c r="B49" s="5"/>
      <c r="C49" s="5"/>
      <c r="K49" s="154"/>
    </row>
    <row r="50" spans="1:11">
      <c r="A50" s="5"/>
      <c r="B50" s="5"/>
      <c r="C50" s="5"/>
    </row>
    <row r="51" spans="1:11">
      <c r="A51" s="5"/>
      <c r="B51" s="5"/>
      <c r="C51" s="5"/>
    </row>
    <row r="52" spans="1:11">
      <c r="A52" s="19" t="s">
        <v>43</v>
      </c>
      <c r="B52" s="5"/>
      <c r="C52" s="5"/>
    </row>
    <row r="53" spans="1:11">
      <c r="A53" s="5"/>
      <c r="B53" s="5"/>
      <c r="C53" s="5"/>
    </row>
  </sheetData>
  <mergeCells count="12">
    <mergeCell ref="A47:C47"/>
    <mergeCell ref="A2:J2"/>
    <mergeCell ref="C10:K10"/>
    <mergeCell ref="E17:J17"/>
    <mergeCell ref="E19:G19"/>
    <mergeCell ref="I19:K19"/>
    <mergeCell ref="A46:C46"/>
    <mergeCell ref="M19:N19"/>
    <mergeCell ref="C20:C21"/>
    <mergeCell ref="M20:M21"/>
    <mergeCell ref="N20:N21"/>
    <mergeCell ref="A33:C33"/>
  </mergeCells>
  <dataValidations count="4">
    <dataValidation showDropDown="1" showInputMessage="1" showErrorMessage="1" prompt="Select Charge Unit - monthly, per kWh, per kW" sqref="C22:C25 C28:C30 C32 C35:C41"/>
    <dataValidation type="list" allowBlank="1" showInputMessage="1" showErrorMessage="1" sqref="D32:D33 D48 D22:D25 D28:D30 D35:D42">
      <formula1>#REF!</formula1>
    </dataValidation>
    <dataValidation type="list" allowBlank="1" showInputMessage="1" showErrorMessage="1" prompt="Select Charge Unit - monthly, per kWh, per kW" sqref="C42 C48">
      <formula1>"Monthly, per kWh, per kW"</formula1>
    </dataValidation>
    <dataValidation type="list" allowBlank="1" showInputMessage="1" showErrorMessage="1" sqref="C10">
      <formula1>BI_LDCLIST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headerFooter>
    <oddFooter>&amp;L&amp;A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topLeftCell="A12" workbookViewId="0">
      <selection activeCell="J35" sqref="J35"/>
    </sheetView>
  </sheetViews>
  <sheetFormatPr defaultRowHeight="15"/>
  <cols>
    <col min="1" max="1" width="26.5703125" style="11" customWidth="1"/>
    <col min="2" max="2" width="1.28515625" style="11" customWidth="1"/>
    <col min="3" max="3" width="11.28515625" style="11" customWidth="1"/>
    <col min="4" max="4" width="1.28515625" style="11" customWidth="1"/>
    <col min="5" max="7" width="12.7109375" style="11" customWidth="1"/>
    <col min="8" max="8" width="2.85546875" style="11" customWidth="1"/>
    <col min="9" max="11" width="12.7109375" style="11" customWidth="1"/>
    <col min="12" max="12" width="2.85546875" style="11" customWidth="1"/>
    <col min="13" max="13" width="12.7109375" style="11" customWidth="1"/>
    <col min="14" max="14" width="12.85546875" style="11" customWidth="1"/>
    <col min="15" max="15" width="3.85546875" style="5" customWidth="1"/>
  </cols>
  <sheetData>
    <row r="1" spans="1:18" ht="18">
      <c r="A1" s="7"/>
      <c r="B1" s="7"/>
      <c r="C1" s="7"/>
      <c r="D1" s="7"/>
      <c r="E1" s="7"/>
      <c r="F1" s="7"/>
      <c r="G1" s="7"/>
      <c r="H1" s="7"/>
      <c r="I1" s="7"/>
      <c r="J1" s="7"/>
      <c r="K1" s="1"/>
      <c r="L1" s="2"/>
      <c r="M1" s="3"/>
      <c r="N1" s="8"/>
      <c r="P1" s="6"/>
      <c r="Q1" s="6"/>
      <c r="R1" s="6"/>
    </row>
    <row r="2" spans="1:18" ht="18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"/>
      <c r="L2" s="2"/>
      <c r="M2" s="3"/>
      <c r="N2" s="8"/>
      <c r="P2" s="6"/>
      <c r="Q2" s="6"/>
      <c r="R2" s="6"/>
    </row>
    <row r="3" spans="1:18" ht="18">
      <c r="A3" s="7"/>
      <c r="B3" s="7"/>
      <c r="C3" s="7"/>
      <c r="D3" s="7"/>
      <c r="E3" s="7"/>
      <c r="F3" s="7"/>
      <c r="G3" s="7"/>
      <c r="H3" s="9"/>
      <c r="I3" s="9"/>
      <c r="J3" s="9"/>
      <c r="K3" s="1"/>
      <c r="L3" s="2"/>
      <c r="M3" s="3"/>
      <c r="N3" s="8"/>
      <c r="P3" s="6"/>
      <c r="Q3" s="6"/>
      <c r="R3" s="6"/>
    </row>
    <row r="4" spans="1:18" ht="15.75">
      <c r="A4" s="1"/>
      <c r="B4" s="10"/>
      <c r="C4" s="10"/>
      <c r="D4" s="10"/>
      <c r="E4" s="1"/>
      <c r="F4" s="1"/>
      <c r="G4" s="1"/>
      <c r="H4" s="1"/>
      <c r="I4" s="1"/>
      <c r="J4" s="1"/>
      <c r="K4" s="1"/>
      <c r="L4" s="2"/>
      <c r="M4" s="3"/>
      <c r="N4" s="4"/>
      <c r="P4" s="6"/>
      <c r="Q4" s="6"/>
      <c r="R4" s="6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4"/>
      <c r="P5" s="6"/>
      <c r="Q5" s="6"/>
      <c r="R5" s="6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4"/>
      <c r="P6" s="6"/>
      <c r="Q6" s="6"/>
      <c r="R6" s="6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P7" s="6"/>
      <c r="Q7" s="6"/>
      <c r="R7" s="6"/>
    </row>
    <row r="8" spans="1:18">
      <c r="P8" s="5"/>
      <c r="Q8" s="5"/>
      <c r="R8" s="5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5.75">
      <c r="A10" s="12" t="s">
        <v>0</v>
      </c>
      <c r="C10" s="177" t="s">
        <v>50</v>
      </c>
      <c r="D10" s="177"/>
      <c r="E10" s="177"/>
      <c r="F10" s="177"/>
      <c r="G10" s="177"/>
      <c r="H10" s="177"/>
      <c r="I10" s="177"/>
      <c r="J10" s="177"/>
      <c r="K10" s="177"/>
      <c r="L10" s="13"/>
      <c r="M10" s="13"/>
      <c r="N10" s="13"/>
    </row>
    <row r="11" spans="1:18" ht="15.75">
      <c r="A11" s="12" t="s">
        <v>2</v>
      </c>
      <c r="C11" s="14"/>
      <c r="D11" s="14"/>
      <c r="E11" s="15">
        <v>1.0429999999999999</v>
      </c>
      <c r="F11" s="14"/>
      <c r="G11" s="14"/>
      <c r="H11" s="14"/>
      <c r="I11" s="14"/>
      <c r="J11" s="14"/>
      <c r="K11" s="14"/>
      <c r="L11" s="14"/>
      <c r="M11" s="14"/>
      <c r="N11" s="14"/>
    </row>
    <row r="12" spans="1:18">
      <c r="A12" s="12" t="s">
        <v>3</v>
      </c>
      <c r="C12" s="16" t="s">
        <v>4</v>
      </c>
      <c r="D12" s="17"/>
      <c r="E12" s="155">
        <f>730*E15*E16</f>
        <v>72</v>
      </c>
    </row>
    <row r="13" spans="1:18" hidden="1">
      <c r="A13" s="5"/>
      <c r="B13" s="5"/>
      <c r="C13" s="5"/>
      <c r="D13" s="5"/>
      <c r="E13" s="5"/>
      <c r="F13" s="19"/>
      <c r="G13" s="5"/>
      <c r="H13" s="5"/>
      <c r="I13" s="5"/>
      <c r="J13" s="5"/>
      <c r="K13" s="5"/>
      <c r="L13" s="5"/>
      <c r="M13" s="5"/>
      <c r="N13" s="5"/>
    </row>
    <row r="14" spans="1:18" hidden="1">
      <c r="A14" s="20" t="s">
        <v>5</v>
      </c>
      <c r="F14" s="17"/>
    </row>
    <row r="15" spans="1:18">
      <c r="A15" s="21" t="s">
        <v>6</v>
      </c>
      <c r="B15" s="22"/>
      <c r="C15" s="23" t="s">
        <v>7</v>
      </c>
      <c r="D15" s="24"/>
      <c r="E15" s="156">
        <v>0.2</v>
      </c>
      <c r="F15" s="17"/>
    </row>
    <row r="16" spans="1:18">
      <c r="A16" s="21" t="s">
        <v>8</v>
      </c>
      <c r="B16" s="22"/>
      <c r="C16" s="23"/>
      <c r="D16" s="24"/>
      <c r="E16" s="157">
        <f>180/730/0.5</f>
        <v>0.49315068493150682</v>
      </c>
    </row>
    <row r="17" spans="1:15" hidden="1">
      <c r="A17" s="27"/>
      <c r="B17" s="5"/>
      <c r="C17" s="28"/>
      <c r="D17" s="19"/>
      <c r="E17" s="178" t="str">
        <f>IF(AND(ISNUMBER(E15), ISBLANK(E16)), "Please enter a load factor", "")</f>
        <v/>
      </c>
      <c r="F17" s="178"/>
      <c r="G17" s="178"/>
      <c r="H17" s="178"/>
      <c r="I17" s="178"/>
      <c r="J17" s="178"/>
      <c r="K17" s="5"/>
      <c r="L17" s="5"/>
      <c r="M17" s="5"/>
      <c r="N17" s="5"/>
    </row>
    <row r="18" spans="1:15">
      <c r="A18" s="29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5">
      <c r="A19" s="29"/>
      <c r="B19" s="5"/>
      <c r="C19" s="30"/>
      <c r="D19" s="30"/>
      <c r="E19" s="166" t="s">
        <v>9</v>
      </c>
      <c r="F19" s="179"/>
      <c r="G19" s="167"/>
      <c r="H19" s="5"/>
      <c r="I19" s="166" t="s">
        <v>10</v>
      </c>
      <c r="J19" s="179"/>
      <c r="K19" s="167"/>
      <c r="L19" s="5"/>
      <c r="M19" s="166" t="s">
        <v>11</v>
      </c>
      <c r="N19" s="167"/>
    </row>
    <row r="20" spans="1:15">
      <c r="A20" s="29"/>
      <c r="B20" s="5"/>
      <c r="C20" s="168"/>
      <c r="D20" s="31"/>
      <c r="E20" s="32" t="s">
        <v>12</v>
      </c>
      <c r="F20" s="32" t="s">
        <v>13</v>
      </c>
      <c r="G20" s="33" t="s">
        <v>14</v>
      </c>
      <c r="H20" s="5"/>
      <c r="I20" s="32" t="s">
        <v>12</v>
      </c>
      <c r="J20" s="34" t="s">
        <v>13</v>
      </c>
      <c r="K20" s="33" t="s">
        <v>14</v>
      </c>
      <c r="L20" s="5"/>
      <c r="M20" s="170" t="s">
        <v>15</v>
      </c>
      <c r="N20" s="172" t="s">
        <v>16</v>
      </c>
    </row>
    <row r="21" spans="1:15">
      <c r="A21" s="29"/>
      <c r="B21" s="5"/>
      <c r="C21" s="169"/>
      <c r="D21" s="31"/>
      <c r="E21" s="35" t="s">
        <v>17</v>
      </c>
      <c r="F21" s="35"/>
      <c r="G21" s="36" t="s">
        <v>17</v>
      </c>
      <c r="H21" s="5"/>
      <c r="I21" s="35" t="s">
        <v>17</v>
      </c>
      <c r="J21" s="36"/>
      <c r="K21" s="36" t="s">
        <v>17</v>
      </c>
      <c r="L21" s="5"/>
      <c r="M21" s="171"/>
      <c r="N21" s="173"/>
    </row>
    <row r="22" spans="1:15">
      <c r="A22" s="37" t="s">
        <v>18</v>
      </c>
      <c r="B22" s="37"/>
      <c r="C22" s="38"/>
      <c r="D22" s="39"/>
      <c r="E22" s="40">
        <v>1.1499999999999999</v>
      </c>
      <c r="F22" s="44">
        <v>1</v>
      </c>
      <c r="G22" s="42">
        <f>F22*E22</f>
        <v>1.1499999999999999</v>
      </c>
      <c r="H22" s="43"/>
      <c r="I22" s="40">
        <v>1.1599999999999999</v>
      </c>
      <c r="J22" s="44">
        <v>1</v>
      </c>
      <c r="K22" s="45">
        <f>J22*I22</f>
        <v>1.1599999999999999</v>
      </c>
      <c r="L22" s="43"/>
      <c r="M22" s="46">
        <f>K22-G22</f>
        <v>1.0000000000000009E-2</v>
      </c>
      <c r="N22" s="47">
        <f>IF((G22)=0,"",(M22/G22))</f>
        <v>8.6956521739130523E-3</v>
      </c>
    </row>
    <row r="23" spans="1:15">
      <c r="A23" s="37" t="s">
        <v>19</v>
      </c>
      <c r="B23" s="37"/>
      <c r="C23" s="38"/>
      <c r="D23" s="39"/>
      <c r="E23" s="48">
        <v>17.8279</v>
      </c>
      <c r="F23" s="160">
        <v>0.2</v>
      </c>
      <c r="G23" s="42">
        <f>F23*E23</f>
        <v>3.5655800000000002</v>
      </c>
      <c r="H23" s="43"/>
      <c r="I23" s="48">
        <v>18.002600000000001</v>
      </c>
      <c r="J23" s="160">
        <v>0.2</v>
      </c>
      <c r="K23" s="42">
        <f>J23*I23</f>
        <v>3.6005200000000004</v>
      </c>
      <c r="L23" s="43"/>
      <c r="M23" s="46">
        <f>K23-G23</f>
        <v>3.4940000000000193E-2</v>
      </c>
      <c r="N23" s="47">
        <f>IF((G23)=0,"",(M23/G23))</f>
        <v>9.7992472472922185E-3</v>
      </c>
    </row>
    <row r="24" spans="1:15">
      <c r="A24" s="51" t="s">
        <v>20</v>
      </c>
      <c r="B24" s="51"/>
      <c r="C24" s="38"/>
      <c r="D24" s="39"/>
      <c r="E24" s="52">
        <v>0</v>
      </c>
      <c r="F24" s="44">
        <v>1</v>
      </c>
      <c r="G24" s="42">
        <f t="shared" ref="G24:G25" si="0">F24*E24</f>
        <v>0</v>
      </c>
      <c r="H24" s="43"/>
      <c r="I24" s="52">
        <v>0</v>
      </c>
      <c r="J24" s="44">
        <v>1</v>
      </c>
      <c r="K24" s="45">
        <f t="shared" ref="K24:K25" si="1">J24*I24</f>
        <v>0</v>
      </c>
      <c r="L24" s="43"/>
      <c r="M24" s="46">
        <f t="shared" ref="M24:M27" si="2">K24-G24</f>
        <v>0</v>
      </c>
      <c r="N24" s="47" t="str">
        <f t="shared" ref="N24:N27" si="3">IF((G24)=0,"",(M24/G24))</f>
        <v/>
      </c>
    </row>
    <row r="25" spans="1:15">
      <c r="A25" s="53" t="s">
        <v>21</v>
      </c>
      <c r="B25" s="54"/>
      <c r="C25" s="55"/>
      <c r="D25" s="56"/>
      <c r="E25" s="57">
        <v>0</v>
      </c>
      <c r="F25" s="160">
        <v>0.2</v>
      </c>
      <c r="G25" s="59">
        <f t="shared" si="0"/>
        <v>0</v>
      </c>
      <c r="H25" s="60"/>
      <c r="I25" s="57">
        <v>0</v>
      </c>
      <c r="J25" s="160">
        <v>0.2</v>
      </c>
      <c r="K25" s="59">
        <f t="shared" si="1"/>
        <v>0</v>
      </c>
      <c r="L25" s="60"/>
      <c r="M25" s="62">
        <f t="shared" si="2"/>
        <v>0</v>
      </c>
      <c r="N25" s="63" t="str">
        <f t="shared" si="3"/>
        <v/>
      </c>
    </row>
    <row r="26" spans="1:15">
      <c r="A26" s="64" t="s">
        <v>22</v>
      </c>
      <c r="B26" s="65"/>
      <c r="C26" s="65"/>
      <c r="D26" s="66"/>
      <c r="E26" s="67"/>
      <c r="F26" s="86"/>
      <c r="G26" s="69">
        <f>SUM(G22:G25)</f>
        <v>4.7155800000000001</v>
      </c>
      <c r="H26" s="70"/>
      <c r="I26" s="67"/>
      <c r="J26" s="86"/>
      <c r="K26" s="69">
        <f>SUM(K22:K25)</f>
        <v>4.7605200000000005</v>
      </c>
      <c r="L26" s="72"/>
      <c r="M26" s="73">
        <f t="shared" si="2"/>
        <v>4.4940000000000424E-2</v>
      </c>
      <c r="N26" s="74">
        <f t="shared" si="3"/>
        <v>9.5301108241192863E-3</v>
      </c>
      <c r="O26" s="75"/>
    </row>
    <row r="27" spans="1:15">
      <c r="A27" s="76" t="s">
        <v>23</v>
      </c>
      <c r="B27" s="77"/>
      <c r="C27" s="78"/>
      <c r="D27" s="79"/>
      <c r="E27" s="48">
        <f>E39*0.64+E40*0.18+E41*0.18</f>
        <v>8.3919999999999995E-2</v>
      </c>
      <c r="F27" s="80">
        <v>3.0959999999999948</v>
      </c>
      <c r="G27" s="42">
        <f>E27*F27</f>
        <v>0.25981631999999955</v>
      </c>
      <c r="H27" s="70"/>
      <c r="I27" s="48">
        <f>I39*0.64+I40*0.18+I41*0.18</f>
        <v>8.3919999999999995E-2</v>
      </c>
      <c r="J27" s="80">
        <v>3.0959999999999948</v>
      </c>
      <c r="K27" s="42">
        <f>I27*J27</f>
        <v>0.25981631999999955</v>
      </c>
      <c r="L27" s="81"/>
      <c r="M27" s="46">
        <f t="shared" si="2"/>
        <v>0</v>
      </c>
      <c r="N27" s="47">
        <f t="shared" si="3"/>
        <v>0</v>
      </c>
    </row>
    <row r="28" spans="1:15" ht="25.5">
      <c r="A28" s="76" t="s">
        <v>24</v>
      </c>
      <c r="B28" s="77"/>
      <c r="C28" s="78"/>
      <c r="D28" s="79"/>
      <c r="E28" s="48">
        <v>0.37790000000000001</v>
      </c>
      <c r="F28" s="159">
        <v>0.2</v>
      </c>
      <c r="G28" s="42">
        <f>F28*E28</f>
        <v>7.5580000000000008E-2</v>
      </c>
      <c r="H28" s="70"/>
      <c r="I28" s="48">
        <v>0.37790000000000001</v>
      </c>
      <c r="J28" s="159">
        <v>0.2</v>
      </c>
      <c r="K28" s="42">
        <f>J28*I28</f>
        <v>7.5580000000000008E-2</v>
      </c>
      <c r="L28" s="81"/>
      <c r="M28" s="46">
        <f>K28-G28</f>
        <v>0</v>
      </c>
      <c r="N28" s="47">
        <f>IF((G28)=0,"",(M28/G28))</f>
        <v>0</v>
      </c>
    </row>
    <row r="29" spans="1:15" hidden="1">
      <c r="A29" s="82" t="s">
        <v>25</v>
      </c>
      <c r="B29" s="77"/>
      <c r="C29" s="78"/>
      <c r="D29" s="79"/>
      <c r="E29" s="48"/>
      <c r="F29" s="80">
        <v>0.2</v>
      </c>
      <c r="G29" s="42">
        <f>F29*E29</f>
        <v>0</v>
      </c>
      <c r="H29" s="70"/>
      <c r="I29" s="48"/>
      <c r="J29" s="80">
        <v>0.2</v>
      </c>
      <c r="K29" s="42">
        <f>J29*I29</f>
        <v>0</v>
      </c>
      <c r="L29" s="81"/>
      <c r="M29" s="46">
        <f>K29-G29</f>
        <v>0</v>
      </c>
      <c r="N29" s="47" t="str">
        <f>IF((G29)=0,"",(M29/G29))</f>
        <v/>
      </c>
    </row>
    <row r="30" spans="1:15" hidden="1">
      <c r="A30" s="82" t="s">
        <v>26</v>
      </c>
      <c r="B30" s="77"/>
      <c r="C30" s="78"/>
      <c r="D30" s="79"/>
      <c r="E30" s="48"/>
      <c r="F30" s="80">
        <v>1</v>
      </c>
      <c r="G30" s="42">
        <f>F30*E30</f>
        <v>0</v>
      </c>
      <c r="H30" s="70"/>
      <c r="I30" s="48"/>
      <c r="J30" s="80">
        <v>1</v>
      </c>
      <c r="K30" s="42">
        <f>J30*I30</f>
        <v>0</v>
      </c>
      <c r="L30" s="81"/>
      <c r="M30" s="46">
        <f>K30-G30</f>
        <v>0</v>
      </c>
      <c r="N30" s="47" t="str">
        <f>IF((G30)=0,"",(M30/G30))</f>
        <v/>
      </c>
    </row>
    <row r="31" spans="1:15" ht="25.5">
      <c r="A31" s="83" t="s">
        <v>27</v>
      </c>
      <c r="B31" s="84"/>
      <c r="C31" s="84"/>
      <c r="D31" s="85"/>
      <c r="E31" s="86"/>
      <c r="F31" s="88"/>
      <c r="G31" s="87">
        <f>SUM(G28:G30)+G26</f>
        <v>4.7911600000000005</v>
      </c>
      <c r="H31" s="70"/>
      <c r="I31" s="86"/>
      <c r="J31" s="88"/>
      <c r="K31" s="87">
        <f>SUM(K28:K30)+K26</f>
        <v>4.836100000000001</v>
      </c>
      <c r="L31" s="72"/>
      <c r="M31" s="89">
        <f t="shared" ref="M31:M47" si="4">K31-G31</f>
        <v>4.4940000000000424E-2</v>
      </c>
      <c r="N31" s="90">
        <f t="shared" ref="N31:N47" si="5">IF((G31)=0,"",(M31/G31))</f>
        <v>9.3797744178863614E-3</v>
      </c>
    </row>
    <row r="32" spans="1:15">
      <c r="A32" s="91" t="s">
        <v>28</v>
      </c>
      <c r="B32" s="91"/>
      <c r="C32" s="92"/>
      <c r="D32" s="93"/>
      <c r="E32" s="48">
        <v>1.6222000000000001</v>
      </c>
      <c r="F32" s="161">
        <v>0.2</v>
      </c>
      <c r="G32" s="42">
        <f>F32*E32</f>
        <v>0.32444000000000006</v>
      </c>
      <c r="H32" s="70"/>
      <c r="I32" s="48">
        <v>1.6753</v>
      </c>
      <c r="J32" s="161">
        <v>0.2</v>
      </c>
      <c r="K32" s="42">
        <f>J32*I32</f>
        <v>0.33506000000000002</v>
      </c>
      <c r="L32" s="81"/>
      <c r="M32" s="46">
        <f t="shared" si="4"/>
        <v>1.0619999999999963E-2</v>
      </c>
      <c r="N32" s="47">
        <f t="shared" si="5"/>
        <v>3.273332511404254E-2</v>
      </c>
    </row>
    <row r="33" spans="1:14">
      <c r="A33" s="174" t="s">
        <v>29</v>
      </c>
      <c r="B33" s="174"/>
      <c r="C33" s="174"/>
      <c r="D33" s="93"/>
      <c r="E33" s="48">
        <v>2.1528999999999998</v>
      </c>
      <c r="F33" s="161">
        <v>0.2</v>
      </c>
      <c r="G33" s="42">
        <f>F33*E33</f>
        <v>0.43057999999999996</v>
      </c>
      <c r="H33" s="70"/>
      <c r="I33" s="48">
        <v>2.1434000000000002</v>
      </c>
      <c r="J33" s="161">
        <v>0.2</v>
      </c>
      <c r="K33" s="42">
        <f>J33*I33</f>
        <v>0.42868000000000006</v>
      </c>
      <c r="L33" s="81"/>
      <c r="M33" s="46">
        <f t="shared" si="4"/>
        <v>-1.8999999999999018E-3</v>
      </c>
      <c r="N33" s="47">
        <f t="shared" si="5"/>
        <v>-4.412652701007715E-3</v>
      </c>
    </row>
    <row r="34" spans="1:14" ht="25.5">
      <c r="A34" s="83" t="s">
        <v>30</v>
      </c>
      <c r="B34" s="96"/>
      <c r="C34" s="96"/>
      <c r="D34" s="97"/>
      <c r="E34" s="86"/>
      <c r="F34" s="100"/>
      <c r="G34" s="87">
        <f>SUM(G31:G33)</f>
        <v>5.5461800000000006</v>
      </c>
      <c r="H34" s="98"/>
      <c r="I34" s="99"/>
      <c r="J34" s="100"/>
      <c r="K34" s="87">
        <f>SUM(K31:K33)</f>
        <v>5.5998400000000013</v>
      </c>
      <c r="L34" s="101"/>
      <c r="M34" s="89">
        <f t="shared" si="4"/>
        <v>5.3660000000000707E-2</v>
      </c>
      <c r="N34" s="90">
        <f t="shared" si="5"/>
        <v>9.6751277455835727E-3</v>
      </c>
    </row>
    <row r="35" spans="1:14" ht="25.5">
      <c r="A35" s="102" t="s">
        <v>31</v>
      </c>
      <c r="B35" s="77"/>
      <c r="C35" s="78"/>
      <c r="D35" s="79"/>
      <c r="E35" s="103">
        <v>4.4000000000000003E-3</v>
      </c>
      <c r="F35" s="95">
        <v>75.095999999999989</v>
      </c>
      <c r="G35" s="104">
        <f t="shared" ref="G35:G41" si="6">F35*E35</f>
        <v>0.33042239999999995</v>
      </c>
      <c r="H35" s="81"/>
      <c r="I35" s="103">
        <v>4.4000000000000003E-3</v>
      </c>
      <c r="J35" s="95">
        <v>75.095999999999989</v>
      </c>
      <c r="K35" s="104">
        <f t="shared" ref="K35:K41" si="7">J35*I35</f>
        <v>0.33042239999999995</v>
      </c>
      <c r="L35" s="81"/>
      <c r="M35" s="46">
        <f t="shared" si="4"/>
        <v>0</v>
      </c>
      <c r="N35" s="105">
        <f t="shared" si="5"/>
        <v>0</v>
      </c>
    </row>
    <row r="36" spans="1:14" ht="25.5">
      <c r="A36" s="102" t="s">
        <v>32</v>
      </c>
      <c r="B36" s="77"/>
      <c r="C36" s="78"/>
      <c r="D36" s="79"/>
      <c r="E36" s="103">
        <v>1.1999999999999999E-3</v>
      </c>
      <c r="F36" s="95">
        <v>75.095999999999989</v>
      </c>
      <c r="G36" s="104">
        <f t="shared" si="6"/>
        <v>9.0115199999999979E-2</v>
      </c>
      <c r="H36" s="81"/>
      <c r="I36" s="103">
        <v>1.1999999999999999E-3</v>
      </c>
      <c r="J36" s="95">
        <v>75.095999999999989</v>
      </c>
      <c r="K36" s="104">
        <f t="shared" si="7"/>
        <v>9.0115199999999979E-2</v>
      </c>
      <c r="L36" s="81"/>
      <c r="M36" s="46">
        <f t="shared" si="4"/>
        <v>0</v>
      </c>
      <c r="N36" s="105">
        <f t="shared" si="5"/>
        <v>0</v>
      </c>
    </row>
    <row r="37" spans="1:14">
      <c r="A37" s="77" t="s">
        <v>33</v>
      </c>
      <c r="B37" s="77"/>
      <c r="C37" s="78"/>
      <c r="D37" s="79"/>
      <c r="E37" s="103">
        <v>0.25</v>
      </c>
      <c r="F37" s="95">
        <v>1</v>
      </c>
      <c r="G37" s="104">
        <f t="shared" si="6"/>
        <v>0.25</v>
      </c>
      <c r="H37" s="81"/>
      <c r="I37" s="103">
        <v>0.25</v>
      </c>
      <c r="J37" s="95">
        <v>1</v>
      </c>
      <c r="K37" s="104">
        <f t="shared" si="7"/>
        <v>0.25</v>
      </c>
      <c r="L37" s="81"/>
      <c r="M37" s="46">
        <f t="shared" si="4"/>
        <v>0</v>
      </c>
      <c r="N37" s="105">
        <f t="shared" si="5"/>
        <v>0</v>
      </c>
    </row>
    <row r="38" spans="1:14">
      <c r="A38" s="77" t="s">
        <v>34</v>
      </c>
      <c r="B38" s="77"/>
      <c r="C38" s="78"/>
      <c r="D38" s="79"/>
      <c r="E38" s="103">
        <v>7.0000000000000001E-3</v>
      </c>
      <c r="F38" s="95">
        <v>72</v>
      </c>
      <c r="G38" s="104">
        <f t="shared" si="6"/>
        <v>0.504</v>
      </c>
      <c r="H38" s="81"/>
      <c r="I38" s="103">
        <v>7.0000000000000001E-3</v>
      </c>
      <c r="J38" s="95">
        <v>72</v>
      </c>
      <c r="K38" s="104">
        <f t="shared" si="7"/>
        <v>0.504</v>
      </c>
      <c r="L38" s="81"/>
      <c r="M38" s="46">
        <f t="shared" si="4"/>
        <v>0</v>
      </c>
      <c r="N38" s="105">
        <f t="shared" si="5"/>
        <v>0</v>
      </c>
    </row>
    <row r="39" spans="1:14">
      <c r="A39" s="82" t="s">
        <v>35</v>
      </c>
      <c r="B39" s="77"/>
      <c r="C39" s="78"/>
      <c r="D39" s="79"/>
      <c r="E39" s="106">
        <v>6.7000000000000004E-2</v>
      </c>
      <c r="F39" s="94">
        <v>46.08</v>
      </c>
      <c r="G39" s="104">
        <f t="shared" si="6"/>
        <v>3.0873599999999999</v>
      </c>
      <c r="H39" s="81"/>
      <c r="I39" s="103">
        <v>6.7000000000000004E-2</v>
      </c>
      <c r="J39" s="94">
        <v>46.08</v>
      </c>
      <c r="K39" s="104">
        <f t="shared" si="7"/>
        <v>3.0873599999999999</v>
      </c>
      <c r="L39" s="81"/>
      <c r="M39" s="46">
        <f t="shared" si="4"/>
        <v>0</v>
      </c>
      <c r="N39" s="105">
        <f t="shared" si="5"/>
        <v>0</v>
      </c>
    </row>
    <row r="40" spans="1:14">
      <c r="A40" s="82" t="s">
        <v>36</v>
      </c>
      <c r="B40" s="77"/>
      <c r="C40" s="78"/>
      <c r="D40" s="79"/>
      <c r="E40" s="106">
        <v>0.104</v>
      </c>
      <c r="F40" s="94">
        <v>12.959999999999999</v>
      </c>
      <c r="G40" s="104">
        <f t="shared" si="6"/>
        <v>1.3478399999999999</v>
      </c>
      <c r="H40" s="81"/>
      <c r="I40" s="103">
        <v>0.104</v>
      </c>
      <c r="J40" s="94">
        <v>12.959999999999999</v>
      </c>
      <c r="K40" s="104">
        <f t="shared" si="7"/>
        <v>1.3478399999999999</v>
      </c>
      <c r="L40" s="81"/>
      <c r="M40" s="46">
        <f t="shared" si="4"/>
        <v>0</v>
      </c>
      <c r="N40" s="105">
        <f t="shared" si="5"/>
        <v>0</v>
      </c>
    </row>
    <row r="41" spans="1:14" ht="15.75" thickBot="1">
      <c r="A41" s="29" t="s">
        <v>37</v>
      </c>
      <c r="B41" s="77"/>
      <c r="C41" s="78"/>
      <c r="D41" s="79"/>
      <c r="E41" s="106">
        <v>0.124</v>
      </c>
      <c r="F41" s="94">
        <v>12.959999999999999</v>
      </c>
      <c r="G41" s="104">
        <f t="shared" si="6"/>
        <v>1.6070399999999998</v>
      </c>
      <c r="H41" s="81"/>
      <c r="I41" s="103">
        <v>0.124</v>
      </c>
      <c r="J41" s="94">
        <v>12.959999999999999</v>
      </c>
      <c r="K41" s="104">
        <f t="shared" si="7"/>
        <v>1.6070399999999998</v>
      </c>
      <c r="L41" s="81"/>
      <c r="M41" s="46">
        <f t="shared" si="4"/>
        <v>0</v>
      </c>
      <c r="N41" s="105">
        <f t="shared" si="5"/>
        <v>0</v>
      </c>
    </row>
    <row r="42" spans="1:14" ht="15.75" thickBot="1">
      <c r="A42" s="107"/>
      <c r="B42" s="108"/>
      <c r="C42" s="108"/>
      <c r="D42" s="109"/>
      <c r="E42" s="110"/>
      <c r="F42" s="111"/>
      <c r="G42" s="112"/>
      <c r="H42" s="113"/>
      <c r="I42" s="110"/>
      <c r="J42" s="114"/>
      <c r="K42" s="112"/>
      <c r="L42" s="113"/>
      <c r="M42" s="115"/>
      <c r="N42" s="116"/>
    </row>
    <row r="43" spans="1:14">
      <c r="A43" s="117" t="s">
        <v>38</v>
      </c>
      <c r="B43" s="77"/>
      <c r="C43" s="77"/>
      <c r="D43" s="118"/>
      <c r="E43" s="119"/>
      <c r="F43" s="120"/>
      <c r="G43" s="121">
        <f>SUM(G34:G38,G39:G41)</f>
        <v>12.7629576</v>
      </c>
      <c r="H43" s="122"/>
      <c r="I43" s="123"/>
      <c r="J43" s="123"/>
      <c r="K43" s="124">
        <f>SUM(K34:K38,K39:K41)</f>
        <v>12.816617600000001</v>
      </c>
      <c r="L43" s="125"/>
      <c r="M43" s="126">
        <f t="shared" ref="M43" si="8">K43-G43</f>
        <v>5.3660000000000707E-2</v>
      </c>
      <c r="N43" s="127">
        <f t="shared" ref="N43" si="9">IF((G43)=0,"",(M43/G43))</f>
        <v>4.204354639554762E-3</v>
      </c>
    </row>
    <row r="44" spans="1:14">
      <c r="A44" s="128" t="s">
        <v>39</v>
      </c>
      <c r="B44" s="77"/>
      <c r="C44" s="77"/>
      <c r="D44" s="118"/>
      <c r="E44" s="119">
        <v>0.13</v>
      </c>
      <c r="F44" s="129"/>
      <c r="G44" s="130">
        <f>G43*E44</f>
        <v>1.659184488</v>
      </c>
      <c r="H44" s="41"/>
      <c r="I44" s="119">
        <v>0.13</v>
      </c>
      <c r="J44" s="41"/>
      <c r="K44" s="131">
        <f>K43*I44</f>
        <v>1.6661602880000002</v>
      </c>
      <c r="L44" s="132"/>
      <c r="M44" s="133">
        <f t="shared" si="4"/>
        <v>6.9758000000001985E-3</v>
      </c>
      <c r="N44" s="134">
        <f t="shared" si="5"/>
        <v>4.2043546395548262E-3</v>
      </c>
    </row>
    <row r="45" spans="1:14">
      <c r="A45" s="135" t="s">
        <v>40</v>
      </c>
      <c r="B45" s="77"/>
      <c r="C45" s="77"/>
      <c r="D45" s="118"/>
      <c r="E45" s="41"/>
      <c r="F45" s="129"/>
      <c r="G45" s="130">
        <f>G43+G44</f>
        <v>14.422142087999999</v>
      </c>
      <c r="H45" s="41"/>
      <c r="I45" s="41"/>
      <c r="J45" s="41"/>
      <c r="K45" s="131">
        <f>K43+K44</f>
        <v>14.482777888000001</v>
      </c>
      <c r="L45" s="132"/>
      <c r="M45" s="133">
        <f t="shared" si="4"/>
        <v>6.0635800000001794E-2</v>
      </c>
      <c r="N45" s="134">
        <f t="shared" si="5"/>
        <v>4.2043546395548305E-3</v>
      </c>
    </row>
    <row r="46" spans="1:14">
      <c r="A46" s="180" t="s">
        <v>41</v>
      </c>
      <c r="B46" s="180"/>
      <c r="C46" s="180"/>
      <c r="D46" s="118"/>
      <c r="E46" s="41"/>
      <c r="F46" s="129"/>
      <c r="G46" s="136">
        <f>ROUND(-G45*10%,2)</f>
        <v>-1.44</v>
      </c>
      <c r="H46" s="41"/>
      <c r="I46" s="41"/>
      <c r="J46" s="41"/>
      <c r="K46" s="137">
        <f>ROUND(-K45*10%,2)</f>
        <v>-1.45</v>
      </c>
      <c r="L46" s="132"/>
      <c r="M46" s="138">
        <f t="shared" si="4"/>
        <v>-1.0000000000000009E-2</v>
      </c>
      <c r="N46" s="139">
        <f t="shared" si="5"/>
        <v>6.944444444444451E-3</v>
      </c>
    </row>
    <row r="47" spans="1:14" ht="15.75" thickBot="1">
      <c r="A47" s="175" t="s">
        <v>42</v>
      </c>
      <c r="B47" s="175"/>
      <c r="C47" s="175"/>
      <c r="D47" s="140"/>
      <c r="E47" s="141"/>
      <c r="F47" s="142"/>
      <c r="G47" s="143">
        <f>G45+G46</f>
        <v>12.982142088</v>
      </c>
      <c r="H47" s="144"/>
      <c r="I47" s="144"/>
      <c r="J47" s="144"/>
      <c r="K47" s="145">
        <f>K45+K46</f>
        <v>13.032777888000002</v>
      </c>
      <c r="L47" s="146"/>
      <c r="M47" s="73">
        <f t="shared" si="4"/>
        <v>5.0635800000002007E-2</v>
      </c>
      <c r="N47" s="74">
        <f t="shared" si="5"/>
        <v>3.9004194883067132E-3</v>
      </c>
    </row>
    <row r="48" spans="1:14" ht="15.75" thickBot="1">
      <c r="A48" s="107"/>
      <c r="B48" s="108"/>
      <c r="C48" s="108"/>
      <c r="D48" s="109"/>
      <c r="E48" s="147"/>
      <c r="F48" s="148"/>
      <c r="G48" s="149"/>
      <c r="H48" s="150"/>
      <c r="I48" s="147"/>
      <c r="J48" s="150"/>
      <c r="K48" s="151"/>
      <c r="L48" s="148"/>
      <c r="M48" s="152"/>
      <c r="N48" s="153"/>
    </row>
    <row r="49" spans="1:11">
      <c r="A49" s="5"/>
      <c r="B49" s="5"/>
      <c r="C49" s="5"/>
      <c r="K49" s="154"/>
    </row>
    <row r="50" spans="1:11">
      <c r="A50" s="5"/>
      <c r="B50" s="5"/>
      <c r="C50" s="5"/>
    </row>
    <row r="51" spans="1:11">
      <c r="A51" s="5"/>
      <c r="B51" s="5"/>
      <c r="C51" s="5"/>
    </row>
    <row r="52" spans="1:11">
      <c r="A52" s="19" t="s">
        <v>43</v>
      </c>
      <c r="B52" s="5"/>
      <c r="C52" s="5"/>
    </row>
    <row r="53" spans="1:11">
      <c r="A53" s="5"/>
      <c r="B53" s="5"/>
      <c r="C53" s="5"/>
    </row>
  </sheetData>
  <mergeCells count="12">
    <mergeCell ref="A47:C47"/>
    <mergeCell ref="A2:J2"/>
    <mergeCell ref="C10:K10"/>
    <mergeCell ref="E17:J17"/>
    <mergeCell ref="E19:G19"/>
    <mergeCell ref="I19:K19"/>
    <mergeCell ref="A46:C46"/>
    <mergeCell ref="M19:N19"/>
    <mergeCell ref="C20:C21"/>
    <mergeCell ref="M20:M21"/>
    <mergeCell ref="N20:N21"/>
    <mergeCell ref="A33:C33"/>
  </mergeCells>
  <dataValidations count="4">
    <dataValidation type="list" allowBlank="1" showInputMessage="1" showErrorMessage="1" prompt="Select Charge Unit - monthly, per kWh, per kW" sqref="C42 C48">
      <formula1>"Monthly, per kWh, per kW"</formula1>
    </dataValidation>
    <dataValidation type="list" allowBlank="1" showInputMessage="1" showErrorMessage="1" sqref="D32:D33 D35:D42 D28:D30 D22:D25 D48">
      <formula1>#REF!</formula1>
    </dataValidation>
    <dataValidation showDropDown="1" showInputMessage="1" showErrorMessage="1" prompt="Select Charge Unit - monthly, per kWh, per kW" sqref="C22:C25 C35:C41 C32 C28:C30"/>
    <dataValidation type="list" allowBlank="1" showInputMessage="1" showErrorMessage="1" sqref="C10">
      <formula1>BI_LDCLIST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headerFooter>
    <oddFooter>&amp;L&amp;A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14. Bill Impacts - Residential</vt:lpstr>
      <vt:lpstr>14. Bill Impacts - GS &lt; 50 KW</vt:lpstr>
      <vt:lpstr>14. Bill Impacts - GS 50-999 KW</vt:lpstr>
      <vt:lpstr>14. Bill Impacts - GS 1000-4999</vt:lpstr>
      <vt:lpstr>14. Bill Impacts - Large Use</vt:lpstr>
      <vt:lpstr>14. Bill Impacts - USL</vt:lpstr>
      <vt:lpstr>14. Bill Impacts - Sent.Lights</vt:lpstr>
      <vt:lpstr>14. Bill Impacts - StreetLight</vt:lpstr>
      <vt:lpstr>'14. Bill Impacts - GS &lt; 50 KW'!Print_Area</vt:lpstr>
      <vt:lpstr>'14. Bill Impacts - GS 1000-4999'!Print_Area</vt:lpstr>
      <vt:lpstr>'14. Bill Impacts - GS 50-999 KW'!Print_Area</vt:lpstr>
      <vt:lpstr>'14. Bill Impacts - Large Use'!Print_Area</vt:lpstr>
      <vt:lpstr>'14. Bill Impacts - Residential'!Print_Area</vt:lpstr>
      <vt:lpstr>'14. Bill Impacts - Sent.Lights'!Print_Area</vt:lpstr>
      <vt:lpstr>'14. Bill Impacts - StreetLight'!Print_Area</vt:lpstr>
      <vt:lpstr>'14. Bill Impacts - USL'!Print_Area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dsavage</dc:creator>
  <cp:lastModifiedBy>dsavage</cp:lastModifiedBy>
  <cp:lastPrinted>2013-08-16T14:35:18Z</cp:lastPrinted>
  <dcterms:created xsi:type="dcterms:W3CDTF">2013-08-15T19:21:59Z</dcterms:created>
  <dcterms:modified xsi:type="dcterms:W3CDTF">2013-08-16T16:38:18Z</dcterms:modified>
</cp:coreProperties>
</file>