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01" windowWidth="9645" windowHeight="11640" tabRatio="881" firstSheet="2" activeTab="2"/>
  </bookViews>
  <sheets>
    <sheet name="A1-T8-S1" sheetId="1" state="hidden" r:id="rId1"/>
    <sheet name="Summary" sheetId="2" state="hidden" r:id="rId2"/>
    <sheet name="Residential " sheetId="3" r:id="rId3"/>
    <sheet name="Multi Res" sheetId="4" r:id="rId4"/>
    <sheet name="GS &lt; 50 kWh" sheetId="5" r:id="rId5"/>
    <sheet name="GS &gt; 50 &lt; 1000" sheetId="6" r:id="rId6"/>
    <sheet name="GS &gt; 1000 &lt; 5000" sheetId="7" r:id="rId7"/>
    <sheet name="LU" sheetId="8" r:id="rId8"/>
    <sheet name="St Lights" sheetId="9" r:id="rId9"/>
    <sheet name="USL" sheetId="10" r:id="rId10"/>
    <sheet name="2014 Proposed Rates" sheetId="11" state="hidden" r:id="rId11"/>
    <sheet name="2012 Dist Rates" sheetId="12" state="hidden" r:id="rId12"/>
    <sheet name="2012 - 2014 SM" sheetId="13" state="hidden" r:id="rId13"/>
    <sheet name="2012 Transmission Rates" sheetId="14" state="hidden" r:id="rId14"/>
    <sheet name="2012 RARA" sheetId="15" state="hidden" r:id="rId15"/>
    <sheet name="2012 LRAM" sheetId="16" state="hidden" r:id="rId16"/>
    <sheet name="2012 GA Rate Rider" sheetId="17" state="hidden" r:id="rId17"/>
    <sheet name="Contact Voltage" sheetId="18" state="hidden" r:id="rId18"/>
    <sheet name="LPP Rate Riders" sheetId="19" state="hidden" r:id="rId19"/>
    <sheet name="Foregone Rev Rate Rider" sheetId="20" state="hidden" r:id="rId20"/>
    <sheet name="Green Energy Plan" sheetId="21" state="hidden" r:id="rId21"/>
  </sheets>
  <externalReferences>
    <externalReference r:id="rId24"/>
  </externalReferences>
  <definedNames>
    <definedName name="_xlnm.Print_Area" localSheetId="11">'2012 Dist Rates'!$A$1:$K$80</definedName>
    <definedName name="_xlnm.Print_Area" localSheetId="13">'2012 Transmission Rates'!$A$1:$I$62</definedName>
    <definedName name="_xlnm.Print_Area" localSheetId="10">'2014 Proposed Rates'!$R$1:$AF$42</definedName>
    <definedName name="_xlnm.Print_Area" localSheetId="17">'Contact Voltage'!$A$1:$N$26</definedName>
    <definedName name="_xlnm.Print_Area" localSheetId="5">'GS &gt; 50 &lt; 1000'!$A$1:$P$29</definedName>
    <definedName name="_xlnm.Print_Area" localSheetId="18">'LPP Rate Riders'!$A$1:$L$22</definedName>
    <definedName name="_xlnm.Print_Area" localSheetId="3">'Multi Res'!$A$1:$O$31</definedName>
    <definedName name="_xlnm.Print_Area" localSheetId="2">'Residential '!$A$1:$Q$31</definedName>
    <definedName name="_xlnm.Print_Area" localSheetId="8">'St Lights'!$A$1:$P$28</definedName>
  </definedNames>
  <calcPr fullCalcOnLoad="1"/>
</workbook>
</file>

<file path=xl/comments12.xml><?xml version="1.0" encoding="utf-8"?>
<comments xmlns="http://schemas.openxmlformats.org/spreadsheetml/2006/main">
  <authors>
    <author>Lam</author>
    <author>ALam</author>
    <author>alam</author>
  </authors>
  <commentList>
    <comment ref="K6" authorId="0">
      <text>
        <r>
          <rPr>
            <b/>
            <sz val="8"/>
            <rFont val="Tahoma"/>
            <family val="2"/>
          </rPr>
          <t>Lam:</t>
        </r>
        <r>
          <rPr>
            <sz val="8"/>
            <rFont val="Tahoma"/>
            <family val="2"/>
          </rPr>
          <t xml:space="preserve">
Can we round off the stats
</t>
        </r>
      </text>
    </comment>
    <comment ref="A10" authorId="1">
      <text>
        <r>
          <rPr>
            <b/>
            <sz val="8"/>
            <rFont val="Tahoma"/>
            <family val="2"/>
          </rPr>
          <t>ALam:</t>
        </r>
        <r>
          <rPr>
            <sz val="8"/>
            <rFont val="Tahoma"/>
            <family val="2"/>
          </rPr>
          <t xml:space="preserve">
Need Update for each Versiopn
</t>
        </r>
      </text>
    </comment>
    <comment ref="A15" authorId="1">
      <text>
        <r>
          <rPr>
            <b/>
            <sz val="8"/>
            <rFont val="Tahoma"/>
            <family val="2"/>
          </rPr>
          <t xml:space="preserve">ALam: 
Update with Adjusted EDR </t>
        </r>
      </text>
    </comment>
    <comment ref="F56" authorId="2">
      <text>
        <r>
          <rPr>
            <b/>
            <sz val="8"/>
            <rFont val="Tahoma"/>
            <family val="2"/>
          </rPr>
          <t>alam:</t>
        </r>
        <r>
          <rPr>
            <sz val="8"/>
            <rFont val="Tahoma"/>
            <family val="2"/>
          </rPr>
          <t xml:space="preserve">
Fix Rate increased by 
10%
</t>
        </r>
      </text>
    </comment>
    <comment ref="G56" authorId="2">
      <text>
        <r>
          <rPr>
            <b/>
            <sz val="8"/>
            <rFont val="Tahoma"/>
            <family val="2"/>
          </rPr>
          <t>alam:</t>
        </r>
        <r>
          <rPr>
            <sz val="8"/>
            <rFont val="Tahoma"/>
            <family val="2"/>
          </rPr>
          <t xml:space="preserve">
Fix Rate reducced by 10%
</t>
        </r>
      </text>
    </comment>
    <comment ref="H56" authorId="2">
      <text>
        <r>
          <rPr>
            <b/>
            <sz val="8"/>
            <rFont val="Tahoma"/>
            <family val="2"/>
          </rPr>
          <t>alam:</t>
        </r>
        <r>
          <rPr>
            <sz val="8"/>
            <rFont val="Tahoma"/>
            <family val="2"/>
          </rPr>
          <t xml:space="preserve">
Fix Rate reducced by 10%
</t>
        </r>
      </text>
    </comment>
  </commentList>
</comments>
</file>

<file path=xl/comments18.xml><?xml version="1.0" encoding="utf-8"?>
<comments xmlns="http://schemas.openxmlformats.org/spreadsheetml/2006/main">
  <authors>
    <author>alam</author>
  </authors>
  <commentList>
    <comment ref="O24" authorId="0">
      <text>
        <r>
          <rPr>
            <b/>
            <sz val="8"/>
            <rFont val="Tahoma"/>
            <family val="2"/>
          </rPr>
          <t>alam:</t>
        </r>
        <r>
          <rPr>
            <sz val="8"/>
            <rFont val="Tahoma"/>
            <family val="2"/>
          </rPr>
          <t xml:space="preserve">
Scannings cost for USL and SL in  each year
</t>
        </r>
      </text>
    </comment>
  </commentList>
</comments>
</file>

<file path=xl/comments19.xml><?xml version="1.0" encoding="utf-8"?>
<comments xmlns="http://schemas.openxmlformats.org/spreadsheetml/2006/main">
  <authors>
    <author>alam</author>
  </authors>
  <commentList>
    <comment ref="M16" authorId="0">
      <text>
        <r>
          <rPr>
            <b/>
            <sz val="8"/>
            <rFont val="Tahoma"/>
            <family val="2"/>
          </rPr>
          <t>alam:</t>
        </r>
        <r>
          <rPr>
            <sz val="8"/>
            <rFont val="Tahoma"/>
            <family val="2"/>
          </rPr>
          <t xml:space="preserve">
Scannings cost for USL and SL in  each year
</t>
        </r>
      </text>
    </comment>
  </commentList>
</comments>
</file>

<file path=xl/sharedStrings.xml><?xml version="1.0" encoding="utf-8"?>
<sst xmlns="http://schemas.openxmlformats.org/spreadsheetml/2006/main" count="1518" uniqueCount="423">
  <si>
    <t>Distribution</t>
  </si>
  <si>
    <t>Sub Total A - Distribution</t>
  </si>
  <si>
    <t>Sub Total B (including Sub-Total A)  - Distribution</t>
  </si>
  <si>
    <t>Total Bill (including Sub-Total B)</t>
  </si>
  <si>
    <t>Impact</t>
  </si>
  <si>
    <t>Volume</t>
  </si>
  <si>
    <t>Rate $</t>
  </si>
  <si>
    <t>Charge $</t>
  </si>
  <si>
    <t>Change $</t>
  </si>
  <si>
    <t>Change %</t>
  </si>
  <si>
    <t xml:space="preserve"> </t>
  </si>
  <si>
    <t>kWh</t>
  </si>
  <si>
    <t>kW</t>
  </si>
  <si>
    <t>kVA</t>
  </si>
  <si>
    <t>RESIDENTIAL</t>
  </si>
  <si>
    <t xml:space="preserve">GS &lt; 50 kW </t>
  </si>
  <si>
    <t>GS - 50 to 1000 kW   - Interval</t>
  </si>
  <si>
    <t>GS &gt; 1000 to  5000 kW</t>
  </si>
  <si>
    <t>LARGE USER</t>
  </si>
  <si>
    <t>SMALL SCATTER LOAD</t>
  </si>
  <si>
    <t>STREETLIGHT</t>
  </si>
  <si>
    <t>TOTAL</t>
  </si>
  <si>
    <t>Check s/b 0</t>
  </si>
  <si>
    <t>Test</t>
  </si>
  <si>
    <t>Diff.</t>
  </si>
  <si>
    <t>A</t>
  </si>
  <si>
    <t>B</t>
  </si>
  <si>
    <t>C</t>
  </si>
  <si>
    <t>E</t>
  </si>
  <si>
    <t>F</t>
  </si>
  <si>
    <t>G</t>
  </si>
  <si>
    <t>H</t>
  </si>
  <si>
    <t xml:space="preserve">  </t>
  </si>
  <si>
    <t>N/A</t>
  </si>
  <si>
    <t>kWh (Loss Adjusted)</t>
  </si>
  <si>
    <t>Number of Customers</t>
  </si>
  <si>
    <t>Number of Connections</t>
  </si>
  <si>
    <t>Distribution Revenue does not include Revenue Offsets (Includes Transformer Allowance only)</t>
  </si>
  <si>
    <t>Revenue Offsets</t>
  </si>
  <si>
    <t>EDR Allocator's</t>
  </si>
  <si>
    <t xml:space="preserve">Energy Consumed - kWhs </t>
  </si>
  <si>
    <t xml:space="preserve">Number of Customers </t>
  </si>
  <si>
    <t>- Fix (Customer)</t>
  </si>
  <si>
    <t>- Variable</t>
  </si>
  <si>
    <t>- Connections</t>
  </si>
  <si>
    <t>Distribution Revenue From EDR</t>
  </si>
  <si>
    <t>CAS With Revenue Offsets</t>
  </si>
  <si>
    <t>CAS - Revenue With Revenue Offsets</t>
  </si>
  <si>
    <t>CAS - Revenue Requirement (includes NI)</t>
  </si>
  <si>
    <t>CAS - Cost to Revenue Ratio Results</t>
  </si>
  <si>
    <t>Revenue ShortFall from CAS</t>
  </si>
  <si>
    <t>CAS Without Revenue Offsets</t>
  </si>
  <si>
    <t>CAS - Revenue w/o Revenue Offsets</t>
  </si>
  <si>
    <t>Calculated</t>
  </si>
  <si>
    <t>Target - Cost to Revenue Change to Residential</t>
  </si>
  <si>
    <t>Proposed Residential Total Revenue Requirement</t>
  </si>
  <si>
    <t>Residential Revenue Requirement Change</t>
  </si>
  <si>
    <t>WORK AREA</t>
  </si>
  <si>
    <t xml:space="preserve">Rev Under Recover </t>
  </si>
  <si>
    <t>Rev Over Recover</t>
  </si>
  <si>
    <t>Rev Under Recover (%)</t>
  </si>
  <si>
    <t>Rev Over Recover (%)</t>
  </si>
  <si>
    <t>Rev Mitigation - Under Recover</t>
  </si>
  <si>
    <t>Rev Mitigation - Over Recover</t>
  </si>
  <si>
    <t>Revenue Requirement Change by Class</t>
  </si>
  <si>
    <t>MANUAL ADJUSTMENTS</t>
  </si>
  <si>
    <t>Proposed Cost to Revenue Ratio Results</t>
  </si>
  <si>
    <t>CAS Allocation</t>
  </si>
  <si>
    <t>- Fix Charge with days of Service</t>
  </si>
  <si>
    <t xml:space="preserve">  (Fix Charge Annual Revenue)</t>
  </si>
  <si>
    <t>- Connection Charge</t>
  </si>
  <si>
    <t xml:space="preserve">  (Connection Charge Revenue)</t>
  </si>
  <si>
    <t>- Volumetric Charge with Days of Service</t>
  </si>
  <si>
    <t xml:space="preserve"> (Volumetric Charge Revenue)</t>
  </si>
  <si>
    <t>Total</t>
  </si>
  <si>
    <t>2009 Approved Rates</t>
  </si>
  <si>
    <t>Fix Charge with DOS</t>
  </si>
  <si>
    <t>Connection Charge</t>
  </si>
  <si>
    <t>2010 Prefile</t>
  </si>
  <si>
    <t>Volumetric Charge with DOS</t>
  </si>
  <si>
    <t>Revenue Reconciliation Check</t>
  </si>
  <si>
    <t xml:space="preserve">Fix </t>
  </si>
  <si>
    <t>Variable</t>
  </si>
  <si>
    <t>Difference from DOS</t>
  </si>
  <si>
    <t>Kwh</t>
  </si>
  <si>
    <t>Customer</t>
  </si>
  <si>
    <t>Connection</t>
  </si>
  <si>
    <t>KVA</t>
  </si>
  <si>
    <t>Connections</t>
  </si>
  <si>
    <t>Rates Rounded</t>
  </si>
  <si>
    <t>Hours Use</t>
  </si>
  <si>
    <t>PF</t>
  </si>
  <si>
    <t xml:space="preserve">Net/Conn </t>
  </si>
  <si>
    <t>Consumption Details</t>
  </si>
  <si>
    <t>Total Loss Factor</t>
  </si>
  <si>
    <t>Service Charge (per 30 days)</t>
  </si>
  <si>
    <t>Col. 1</t>
  </si>
  <si>
    <t>Col. 2</t>
  </si>
  <si>
    <t>Col. 3</t>
  </si>
  <si>
    <t>Col. 4</t>
  </si>
  <si>
    <t>Col. 5</t>
  </si>
  <si>
    <t>Col. 6</t>
  </si>
  <si>
    <t>System Network KW</t>
  </si>
  <si>
    <t>Line Connection KW</t>
  </si>
  <si>
    <t>Transformer Connection Ratio</t>
  </si>
  <si>
    <t>Transformer Connection KW</t>
  </si>
  <si>
    <t>Total Wholesale Transmission Revenue Requirement</t>
  </si>
  <si>
    <t>12 CP</t>
  </si>
  <si>
    <t>Network</t>
  </si>
  <si>
    <t>12 NCP</t>
  </si>
  <si>
    <t>Line Connection</t>
  </si>
  <si>
    <t>Transformer Connection</t>
  </si>
  <si>
    <t>Residential</t>
  </si>
  <si>
    <t>GS &lt;50</t>
  </si>
  <si>
    <t>GS 50-999KW</t>
  </si>
  <si>
    <t>GS 1000-4999KW</t>
  </si>
  <si>
    <t>Large Use</t>
  </si>
  <si>
    <t>Street Light</t>
  </si>
  <si>
    <t>Unmetered Scattered Load</t>
  </si>
  <si>
    <t>RETAIL Transmission</t>
  </si>
  <si>
    <t xml:space="preserve"> kWh/kW</t>
  </si>
  <si>
    <t>per kWh</t>
  </si>
  <si>
    <t>per kW</t>
  </si>
  <si>
    <t>Col. 7</t>
  </si>
  <si>
    <t>Col. 8</t>
  </si>
  <si>
    <t>Col. 9</t>
  </si>
  <si>
    <t>Col. 10</t>
  </si>
  <si>
    <t>Col. 11</t>
  </si>
  <si>
    <t>R. 1</t>
  </si>
  <si>
    <t>Allocation and Billing Factors</t>
  </si>
  <si>
    <t>GS - 50 to 1000                  kW  - Non Interval</t>
  </si>
  <si>
    <t xml:space="preserve">GS - 50 to 999 kW   </t>
  </si>
  <si>
    <t>GS - 1000 to  4999 kW</t>
  </si>
  <si>
    <t>Streetlighting</t>
  </si>
  <si>
    <t>R. 2</t>
  </si>
  <si>
    <t>R. 3</t>
  </si>
  <si>
    <t>2009 Approved Customer Forecast by Rate Class (Cost Allocation)</t>
  </si>
  <si>
    <t>R. 4</t>
  </si>
  <si>
    <t>R. 5</t>
  </si>
  <si>
    <t>Number of Connection</t>
  </si>
  <si>
    <t>R. 6</t>
  </si>
  <si>
    <t>R. 7</t>
  </si>
  <si>
    <t>R. 8</t>
  </si>
  <si>
    <t>2010 Customer Forecast by Rate Class (Rate Design)</t>
  </si>
  <si>
    <t>R. 9</t>
  </si>
  <si>
    <t>R. 10</t>
  </si>
  <si>
    <t>R. 11</t>
  </si>
  <si>
    <t>R. 12</t>
  </si>
  <si>
    <t>Allocators Percentages</t>
  </si>
  <si>
    <t>R. 13</t>
  </si>
  <si>
    <t>R. 14</t>
  </si>
  <si>
    <t>R. 15</t>
  </si>
  <si>
    <t>Allocation of Costs</t>
  </si>
  <si>
    <t>Recovery Amount</t>
  </si>
  <si>
    <t>Allocator</t>
  </si>
  <si>
    <t>R. 16</t>
  </si>
  <si>
    <t>Scanning</t>
  </si>
  <si>
    <t>R. 17</t>
  </si>
  <si>
    <t>Remediation</t>
  </si>
  <si>
    <t>R. 18</t>
  </si>
  <si>
    <t>Total Recovery</t>
  </si>
  <si>
    <t>R. 19</t>
  </si>
  <si>
    <t>Billing Unit</t>
  </si>
  <si>
    <t>R. 20</t>
  </si>
  <si>
    <t>2010 Customer/ Connections per 30 days</t>
  </si>
  <si>
    <t>R. 21</t>
  </si>
  <si>
    <t>R. 22</t>
  </si>
  <si>
    <t>Total Contact Voltage Rate Rider</t>
  </si>
  <si>
    <t>ALLOCATOR</t>
  </si>
  <si>
    <t>GS &gt; 1000 to  4999 kW</t>
  </si>
  <si>
    <t>LARGE USE</t>
  </si>
  <si>
    <t xml:space="preserve">kVA </t>
  </si>
  <si>
    <t xml:space="preserve">Distribution kWh </t>
  </si>
  <si>
    <t xml:space="preserve">2010 Approved Distribution Revenue </t>
  </si>
  <si>
    <t xml:space="preserve">RSVA-WMS </t>
  </si>
  <si>
    <t>RSVA - Network</t>
  </si>
  <si>
    <t>RSVA - Connection</t>
  </si>
  <si>
    <t>Hydro ONE - LV Charges</t>
  </si>
  <si>
    <t>PILs</t>
  </si>
  <si>
    <t>BILLING UNIT</t>
  </si>
  <si>
    <t xml:space="preserve">Total </t>
  </si>
  <si>
    <t>Proposed 2011 Distribution Charges (CAS Results) with DOS</t>
  </si>
  <si>
    <t>Class</t>
  </si>
  <si>
    <t>Consumption/Demand</t>
  </si>
  <si>
    <t>Distribution + Rate Riders</t>
  </si>
  <si>
    <t>Total Bill</t>
  </si>
  <si>
    <t>800 kWh</t>
  </si>
  <si>
    <t>General Service &lt; 50 kW</t>
  </si>
  <si>
    <t>2000 kWh</t>
  </si>
  <si>
    <t>General Service 50-999 kW</t>
  </si>
  <si>
    <t>150,000 kWh / 388 kVA</t>
  </si>
  <si>
    <t>General Service 1000-4999 kW</t>
  </si>
  <si>
    <t>800,000 kWh / 1778 kVA</t>
  </si>
  <si>
    <t>4,500,000 kWh / 9,434 kVA</t>
  </si>
  <si>
    <t>Steet Lighting</t>
  </si>
  <si>
    <t>9,182,083 kWh / 25,506 kVA</t>
  </si>
  <si>
    <t>Unmetered Scattered Loads</t>
  </si>
  <si>
    <t>365 kWh</t>
  </si>
  <si>
    <t>Cost of Power Commodity - 1st Tier (May 1st 2010)</t>
  </si>
  <si>
    <t>Cost of Power Commodity - 2nd Tier (May 1st 2010)</t>
  </si>
  <si>
    <t>R/C incl Rev Offsets</t>
  </si>
  <si>
    <t>Proposed Total Revenue Requirement by Class before TOA</t>
  </si>
  <si>
    <t>Proposed Total Revenue Requirement by Class after TOA</t>
  </si>
  <si>
    <t>STREETLIGHTING</t>
  </si>
  <si>
    <t>AMOUNT FOR CLEARANCE</t>
  </si>
  <si>
    <t>Secondary Customer Base</t>
  </si>
  <si>
    <t>Scanning Allocation - Secondary Customer Base (%)</t>
  </si>
  <si>
    <t>Remediation Allocation - Secondary Customer Base (%)</t>
  </si>
  <si>
    <t>Recovery Amount With Interest (Dec 2009 to Oct 2010)</t>
  </si>
  <si>
    <t xml:space="preserve">2009 Secondary Customer Base  </t>
  </si>
  <si>
    <t>Rate Riders - 18 Months Recovery</t>
  </si>
  <si>
    <t>Allocation and Billing Factors (21 Months Recovery)</t>
  </si>
  <si>
    <t>2009 - Historical Number of Customers (year-end)</t>
  </si>
  <si>
    <t>2009 -  Historical Distribution Revenue</t>
  </si>
  <si>
    <t>Total Recovery (21 Months Recovery)</t>
  </si>
  <si>
    <t>2009 Distribution Revenue</t>
  </si>
  <si>
    <t>2011/12 LPP Rate Rider</t>
  </si>
  <si>
    <t>Customer/ Connections per 30 days</t>
  </si>
  <si>
    <t>Note:</t>
  </si>
  <si>
    <t>Rate Riders - Incremental Rev Reg for May to June 2011 to be recovered in the next subsequent 9 months</t>
  </si>
  <si>
    <t>Forgone Rev. Req. Rate Rider - Fix (Customer)</t>
  </si>
  <si>
    <t>Forgone Rev. Req. Rate Rider - Fix (Connections)</t>
  </si>
  <si>
    <t>Forgone Rev. Req. Rate Rider - Variable (kWh)</t>
  </si>
  <si>
    <t>Forgone Rev. Req. Rate Rider - Variable (kVa)</t>
  </si>
  <si>
    <t>These Rate Riders reflect the decision of the Board in EB-2010-0295.</t>
  </si>
  <si>
    <t>Proposed Aug 1 Implementation</t>
  </si>
  <si>
    <t>2011 Loss Revenue Rate Rider Calculations</t>
  </si>
  <si>
    <t>Number of Customers - Jan  2011 to Dec 2011</t>
  </si>
  <si>
    <t>Number of Connections - Jan 2011 to Dec 2011</t>
  </si>
  <si>
    <t>Number of kWh - Jan 2011 to Dec 2011</t>
  </si>
  <si>
    <t>Number of kVA - Jan 2011 to Dec 2011</t>
  </si>
  <si>
    <t xml:space="preserve">Number of Customers - May to July 2011 </t>
  </si>
  <si>
    <t>Number of Connections - May to July 2011</t>
  </si>
  <si>
    <t>Number of kWh - May to July 2011</t>
  </si>
  <si>
    <t>Number of kVA - May to July 2011</t>
  </si>
  <si>
    <t>Number of Customers - Balance</t>
  </si>
  <si>
    <t>Number of Connections - Balance</t>
  </si>
  <si>
    <t>Number of kWh - Balance</t>
  </si>
  <si>
    <t>Number of kVA - Balance</t>
  </si>
  <si>
    <t>Number of Customers @ Fix Current Rates - May to July 2011</t>
  </si>
  <si>
    <t>Number of Connections @ Fix Current Rates - May to July 2011</t>
  </si>
  <si>
    <t>Number of kWh @ Fix Current Rates - May and July 2011</t>
  </si>
  <si>
    <t>Number of kVa @ Fix Current Rates - May and July 2011</t>
  </si>
  <si>
    <t>Number of Customers @ Proposed Fix Rates - May to July 2011</t>
  </si>
  <si>
    <t>Number of Connections @ Proposed Fix Rates - May to July 2011</t>
  </si>
  <si>
    <t>Number of kWh @ Proposed Fix Rates - May to July 2011</t>
  </si>
  <si>
    <t>Number of kVa @ Proposed Fix Rates - May and July 2011</t>
  </si>
  <si>
    <t>Number of Customers - Incremental Rev. Reg  for May to July 2011</t>
  </si>
  <si>
    <t>Number of Connections - Incremental Rev. Reg  for May to July 2011</t>
  </si>
  <si>
    <t>Number of kWh - Incremental Rev. Reg  for May to July 2011</t>
  </si>
  <si>
    <t>Number of kVa - Incremental Rev. Reg  for May to July 2011</t>
  </si>
  <si>
    <t>Rates for 2012 - Prefile</t>
  </si>
  <si>
    <t>2012 EDR Forecast Data by Class</t>
  </si>
  <si>
    <t>2012 Forecast</t>
  </si>
  <si>
    <t>2012 Forecast with 2011 Rev Allocation</t>
  </si>
  <si>
    <t>2012 Load with 2011 Rates</t>
  </si>
  <si>
    <t>2012 CAS</t>
  </si>
  <si>
    <t>% of Total Revenue Requirement with NI (without LU)</t>
  </si>
  <si>
    <t>TOA</t>
  </si>
  <si>
    <t>&lt;-- TOA</t>
  </si>
  <si>
    <t>Previous Year REV REQ</t>
  </si>
  <si>
    <t>2012 WHOLESALE Transmission</t>
  </si>
  <si>
    <t>Provincial Transmission Service Rates per kW (Effective Jan 2011)</t>
  </si>
  <si>
    <t>2012 RETAIL Transmission</t>
  </si>
  <si>
    <t>2012 WHOLESALE Transmission Allocation</t>
  </si>
  <si>
    <t>2011 Switch Gear Credit Used AS Proxy</t>
  </si>
  <si>
    <t>Proposed 2012 RETAIL Transmission with Switch Gear Credit (30 Days of Servcie)</t>
  </si>
  <si>
    <t>RARA - 2012</t>
  </si>
  <si>
    <t>UNMETERED  SCATTER LOAD</t>
  </si>
  <si>
    <t>2012 Forecast Load by Class</t>
  </si>
  <si>
    <t xml:space="preserve">2011 Approved Distribution Revenue </t>
  </si>
  <si>
    <t xml:space="preserve">2012 kWh </t>
  </si>
  <si>
    <t>2008 Non RPP Allocation in each Rate Class</t>
  </si>
  <si>
    <t>2011 Revenue Offsets Allocation</t>
  </si>
  <si>
    <t>2009 Reg Assets Recovery</t>
  </si>
  <si>
    <t>2012 KWh</t>
  </si>
  <si>
    <t>RSVAPower - Power Only</t>
  </si>
  <si>
    <t xml:space="preserve">Special Purpose Charge Variance Account  </t>
  </si>
  <si>
    <t xml:space="preserve">Gains on Sale Variance </t>
  </si>
  <si>
    <t>2009 RARA variances</t>
  </si>
  <si>
    <t>Rate Riders</t>
  </si>
  <si>
    <t>per kWh/kVa</t>
  </si>
  <si>
    <t>12 Months Recovery</t>
  </si>
  <si>
    <t>2012 - Smart Meters Rate Rider</t>
  </si>
  <si>
    <t>UNMETERED  SCATTERED LOAD</t>
  </si>
  <si>
    <t>Total Number of Metered Customers - 2012 Forecast</t>
  </si>
  <si>
    <t>Smart Meters Installed - Cumulative to Date</t>
  </si>
  <si>
    <t>Smart Meter - Stranded Costs</t>
  </si>
  <si>
    <t>Smart Meter - Capex and Opex</t>
  </si>
  <si>
    <t>Rate Riders (36 Months Recovery)</t>
  </si>
  <si>
    <t>per Customer/30 Days</t>
  </si>
  <si>
    <t>LRAM</t>
  </si>
  <si>
    <t xml:space="preserve">GS - 50 to 1000 kW   </t>
  </si>
  <si>
    <t xml:space="preserve">2012 EDR Data by Class </t>
  </si>
  <si>
    <t xml:space="preserve">2008 - 2010 LRAM </t>
  </si>
  <si>
    <t>Decision/ALLOCATOR</t>
  </si>
  <si>
    <t>kWh or kVA</t>
  </si>
  <si>
    <t xml:space="preserve">RARA (Global Adjustment Only - 2012) </t>
  </si>
  <si>
    <t>Distribution kWh for Global Adjustment Recovery</t>
  </si>
  <si>
    <t>2008 of Non RPP KWH as a % of the total Rate Class kWh</t>
  </si>
  <si>
    <t>RSVA - Power (Global Adjustment Only)</t>
  </si>
  <si>
    <t>Table 1</t>
  </si>
  <si>
    <t>Annual Change</t>
  </si>
  <si>
    <t>Rate Class</t>
  </si>
  <si>
    <t>Residential (800 kWh)</t>
  </si>
  <si>
    <t xml:space="preserve">  Distribution</t>
  </si>
  <si>
    <t xml:space="preserve">  Rate Rider</t>
  </si>
  <si>
    <t xml:space="preserve">  Distribution and Rate Rider</t>
  </si>
  <si>
    <t xml:space="preserve">  Total Bill</t>
  </si>
  <si>
    <t>General Service &lt;50 kW (2,000 kWh)</t>
  </si>
  <si>
    <t>GS 50-999 kW (349 kW, 388 kVA and 150,000 kWh)</t>
  </si>
  <si>
    <t>GS 1000-4,999 kW (1,600 kW, 1,778 kVA, and 800,000 kWh)</t>
  </si>
  <si>
    <t>Large Use (8,491 kW, 9,434 kVA and 4,500,000 kWh)</t>
  </si>
  <si>
    <t>Streetlighting (162,353 Connections, 25,506 kW and 9,182,013 kWh)</t>
  </si>
  <si>
    <t>Unmetered Scattered Load (1 Connection, 1 kW and 365 kWh)</t>
  </si>
  <si>
    <t>Note: Rate Riders include proposed Contact Voltage Rate Rider</t>
  </si>
  <si>
    <t>2012 Summary Bill Comparisons</t>
  </si>
  <si>
    <t>VERSION 1.2</t>
  </si>
  <si>
    <t>Incremental Revenue Requirement Calculation</t>
  </si>
  <si>
    <t>Net Fixed Assets</t>
  </si>
  <si>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</si>
  <si>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</si>
  <si>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</si>
  <si>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</si>
  <si>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</si>
  <si>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</si>
  <si>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</si>
  <si>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</si>
  <si>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</si>
  <si>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</si>
  <si>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</si>
  <si>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</si>
  <si>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 xml:space="preserve">Direct Benefit </t>
  </si>
  <si>
    <t>Capital</t>
  </si>
  <si>
    <t>Direct Benefit % on capital</t>
  </si>
  <si>
    <t>Direct Benefit on capital</t>
  </si>
  <si>
    <t>Total Direct Benefit</t>
  </si>
  <si>
    <t>Total # of Customers (excl connections)</t>
  </si>
  <si>
    <t>GEA Rate Rider per customer per 30 days</t>
  </si>
  <si>
    <t>Monthly Amount Paid by IESO</t>
  </si>
  <si>
    <t/>
  </si>
  <si>
    <t>Unmetered Scattered Load (connection)</t>
  </si>
  <si>
    <t>Street Lights</t>
  </si>
  <si>
    <t>Large Users &gt; 5000 kW</t>
  </si>
  <si>
    <t>GS 1000 kW t0 4999 kW</t>
  </si>
  <si>
    <t>GS 50 kW to 999 kW</t>
  </si>
  <si>
    <t>GS Less then 50 kW</t>
  </si>
  <si>
    <t>Quadlogic</t>
  </si>
  <si>
    <t>Deferral/Variance Account Rate Rider</t>
  </si>
  <si>
    <t>RTSR - Connection - DVR</t>
  </si>
  <si>
    <t>RTSR - Network - DVR</t>
  </si>
  <si>
    <t>DVR</t>
  </si>
  <si>
    <t>MFC</t>
  </si>
  <si>
    <t>Rate Classes</t>
  </si>
  <si>
    <t xml:space="preserve">Unmetered Scattered Load </t>
  </si>
  <si>
    <t xml:space="preserve">                                                                                            </t>
  </si>
  <si>
    <t>2012 (With Dead Band)</t>
  </si>
  <si>
    <t>334 kWh</t>
  </si>
  <si>
    <t>Rounded</t>
  </si>
  <si>
    <t>Shared Tax Savings Rate ider - DVR</t>
  </si>
  <si>
    <t>GS &lt; 50 kW</t>
  </si>
  <si>
    <t>GS &gt; 50 &lt; 1000</t>
  </si>
  <si>
    <t>GS &gt; 1000 &lt; 5000</t>
  </si>
  <si>
    <t>LU</t>
  </si>
  <si>
    <t>USL</t>
  </si>
  <si>
    <t>Share Tax Saving</t>
  </si>
  <si>
    <t>Competitive Sector Multi-Unit Residential</t>
  </si>
  <si>
    <t>2013 (With Dead Band)</t>
  </si>
  <si>
    <t>2012 ICM Rate Rider in 2013 - MFR</t>
  </si>
  <si>
    <t>2012 ICM Rate Rider in 2013 - DVR</t>
  </si>
  <si>
    <t>2014 (With Dead Band)</t>
  </si>
  <si>
    <t>2012 ICM Rate Rider in 2014 - MFR</t>
  </si>
  <si>
    <t>2012 ICM Rate Rider in 2014 - DVR</t>
  </si>
  <si>
    <t>2013 ICM Rate Rider in 2014 - MFR</t>
  </si>
  <si>
    <t>2013 ICM Rate Rider in 2014 - DVR</t>
  </si>
  <si>
    <t>2013 IRM Rate - MFC</t>
  </si>
  <si>
    <t>2013 IRM Rate  - DVR</t>
  </si>
  <si>
    <t>V5.0</t>
  </si>
  <si>
    <t>2012 and 2013  ICM Rate Adder - MFC</t>
  </si>
  <si>
    <t>2012 and 2013  ICM Rate Adder - DVR</t>
  </si>
  <si>
    <t>2013 IRM Rate Adder - MFC</t>
  </si>
  <si>
    <t>2013 IRM Rate Adder - DVR</t>
  </si>
  <si>
    <t>2013 IRM Rate Rider - MFC</t>
  </si>
  <si>
    <t>2013 IRM Rate Rider - DVR</t>
  </si>
  <si>
    <t>2014 IRM Rate - MFC</t>
  </si>
  <si>
    <t>2014 IRM Rate  - DVR</t>
  </si>
  <si>
    <t>2014 Shared Tax Savings Rate ider - DVR</t>
  </si>
  <si>
    <t>2014 RTSR - Network - DVR</t>
  </si>
  <si>
    <t>2014 RTSR - Connection - DVR</t>
  </si>
  <si>
    <t>2014 Deferral/Variance Account Rate Rider</t>
  </si>
  <si>
    <t>Ending 2015</t>
  </si>
  <si>
    <t>New 2014 Rate Adder</t>
  </si>
  <si>
    <t>2014 ICM Rate Adder - MFC</t>
  </si>
  <si>
    <t>2014 ICM Rate Adder - DVR</t>
  </si>
  <si>
    <t>2014 Bremner Rate Rider - MFC</t>
  </si>
  <si>
    <t>2014 Bremner Rate Rider - DVR</t>
  </si>
  <si>
    <t>Distribution Volumetric Rate</t>
  </si>
  <si>
    <t>Smart Meter Funding Adder</t>
  </si>
  <si>
    <t>Rate Rider for Smart Metering Entity Charge (per 30 days)</t>
  </si>
  <si>
    <t>Rate Rider for Application of Tax Change</t>
  </si>
  <si>
    <t>Rate Rider for Recovery of Incremental Capital Module Costs</t>
  </si>
  <si>
    <t>Rate Rider for Recovery of 2014 Incremental Capital Module Costs</t>
  </si>
  <si>
    <t>Rate Rider for Recovery of 2014 Copeland Incremental Capital Module Costs</t>
  </si>
  <si>
    <t>Rate Rider for Recovery of Foregone Revenue</t>
  </si>
  <si>
    <t>Retail Transmission Rate - Network Service Charge</t>
  </si>
  <si>
    <t>Retail Transmission Rate - Line and Transformation Connection Service Rate Charge</t>
  </si>
  <si>
    <t>Wholesale Market Service Rate</t>
  </si>
  <si>
    <t>Rural Rate protection Charge</t>
  </si>
  <si>
    <t>Standard Supply Service Administration Charge (if applicable)</t>
  </si>
  <si>
    <t>Debt Retirement Charge</t>
  </si>
  <si>
    <t>Service Charge (per connection/30 days)</t>
  </si>
  <si>
    <t>Rate Rider for Recovery of Incremental Capital Module Costs (per connection)</t>
  </si>
  <si>
    <t>Rate Rider for Recovery of Foregone Revenue (per connection)</t>
  </si>
  <si>
    <t>Rate Rider for Recovery of 2014 Incremental Capital Module Costs (per connection)</t>
  </si>
  <si>
    <t>Rate Rider for Recovery of 2014 Copeland Incremental Capital Module Costs (per connection)</t>
  </si>
  <si>
    <t>Rate Rider for Disposition of Deferral/Variance Accounts</t>
  </si>
  <si>
    <t>TOU - Off Peak</t>
  </si>
  <si>
    <t>TOU - Mid Peak</t>
  </si>
  <si>
    <t>TOU - On Peak</t>
  </si>
  <si>
    <t>2014 Summary Table - With Dead Band</t>
  </si>
  <si>
    <t>2014 Includes</t>
  </si>
  <si>
    <t>2014 Copeland Rate Rider - MFC</t>
  </si>
  <si>
    <t>2014 Copeland Rate Rider - DVR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</si>
</sst>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&quot;$&quot;* #,##0_);_(&quot;$&quot;* \(#,##0\);_(&quot;$&quot;* &quot;-&quot;??_);_(@_)"/>
    <numFmt numFmtId="172" formatCode="0.0000%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_(&quot;$&quot;* #,##0.0000_);_(&quot;$&quot;* \(#,##0.0000\);_(&quot;$&quot;* &quot;-&quot;??_);_(@_)"/>
    <numFmt numFmtId="176" formatCode="0.0000"/>
    <numFmt numFmtId="177" formatCode="#,##0.00000"/>
    <numFmt numFmtId="178" formatCode="#,##0.0000"/>
    <numFmt numFmtId="179" formatCode="_(* #,##0.0000_);_(* \(#,##0.0000\);_(* &quot;-&quot;??_);_(@_)"/>
    <numFmt numFmtId="180" formatCode="_-* #,##0.0000_-;\-* #,##0.0000_-;_-* &quot;-&quot;??_-;_-@_-"/>
    <numFmt numFmtId="181" formatCode="0.00000"/>
    <numFmt numFmtId="182" formatCode="_-&quot;$&quot;\ #,##0.00_-;\-&quot;$&quot;\ #,##0.00_-;_-&quot;$&quot;\ &quot;-&quot;??_-;_-@_-"/>
    <numFmt numFmtId="183" formatCode="_-&quot;$&quot;* #,##0_-;\-&quot;$&quot;* #,##0_-;_-&quot;$&quot;* &quot;-&quot;??_-;_-@_-"/>
    <numFmt numFmtId="184" formatCode="_-&quot;$&quot;\ #,##0.00000_-;\-&quot;$&quot;\ #,##0.00000_-;_-&quot;$&quot;\ &quot;-&quot;??_-;_-@_-"/>
    <numFmt numFmtId="185" formatCode="_-&quot;$&quot;\ #,##0.0000_-;\-&quot;$&quot;\ #,##0.0000_-;_-&quot;$&quot;\ &quot;-&quot;??_-;_-@_-"/>
    <numFmt numFmtId="186" formatCode="_-&quot;$&quot;* #,##0.00000_-;\-&quot;$&quot;* #,##0.00000_-;_-&quot;$&quot;* &quot;-&quot;??_-;_-@_-"/>
    <numFmt numFmtId="187" formatCode="_-&quot;$&quot;* #,##0.0000_-;\-&quot;$&quot;* #,##0.0000_-;_-&quot;$&quot;* &quot;-&quot;??_-;_-@_-"/>
    <numFmt numFmtId="188" formatCode="&quot;$&quot;#,##0"/>
    <numFmt numFmtId="189" formatCode="_(* #,##0.00000000_);_(* \(#,##0.00000000\);_(* &quot;-&quot;??_);_(@_)"/>
    <numFmt numFmtId="190" formatCode="_(* #,##0.0_);_(* \(#,##0.0\);_(* &quot;-&quot;??_);_(@_)"/>
    <numFmt numFmtId="191" formatCode="&quot;£ &quot;#,##0.00;[Red]\-&quot;£ &quot;#,##0.00"/>
    <numFmt numFmtId="192" formatCode="#,##0.0"/>
    <numFmt numFmtId="193" formatCode="##\-#"/>
    <numFmt numFmtId="194" formatCode="0\-0"/>
    <numFmt numFmtId="195" formatCode="&quot;$&quot;#,##0.00000_);\(&quot;$&quot;#,##0.00000\)"/>
    <numFmt numFmtId="196" formatCode="&quot;$&quot;#,##0.0000_);\(&quot;$&quot;#,##0.0000\)"/>
    <numFmt numFmtId="197" formatCode="_(* #,##0.000_);_(* \(#,##0.000\);_(* &quot;-&quot;??_);_(@_)"/>
    <numFmt numFmtId="198" formatCode="_(&quot;$&quot;* #,##0.000_);_(&quot;$&quot;* \(#,##0.000\);_(&quot;$&quot;* &quot;-&quot;??_);_(@_)"/>
    <numFmt numFmtId="199" formatCode="_(&quot;$&quot;* #,##0.0000000_);_(&quot;$&quot;* \(#,##0.0000000\);_(&quot;$&quot;* &quot;-&quot;??_);_(@_)"/>
    <numFmt numFmtId="200" formatCode="_-* #,##0.00000_-;\-* #,##0.00000_-;_-* &quot;-&quot;??_-;_-@_-"/>
    <numFmt numFmtId="201" formatCode="[$-1009]d\-mmm\-yy;@"/>
    <numFmt numFmtId="202" formatCode="0.00_)"/>
    <numFmt numFmtId="203" formatCode="mm/dd/yyyy"/>
    <numFmt numFmtId="204" formatCode="#,##0.00;\(#,##0.00\)"/>
    <numFmt numFmtId="205" formatCode="_(&quot;$&quot;* #,##0.00000_);_(&quot;$&quot;* \(#,##0.00000\);_(&quot;$&quot;* &quot;-&quot;?????_);_(@_)"/>
    <numFmt numFmtId="206" formatCode="_(&quot;$&quot;* #,##0.0000_);_(&quot;$&quot;* \(#,##0.0000\);_(&quot;$&quot;* &quot;-&quot;????_);_(@_)"/>
    <numFmt numFmtId="207" formatCode="0.000000000"/>
    <numFmt numFmtId="208" formatCode="0.0000000"/>
    <numFmt numFmtId="209" formatCode="&quot;$&quot;#,##0.000000"/>
    <numFmt numFmtId="210" formatCode="_(&quot;$&quot;* #,##0.000000_);_(&quot;$&quot;* \(#,##0.000000\);_(&quot;$&quot;* &quot;-&quot;??_);_(@_)"/>
    <numFmt numFmtId="211" formatCode="&quot;$&quot;#,##0.000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u val="single"/>
      <sz val="2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0"/>
      <name val="Arial"/>
      <family val="2"/>
    </font>
    <font>
      <b/>
      <sz val="12"/>
      <color indexed="8"/>
      <name val="Calibri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20"/>
      <color indexed="6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Tahoma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Century Gothic"/>
      <family val="2"/>
    </font>
    <font>
      <sz val="12"/>
      <name val="Helv"/>
      <family val="0"/>
    </font>
    <font>
      <b/>
      <sz val="12"/>
      <name val="Helv"/>
      <family val="0"/>
    </font>
    <font>
      <sz val="12"/>
      <color indexed="13"/>
      <name val="Helv"/>
      <family val="0"/>
    </font>
    <font>
      <b/>
      <sz val="14"/>
      <color indexed="16"/>
      <name val="Arial"/>
      <family val="2"/>
    </font>
    <font>
      <b/>
      <sz val="14"/>
      <color indexed="16"/>
      <name val="Times New Roman"/>
      <family val="1"/>
    </font>
    <font>
      <b/>
      <sz val="12"/>
      <color indexed="20"/>
      <name val="Times New Roman"/>
      <family val="1"/>
    </font>
    <font>
      <b/>
      <sz val="14"/>
      <color indexed="61"/>
      <name val="Times New Roman"/>
      <family val="1"/>
    </font>
    <font>
      <b/>
      <sz val="20"/>
      <color indexed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 style="thick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thin"/>
      <top/>
      <bottom/>
    </border>
    <border>
      <left style="thick"/>
      <right/>
      <top style="thick"/>
      <bottom style="thick"/>
    </border>
    <border>
      <left/>
      <right/>
      <top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double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3" fillId="0" borderId="0">
      <alignment/>
      <protection/>
    </xf>
    <xf numFmtId="190" fontId="3" fillId="0" borderId="0">
      <alignment/>
      <protection/>
    </xf>
    <xf numFmtId="192" fontId="3" fillId="0" borderId="0">
      <alignment/>
      <protection/>
    </xf>
    <xf numFmtId="192" fontId="3" fillId="0" borderId="0">
      <alignment/>
      <protection/>
    </xf>
    <xf numFmtId="14" fontId="3" fillId="0" borderId="0">
      <alignment/>
      <protection/>
    </xf>
    <xf numFmtId="14" fontId="3" fillId="0" borderId="0">
      <alignment/>
      <protection/>
    </xf>
    <xf numFmtId="203" fontId="3" fillId="0" borderId="0">
      <alignment/>
      <protection/>
    </xf>
    <xf numFmtId="194" fontId="3" fillId="0" borderId="0">
      <alignment/>
      <protection/>
    </xf>
    <xf numFmtId="194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9" borderId="0" applyNumberFormat="0" applyBorder="0" applyAlignment="0" applyProtection="0"/>
    <xf numFmtId="0" fontId="0" fillId="21" borderId="0" applyNumberFormat="0" applyBorder="0" applyAlignment="0" applyProtection="0"/>
    <xf numFmtId="0" fontId="40" fillId="15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97" fillId="24" borderId="0" applyNumberFormat="0" applyBorder="0" applyAlignment="0" applyProtection="0"/>
    <xf numFmtId="0" fontId="65" fillId="25" borderId="0" applyNumberFormat="0" applyBorder="0" applyAlignment="0" applyProtection="0"/>
    <xf numFmtId="0" fontId="97" fillId="26" borderId="0" applyNumberFormat="0" applyBorder="0" applyAlignment="0" applyProtection="0"/>
    <xf numFmtId="0" fontId="65" fillId="17" borderId="0" applyNumberFormat="0" applyBorder="0" applyAlignment="0" applyProtection="0"/>
    <xf numFmtId="0" fontId="97" fillId="27" borderId="0" applyNumberFormat="0" applyBorder="0" applyAlignment="0" applyProtection="0"/>
    <xf numFmtId="0" fontId="65" fillId="19" borderId="0" applyNumberFormat="0" applyBorder="0" applyAlignment="0" applyProtection="0"/>
    <xf numFmtId="0" fontId="97" fillId="28" borderId="0" applyNumberFormat="0" applyBorder="0" applyAlignment="0" applyProtection="0"/>
    <xf numFmtId="0" fontId="65" fillId="29" borderId="0" applyNumberFormat="0" applyBorder="0" applyAlignment="0" applyProtection="0"/>
    <xf numFmtId="0" fontId="97" fillId="30" borderId="0" applyNumberFormat="0" applyBorder="0" applyAlignment="0" applyProtection="0"/>
    <xf numFmtId="0" fontId="65" fillId="31" borderId="0" applyNumberFormat="0" applyBorder="0" applyAlignment="0" applyProtection="0"/>
    <xf numFmtId="0" fontId="97" fillId="32" borderId="0" applyNumberFormat="0" applyBorder="0" applyAlignment="0" applyProtection="0"/>
    <xf numFmtId="0" fontId="65" fillId="33" borderId="0" applyNumberFormat="0" applyBorder="0" applyAlignment="0" applyProtection="0"/>
    <xf numFmtId="0" fontId="3" fillId="0" borderId="0">
      <alignment/>
      <protection/>
    </xf>
    <xf numFmtId="0" fontId="97" fillId="34" borderId="0" applyNumberFormat="0" applyBorder="0" applyAlignment="0" applyProtection="0"/>
    <xf numFmtId="0" fontId="65" fillId="35" borderId="0" applyNumberFormat="0" applyBorder="0" applyAlignment="0" applyProtection="0"/>
    <xf numFmtId="0" fontId="97" fillId="36" borderId="0" applyNumberFormat="0" applyBorder="0" applyAlignment="0" applyProtection="0"/>
    <xf numFmtId="0" fontId="65" fillId="37" borderId="0" applyNumberFormat="0" applyBorder="0" applyAlignment="0" applyProtection="0"/>
    <xf numFmtId="0" fontId="97" fillId="38" borderId="0" applyNumberFormat="0" applyBorder="0" applyAlignment="0" applyProtection="0"/>
    <xf numFmtId="0" fontId="65" fillId="39" borderId="0" applyNumberFormat="0" applyBorder="0" applyAlignment="0" applyProtection="0"/>
    <xf numFmtId="0" fontId="97" fillId="40" borderId="0" applyNumberFormat="0" applyBorder="0" applyAlignment="0" applyProtection="0"/>
    <xf numFmtId="0" fontId="65" fillId="29" borderId="0" applyNumberFormat="0" applyBorder="0" applyAlignment="0" applyProtection="0"/>
    <xf numFmtId="0" fontId="97" fillId="41" borderId="0" applyNumberFormat="0" applyBorder="0" applyAlignment="0" applyProtection="0"/>
    <xf numFmtId="0" fontId="65" fillId="31" borderId="0" applyNumberFormat="0" applyBorder="0" applyAlignment="0" applyProtection="0"/>
    <xf numFmtId="0" fontId="97" fillId="42" borderId="0" applyNumberFormat="0" applyBorder="0" applyAlignment="0" applyProtection="0"/>
    <xf numFmtId="0" fontId="65" fillId="43" borderId="0" applyNumberFormat="0" applyBorder="0" applyAlignment="0" applyProtection="0"/>
    <xf numFmtId="0" fontId="98" fillId="44" borderId="0" applyNumberFormat="0" applyBorder="0" applyAlignment="0" applyProtection="0"/>
    <xf numFmtId="0" fontId="66" fillId="5" borderId="0" applyNumberFormat="0" applyBorder="0" applyAlignment="0" applyProtection="0"/>
    <xf numFmtId="0" fontId="21" fillId="0" borderId="0">
      <alignment/>
      <protection/>
    </xf>
    <xf numFmtId="0" fontId="99" fillId="45" borderId="1" applyNumberFormat="0" applyAlignment="0" applyProtection="0"/>
    <xf numFmtId="0" fontId="67" fillId="46" borderId="2" applyNumberFormat="0" applyAlignment="0" applyProtection="0"/>
    <xf numFmtId="0" fontId="100" fillId="47" borderId="3" applyNumberFormat="0" applyAlignment="0" applyProtection="0"/>
    <xf numFmtId="0" fontId="41" fillId="48" borderId="4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34" fillId="0" borderId="0">
      <alignment/>
      <protection/>
    </xf>
    <xf numFmtId="0" fontId="54" fillId="0" borderId="0">
      <alignment/>
      <protection/>
    </xf>
    <xf numFmtId="4" fontId="34" fillId="0" borderId="0">
      <alignment/>
      <protection/>
    </xf>
    <xf numFmtId="0" fontId="54" fillId="0" borderId="5">
      <alignment/>
      <protection/>
    </xf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02" fillId="49" borderId="0" applyNumberFormat="0" applyBorder="0" applyAlignment="0" applyProtection="0"/>
    <xf numFmtId="0" fontId="69" fillId="7" borderId="0" applyNumberFormat="0" applyBorder="0" applyAlignment="0" applyProtection="0"/>
    <xf numFmtId="38" fontId="26" fillId="46" borderId="0" applyNumberFormat="0" applyBorder="0" applyAlignment="0" applyProtection="0"/>
    <xf numFmtId="0" fontId="27" fillId="0" borderId="6" applyNumberFormat="0" applyAlignment="0" applyProtection="0"/>
    <xf numFmtId="0" fontId="27" fillId="0" borderId="7">
      <alignment horizontal="left" vertical="center"/>
      <protection/>
    </xf>
    <xf numFmtId="0" fontId="27" fillId="0" borderId="7">
      <alignment horizontal="left" vertical="center"/>
      <protection/>
    </xf>
    <xf numFmtId="0" fontId="103" fillId="0" borderId="8" applyNumberFormat="0" applyFill="0" applyAlignment="0" applyProtection="0"/>
    <xf numFmtId="0" fontId="25" fillId="0" borderId="0" applyNumberFormat="0" applyFont="0" applyFill="0" applyAlignment="0" applyProtection="0"/>
    <xf numFmtId="0" fontId="70" fillId="0" borderId="9" applyNumberFormat="0" applyFill="0" applyAlignment="0" applyProtection="0"/>
    <xf numFmtId="0" fontId="104" fillId="0" borderId="10" applyNumberFormat="0" applyFill="0" applyAlignment="0" applyProtection="0"/>
    <xf numFmtId="0" fontId="27" fillId="0" borderId="0" applyNumberFormat="0" applyFont="0" applyFill="0" applyAlignment="0" applyProtection="0"/>
    <xf numFmtId="0" fontId="71" fillId="0" borderId="11" applyNumberFormat="0" applyFill="0" applyAlignment="0" applyProtection="0"/>
    <xf numFmtId="0" fontId="105" fillId="0" borderId="12" applyNumberFormat="0" applyFill="0" applyAlignment="0" applyProtection="0"/>
    <xf numFmtId="0" fontId="72" fillId="0" borderId="13" applyNumberFormat="0" applyFill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6" fillId="50" borderId="1" applyNumberFormat="0" applyAlignment="0" applyProtection="0"/>
    <xf numFmtId="10" fontId="26" fillId="51" borderId="14" applyNumberFormat="0" applyBorder="0" applyAlignment="0" applyProtection="0"/>
    <xf numFmtId="10" fontId="26" fillId="51" borderId="14" applyNumberFormat="0" applyBorder="0" applyAlignment="0" applyProtection="0"/>
    <xf numFmtId="0" fontId="73" fillId="13" borderId="2" applyNumberFormat="0" applyAlignment="0" applyProtection="0"/>
    <xf numFmtId="0" fontId="55" fillId="52" borderId="5">
      <alignment/>
      <protection/>
    </xf>
    <xf numFmtId="0" fontId="107" fillId="0" borderId="15" applyNumberFormat="0" applyFill="0" applyAlignment="0" applyProtection="0"/>
    <xf numFmtId="0" fontId="74" fillId="0" borderId="16" applyNumberFormat="0" applyFill="0" applyAlignment="0" applyProtection="0"/>
    <xf numFmtId="193" fontId="3" fillId="0" borderId="0">
      <alignment/>
      <protection/>
    </xf>
    <xf numFmtId="193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108" fillId="53" borderId="0" applyNumberFormat="0" applyBorder="0" applyAlignment="0" applyProtection="0"/>
    <xf numFmtId="0" fontId="75" fillId="54" borderId="0" applyNumberFormat="0" applyBorder="0" applyAlignment="0" applyProtection="0"/>
    <xf numFmtId="37" fontId="47" fillId="0" borderId="0">
      <alignment/>
      <protection/>
    </xf>
    <xf numFmtId="0" fontId="21" fillId="0" borderId="0">
      <alignment/>
      <protection/>
    </xf>
    <xf numFmtId="191" fontId="3" fillId="0" borderId="0">
      <alignment/>
      <protection/>
    </xf>
    <xf numFmtId="202" fontId="48" fillId="0" borderId="0">
      <alignment/>
      <protection/>
    </xf>
    <xf numFmtId="191" fontId="3" fillId="0" borderId="0">
      <alignment/>
      <protection/>
    </xf>
    <xf numFmtId="202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top"/>
      <protection/>
    </xf>
    <xf numFmtId="0" fontId="40" fillId="0" borderId="0">
      <alignment vertical="top"/>
      <protection/>
    </xf>
    <xf numFmtId="0" fontId="0" fillId="0" borderId="0">
      <alignment/>
      <protection/>
    </xf>
    <xf numFmtId="0" fontId="40" fillId="0" borderId="0">
      <alignment vertical="top"/>
      <protection/>
    </xf>
    <xf numFmtId="0" fontId="4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2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1" fontId="2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top"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 vertical="top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5" borderId="17" applyNumberFormat="0" applyFont="0" applyAlignment="0" applyProtection="0"/>
    <xf numFmtId="0" fontId="1" fillId="55" borderId="17" applyNumberFormat="0" applyFont="0" applyAlignment="0" applyProtection="0"/>
    <xf numFmtId="0" fontId="3" fillId="51" borderId="18" applyNumberFormat="0" applyFont="0" applyAlignment="0" applyProtection="0"/>
    <xf numFmtId="0" fontId="110" fillId="45" borderId="19" applyNumberFormat="0" applyAlignment="0" applyProtection="0"/>
    <xf numFmtId="0" fontId="76" fillId="46" borderId="20" applyNumberFormat="0" applyAlignment="0" applyProtection="0"/>
    <xf numFmtId="40" fontId="40" fillId="56" borderId="0">
      <alignment horizontal="right"/>
      <protection/>
    </xf>
    <xf numFmtId="0" fontId="45" fillId="51" borderId="0">
      <alignment horizontal="center"/>
      <protection/>
    </xf>
    <xf numFmtId="0" fontId="44" fillId="56" borderId="0">
      <alignment/>
      <protection/>
    </xf>
    <xf numFmtId="0" fontId="41" fillId="57" borderId="0">
      <alignment/>
      <protection/>
    </xf>
    <xf numFmtId="0" fontId="49" fillId="0" borderId="0" applyBorder="0">
      <alignment horizontal="centerContinuous"/>
      <protection/>
    </xf>
    <xf numFmtId="0" fontId="50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54" fillId="0" borderId="5">
      <alignment/>
      <protection/>
    </xf>
    <xf numFmtId="0" fontId="111" fillId="0" borderId="0" applyNumberFormat="0" applyFill="0" applyBorder="0" applyAlignment="0" applyProtection="0"/>
    <xf numFmtId="0" fontId="56" fillId="0" borderId="0">
      <alignment/>
      <protection/>
    </xf>
    <xf numFmtId="0" fontId="77" fillId="0" borderId="0" applyNumberFormat="0" applyFill="0" applyBorder="0" applyAlignment="0" applyProtection="0"/>
    <xf numFmtId="0" fontId="112" fillId="0" borderId="21" applyNumberFormat="0" applyFill="0" applyAlignment="0" applyProtection="0"/>
    <xf numFmtId="0" fontId="3" fillId="0" borderId="22" applyNumberFormat="0" applyFont="0" applyBorder="0" applyAlignment="0" applyProtection="0"/>
    <xf numFmtId="0" fontId="44" fillId="0" borderId="23" applyNumberFormat="0" applyFill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3" fillId="0" borderId="22" applyNumberFormat="0" applyFont="0" applyBorder="0" applyAlignment="0" applyProtection="0"/>
    <xf numFmtId="0" fontId="55" fillId="0" borderId="24">
      <alignment/>
      <protection/>
    </xf>
    <xf numFmtId="0" fontId="55" fillId="0" borderId="5">
      <alignment/>
      <protection/>
    </xf>
    <xf numFmtId="0" fontId="11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2" fillId="0" borderId="0">
      <alignment/>
      <protection/>
    </xf>
  </cellStyleXfs>
  <cellXfs count="11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8" borderId="25" xfId="0" applyFill="1" applyBorder="1" applyAlignment="1">
      <alignment/>
    </xf>
    <xf numFmtId="0" fontId="0" fillId="58" borderId="6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8" xfId="0" applyFill="1" applyBorder="1" applyAlignment="1">
      <alignment wrapText="1"/>
    </xf>
    <xf numFmtId="0" fontId="0" fillId="58" borderId="29" xfId="0" applyFill="1" applyBorder="1" applyAlignment="1">
      <alignment wrapText="1"/>
    </xf>
    <xf numFmtId="0" fontId="0" fillId="58" borderId="30" xfId="0" applyFill="1" applyBorder="1" applyAlignment="1">
      <alignment wrapText="1"/>
    </xf>
    <xf numFmtId="0" fontId="112" fillId="58" borderId="31" xfId="0" applyFont="1" applyFill="1" applyBorder="1" applyAlignment="1">
      <alignment wrapText="1"/>
    </xf>
    <xf numFmtId="0" fontId="0" fillId="59" borderId="28" xfId="0" applyFill="1" applyBorder="1" applyAlignment="1">
      <alignment wrapText="1"/>
    </xf>
    <xf numFmtId="0" fontId="0" fillId="58" borderId="32" xfId="0" applyFill="1" applyBorder="1" applyAlignment="1">
      <alignment horizontal="center"/>
    </xf>
    <xf numFmtId="0" fontId="0" fillId="58" borderId="33" xfId="0" applyFill="1" applyBorder="1" applyAlignment="1">
      <alignment horizontal="center"/>
    </xf>
    <xf numFmtId="168" fontId="0" fillId="59" borderId="34" xfId="752" applyNumberFormat="1" applyFont="1" applyFill="1" applyBorder="1" applyAlignment="1">
      <alignment/>
    </xf>
    <xf numFmtId="168" fontId="0" fillId="59" borderId="34" xfId="752" applyNumberFormat="1" applyFont="1" applyFill="1" applyBorder="1" applyAlignment="1">
      <alignment horizontal="right"/>
    </xf>
    <xf numFmtId="168" fontId="0" fillId="58" borderId="34" xfId="752" applyNumberFormat="1" applyFont="1" applyFill="1" applyBorder="1" applyAlignment="1">
      <alignment/>
    </xf>
    <xf numFmtId="168" fontId="0" fillId="58" borderId="35" xfId="752" applyNumberFormat="1" applyFont="1" applyFill="1" applyBorder="1" applyAlignment="1">
      <alignment/>
    </xf>
    <xf numFmtId="0" fontId="0" fillId="56" borderId="28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6" fillId="5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43" fontId="0" fillId="59" borderId="36" xfId="0" applyNumberFormat="1" applyFill="1" applyBorder="1" applyAlignment="1">
      <alignment/>
    </xf>
    <xf numFmtId="43" fontId="0" fillId="59" borderId="37" xfId="0" applyNumberFormat="1" applyFill="1" applyBorder="1" applyAlignment="1">
      <alignment/>
    </xf>
    <xf numFmtId="174" fontId="0" fillId="59" borderId="0" xfId="81" applyNumberFormat="1" applyFont="1" applyFill="1" applyBorder="1" applyAlignment="1">
      <alignment/>
    </xf>
    <xf numFmtId="0" fontId="0" fillId="58" borderId="38" xfId="0" applyFill="1" applyBorder="1" applyAlignment="1">
      <alignment/>
    </xf>
    <xf numFmtId="169" fontId="3" fillId="58" borderId="39" xfId="81" applyNumberFormat="1" applyFont="1" applyFill="1" applyBorder="1" applyAlignment="1">
      <alignment/>
    </xf>
    <xf numFmtId="0" fontId="0" fillId="58" borderId="39" xfId="0" applyFill="1" applyBorder="1" applyAlignment="1">
      <alignment/>
    </xf>
    <xf numFmtId="9" fontId="0" fillId="58" borderId="39" xfId="0" applyNumberFormat="1" applyFill="1" applyBorder="1" applyAlignment="1">
      <alignment/>
    </xf>
    <xf numFmtId="9" fontId="0" fillId="58" borderId="40" xfId="0" applyNumberFormat="1" applyFill="1" applyBorder="1" applyAlignment="1">
      <alignment/>
    </xf>
    <xf numFmtId="0" fontId="112" fillId="58" borderId="4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56" borderId="0" xfId="0" applyFont="1" applyFill="1" applyBorder="1" applyAlignment="1">
      <alignment horizontal="center"/>
    </xf>
    <xf numFmtId="0" fontId="4" fillId="56" borderId="42" xfId="0" applyFont="1" applyFill="1" applyBorder="1" applyAlignment="1">
      <alignment horizontal="center"/>
    </xf>
    <xf numFmtId="0" fontId="0" fillId="0" borderId="43" xfId="0" applyBorder="1" applyAlignment="1">
      <alignment wrapText="1"/>
    </xf>
    <xf numFmtId="0" fontId="0" fillId="59" borderId="41" xfId="0" applyFill="1" applyBorder="1" applyAlignment="1">
      <alignment/>
    </xf>
    <xf numFmtId="174" fontId="0" fillId="59" borderId="0" xfId="0" applyNumberFormat="1" applyFill="1" applyBorder="1" applyAlignment="1">
      <alignment/>
    </xf>
    <xf numFmtId="174" fontId="0" fillId="58" borderId="0" xfId="0" applyNumberFormat="1" applyFill="1" applyBorder="1" applyAlignment="1">
      <alignment/>
    </xf>
    <xf numFmtId="174" fontId="0" fillId="58" borderId="44" xfId="0" applyNumberFormat="1" applyFill="1" applyBorder="1" applyAlignment="1">
      <alignment/>
    </xf>
    <xf numFmtId="43" fontId="0" fillId="58" borderId="37" xfId="0" applyNumberFormat="1" applyFill="1" applyBorder="1" applyAlignment="1">
      <alignment/>
    </xf>
    <xf numFmtId="43" fontId="0" fillId="58" borderId="45" xfId="0" applyNumberFormat="1" applyFill="1" applyBorder="1" applyAlignment="1">
      <alignment/>
    </xf>
    <xf numFmtId="170" fontId="0" fillId="59" borderId="37" xfId="0" applyNumberFormat="1" applyFill="1" applyBorder="1" applyAlignment="1">
      <alignment/>
    </xf>
    <xf numFmtId="170" fontId="0" fillId="58" borderId="37" xfId="0" applyNumberFormat="1" applyFill="1" applyBorder="1" applyAlignment="1">
      <alignment/>
    </xf>
    <xf numFmtId="43" fontId="0" fillId="59" borderId="0" xfId="81" applyNumberFormat="1" applyFont="1" applyFill="1" applyBorder="1" applyAlignment="1">
      <alignment/>
    </xf>
    <xf numFmtId="43" fontId="0" fillId="59" borderId="0" xfId="0" applyNumberFormat="1" applyFill="1" applyBorder="1" applyAlignment="1">
      <alignment/>
    </xf>
    <xf numFmtId="179" fontId="0" fillId="59" borderId="0" xfId="0" applyNumberFormat="1" applyFill="1" applyBorder="1" applyAlignment="1">
      <alignment/>
    </xf>
    <xf numFmtId="179" fontId="0" fillId="59" borderId="0" xfId="81" applyNumberFormat="1" applyFont="1" applyFill="1" applyBorder="1" applyAlignment="1">
      <alignment/>
    </xf>
    <xf numFmtId="43" fontId="0" fillId="58" borderId="36" xfId="0" applyNumberFormat="1" applyFill="1" applyBorder="1" applyAlignment="1">
      <alignment/>
    </xf>
    <xf numFmtId="43" fontId="0" fillId="58" borderId="46" xfId="0" applyNumberFormat="1" applyFill="1" applyBorder="1" applyAlignment="1">
      <alignment/>
    </xf>
    <xf numFmtId="43" fontId="0" fillId="58" borderId="44" xfId="0" applyNumberFormat="1" applyFill="1" applyBorder="1" applyAlignment="1">
      <alignment/>
    </xf>
    <xf numFmtId="43" fontId="0" fillId="58" borderId="0" xfId="0" applyNumberFormat="1" applyFill="1" applyBorder="1" applyAlignment="1">
      <alignment/>
    </xf>
    <xf numFmtId="167" fontId="0" fillId="59" borderId="37" xfId="81" applyFont="1" applyFill="1" applyBorder="1" applyAlignment="1">
      <alignment/>
    </xf>
    <xf numFmtId="167" fontId="0" fillId="58" borderId="37" xfId="81" applyFont="1" applyFill="1" applyBorder="1" applyAlignment="1">
      <alignment/>
    </xf>
    <xf numFmtId="169" fontId="0" fillId="59" borderId="37" xfId="81" applyNumberFormat="1" applyFont="1" applyFill="1" applyBorder="1" applyAlignment="1">
      <alignment/>
    </xf>
    <xf numFmtId="169" fontId="0" fillId="58" borderId="37" xfId="81" applyNumberFormat="1" applyFont="1" applyFill="1" applyBorder="1" applyAlignment="1">
      <alignment/>
    </xf>
    <xf numFmtId="167" fontId="0" fillId="58" borderId="32" xfId="81" applyFont="1" applyFill="1" applyBorder="1" applyAlignment="1">
      <alignment horizontal="center"/>
    </xf>
    <xf numFmtId="167" fontId="0" fillId="58" borderId="45" xfId="81" applyFont="1" applyFill="1" applyBorder="1" applyAlignment="1">
      <alignment/>
    </xf>
    <xf numFmtId="167" fontId="0" fillId="0" borderId="0" xfId="81" applyFont="1" applyAlignment="1">
      <alignment horizontal="center"/>
    </xf>
    <xf numFmtId="167" fontId="3" fillId="58" borderId="39" xfId="81" applyFont="1" applyFill="1" applyBorder="1" applyAlignment="1">
      <alignment/>
    </xf>
    <xf numFmtId="167" fontId="0" fillId="0" borderId="0" xfId="81" applyFont="1" applyAlignment="1">
      <alignment/>
    </xf>
    <xf numFmtId="180" fontId="0" fillId="59" borderId="41" xfId="81" applyNumberFormat="1" applyFont="1" applyFill="1" applyBorder="1" applyAlignment="1">
      <alignment/>
    </xf>
    <xf numFmtId="167" fontId="4" fillId="56" borderId="0" xfId="8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56" borderId="0" xfId="0" applyFont="1" applyFill="1" applyAlignment="1">
      <alignment horizontal="center"/>
    </xf>
    <xf numFmtId="167" fontId="0" fillId="56" borderId="0" xfId="81" applyFont="1" applyFill="1" applyAlignment="1">
      <alignment wrapText="1"/>
    </xf>
    <xf numFmtId="167" fontId="0" fillId="0" borderId="0" xfId="81" applyFont="1" applyAlignment="1">
      <alignment wrapText="1"/>
    </xf>
    <xf numFmtId="0" fontId="0" fillId="0" borderId="0" xfId="0" applyAlignment="1">
      <alignment/>
    </xf>
    <xf numFmtId="0" fontId="0" fillId="56" borderId="0" xfId="0" applyFill="1" applyAlignment="1">
      <alignment/>
    </xf>
    <xf numFmtId="183" fontId="4" fillId="31" borderId="47" xfId="222" applyNumberFormat="1" applyFont="1" applyFill="1" applyBorder="1" applyAlignment="1">
      <alignment/>
    </xf>
    <xf numFmtId="167" fontId="0" fillId="56" borderId="0" xfId="81" applyFont="1" applyFill="1" applyAlignment="1">
      <alignment/>
    </xf>
    <xf numFmtId="184" fontId="0" fillId="56" borderId="0" xfId="0" applyNumberFormat="1" applyFill="1" applyAlignment="1">
      <alignment/>
    </xf>
    <xf numFmtId="167" fontId="0" fillId="0" borderId="0" xfId="81" applyFont="1" applyAlignment="1">
      <alignment/>
    </xf>
    <xf numFmtId="0" fontId="3" fillId="59" borderId="0" xfId="0" applyFont="1" applyFill="1" applyAlignment="1">
      <alignment/>
    </xf>
    <xf numFmtId="0" fontId="3" fillId="59" borderId="0" xfId="0" applyFont="1" applyFill="1" applyAlignment="1">
      <alignment horizontal="center" wrapText="1"/>
    </xf>
    <xf numFmtId="0" fontId="3" fillId="59" borderId="0" xfId="0" applyFont="1" applyFill="1" applyBorder="1" applyAlignment="1">
      <alignment horizontal="center"/>
    </xf>
    <xf numFmtId="0" fontId="3" fillId="59" borderId="0" xfId="0" applyFont="1" applyFill="1" applyBorder="1" applyAlignment="1">
      <alignment/>
    </xf>
    <xf numFmtId="0" fontId="27" fillId="60" borderId="27" xfId="0" applyFont="1" applyFill="1" applyBorder="1" applyAlignment="1">
      <alignment vertical="center"/>
    </xf>
    <xf numFmtId="0" fontId="4" fillId="60" borderId="6" xfId="0" applyFont="1" applyFill="1" applyBorder="1" applyAlignment="1">
      <alignment horizontal="center" wrapText="1"/>
    </xf>
    <xf numFmtId="0" fontId="4" fillId="60" borderId="6" xfId="0" applyFont="1" applyFill="1" applyBorder="1" applyAlignment="1">
      <alignment horizontal="right" wrapText="1"/>
    </xf>
    <xf numFmtId="0" fontId="4" fillId="60" borderId="26" xfId="0" applyFont="1" applyFill="1" applyBorder="1" applyAlignment="1">
      <alignment horizontal="right" wrapText="1"/>
    </xf>
    <xf numFmtId="0" fontId="32" fillId="59" borderId="0" xfId="0" applyFont="1" applyFill="1" applyBorder="1" applyAlignment="1">
      <alignment/>
    </xf>
    <xf numFmtId="0" fontId="4" fillId="60" borderId="28" xfId="0" applyFont="1" applyFill="1" applyBorder="1" applyAlignment="1">
      <alignment/>
    </xf>
    <xf numFmtId="0" fontId="4" fillId="60" borderId="0" xfId="0" applyFont="1" applyFill="1" applyBorder="1" applyAlignment="1">
      <alignment/>
    </xf>
    <xf numFmtId="0" fontId="4" fillId="60" borderId="0" xfId="0" applyFont="1" applyFill="1" applyBorder="1" applyAlignment="1">
      <alignment horizontal="center" wrapText="1"/>
    </xf>
    <xf numFmtId="0" fontId="4" fillId="60" borderId="0" xfId="0" applyFont="1" applyFill="1" applyBorder="1" applyAlignment="1">
      <alignment horizontal="center"/>
    </xf>
    <xf numFmtId="0" fontId="4" fillId="60" borderId="34" xfId="0" applyFont="1" applyFill="1" applyBorder="1" applyAlignment="1">
      <alignment horizontal="center"/>
    </xf>
    <xf numFmtId="168" fontId="3" fillId="59" borderId="0" xfId="752" applyNumberFormat="1" applyFont="1" applyFill="1" applyBorder="1" applyAlignment="1">
      <alignment/>
    </xf>
    <xf numFmtId="0" fontId="4" fillId="59" borderId="0" xfId="0" applyFont="1" applyFill="1" applyBorder="1" applyAlignment="1">
      <alignment/>
    </xf>
    <xf numFmtId="0" fontId="4" fillId="60" borderId="28" xfId="0" applyFont="1" applyFill="1" applyBorder="1" applyAlignment="1">
      <alignment vertical="center"/>
    </xf>
    <xf numFmtId="0" fontId="4" fillId="60" borderId="34" xfId="0" applyFont="1" applyFill="1" applyBorder="1" applyAlignment="1">
      <alignment/>
    </xf>
    <xf numFmtId="0" fontId="4" fillId="60" borderId="28" xfId="0" applyFont="1" applyFill="1" applyBorder="1" applyAlignment="1">
      <alignment horizontal="left" indent="1"/>
    </xf>
    <xf numFmtId="170" fontId="3" fillId="60" borderId="0" xfId="81" applyNumberFormat="1" applyFont="1" applyFill="1" applyBorder="1" applyAlignment="1">
      <alignment horizontal="right"/>
    </xf>
    <xf numFmtId="170" fontId="3" fillId="60" borderId="0" xfId="81" applyNumberFormat="1" applyFont="1" applyFill="1" applyBorder="1" applyAlignment="1">
      <alignment/>
    </xf>
    <xf numFmtId="170" fontId="4" fillId="60" borderId="34" xfId="81" applyNumberFormat="1" applyFont="1" applyFill="1" applyBorder="1" applyAlignment="1">
      <alignment/>
    </xf>
    <xf numFmtId="0" fontId="3" fillId="60" borderId="0" xfId="0" applyFont="1" applyFill="1" applyBorder="1" applyAlignment="1">
      <alignment/>
    </xf>
    <xf numFmtId="0" fontId="3" fillId="60" borderId="0" xfId="0" applyFont="1" applyFill="1" applyBorder="1" applyAlignment="1">
      <alignment horizontal="center" wrapText="1"/>
    </xf>
    <xf numFmtId="170" fontId="4" fillId="60" borderId="0" xfId="81" applyNumberFormat="1" applyFont="1" applyFill="1" applyBorder="1" applyAlignment="1">
      <alignment/>
    </xf>
    <xf numFmtId="3" fontId="4" fillId="59" borderId="0" xfId="0" applyNumberFormat="1" applyFont="1" applyFill="1" applyBorder="1" applyAlignment="1">
      <alignment/>
    </xf>
    <xf numFmtId="168" fontId="3" fillId="60" borderId="0" xfId="752" applyNumberFormat="1" applyFont="1" applyFill="1" applyBorder="1" applyAlignment="1">
      <alignment/>
    </xf>
    <xf numFmtId="168" fontId="4" fillId="60" borderId="34" xfId="752" applyNumberFormat="1" applyFont="1" applyFill="1" applyBorder="1" applyAlignment="1">
      <alignment/>
    </xf>
    <xf numFmtId="0" fontId="4" fillId="60" borderId="29" xfId="0" applyFont="1" applyFill="1" applyBorder="1" applyAlignment="1">
      <alignment horizontal="left" indent="1"/>
    </xf>
    <xf numFmtId="0" fontId="3" fillId="60" borderId="44" xfId="0" applyFont="1" applyFill="1" applyBorder="1" applyAlignment="1">
      <alignment/>
    </xf>
    <xf numFmtId="0" fontId="3" fillId="60" borderId="44" xfId="0" applyFont="1" applyFill="1" applyBorder="1" applyAlignment="1">
      <alignment horizontal="center" wrapText="1"/>
    </xf>
    <xf numFmtId="168" fontId="3" fillId="60" borderId="44" xfId="0" applyNumberFormat="1" applyFont="1" applyFill="1" applyBorder="1" applyAlignment="1">
      <alignment/>
    </xf>
    <xf numFmtId="168" fontId="4" fillId="60" borderId="35" xfId="752" applyNumberFormat="1" applyFont="1" applyFill="1" applyBorder="1" applyAlignment="1">
      <alignment/>
    </xf>
    <xf numFmtId="0" fontId="32" fillId="59" borderId="6" xfId="0" applyFont="1" applyFill="1" applyBorder="1" applyAlignment="1">
      <alignment/>
    </xf>
    <xf numFmtId="3" fontId="3" fillId="59" borderId="0" xfId="81" applyNumberFormat="1" applyFont="1" applyFill="1" applyBorder="1" applyAlignment="1">
      <alignment/>
    </xf>
    <xf numFmtId="0" fontId="4" fillId="59" borderId="0" xfId="0" applyFont="1" applyFill="1" applyBorder="1" applyAlignment="1">
      <alignment horizontal="center" wrapText="1"/>
    </xf>
    <xf numFmtId="10" fontId="3" fillId="59" borderId="0" xfId="0" applyNumberFormat="1" applyFont="1" applyFill="1" applyBorder="1" applyAlignment="1">
      <alignment/>
    </xf>
    <xf numFmtId="10" fontId="3" fillId="59" borderId="6" xfId="0" applyNumberFormat="1" applyFont="1" applyFill="1" applyBorder="1" applyAlignment="1">
      <alignment/>
    </xf>
    <xf numFmtId="172" fontId="3" fillId="59" borderId="0" xfId="0" applyNumberFormat="1" applyFont="1" applyFill="1" applyBorder="1" applyAlignment="1">
      <alignment/>
    </xf>
    <xf numFmtId="0" fontId="27" fillId="60" borderId="27" xfId="0" applyFont="1" applyFill="1" applyBorder="1" applyAlignment="1">
      <alignment/>
    </xf>
    <xf numFmtId="5" fontId="3" fillId="60" borderId="0" xfId="0" applyNumberFormat="1" applyFont="1" applyFill="1" applyBorder="1" applyAlignment="1">
      <alignment/>
    </xf>
    <xf numFmtId="5" fontId="3" fillId="60" borderId="0" xfId="0" applyNumberFormat="1" applyFont="1" applyFill="1" applyBorder="1" applyAlignment="1">
      <alignment horizontal="center" wrapText="1"/>
    </xf>
    <xf numFmtId="5" fontId="4" fillId="60" borderId="34" xfId="0" applyNumberFormat="1" applyFont="1" applyFill="1" applyBorder="1" applyAlignment="1">
      <alignment/>
    </xf>
    <xf numFmtId="188" fontId="3" fillId="59" borderId="0" xfId="0" applyNumberFormat="1" applyFont="1" applyFill="1" applyBorder="1" applyAlignment="1">
      <alignment/>
    </xf>
    <xf numFmtId="5" fontId="3" fillId="59" borderId="0" xfId="0" applyNumberFormat="1" applyFont="1" applyFill="1" applyBorder="1" applyAlignment="1">
      <alignment/>
    </xf>
    <xf numFmtId="0" fontId="4" fillId="60" borderId="27" xfId="0" applyFont="1" applyFill="1" applyBorder="1" applyAlignment="1">
      <alignment/>
    </xf>
    <xf numFmtId="5" fontId="3" fillId="60" borderId="6" xfId="0" applyNumberFormat="1" applyFont="1" applyFill="1" applyBorder="1" applyAlignment="1">
      <alignment/>
    </xf>
    <xf numFmtId="5" fontId="3" fillId="60" borderId="6" xfId="0" applyNumberFormat="1" applyFont="1" applyFill="1" applyBorder="1" applyAlignment="1">
      <alignment horizontal="center" wrapText="1"/>
    </xf>
    <xf numFmtId="5" fontId="4" fillId="60" borderId="26" xfId="0" applyNumberFormat="1" applyFont="1" applyFill="1" applyBorder="1" applyAlignment="1">
      <alignment/>
    </xf>
    <xf numFmtId="5" fontId="3" fillId="59" borderId="0" xfId="0" applyNumberFormat="1" applyFont="1" applyFill="1" applyAlignment="1">
      <alignment horizontal="center" wrapText="1"/>
    </xf>
    <xf numFmtId="7" fontId="3" fillId="59" borderId="0" xfId="0" applyNumberFormat="1" applyFont="1" applyFill="1" applyAlignment="1">
      <alignment/>
    </xf>
    <xf numFmtId="44" fontId="3" fillId="59" borderId="0" xfId="222" applyFont="1" applyFill="1" applyAlignment="1">
      <alignment/>
    </xf>
    <xf numFmtId="0" fontId="27" fillId="59" borderId="27" xfId="0" applyFont="1" applyFill="1" applyBorder="1" applyAlignment="1">
      <alignment/>
    </xf>
    <xf numFmtId="0" fontId="4" fillId="59" borderId="6" xfId="0" applyFont="1" applyFill="1" applyBorder="1" applyAlignment="1">
      <alignment horizontal="right" wrapText="1"/>
    </xf>
    <xf numFmtId="0" fontId="4" fillId="59" borderId="6" xfId="0" applyFont="1" applyFill="1" applyBorder="1" applyAlignment="1">
      <alignment horizontal="center" wrapText="1"/>
    </xf>
    <xf numFmtId="0" fontId="4" fillId="59" borderId="26" xfId="0" applyFont="1" applyFill="1" applyBorder="1" applyAlignment="1">
      <alignment horizontal="right" wrapText="1"/>
    </xf>
    <xf numFmtId="0" fontId="4" fillId="59" borderId="48" xfId="0" applyFont="1" applyFill="1" applyBorder="1" applyAlignment="1">
      <alignment/>
    </xf>
    <xf numFmtId="5" fontId="26" fillId="59" borderId="49" xfId="0" applyNumberFormat="1" applyFont="1" applyFill="1" applyBorder="1" applyAlignment="1">
      <alignment horizontal="center" wrapText="1"/>
    </xf>
    <xf numFmtId="7" fontId="3" fillId="59" borderId="0" xfId="0" applyNumberFormat="1" applyFont="1" applyFill="1" applyBorder="1" applyAlignment="1">
      <alignment/>
    </xf>
    <xf numFmtId="5" fontId="4" fillId="59" borderId="50" xfId="0" applyNumberFormat="1" applyFont="1" applyFill="1" applyBorder="1" applyAlignment="1">
      <alignment/>
    </xf>
    <xf numFmtId="5" fontId="4" fillId="59" borderId="49" xfId="0" applyNumberFormat="1" applyFont="1" applyFill="1" applyBorder="1" applyAlignment="1">
      <alignment/>
    </xf>
    <xf numFmtId="0" fontId="4" fillId="59" borderId="51" xfId="0" applyFont="1" applyFill="1" applyBorder="1" applyAlignment="1">
      <alignment/>
    </xf>
    <xf numFmtId="5" fontId="3" fillId="59" borderId="52" xfId="0" applyNumberFormat="1" applyFont="1" applyFill="1" applyBorder="1" applyAlignment="1">
      <alignment/>
    </xf>
    <xf numFmtId="5" fontId="26" fillId="59" borderId="52" xfId="0" applyNumberFormat="1" applyFont="1" applyFill="1" applyBorder="1" applyAlignment="1">
      <alignment horizontal="center" wrapText="1"/>
    </xf>
    <xf numFmtId="7" fontId="3" fillId="59" borderId="52" xfId="0" applyNumberFormat="1" applyFont="1" applyFill="1" applyBorder="1" applyAlignment="1">
      <alignment/>
    </xf>
    <xf numFmtId="5" fontId="4" fillId="59" borderId="53" xfId="0" applyNumberFormat="1" applyFont="1" applyFill="1" applyBorder="1" applyAlignment="1">
      <alignment/>
    </xf>
    <xf numFmtId="0" fontId="4" fillId="59" borderId="29" xfId="0" applyFont="1" applyFill="1" applyBorder="1" applyAlignment="1">
      <alignment/>
    </xf>
    <xf numFmtId="5" fontId="3" fillId="59" borderId="44" xfId="0" applyNumberFormat="1" applyFont="1" applyFill="1" applyBorder="1" applyAlignment="1">
      <alignment/>
    </xf>
    <xf numFmtId="5" fontId="26" fillId="59" borderId="44" xfId="0" applyNumberFormat="1" applyFont="1" applyFill="1" applyBorder="1" applyAlignment="1">
      <alignment horizontal="center" wrapText="1"/>
    </xf>
    <xf numFmtId="7" fontId="3" fillId="59" borderId="44" xfId="0" applyNumberFormat="1" applyFont="1" applyFill="1" applyBorder="1" applyAlignment="1">
      <alignment/>
    </xf>
    <xf numFmtId="7" fontId="3" fillId="59" borderId="44" xfId="222" applyNumberFormat="1" applyFont="1" applyFill="1" applyBorder="1" applyAlignment="1">
      <alignment/>
    </xf>
    <xf numFmtId="5" fontId="4" fillId="59" borderId="35" xfId="0" applyNumberFormat="1" applyFont="1" applyFill="1" applyBorder="1" applyAlignment="1">
      <alignment/>
    </xf>
    <xf numFmtId="5" fontId="3" fillId="59" borderId="0" xfId="0" applyNumberFormat="1" applyFont="1" applyFill="1" applyAlignment="1">
      <alignment/>
    </xf>
    <xf numFmtId="0" fontId="4" fillId="59" borderId="28" xfId="0" applyFont="1" applyFill="1" applyBorder="1" applyAlignment="1">
      <alignment horizontal="left" indent="1"/>
    </xf>
    <xf numFmtId="188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Fill="1" applyAlignment="1">
      <alignment/>
    </xf>
    <xf numFmtId="168" fontId="6" fillId="0" borderId="0" xfId="929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7" fillId="15" borderId="27" xfId="0" applyFont="1" applyFill="1" applyBorder="1" applyAlignment="1">
      <alignment horizontal="left" indent="1"/>
    </xf>
    <xf numFmtId="0" fontId="17" fillId="15" borderId="6" xfId="0" applyFont="1" applyFill="1" applyBorder="1" applyAlignment="1">
      <alignment/>
    </xf>
    <xf numFmtId="0" fontId="17" fillId="61" borderId="48" xfId="0" applyFont="1" applyFill="1" applyBorder="1" applyAlignment="1">
      <alignment horizontal="left" wrapText="1" indent="1"/>
    </xf>
    <xf numFmtId="0" fontId="17" fillId="61" borderId="50" xfId="0" applyFont="1" applyFill="1" applyBorder="1" applyAlignment="1">
      <alignment/>
    </xf>
    <xf numFmtId="0" fontId="17" fillId="61" borderId="28" xfId="0" applyFont="1" applyFill="1" applyBorder="1" applyAlignment="1">
      <alignment horizontal="left" indent="1"/>
    </xf>
    <xf numFmtId="0" fontId="17" fillId="61" borderId="34" xfId="0" applyFont="1" applyFill="1" applyBorder="1" applyAlignment="1" quotePrefix="1">
      <alignment/>
    </xf>
    <xf numFmtId="0" fontId="19" fillId="61" borderId="28" xfId="0" applyFont="1" applyFill="1" applyBorder="1" applyAlignment="1">
      <alignment horizontal="center"/>
    </xf>
    <xf numFmtId="0" fontId="19" fillId="61" borderId="28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7" xfId="0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28" xfId="0" applyBorder="1" applyAlignment="1">
      <alignment/>
    </xf>
    <xf numFmtId="0" fontId="114" fillId="0" borderId="42" xfId="0" applyFont="1" applyBorder="1" applyAlignment="1">
      <alignment/>
    </xf>
    <xf numFmtId="0" fontId="0" fillId="0" borderId="29" xfId="0" applyBorder="1" applyAlignment="1">
      <alignment/>
    </xf>
    <xf numFmtId="0" fontId="114" fillId="0" borderId="57" xfId="0" applyFont="1" applyBorder="1" applyAlignment="1">
      <alignment/>
    </xf>
    <xf numFmtId="168" fontId="0" fillId="0" borderId="0" xfId="752" applyNumberFormat="1" applyFont="1" applyAlignment="1">
      <alignment/>
    </xf>
    <xf numFmtId="43" fontId="0" fillId="59" borderId="36" xfId="0" applyNumberFormat="1" applyFont="1" applyFill="1" applyBorder="1" applyAlignment="1">
      <alignment/>
    </xf>
    <xf numFmtId="0" fontId="112" fillId="0" borderId="0" xfId="0" applyFont="1" applyAlignment="1">
      <alignment wrapText="1"/>
    </xf>
    <xf numFmtId="0" fontId="112" fillId="0" borderId="0" xfId="0" applyFont="1" applyAlignment="1">
      <alignment/>
    </xf>
    <xf numFmtId="0" fontId="112" fillId="0" borderId="0" xfId="0" applyFont="1" applyAlignment="1">
      <alignment/>
    </xf>
    <xf numFmtId="0" fontId="0" fillId="60" borderId="58" xfId="0" applyFill="1" applyBorder="1" applyAlignment="1">
      <alignment horizontal="right" wrapText="1"/>
    </xf>
    <xf numFmtId="0" fontId="0" fillId="60" borderId="7" xfId="0" applyFill="1" applyBorder="1" applyAlignment="1">
      <alignment horizontal="right" wrapText="1"/>
    </xf>
    <xf numFmtId="0" fontId="0" fillId="60" borderId="59" xfId="0" applyFill="1" applyBorder="1" applyAlignment="1">
      <alignment horizontal="right" wrapText="1"/>
    </xf>
    <xf numFmtId="168" fontId="0" fillId="60" borderId="60" xfId="752" applyNumberFormat="1" applyFont="1" applyFill="1" applyBorder="1" applyAlignment="1">
      <alignment/>
    </xf>
    <xf numFmtId="168" fontId="0" fillId="60" borderId="61" xfId="752" applyNumberFormat="1" applyFont="1" applyFill="1" applyBorder="1" applyAlignment="1">
      <alignment/>
    </xf>
    <xf numFmtId="168" fontId="0" fillId="60" borderId="62" xfId="752" applyNumberFormat="1" applyFont="1" applyFill="1" applyBorder="1" applyAlignment="1">
      <alignment/>
    </xf>
    <xf numFmtId="168" fontId="0" fillId="60" borderId="63" xfId="752" applyNumberFormat="1" applyFont="1" applyFill="1" applyBorder="1" applyAlignment="1">
      <alignment/>
    </xf>
    <xf numFmtId="168" fontId="0" fillId="60" borderId="0" xfId="752" applyNumberFormat="1" applyFont="1" applyFill="1" applyBorder="1" applyAlignment="1">
      <alignment/>
    </xf>
    <xf numFmtId="168" fontId="0" fillId="60" borderId="34" xfId="752" applyNumberFormat="1" applyFont="1" applyFill="1" applyBorder="1" applyAlignment="1">
      <alignment/>
    </xf>
    <xf numFmtId="168" fontId="0" fillId="60" borderId="64" xfId="752" applyNumberFormat="1" applyFont="1" applyFill="1" applyBorder="1" applyAlignment="1">
      <alignment/>
    </xf>
    <xf numFmtId="168" fontId="0" fillId="60" borderId="44" xfId="752" applyNumberFormat="1" applyFont="1" applyFill="1" applyBorder="1" applyAlignment="1">
      <alignment/>
    </xf>
    <xf numFmtId="168" fontId="0" fillId="60" borderId="35" xfId="752" applyNumberFormat="1" applyFont="1" applyFill="1" applyBorder="1" applyAlignment="1">
      <alignment/>
    </xf>
    <xf numFmtId="0" fontId="27" fillId="59" borderId="27" xfId="0" applyFont="1" applyFill="1" applyBorder="1" applyAlignment="1">
      <alignment vertical="center"/>
    </xf>
    <xf numFmtId="0" fontId="4" fillId="59" borderId="28" xfId="0" applyFont="1" applyFill="1" applyBorder="1" applyAlignment="1">
      <alignment/>
    </xf>
    <xf numFmtId="0" fontId="4" fillId="59" borderId="0" xfId="0" applyFont="1" applyFill="1" applyBorder="1" applyAlignment="1">
      <alignment horizontal="center"/>
    </xf>
    <xf numFmtId="0" fontId="4" fillId="59" borderId="34" xfId="0" applyFont="1" applyFill="1" applyBorder="1" applyAlignment="1">
      <alignment horizontal="center"/>
    </xf>
    <xf numFmtId="0" fontId="4" fillId="59" borderId="28" xfId="0" applyFont="1" applyFill="1" applyBorder="1" applyAlignment="1">
      <alignment vertical="center"/>
    </xf>
    <xf numFmtId="170" fontId="4" fillId="59" borderId="0" xfId="180" applyNumberFormat="1" applyFont="1" applyFill="1" applyBorder="1" applyAlignment="1">
      <alignment/>
    </xf>
    <xf numFmtId="0" fontId="4" fillId="59" borderId="34" xfId="0" applyFont="1" applyFill="1" applyBorder="1" applyAlignment="1">
      <alignment/>
    </xf>
    <xf numFmtId="170" fontId="3" fillId="59" borderId="0" xfId="180" applyNumberFormat="1" applyFont="1" applyFill="1" applyBorder="1" applyAlignment="1">
      <alignment horizontal="right"/>
    </xf>
    <xf numFmtId="170" fontId="3" fillId="59" borderId="0" xfId="180" applyNumberFormat="1" applyFont="1" applyFill="1" applyBorder="1" applyAlignment="1">
      <alignment/>
    </xf>
    <xf numFmtId="170" fontId="4" fillId="59" borderId="34" xfId="180" applyNumberFormat="1" applyFont="1" applyFill="1" applyBorder="1" applyAlignment="1">
      <alignment/>
    </xf>
    <xf numFmtId="0" fontId="3" fillId="59" borderId="0" xfId="0" applyFont="1" applyFill="1" applyBorder="1" applyAlignment="1">
      <alignment horizontal="center" wrapText="1"/>
    </xf>
    <xf numFmtId="0" fontId="4" fillId="59" borderId="28" xfId="0" applyFont="1" applyFill="1" applyBorder="1" applyAlignment="1">
      <alignment/>
    </xf>
    <xf numFmtId="188" fontId="3" fillId="59" borderId="0" xfId="222" applyNumberFormat="1" applyFont="1" applyFill="1" applyBorder="1" applyAlignment="1">
      <alignment/>
    </xf>
    <xf numFmtId="188" fontId="4" fillId="59" borderId="34" xfId="222" applyNumberFormat="1" applyFont="1" applyFill="1" applyBorder="1" applyAlignment="1">
      <alignment/>
    </xf>
    <xf numFmtId="0" fontId="4" fillId="59" borderId="29" xfId="0" applyFont="1" applyFill="1" applyBorder="1" applyAlignment="1">
      <alignment/>
    </xf>
    <xf numFmtId="0" fontId="3" fillId="59" borderId="44" xfId="0" applyFont="1" applyFill="1" applyBorder="1" applyAlignment="1">
      <alignment/>
    </xf>
    <xf numFmtId="0" fontId="3" fillId="59" borderId="44" xfId="0" applyFont="1" applyFill="1" applyBorder="1" applyAlignment="1">
      <alignment horizontal="center" wrapText="1"/>
    </xf>
    <xf numFmtId="168" fontId="3" fillId="59" borderId="44" xfId="752" applyNumberFormat="1" applyFont="1" applyFill="1" applyBorder="1" applyAlignment="1">
      <alignment/>
    </xf>
    <xf numFmtId="171" fontId="4" fillId="59" borderId="35" xfId="222" applyNumberFormat="1" applyFont="1" applyFill="1" applyBorder="1" applyAlignment="1">
      <alignment/>
    </xf>
    <xf numFmtId="0" fontId="32" fillId="59" borderId="44" xfId="0" applyFont="1" applyFill="1" applyBorder="1" applyAlignment="1">
      <alignment/>
    </xf>
    <xf numFmtId="3" fontId="3" fillId="59" borderId="0" xfId="180" applyNumberFormat="1" applyFont="1" applyFill="1" applyBorder="1" applyAlignment="1">
      <alignment/>
    </xf>
    <xf numFmtId="10" fontId="3" fillId="59" borderId="44" xfId="0" applyNumberFormat="1" applyFont="1" applyFill="1" applyBorder="1" applyAlignment="1">
      <alignment/>
    </xf>
    <xf numFmtId="0" fontId="4" fillId="59" borderId="27" xfId="0" applyFont="1" applyFill="1" applyBorder="1" applyAlignment="1">
      <alignment/>
    </xf>
    <xf numFmtId="7" fontId="3" fillId="59" borderId="6" xfId="0" applyNumberFormat="1" applyFont="1" applyFill="1" applyBorder="1" applyAlignment="1">
      <alignment/>
    </xf>
    <xf numFmtId="5" fontId="3" fillId="59" borderId="6" xfId="0" applyNumberFormat="1" applyFont="1" applyFill="1" applyBorder="1" applyAlignment="1">
      <alignment horizontal="center" wrapText="1"/>
    </xf>
    <xf numFmtId="7" fontId="4" fillId="59" borderId="26" xfId="0" applyNumberFormat="1" applyFont="1" applyFill="1" applyBorder="1" applyAlignment="1">
      <alignment/>
    </xf>
    <xf numFmtId="5" fontId="26" fillId="59" borderId="6" xfId="0" applyNumberFormat="1" applyFont="1" applyFill="1" applyBorder="1" applyAlignment="1">
      <alignment horizontal="center" wrapText="1"/>
    </xf>
    <xf numFmtId="5" fontId="4" fillId="59" borderId="26" xfId="0" applyNumberFormat="1" applyFont="1" applyFill="1" applyBorder="1" applyAlignment="1">
      <alignment/>
    </xf>
    <xf numFmtId="43" fontId="3" fillId="59" borderId="0" xfId="0" applyNumberFormat="1" applyFont="1" applyFill="1" applyAlignment="1">
      <alignment/>
    </xf>
    <xf numFmtId="0" fontId="29" fillId="59" borderId="0" xfId="0" applyFont="1" applyFill="1" applyAlignment="1">
      <alignment/>
    </xf>
    <xf numFmtId="0" fontId="29" fillId="59" borderId="0" xfId="0" applyFont="1" applyFill="1" applyAlignment="1">
      <alignment horizontal="center" wrapText="1"/>
    </xf>
    <xf numFmtId="43" fontId="29" fillId="59" borderId="0" xfId="0" applyNumberFormat="1" applyFont="1" applyFill="1" applyAlignment="1">
      <alignment/>
    </xf>
    <xf numFmtId="169" fontId="0" fillId="59" borderId="37" xfId="0" applyNumberFormat="1" applyFill="1" applyBorder="1" applyAlignment="1">
      <alignment/>
    </xf>
    <xf numFmtId="0" fontId="115" fillId="0" borderId="33" xfId="0" applyFont="1" applyBorder="1" applyAlignment="1">
      <alignment wrapText="1"/>
    </xf>
    <xf numFmtId="0" fontId="112" fillId="0" borderId="6" xfId="0" applyFont="1" applyBorder="1" applyAlignment="1">
      <alignment wrapText="1"/>
    </xf>
    <xf numFmtId="0" fontId="112" fillId="0" borderId="27" xfId="0" applyFont="1" applyBorder="1" applyAlignment="1">
      <alignment wrapText="1"/>
    </xf>
    <xf numFmtId="0" fontId="112" fillId="0" borderId="26" xfId="0" applyFont="1" applyBorder="1" applyAlignment="1">
      <alignment wrapText="1"/>
    </xf>
    <xf numFmtId="0" fontId="0" fillId="0" borderId="65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67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168" fontId="0" fillId="58" borderId="34" xfId="752" applyNumberFormat="1" applyFont="1" applyFill="1" applyBorder="1" applyAlignment="1">
      <alignment horizontal="right"/>
    </xf>
    <xf numFmtId="197" fontId="0" fillId="59" borderId="0" xfId="0" applyNumberFormat="1" applyFill="1" applyBorder="1" applyAlignment="1">
      <alignment/>
    </xf>
    <xf numFmtId="0" fontId="0" fillId="0" borderId="68" xfId="0" applyBorder="1" applyAlignment="1">
      <alignment wrapText="1"/>
    </xf>
    <xf numFmtId="0" fontId="0" fillId="59" borderId="69" xfId="0" applyFill="1" applyBorder="1" applyAlignment="1">
      <alignment/>
    </xf>
    <xf numFmtId="169" fontId="3" fillId="58" borderId="6" xfId="81" applyNumberFormat="1" applyFont="1" applyFill="1" applyBorder="1" applyAlignment="1">
      <alignment/>
    </xf>
    <xf numFmtId="169" fontId="3" fillId="58" borderId="26" xfId="81" applyNumberFormat="1" applyFont="1" applyFill="1" applyBorder="1" applyAlignment="1">
      <alignment/>
    </xf>
    <xf numFmtId="180" fontId="0" fillId="59" borderId="69" xfId="81" applyNumberFormat="1" applyFont="1" applyFill="1" applyBorder="1" applyAlignment="1">
      <alignment/>
    </xf>
    <xf numFmtId="167" fontId="3" fillId="58" borderId="6" xfId="81" applyFont="1" applyFill="1" applyBorder="1" applyAlignment="1">
      <alignment/>
    </xf>
    <xf numFmtId="0" fontId="0" fillId="58" borderId="26" xfId="0" applyFill="1" applyBorder="1" applyAlignment="1">
      <alignment horizontal="center"/>
    </xf>
    <xf numFmtId="170" fontId="0" fillId="59" borderId="28" xfId="0" applyNumberFormat="1" applyFill="1" applyBorder="1" applyAlignment="1">
      <alignment/>
    </xf>
    <xf numFmtId="43" fontId="0" fillId="59" borderId="34" xfId="0" applyNumberFormat="1" applyFill="1" applyBorder="1" applyAlignment="1">
      <alignment/>
    </xf>
    <xf numFmtId="170" fontId="0" fillId="58" borderId="28" xfId="0" applyNumberFormat="1" applyFill="1" applyBorder="1" applyAlignment="1">
      <alignment/>
    </xf>
    <xf numFmtId="43" fontId="0" fillId="58" borderId="34" xfId="0" applyNumberFormat="1" applyFill="1" applyBorder="1" applyAlignment="1">
      <alignment/>
    </xf>
    <xf numFmtId="43" fontId="0" fillId="58" borderId="28" xfId="0" applyNumberFormat="1" applyFill="1" applyBorder="1" applyAlignment="1">
      <alignment/>
    </xf>
    <xf numFmtId="43" fontId="0" fillId="59" borderId="34" xfId="0" applyNumberFormat="1" applyFont="1" applyFill="1" applyBorder="1" applyAlignment="1">
      <alignment/>
    </xf>
    <xf numFmtId="43" fontId="0" fillId="58" borderId="29" xfId="0" applyNumberFormat="1" applyFill="1" applyBorder="1" applyAlignment="1">
      <alignment/>
    </xf>
    <xf numFmtId="43" fontId="0" fillId="58" borderId="35" xfId="0" applyNumberFormat="1" applyFill="1" applyBorder="1" applyAlignment="1">
      <alignment/>
    </xf>
    <xf numFmtId="0" fontId="3" fillId="0" borderId="0" xfId="605">
      <alignment/>
      <protection/>
    </xf>
    <xf numFmtId="167" fontId="3" fillId="56" borderId="0" xfId="83" applyFont="1" applyFill="1" applyBorder="1" applyAlignment="1">
      <alignment/>
    </xf>
    <xf numFmtId="167" fontId="3" fillId="56" borderId="34" xfId="83" applyFont="1" applyFill="1" applyBorder="1" applyAlignment="1">
      <alignment/>
    </xf>
    <xf numFmtId="0" fontId="3" fillId="56" borderId="0" xfId="605" applyFill="1">
      <alignment/>
      <protection/>
    </xf>
    <xf numFmtId="167" fontId="3" fillId="56" borderId="0" xfId="83" applyFont="1" applyFill="1" applyAlignment="1">
      <alignment wrapText="1"/>
    </xf>
    <xf numFmtId="167" fontId="3" fillId="56" borderId="0" xfId="83" applyFont="1" applyFill="1" applyAlignment="1">
      <alignment/>
    </xf>
    <xf numFmtId="167" fontId="3" fillId="56" borderId="0" xfId="83" applyFont="1" applyFill="1" applyBorder="1" applyAlignment="1">
      <alignment wrapText="1"/>
    </xf>
    <xf numFmtId="0" fontId="31" fillId="56" borderId="28" xfId="605" applyFont="1" applyFill="1" applyBorder="1">
      <alignment/>
      <protection/>
    </xf>
    <xf numFmtId="167" fontId="29" fillId="56" borderId="0" xfId="83" applyFont="1" applyFill="1" applyBorder="1" applyAlignment="1">
      <alignment wrapText="1"/>
    </xf>
    <xf numFmtId="167" fontId="29" fillId="56" borderId="0" xfId="83" applyFont="1" applyFill="1" applyBorder="1" applyAlignment="1">
      <alignment/>
    </xf>
    <xf numFmtId="0" fontId="3" fillId="56" borderId="0" xfId="605" applyFill="1" applyBorder="1">
      <alignment/>
      <protection/>
    </xf>
    <xf numFmtId="0" fontId="27" fillId="56" borderId="28" xfId="605" applyFont="1" applyFill="1" applyBorder="1">
      <alignment/>
      <protection/>
    </xf>
    <xf numFmtId="169" fontId="31" fillId="56" borderId="0" xfId="83" applyNumberFormat="1" applyFont="1" applyFill="1" applyBorder="1" applyAlignment="1">
      <alignment/>
    </xf>
    <xf numFmtId="187" fontId="29" fillId="56" borderId="0" xfId="224" applyNumberFormat="1" applyFont="1" applyFill="1" applyBorder="1" applyAlignment="1">
      <alignment/>
    </xf>
    <xf numFmtId="186" fontId="29" fillId="56" borderId="0" xfId="224" applyNumberFormat="1" applyFont="1" applyFill="1" applyBorder="1" applyAlignment="1">
      <alignment/>
    </xf>
    <xf numFmtId="166" fontId="29" fillId="56" borderId="0" xfId="224" applyNumberFormat="1" applyFont="1" applyFill="1" applyBorder="1" applyAlignment="1">
      <alignment/>
    </xf>
    <xf numFmtId="166" fontId="29" fillId="56" borderId="0" xfId="83" applyNumberFormat="1" applyFont="1" applyFill="1" applyBorder="1" applyAlignment="1">
      <alignment/>
    </xf>
    <xf numFmtId="167" fontId="28" fillId="56" borderId="0" xfId="83" applyFont="1" applyFill="1" applyBorder="1" applyAlignment="1">
      <alignment wrapText="1"/>
    </xf>
    <xf numFmtId="167" fontId="28" fillId="56" borderId="0" xfId="83" applyFont="1" applyFill="1" applyBorder="1" applyAlignment="1">
      <alignment/>
    </xf>
    <xf numFmtId="166" fontId="27" fillId="56" borderId="0" xfId="224" applyFont="1" applyFill="1" applyBorder="1" applyAlignment="1">
      <alignment/>
    </xf>
    <xf numFmtId="183" fontId="27" fillId="56" borderId="0" xfId="224" applyNumberFormat="1" applyFont="1" applyFill="1" applyBorder="1" applyAlignment="1">
      <alignment/>
    </xf>
    <xf numFmtId="183" fontId="28" fillId="56" borderId="0" xfId="83" applyNumberFormat="1" applyFont="1" applyFill="1" applyBorder="1" applyAlignment="1">
      <alignment/>
    </xf>
    <xf numFmtId="0" fontId="28" fillId="56" borderId="0" xfId="605" applyFont="1" applyFill="1" applyBorder="1">
      <alignment/>
      <protection/>
    </xf>
    <xf numFmtId="168" fontId="27" fillId="56" borderId="0" xfId="83" applyNumberFormat="1" applyFont="1" applyFill="1" applyBorder="1" applyAlignment="1">
      <alignment/>
    </xf>
    <xf numFmtId="17" fontId="3" fillId="56" borderId="28" xfId="605" applyNumberFormat="1" applyFont="1" applyFill="1" applyBorder="1" applyAlignment="1">
      <alignment horizontal="center"/>
      <protection/>
    </xf>
    <xf numFmtId="167" fontId="3" fillId="56" borderId="44" xfId="83" applyFont="1" applyFill="1" applyBorder="1" applyAlignment="1">
      <alignment wrapText="1"/>
    </xf>
    <xf numFmtId="167" fontId="3" fillId="56" borderId="44" xfId="83" applyFont="1" applyFill="1" applyBorder="1" applyAlignment="1">
      <alignment/>
    </xf>
    <xf numFmtId="0" fontId="27" fillId="56" borderId="29" xfId="605" applyFont="1" applyFill="1" applyBorder="1">
      <alignment/>
      <protection/>
    </xf>
    <xf numFmtId="183" fontId="27" fillId="56" borderId="44" xfId="224" applyNumberFormat="1" applyFont="1" applyFill="1" applyBorder="1" applyAlignment="1">
      <alignment/>
    </xf>
    <xf numFmtId="183" fontId="28" fillId="56" borderId="44" xfId="83" applyNumberFormat="1" applyFont="1" applyFill="1" applyBorder="1" applyAlignment="1">
      <alignment/>
    </xf>
    <xf numFmtId="183" fontId="27" fillId="56" borderId="35" xfId="224" applyNumberFormat="1" applyFont="1" applyFill="1" applyBorder="1" applyAlignment="1">
      <alignment/>
    </xf>
    <xf numFmtId="167" fontId="28" fillId="56" borderId="44" xfId="83" applyFont="1" applyFill="1" applyBorder="1" applyAlignment="1">
      <alignment wrapText="1"/>
    </xf>
    <xf numFmtId="0" fontId="28" fillId="56" borderId="29" xfId="605" applyFont="1" applyFill="1" applyBorder="1">
      <alignment/>
      <protection/>
    </xf>
    <xf numFmtId="167" fontId="30" fillId="56" borderId="6" xfId="83" applyFont="1" applyFill="1" applyBorder="1" applyAlignment="1">
      <alignment horizontal="center"/>
    </xf>
    <xf numFmtId="167" fontId="30" fillId="56" borderId="6" xfId="83" applyFont="1" applyFill="1" applyBorder="1" applyAlignment="1">
      <alignment horizontal="center" wrapText="1"/>
    </xf>
    <xf numFmtId="167" fontId="30" fillId="56" borderId="26" xfId="83" applyFont="1" applyFill="1" applyBorder="1" applyAlignment="1">
      <alignment horizontal="center" wrapText="1"/>
    </xf>
    <xf numFmtId="186" fontId="29" fillId="56" borderId="34" xfId="224" applyNumberFormat="1" applyFont="1" applyFill="1" applyBorder="1" applyAlignment="1">
      <alignment/>
    </xf>
    <xf numFmtId="166" fontId="29" fillId="56" borderId="34" xfId="224" applyNumberFormat="1" applyFont="1" applyFill="1" applyBorder="1" applyAlignment="1">
      <alignment/>
    </xf>
    <xf numFmtId="0" fontId="31" fillId="56" borderId="29" xfId="605" applyFont="1" applyFill="1" applyBorder="1">
      <alignment/>
      <protection/>
    </xf>
    <xf numFmtId="167" fontId="29" fillId="56" borderId="44" xfId="83" applyFont="1" applyFill="1" applyBorder="1" applyAlignment="1">
      <alignment wrapText="1"/>
    </xf>
    <xf numFmtId="183" fontId="28" fillId="56" borderId="70" xfId="83" applyNumberFormat="1" applyFont="1" applyFill="1" applyBorder="1" applyAlignment="1">
      <alignment/>
    </xf>
    <xf numFmtId="0" fontId="27" fillId="56" borderId="27" xfId="605" applyFont="1" applyFill="1" applyBorder="1" applyAlignment="1">
      <alignment horizontal="center" wrapText="1"/>
      <protection/>
    </xf>
    <xf numFmtId="167" fontId="27" fillId="56" borderId="6" xfId="83" applyFont="1" applyFill="1" applyBorder="1" applyAlignment="1">
      <alignment horizontal="center" textRotation="45" wrapText="1"/>
    </xf>
    <xf numFmtId="167" fontId="27" fillId="56" borderId="6" xfId="83" applyFont="1" applyFill="1" applyBorder="1" applyAlignment="1">
      <alignment horizontal="center" wrapText="1"/>
    </xf>
    <xf numFmtId="167" fontId="27" fillId="56" borderId="26" xfId="83" applyFont="1" applyFill="1" applyBorder="1" applyAlignment="1">
      <alignment horizontal="center" wrapText="1"/>
    </xf>
    <xf numFmtId="167" fontId="27" fillId="56" borderId="49" xfId="83" applyFont="1" applyFill="1" applyBorder="1" applyAlignment="1">
      <alignment wrapText="1"/>
    </xf>
    <xf numFmtId="167" fontId="27" fillId="56" borderId="49" xfId="83" applyFont="1" applyFill="1" applyBorder="1" applyAlignment="1">
      <alignment/>
    </xf>
    <xf numFmtId="0" fontId="27" fillId="56" borderId="48" xfId="605" applyFont="1" applyFill="1" applyBorder="1" applyAlignment="1">
      <alignment horizontal="left"/>
      <protection/>
    </xf>
    <xf numFmtId="167" fontId="29" fillId="56" borderId="49" xfId="83" applyFont="1" applyFill="1" applyBorder="1" applyAlignment="1">
      <alignment wrapText="1"/>
    </xf>
    <xf numFmtId="0" fontId="26" fillId="0" borderId="0" xfId="605" applyFont="1" applyAlignment="1">
      <alignment horizontal="center"/>
      <protection/>
    </xf>
    <xf numFmtId="0" fontId="26" fillId="56" borderId="0" xfId="605" applyFont="1" applyFill="1" applyBorder="1" applyAlignment="1">
      <alignment horizontal="center"/>
      <protection/>
    </xf>
    <xf numFmtId="167" fontId="26" fillId="56" borderId="0" xfId="83" applyFont="1" applyFill="1" applyBorder="1" applyAlignment="1">
      <alignment horizontal="center" wrapText="1"/>
    </xf>
    <xf numFmtId="167" fontId="26" fillId="56" borderId="0" xfId="83" applyFont="1" applyFill="1" applyBorder="1" applyAlignment="1">
      <alignment horizontal="center"/>
    </xf>
    <xf numFmtId="0" fontId="30" fillId="56" borderId="6" xfId="605" applyFont="1" applyFill="1" applyBorder="1" applyAlignment="1">
      <alignment horizontal="right"/>
      <protection/>
    </xf>
    <xf numFmtId="0" fontId="30" fillId="56" borderId="49" xfId="605" applyFont="1" applyFill="1" applyBorder="1" applyAlignment="1">
      <alignment horizontal="right"/>
      <protection/>
    </xf>
    <xf numFmtId="0" fontId="31" fillId="56" borderId="0" xfId="605" applyFont="1" applyFill="1" applyBorder="1">
      <alignment/>
      <protection/>
    </xf>
    <xf numFmtId="167" fontId="28" fillId="56" borderId="49" xfId="83" applyFont="1" applyFill="1" applyBorder="1" applyAlignment="1">
      <alignment/>
    </xf>
    <xf numFmtId="169" fontId="28" fillId="56" borderId="49" xfId="83" applyNumberFormat="1" applyFont="1" applyFill="1" applyBorder="1" applyAlignment="1">
      <alignment/>
    </xf>
    <xf numFmtId="169" fontId="28" fillId="56" borderId="50" xfId="83" applyNumberFormat="1" applyFont="1" applyFill="1" applyBorder="1" applyAlignment="1">
      <alignment/>
    </xf>
    <xf numFmtId="168" fontId="29" fillId="56" borderId="0" xfId="978" applyNumberFormat="1" applyFont="1" applyFill="1" applyBorder="1" applyAlignment="1">
      <alignment/>
    </xf>
    <xf numFmtId="168" fontId="28" fillId="56" borderId="70" xfId="83" applyNumberFormat="1" applyFont="1" applyFill="1" applyBorder="1" applyAlignment="1">
      <alignment/>
    </xf>
    <xf numFmtId="169" fontId="29" fillId="56" borderId="49" xfId="83" applyNumberFormat="1" applyFont="1" applyFill="1" applyBorder="1" applyAlignment="1">
      <alignment/>
    </xf>
    <xf numFmtId="169" fontId="29" fillId="56" borderId="0" xfId="83" applyNumberFormat="1" applyFont="1" applyFill="1" applyBorder="1" applyAlignment="1">
      <alignment/>
    </xf>
    <xf numFmtId="169" fontId="29" fillId="56" borderId="44" xfId="83" applyNumberFormat="1" applyFont="1" applyFill="1" applyBorder="1" applyAlignment="1">
      <alignment/>
    </xf>
    <xf numFmtId="166" fontId="28" fillId="56" borderId="44" xfId="224" applyFont="1" applyFill="1" applyBorder="1" applyAlignment="1">
      <alignment/>
    </xf>
    <xf numFmtId="182" fontId="29" fillId="56" borderId="0" xfId="224" applyNumberFormat="1" applyFont="1" applyFill="1" applyBorder="1" applyAlignment="1">
      <alignment/>
    </xf>
    <xf numFmtId="182" fontId="29" fillId="56" borderId="52" xfId="224" applyNumberFormat="1" applyFont="1" applyFill="1" applyBorder="1" applyAlignment="1">
      <alignment/>
    </xf>
    <xf numFmtId="182" fontId="29" fillId="56" borderId="70" xfId="224" applyNumberFormat="1" applyFont="1" applyFill="1" applyBorder="1" applyAlignment="1">
      <alignment/>
    </xf>
    <xf numFmtId="182" fontId="29" fillId="56" borderId="34" xfId="224" applyNumberFormat="1" applyFont="1" applyFill="1" applyBorder="1" applyAlignment="1">
      <alignment/>
    </xf>
    <xf numFmtId="182" fontId="29" fillId="56" borderId="53" xfId="224" applyNumberFormat="1" applyFont="1" applyFill="1" applyBorder="1" applyAlignment="1">
      <alignment/>
    </xf>
    <xf numFmtId="182" fontId="29" fillId="56" borderId="71" xfId="224" applyNumberFormat="1" applyFont="1" applyFill="1" applyBorder="1" applyAlignment="1">
      <alignment/>
    </xf>
    <xf numFmtId="185" fontId="29" fillId="56" borderId="0" xfId="224" applyNumberFormat="1" applyFont="1" applyFill="1" applyBorder="1" applyAlignment="1">
      <alignment/>
    </xf>
    <xf numFmtId="185" fontId="29" fillId="56" borderId="34" xfId="224" applyNumberFormat="1" applyFont="1" applyFill="1" applyBorder="1" applyAlignment="1">
      <alignment/>
    </xf>
    <xf numFmtId="0" fontId="30" fillId="56" borderId="6" xfId="605" applyFont="1" applyFill="1" applyBorder="1" applyAlignment="1">
      <alignment horizontal="center"/>
      <protection/>
    </xf>
    <xf numFmtId="0" fontId="25" fillId="56" borderId="0" xfId="605" applyFont="1" applyFill="1" applyBorder="1">
      <alignment/>
      <protection/>
    </xf>
    <xf numFmtId="182" fontId="28" fillId="56" borderId="52" xfId="224" applyNumberFormat="1" applyFont="1" applyFill="1" applyBorder="1" applyAlignment="1">
      <alignment/>
    </xf>
    <xf numFmtId="166" fontId="28" fillId="56" borderId="0" xfId="224" applyFont="1" applyFill="1" applyBorder="1" applyAlignment="1">
      <alignment/>
    </xf>
    <xf numFmtId="182" fontId="28" fillId="56" borderId="53" xfId="224" applyNumberFormat="1" applyFont="1" applyFill="1" applyBorder="1" applyAlignment="1">
      <alignment/>
    </xf>
    <xf numFmtId="184" fontId="29" fillId="56" borderId="0" xfId="224" applyNumberFormat="1" applyFont="1" applyFill="1" applyBorder="1" applyAlignment="1">
      <alignment/>
    </xf>
    <xf numFmtId="184" fontId="29" fillId="56" borderId="0" xfId="83" applyNumberFormat="1" applyFont="1" applyFill="1" applyBorder="1" applyAlignment="1">
      <alignment/>
    </xf>
    <xf numFmtId="184" fontId="29" fillId="56" borderId="34" xfId="224" applyNumberFormat="1" applyFont="1" applyFill="1" applyBorder="1" applyAlignment="1">
      <alignment/>
    </xf>
    <xf numFmtId="185" fontId="29" fillId="56" borderId="0" xfId="83" applyNumberFormat="1" applyFont="1" applyFill="1" applyBorder="1" applyAlignment="1">
      <alignment/>
    </xf>
    <xf numFmtId="184" fontId="29" fillId="56" borderId="44" xfId="224" applyNumberFormat="1" applyFont="1" applyFill="1" applyBorder="1" applyAlignment="1">
      <alignment/>
    </xf>
    <xf numFmtId="184" fontId="29" fillId="56" borderId="44" xfId="83" applyNumberFormat="1" applyFont="1" applyFill="1" applyBorder="1" applyAlignment="1">
      <alignment/>
    </xf>
    <xf numFmtId="184" fontId="29" fillId="56" borderId="35" xfId="224" applyNumberFormat="1" applyFont="1" applyFill="1" applyBorder="1" applyAlignment="1">
      <alignment/>
    </xf>
    <xf numFmtId="0" fontId="31" fillId="56" borderId="48" xfId="605" applyFont="1" applyFill="1" applyBorder="1">
      <alignment/>
      <protection/>
    </xf>
    <xf numFmtId="184" fontId="29" fillId="56" borderId="49" xfId="224" applyNumberFormat="1" applyFont="1" applyFill="1" applyBorder="1" applyAlignment="1">
      <alignment/>
    </xf>
    <xf numFmtId="184" fontId="29" fillId="56" borderId="49" xfId="83" applyNumberFormat="1" applyFont="1" applyFill="1" applyBorder="1" applyAlignment="1">
      <alignment/>
    </xf>
    <xf numFmtId="184" fontId="29" fillId="56" borderId="50" xfId="224" applyNumberFormat="1" applyFont="1" applyFill="1" applyBorder="1" applyAlignment="1">
      <alignment/>
    </xf>
    <xf numFmtId="0" fontId="116" fillId="0" borderId="44" xfId="0" applyFont="1" applyBorder="1" applyAlignment="1">
      <alignment horizontal="left"/>
    </xf>
    <xf numFmtId="0" fontId="3" fillId="0" borderId="0" xfId="607">
      <alignment/>
      <protection/>
    </xf>
    <xf numFmtId="0" fontId="4" fillId="0" borderId="0" xfId="607" applyFont="1" applyFill="1" applyBorder="1">
      <alignment/>
      <protection/>
    </xf>
    <xf numFmtId="0" fontId="3" fillId="0" borderId="0" xfId="607" applyFont="1" applyFill="1" applyBorder="1">
      <alignment/>
      <protection/>
    </xf>
    <xf numFmtId="0" fontId="3" fillId="0" borderId="0" xfId="607" applyFont="1" applyFill="1" applyBorder="1" applyAlignment="1">
      <alignment horizontal="center" wrapText="1"/>
      <protection/>
    </xf>
    <xf numFmtId="0" fontId="4" fillId="0" borderId="28" xfId="607" applyFont="1" applyFill="1" applyBorder="1">
      <alignment/>
      <protection/>
    </xf>
    <xf numFmtId="0" fontId="4" fillId="0" borderId="0" xfId="607" applyFont="1" applyFill="1" applyBorder="1" applyAlignment="1">
      <alignment horizontal="center" wrapText="1"/>
      <protection/>
    </xf>
    <xf numFmtId="170" fontId="4" fillId="0" borderId="0" xfId="95" applyNumberFormat="1" applyFont="1" applyFill="1" applyBorder="1" applyAlignment="1">
      <alignment/>
    </xf>
    <xf numFmtId="0" fontId="4" fillId="0" borderId="34" xfId="607" applyFont="1" applyFill="1" applyBorder="1">
      <alignment/>
      <protection/>
    </xf>
    <xf numFmtId="0" fontId="4" fillId="0" borderId="28" xfId="607" applyFont="1" applyFill="1" applyBorder="1" applyAlignment="1">
      <alignment horizontal="left" indent="1"/>
      <protection/>
    </xf>
    <xf numFmtId="170" fontId="4" fillId="0" borderId="34" xfId="95" applyNumberFormat="1" applyFont="1" applyFill="1" applyBorder="1" applyAlignment="1">
      <alignment/>
    </xf>
    <xf numFmtId="188" fontId="3" fillId="0" borderId="0" xfId="929" applyNumberFormat="1" applyFont="1" applyFill="1" applyBorder="1" applyAlignment="1">
      <alignment/>
    </xf>
    <xf numFmtId="0" fontId="32" fillId="0" borderId="28" xfId="607" applyFont="1" applyFill="1" applyBorder="1">
      <alignment/>
      <protection/>
    </xf>
    <xf numFmtId="3" fontId="3" fillId="0" borderId="0" xfId="95" applyNumberFormat="1" applyFont="1" applyFill="1" applyBorder="1" applyAlignment="1">
      <alignment/>
    </xf>
    <xf numFmtId="10" fontId="3" fillId="0" borderId="0" xfId="607" applyNumberFormat="1" applyFont="1" applyFill="1" applyBorder="1">
      <alignment/>
      <protection/>
    </xf>
    <xf numFmtId="10" fontId="3" fillId="0" borderId="34" xfId="607" applyNumberFormat="1" applyFont="1" applyFill="1" applyBorder="1">
      <alignment/>
      <protection/>
    </xf>
    <xf numFmtId="5" fontId="3" fillId="0" borderId="0" xfId="607" applyNumberFormat="1" applyFont="1" applyFill="1" applyBorder="1">
      <alignment/>
      <protection/>
    </xf>
    <xf numFmtId="9" fontId="3" fillId="0" borderId="0" xfId="929" applyFont="1" applyFill="1" applyBorder="1" applyAlignment="1">
      <alignment/>
    </xf>
    <xf numFmtId="5" fontId="4" fillId="0" borderId="34" xfId="607" applyNumberFormat="1" applyFont="1" applyFill="1" applyBorder="1">
      <alignment/>
      <protection/>
    </xf>
    <xf numFmtId="5" fontId="3" fillId="0" borderId="0" xfId="607" applyNumberFormat="1" applyFont="1" applyFill="1" applyBorder="1" applyAlignment="1">
      <alignment horizontal="center" wrapText="1"/>
      <protection/>
    </xf>
    <xf numFmtId="171" fontId="3" fillId="0" borderId="0" xfId="607" applyNumberFormat="1" applyFont="1" applyFill="1" applyBorder="1">
      <alignment/>
      <protection/>
    </xf>
    <xf numFmtId="5" fontId="4" fillId="0" borderId="0" xfId="607" applyNumberFormat="1" applyFont="1" applyFill="1" applyBorder="1">
      <alignment/>
      <protection/>
    </xf>
    <xf numFmtId="0" fontId="4" fillId="0" borderId="6" xfId="607" applyFont="1" applyFill="1" applyBorder="1" applyAlignment="1">
      <alignment horizontal="center" wrapText="1"/>
      <protection/>
    </xf>
    <xf numFmtId="0" fontId="4" fillId="0" borderId="26" xfId="607" applyFont="1" applyFill="1" applyBorder="1" applyAlignment="1">
      <alignment horizontal="center" wrapText="1"/>
      <protection/>
    </xf>
    <xf numFmtId="0" fontId="32" fillId="0" borderId="27" xfId="607" applyFont="1" applyFill="1" applyBorder="1">
      <alignment/>
      <protection/>
    </xf>
    <xf numFmtId="5" fontId="4" fillId="0" borderId="0" xfId="607" applyNumberFormat="1" applyFont="1" applyFill="1" applyBorder="1" applyAlignment="1">
      <alignment horizontal="center" wrapText="1"/>
      <protection/>
    </xf>
    <xf numFmtId="0" fontId="3" fillId="0" borderId="48" xfId="607" applyFont="1" applyFill="1" applyBorder="1">
      <alignment/>
      <protection/>
    </xf>
    <xf numFmtId="0" fontId="4" fillId="0" borderId="49" xfId="607" applyFont="1" applyFill="1" applyBorder="1">
      <alignment/>
      <protection/>
    </xf>
    <xf numFmtId="0" fontId="4" fillId="0" borderId="49" xfId="607" applyFont="1" applyFill="1" applyBorder="1" applyAlignment="1">
      <alignment horizontal="center" wrapText="1"/>
      <protection/>
    </xf>
    <xf numFmtId="0" fontId="4" fillId="0" borderId="49" xfId="607" applyFont="1" applyFill="1" applyBorder="1" applyAlignment="1">
      <alignment horizontal="center"/>
      <protection/>
    </xf>
    <xf numFmtId="0" fontId="4" fillId="0" borderId="50" xfId="607" applyFont="1" applyFill="1" applyBorder="1">
      <alignment/>
      <protection/>
    </xf>
    <xf numFmtId="5" fontId="3" fillId="0" borderId="0" xfId="235" applyNumberFormat="1" applyFont="1" applyFill="1" applyBorder="1" applyAlignment="1">
      <alignment/>
    </xf>
    <xf numFmtId="0" fontId="4" fillId="0" borderId="28" xfId="607" applyFont="1" applyFill="1" applyBorder="1" applyAlignment="1">
      <alignment vertical="center"/>
      <protection/>
    </xf>
    <xf numFmtId="0" fontId="31" fillId="0" borderId="27" xfId="607" applyFont="1" applyFill="1" applyBorder="1" applyAlignment="1">
      <alignment vertical="center" wrapText="1"/>
      <protection/>
    </xf>
    <xf numFmtId="168" fontId="3" fillId="0" borderId="0" xfId="981" applyNumberFormat="1" applyFont="1" applyFill="1" applyBorder="1" applyAlignment="1">
      <alignment/>
    </xf>
    <xf numFmtId="7" fontId="4" fillId="0" borderId="0" xfId="235" applyNumberFormat="1" applyFont="1" applyFill="1" applyBorder="1" applyAlignment="1">
      <alignment/>
    </xf>
    <xf numFmtId="44" fontId="37" fillId="0" borderId="0" xfId="235" applyFont="1" applyFill="1" applyBorder="1" applyAlignment="1">
      <alignment horizontal="center" wrapText="1"/>
    </xf>
    <xf numFmtId="5" fontId="4" fillId="0" borderId="0" xfId="235" applyNumberFormat="1" applyFont="1" applyFill="1" applyBorder="1" applyAlignment="1">
      <alignment/>
    </xf>
    <xf numFmtId="0" fontId="31" fillId="0" borderId="29" xfId="607" applyFont="1" applyFill="1" applyBorder="1">
      <alignment/>
      <protection/>
    </xf>
    <xf numFmtId="0" fontId="4" fillId="0" borderId="44" xfId="607" applyFont="1" applyFill="1" applyBorder="1" applyAlignment="1">
      <alignment horizontal="right"/>
      <protection/>
    </xf>
    <xf numFmtId="0" fontId="4" fillId="0" borderId="44" xfId="607" applyFont="1" applyFill="1" applyBorder="1" applyAlignment="1">
      <alignment horizontal="center" wrapText="1"/>
      <protection/>
    </xf>
    <xf numFmtId="173" fontId="4" fillId="0" borderId="35" xfId="235" applyNumberFormat="1" applyFont="1" applyFill="1" applyBorder="1" applyAlignment="1">
      <alignment/>
    </xf>
    <xf numFmtId="0" fontId="4" fillId="0" borderId="29" xfId="607" applyFont="1" applyFill="1" applyBorder="1">
      <alignment/>
      <protection/>
    </xf>
    <xf numFmtId="195" fontId="4" fillId="0" borderId="44" xfId="235" applyNumberFormat="1" applyFont="1" applyFill="1" applyBorder="1" applyAlignment="1">
      <alignment vertical="top"/>
    </xf>
    <xf numFmtId="196" fontId="4" fillId="0" borderId="44" xfId="235" applyNumberFormat="1" applyFont="1" applyFill="1" applyBorder="1" applyAlignment="1">
      <alignment vertical="top"/>
    </xf>
    <xf numFmtId="0" fontId="26" fillId="0" borderId="0" xfId="607" applyFont="1" applyFill="1" applyBorder="1">
      <alignment/>
      <protection/>
    </xf>
    <xf numFmtId="0" fontId="26" fillId="0" borderId="0" xfId="607" applyFont="1" applyFill="1">
      <alignment/>
      <protection/>
    </xf>
    <xf numFmtId="0" fontId="26" fillId="0" borderId="0" xfId="607" applyFont="1" applyFill="1" applyBorder="1" applyAlignment="1">
      <alignment horizontal="center"/>
      <protection/>
    </xf>
    <xf numFmtId="9" fontId="4" fillId="0" borderId="34" xfId="981" applyFont="1" applyFill="1" applyBorder="1" applyAlignment="1">
      <alignment/>
    </xf>
    <xf numFmtId="0" fontId="4" fillId="0" borderId="28" xfId="607" applyFont="1" applyFill="1" applyBorder="1" applyAlignment="1">
      <alignment/>
      <protection/>
    </xf>
    <xf numFmtId="170" fontId="3" fillId="0" borderId="0" xfId="95" applyNumberFormat="1" applyFont="1" applyFill="1" applyBorder="1" applyAlignment="1">
      <alignment/>
    </xf>
    <xf numFmtId="7" fontId="3" fillId="0" borderId="34" xfId="235" applyNumberFormat="1" applyFont="1" applyFill="1" applyBorder="1" applyAlignment="1">
      <alignment/>
    </xf>
    <xf numFmtId="0" fontId="27" fillId="0" borderId="27" xfId="607" applyFont="1" applyFill="1" applyBorder="1" applyAlignment="1">
      <alignment vertical="center"/>
      <protection/>
    </xf>
    <xf numFmtId="7" fontId="4" fillId="0" borderId="44" xfId="235" applyNumberFormat="1" applyFont="1" applyFill="1" applyBorder="1" applyAlignment="1">
      <alignment/>
    </xf>
    <xf numFmtId="44" fontId="37" fillId="0" borderId="44" xfId="235" applyFont="1" applyFill="1" applyBorder="1" applyAlignment="1">
      <alignment horizontal="center" wrapText="1"/>
    </xf>
    <xf numFmtId="5" fontId="4" fillId="0" borderId="44" xfId="235" applyNumberFormat="1" applyFont="1" applyFill="1" applyBorder="1" applyAlignment="1">
      <alignment/>
    </xf>
    <xf numFmtId="5" fontId="4" fillId="0" borderId="35" xfId="235" applyNumberFormat="1" applyFont="1" applyFill="1" applyBorder="1" applyAlignment="1">
      <alignment/>
    </xf>
    <xf numFmtId="10" fontId="3" fillId="0" borderId="0" xfId="981" applyNumberFormat="1" applyFont="1" applyFill="1" applyBorder="1" applyAlignment="1">
      <alignment/>
    </xf>
    <xf numFmtId="0" fontId="3" fillId="0" borderId="0" xfId="607" applyNumberFormat="1" applyFont="1" applyFill="1" applyBorder="1">
      <alignment/>
      <protection/>
    </xf>
    <xf numFmtId="198" fontId="3" fillId="0" borderId="0" xfId="607" applyNumberFormat="1" applyFont="1" applyFill="1" applyBorder="1">
      <alignment/>
      <protection/>
    </xf>
    <xf numFmtId="41" fontId="3" fillId="0" borderId="0" xfId="235" applyNumberFormat="1" applyFont="1" applyFill="1" applyBorder="1" applyAlignment="1">
      <alignment/>
    </xf>
    <xf numFmtId="7" fontId="3" fillId="0" borderId="0" xfId="235" applyNumberFormat="1" applyFont="1" applyFill="1" applyBorder="1" applyAlignment="1">
      <alignment horizontal="right"/>
    </xf>
    <xf numFmtId="7" fontId="31" fillId="0" borderId="0" xfId="235" applyNumberFormat="1" applyFont="1" applyFill="1" applyBorder="1" applyAlignment="1">
      <alignment horizontal="right"/>
    </xf>
    <xf numFmtId="0" fontId="8" fillId="0" borderId="0" xfId="608" applyFont="1" applyFill="1" applyBorder="1">
      <alignment/>
      <protection/>
    </xf>
    <xf numFmtId="0" fontId="6" fillId="0" borderId="0" xfId="608" applyFont="1" applyFill="1" applyBorder="1">
      <alignment/>
      <protection/>
    </xf>
    <xf numFmtId="168" fontId="6" fillId="0" borderId="0" xfId="982" applyNumberFormat="1" applyFont="1" applyFill="1" applyBorder="1" applyAlignment="1">
      <alignment/>
    </xf>
    <xf numFmtId="10" fontId="6" fillId="0" borderId="0" xfId="608" applyNumberFormat="1" applyFont="1" applyFill="1" applyBorder="1">
      <alignment/>
      <protection/>
    </xf>
    <xf numFmtId="3" fontId="6" fillId="0" borderId="0" xfId="95" applyNumberFormat="1" applyFont="1" applyFill="1" applyBorder="1" applyAlignment="1">
      <alignment/>
    </xf>
    <xf numFmtId="5" fontId="6" fillId="0" borderId="0" xfId="608" applyNumberFormat="1" applyFont="1" applyFill="1" applyBorder="1">
      <alignment/>
      <protection/>
    </xf>
    <xf numFmtId="0" fontId="6" fillId="0" borderId="0" xfId="608" applyFont="1">
      <alignment/>
      <protection/>
    </xf>
    <xf numFmtId="170" fontId="6" fillId="0" borderId="0" xfId="95" applyNumberFormat="1" applyFont="1" applyFill="1" applyBorder="1" applyAlignment="1">
      <alignment/>
    </xf>
    <xf numFmtId="170" fontId="6" fillId="0" borderId="0" xfId="95" applyNumberFormat="1" applyFont="1" applyFill="1" applyBorder="1" applyAlignment="1">
      <alignment horizontal="right"/>
    </xf>
    <xf numFmtId="0" fontId="8" fillId="0" borderId="0" xfId="608" applyFont="1" applyFill="1" applyBorder="1" applyAlignment="1">
      <alignment horizontal="center"/>
      <protection/>
    </xf>
    <xf numFmtId="0" fontId="8" fillId="62" borderId="6" xfId="608" applyFont="1" applyFill="1" applyBorder="1" applyAlignment="1">
      <alignment horizontal="center" wrapText="1"/>
      <protection/>
    </xf>
    <xf numFmtId="0" fontId="8" fillId="62" borderId="26" xfId="608" applyFont="1" applyFill="1" applyBorder="1" applyAlignment="1">
      <alignment horizontal="center" wrapText="1"/>
      <protection/>
    </xf>
    <xf numFmtId="0" fontId="9" fillId="62" borderId="27" xfId="608" applyFont="1" applyFill="1" applyBorder="1">
      <alignment/>
      <protection/>
    </xf>
    <xf numFmtId="0" fontId="17" fillId="0" borderId="49" xfId="608" applyFont="1" applyBorder="1">
      <alignment/>
      <protection/>
    </xf>
    <xf numFmtId="0" fontId="17" fillId="0" borderId="49" xfId="608" applyFont="1" applyBorder="1" applyAlignment="1">
      <alignment horizontal="center"/>
      <protection/>
    </xf>
    <xf numFmtId="0" fontId="17" fillId="0" borderId="50" xfId="608" applyFont="1" applyBorder="1">
      <alignment/>
      <protection/>
    </xf>
    <xf numFmtId="0" fontId="17" fillId="0" borderId="0" xfId="608" applyFont="1" applyBorder="1" applyAlignment="1">
      <alignment horizontal="center" wrapText="1"/>
      <protection/>
    </xf>
    <xf numFmtId="0" fontId="17" fillId="0" borderId="34" xfId="608" applyFont="1" applyBorder="1">
      <alignment/>
      <protection/>
    </xf>
    <xf numFmtId="0" fontId="17" fillId="0" borderId="29" xfId="608" applyFont="1" applyFill="1" applyBorder="1">
      <alignment/>
      <protection/>
    </xf>
    <xf numFmtId="0" fontId="17" fillId="0" borderId="44" xfId="608" applyFont="1" applyFill="1" applyBorder="1">
      <alignment/>
      <protection/>
    </xf>
    <xf numFmtId="0" fontId="17" fillId="0" borderId="35" xfId="608" applyFont="1" applyFill="1" applyBorder="1">
      <alignment/>
      <protection/>
    </xf>
    <xf numFmtId="0" fontId="58" fillId="0" borderId="28" xfId="608" applyFont="1" applyBorder="1">
      <alignment/>
      <protection/>
    </xf>
    <xf numFmtId="179" fontId="17" fillId="0" borderId="44" xfId="608" applyNumberFormat="1" applyFont="1" applyFill="1" applyBorder="1">
      <alignment/>
      <protection/>
    </xf>
    <xf numFmtId="174" fontId="17" fillId="0" borderId="44" xfId="608" applyNumberFormat="1" applyFont="1" applyFill="1" applyBorder="1">
      <alignment/>
      <protection/>
    </xf>
    <xf numFmtId="189" fontId="17" fillId="0" borderId="44" xfId="608" applyNumberFormat="1" applyFont="1" applyFill="1" applyBorder="1">
      <alignment/>
      <protection/>
    </xf>
    <xf numFmtId="0" fontId="6" fillId="0" borderId="0" xfId="608" applyFont="1" applyFill="1" applyBorder="1" applyAlignment="1">
      <alignment horizontal="center" wrapText="1"/>
      <protection/>
    </xf>
    <xf numFmtId="0" fontId="8" fillId="0" borderId="0" xfId="608" applyFont="1" applyFill="1" applyBorder="1" applyAlignment="1">
      <alignment horizontal="center" wrapText="1"/>
      <protection/>
    </xf>
    <xf numFmtId="37" fontId="8" fillId="0" borderId="0" xfId="608" applyNumberFormat="1" applyFont="1" applyFill="1" applyBorder="1" applyAlignment="1">
      <alignment horizontal="center" wrapText="1"/>
      <protection/>
    </xf>
    <xf numFmtId="0" fontId="17" fillId="0" borderId="49" xfId="608" applyFont="1" applyBorder="1" applyAlignment="1">
      <alignment horizontal="center" wrapText="1"/>
      <protection/>
    </xf>
    <xf numFmtId="0" fontId="17" fillId="0" borderId="44" xfId="608" applyFont="1" applyFill="1" applyBorder="1" applyAlignment="1">
      <alignment horizontal="center" wrapText="1"/>
      <protection/>
    </xf>
    <xf numFmtId="5" fontId="8" fillId="0" borderId="34" xfId="608" applyNumberFormat="1" applyFont="1" applyFill="1" applyBorder="1">
      <alignment/>
      <protection/>
    </xf>
    <xf numFmtId="0" fontId="60" fillId="0" borderId="28" xfId="608" applyFont="1" applyFill="1" applyBorder="1">
      <alignment/>
      <protection/>
    </xf>
    <xf numFmtId="5" fontId="59" fillId="0" borderId="0" xfId="608" applyNumberFormat="1" applyFont="1" applyBorder="1" applyAlignment="1">
      <alignment horizontal="center" wrapText="1"/>
      <protection/>
    </xf>
    <xf numFmtId="0" fontId="8" fillId="0" borderId="28" xfId="608" applyFont="1" applyFill="1" applyBorder="1">
      <alignment/>
      <protection/>
    </xf>
    <xf numFmtId="5" fontId="6" fillId="0" borderId="44" xfId="608" applyNumberFormat="1" applyFont="1" applyFill="1" applyBorder="1" applyAlignment="1">
      <alignment horizontal="center" wrapText="1"/>
      <protection/>
    </xf>
    <xf numFmtId="0" fontId="8" fillId="0" borderId="34" xfId="608" applyFont="1" applyFill="1" applyBorder="1" applyAlignment="1">
      <alignment horizontal="center"/>
      <protection/>
    </xf>
    <xf numFmtId="0" fontId="8" fillId="0" borderId="28" xfId="608" applyFont="1" applyFill="1" applyBorder="1" applyAlignment="1">
      <alignment vertical="center"/>
      <protection/>
    </xf>
    <xf numFmtId="0" fontId="8" fillId="0" borderId="34" xfId="608" applyFont="1" applyFill="1" applyBorder="1">
      <alignment/>
      <protection/>
    </xf>
    <xf numFmtId="0" fontId="8" fillId="0" borderId="28" xfId="608" applyFont="1" applyFill="1" applyBorder="1" applyAlignment="1">
      <alignment horizontal="left" indent="1"/>
      <protection/>
    </xf>
    <xf numFmtId="170" fontId="8" fillId="0" borderId="34" xfId="95" applyNumberFormat="1" applyFont="1" applyFill="1" applyBorder="1" applyAlignment="1">
      <alignment/>
    </xf>
    <xf numFmtId="0" fontId="9" fillId="0" borderId="28" xfId="608" applyFont="1" applyFill="1" applyBorder="1">
      <alignment/>
      <protection/>
    </xf>
    <xf numFmtId="10" fontId="6" fillId="0" borderId="34" xfId="608" applyNumberFormat="1" applyFont="1" applyFill="1" applyBorder="1">
      <alignment/>
      <protection/>
    </xf>
    <xf numFmtId="0" fontId="6" fillId="0" borderId="28" xfId="608" applyFont="1" applyBorder="1">
      <alignment/>
      <protection/>
    </xf>
    <xf numFmtId="0" fontId="6" fillId="0" borderId="0" xfId="608" applyFont="1" applyBorder="1">
      <alignment/>
      <protection/>
    </xf>
    <xf numFmtId="173" fontId="17" fillId="0" borderId="0" xfId="235" applyNumberFormat="1" applyFont="1" applyBorder="1" applyAlignment="1">
      <alignment horizontal="center"/>
    </xf>
    <xf numFmtId="198" fontId="17" fillId="0" borderId="0" xfId="235" applyNumberFormat="1" applyFont="1" applyBorder="1" applyAlignment="1">
      <alignment horizontal="center"/>
    </xf>
    <xf numFmtId="0" fontId="61" fillId="62" borderId="27" xfId="608" applyFont="1" applyFill="1" applyBorder="1" applyAlignment="1">
      <alignment vertical="center"/>
      <protection/>
    </xf>
    <xf numFmtId="0" fontId="58" fillId="0" borderId="48" xfId="608" applyFont="1" applyBorder="1">
      <alignment/>
      <protection/>
    </xf>
    <xf numFmtId="5" fontId="6" fillId="0" borderId="49" xfId="608" applyNumberFormat="1" applyFont="1" applyFill="1" applyBorder="1">
      <alignment/>
      <protection/>
    </xf>
    <xf numFmtId="5" fontId="8" fillId="0" borderId="49" xfId="608" applyNumberFormat="1" applyFont="1" applyBorder="1" applyAlignment="1">
      <alignment horizontal="center" wrapText="1"/>
      <protection/>
    </xf>
    <xf numFmtId="9" fontId="6" fillId="0" borderId="49" xfId="982" applyFont="1" applyFill="1" applyBorder="1" applyAlignment="1">
      <alignment/>
    </xf>
    <xf numFmtId="5" fontId="8" fillId="0" borderId="50" xfId="608" applyNumberFormat="1" applyFont="1" applyFill="1" applyBorder="1">
      <alignment/>
      <protection/>
    </xf>
    <xf numFmtId="0" fontId="8" fillId="0" borderId="29" xfId="608" applyFont="1" applyFill="1" applyBorder="1">
      <alignment/>
      <protection/>
    </xf>
    <xf numFmtId="5" fontId="6" fillId="0" borderId="44" xfId="608" applyNumberFormat="1" applyFont="1" applyFill="1" applyBorder="1">
      <alignment/>
      <protection/>
    </xf>
    <xf numFmtId="5" fontId="6" fillId="0" borderId="35" xfId="608" applyNumberFormat="1" applyFont="1" applyFill="1" applyBorder="1">
      <alignment/>
      <protection/>
    </xf>
    <xf numFmtId="168" fontId="6" fillId="0" borderId="0" xfId="982" applyNumberFormat="1" applyFont="1" applyFill="1" applyBorder="1" applyAlignment="1">
      <alignment horizontal="right"/>
    </xf>
    <xf numFmtId="168" fontId="8" fillId="0" borderId="34" xfId="982" applyNumberFormat="1" applyFont="1" applyFill="1" applyBorder="1" applyAlignment="1">
      <alignment/>
    </xf>
    <xf numFmtId="7" fontId="0" fillId="59" borderId="0" xfId="81" applyNumberFormat="1" applyFont="1" applyFill="1" applyBorder="1" applyAlignment="1">
      <alignment/>
    </xf>
    <xf numFmtId="0" fontId="3" fillId="0" borderId="0" xfId="610">
      <alignment/>
      <protection/>
    </xf>
    <xf numFmtId="0" fontId="31" fillId="0" borderId="29" xfId="610" applyFont="1" applyFill="1" applyBorder="1">
      <alignment/>
      <protection/>
    </xf>
    <xf numFmtId="0" fontId="26" fillId="0" borderId="0" xfId="610" applyFont="1" applyFill="1" applyBorder="1">
      <alignment/>
      <protection/>
    </xf>
    <xf numFmtId="0" fontId="26" fillId="0" borderId="0" xfId="610" applyFont="1" applyFill="1" applyBorder="1" applyAlignment="1">
      <alignment vertical="center"/>
      <protection/>
    </xf>
    <xf numFmtId="0" fontId="27" fillId="0" borderId="27" xfId="610" applyFont="1" applyFill="1" applyBorder="1" applyAlignment="1">
      <alignment vertical="center"/>
      <protection/>
    </xf>
    <xf numFmtId="0" fontId="28" fillId="0" borderId="0" xfId="521" applyFont="1" applyFill="1" applyBorder="1">
      <alignment/>
      <protection/>
    </xf>
    <xf numFmtId="0" fontId="27" fillId="0" borderId="0" xfId="521" applyFont="1" applyFill="1" applyBorder="1">
      <alignment/>
      <protection/>
    </xf>
    <xf numFmtId="0" fontId="28" fillId="0" borderId="0" xfId="521" applyFont="1" applyFill="1" applyBorder="1" applyAlignment="1">
      <alignment horizontal="center" wrapText="1"/>
      <protection/>
    </xf>
    <xf numFmtId="0" fontId="27" fillId="0" borderId="6" xfId="521" applyFont="1" applyFill="1" applyBorder="1" applyAlignment="1">
      <alignment horizontal="center" wrapText="1"/>
      <protection/>
    </xf>
    <xf numFmtId="0" fontId="27" fillId="0" borderId="28" xfId="521" applyFont="1" applyFill="1" applyBorder="1">
      <alignment/>
      <protection/>
    </xf>
    <xf numFmtId="0" fontId="27" fillId="0" borderId="0" xfId="521" applyFont="1" applyFill="1" applyBorder="1" applyAlignment="1">
      <alignment horizontal="center" wrapText="1"/>
      <protection/>
    </xf>
    <xf numFmtId="0" fontId="27" fillId="0" borderId="0" xfId="521" applyFont="1" applyFill="1" applyBorder="1" applyAlignment="1">
      <alignment horizontal="center"/>
      <protection/>
    </xf>
    <xf numFmtId="0" fontId="27" fillId="0" borderId="34" xfId="521" applyFont="1" applyFill="1" applyBorder="1" applyAlignment="1">
      <alignment horizontal="center"/>
      <protection/>
    </xf>
    <xf numFmtId="0" fontId="27" fillId="0" borderId="28" xfId="521" applyFont="1" applyFill="1" applyBorder="1" applyAlignment="1">
      <alignment vertical="center"/>
      <protection/>
    </xf>
    <xf numFmtId="170" fontId="27" fillId="0" borderId="0" xfId="95" applyNumberFormat="1" applyFont="1" applyFill="1" applyBorder="1" applyAlignment="1">
      <alignment/>
    </xf>
    <xf numFmtId="0" fontId="27" fillId="0" borderId="34" xfId="521" applyFont="1" applyFill="1" applyBorder="1">
      <alignment/>
      <protection/>
    </xf>
    <xf numFmtId="170" fontId="28" fillId="0" borderId="0" xfId="114" applyNumberFormat="1" applyFont="1" applyFill="1" applyBorder="1" applyAlignment="1">
      <alignment/>
    </xf>
    <xf numFmtId="170" fontId="27" fillId="0" borderId="34" xfId="114" applyNumberFormat="1" applyFont="1" applyFill="1" applyBorder="1" applyAlignment="1">
      <alignment/>
    </xf>
    <xf numFmtId="0" fontId="28" fillId="0" borderId="0" xfId="521" applyFont="1" applyFill="1">
      <alignment/>
      <protection/>
    </xf>
    <xf numFmtId="10" fontId="28" fillId="0" borderId="0" xfId="984" applyNumberFormat="1" applyFont="1" applyFill="1" applyAlignment="1">
      <alignment/>
    </xf>
    <xf numFmtId="10" fontId="27" fillId="0" borderId="34" xfId="984" applyNumberFormat="1" applyFont="1" applyFill="1" applyBorder="1" applyAlignment="1">
      <alignment/>
    </xf>
    <xf numFmtId="0" fontId="39" fillId="0" borderId="28" xfId="521" applyFont="1" applyFill="1" applyBorder="1">
      <alignment/>
      <protection/>
    </xf>
    <xf numFmtId="3" fontId="28" fillId="0" borderId="0" xfId="114" applyNumberFormat="1" applyFont="1" applyFill="1" applyBorder="1" applyAlignment="1">
      <alignment/>
    </xf>
    <xf numFmtId="10" fontId="28" fillId="0" borderId="0" xfId="521" applyNumberFormat="1" applyFont="1" applyFill="1" applyBorder="1">
      <alignment/>
      <protection/>
    </xf>
    <xf numFmtId="10" fontId="28" fillId="0" borderId="34" xfId="521" applyNumberFormat="1" applyFont="1" applyFill="1" applyBorder="1">
      <alignment/>
      <protection/>
    </xf>
    <xf numFmtId="0" fontId="39" fillId="0" borderId="27" xfId="521" applyFont="1" applyFill="1" applyBorder="1">
      <alignment/>
      <protection/>
    </xf>
    <xf numFmtId="0" fontId="57" fillId="0" borderId="48" xfId="521" applyFont="1" applyFill="1" applyBorder="1">
      <alignment/>
      <protection/>
    </xf>
    <xf numFmtId="5" fontId="28" fillId="0" borderId="49" xfId="521" applyNumberFormat="1" applyFont="1" applyFill="1" applyBorder="1">
      <alignment/>
      <protection/>
    </xf>
    <xf numFmtId="5" fontId="27" fillId="0" borderId="49" xfId="521" applyNumberFormat="1" applyFont="1" applyFill="1" applyBorder="1" applyAlignment="1">
      <alignment horizontal="center" wrapText="1"/>
      <protection/>
    </xf>
    <xf numFmtId="9" fontId="28" fillId="0" borderId="49" xfId="937" applyFont="1" applyFill="1" applyBorder="1" applyAlignment="1">
      <alignment/>
    </xf>
    <xf numFmtId="5" fontId="27" fillId="0" borderId="50" xfId="521" applyNumberFormat="1" applyFont="1" applyFill="1" applyBorder="1">
      <alignment/>
      <protection/>
    </xf>
    <xf numFmtId="5" fontId="28" fillId="0" borderId="0" xfId="521" applyNumberFormat="1" applyFont="1" applyFill="1" applyBorder="1" applyAlignment="1">
      <alignment horizontal="center" wrapText="1"/>
      <protection/>
    </xf>
    <xf numFmtId="171" fontId="28" fillId="0" borderId="0" xfId="521" applyNumberFormat="1" applyFont="1" applyFill="1" applyBorder="1">
      <alignment/>
      <protection/>
    </xf>
    <xf numFmtId="5" fontId="27" fillId="0" borderId="0" xfId="521" applyNumberFormat="1" applyFont="1" applyFill="1" applyBorder="1">
      <alignment/>
      <protection/>
    </xf>
    <xf numFmtId="0" fontId="28" fillId="0" borderId="48" xfId="521" applyFont="1" applyFill="1" applyBorder="1">
      <alignment/>
      <protection/>
    </xf>
    <xf numFmtId="0" fontId="30" fillId="0" borderId="49" xfId="521" applyFont="1" applyFill="1" applyBorder="1">
      <alignment/>
      <protection/>
    </xf>
    <xf numFmtId="0" fontId="30" fillId="0" borderId="49" xfId="521" applyFont="1" applyFill="1" applyBorder="1" applyAlignment="1">
      <alignment horizontal="center" wrapText="1"/>
      <protection/>
    </xf>
    <xf numFmtId="0" fontId="30" fillId="0" borderId="49" xfId="521" applyFont="1" applyFill="1" applyBorder="1" applyAlignment="1">
      <alignment horizontal="center"/>
      <protection/>
    </xf>
    <xf numFmtId="0" fontId="30" fillId="0" borderId="50" xfId="521" applyFont="1" applyFill="1" applyBorder="1">
      <alignment/>
      <protection/>
    </xf>
    <xf numFmtId="0" fontId="3" fillId="0" borderId="28" xfId="521" applyFont="1" applyFill="1" applyBorder="1" applyAlignment="1">
      <alignment horizontal="left" indent="1"/>
      <protection/>
    </xf>
    <xf numFmtId="0" fontId="4" fillId="0" borderId="6" xfId="521" applyFont="1" applyFill="1" applyBorder="1" applyAlignment="1">
      <alignment horizontal="center" wrapText="1"/>
      <protection/>
    </xf>
    <xf numFmtId="0" fontId="4" fillId="0" borderId="26" xfId="521" applyFont="1" applyFill="1" applyBorder="1" applyAlignment="1">
      <alignment horizontal="center" wrapText="1"/>
      <protection/>
    </xf>
    <xf numFmtId="0" fontId="4" fillId="0" borderId="29" xfId="521" applyFont="1" applyFill="1" applyBorder="1" applyAlignment="1">
      <alignment horizontal="left" vertical="center"/>
      <protection/>
    </xf>
    <xf numFmtId="44" fontId="28" fillId="0" borderId="44" xfId="235" applyFont="1" applyFill="1" applyBorder="1" applyAlignment="1">
      <alignment vertical="center"/>
    </xf>
    <xf numFmtId="0" fontId="28" fillId="0" borderId="44" xfId="521" applyFont="1" applyFill="1" applyBorder="1" applyAlignment="1">
      <alignment horizontal="center" vertical="center" wrapText="1"/>
      <protection/>
    </xf>
    <xf numFmtId="170" fontId="27" fillId="0" borderId="35" xfId="114" applyNumberFormat="1" applyFont="1" applyFill="1" applyBorder="1" applyAlignment="1">
      <alignment vertical="center"/>
    </xf>
    <xf numFmtId="0" fontId="30" fillId="0" borderId="44" xfId="521" applyFont="1" applyFill="1" applyBorder="1" applyAlignment="1">
      <alignment vertical="center"/>
      <protection/>
    </xf>
    <xf numFmtId="0" fontId="27" fillId="0" borderId="44" xfId="521" applyFont="1" applyFill="1" applyBorder="1" applyAlignment="1">
      <alignment horizontal="center" vertical="center" wrapText="1"/>
      <protection/>
    </xf>
    <xf numFmtId="173" fontId="30" fillId="0" borderId="44" xfId="235" applyNumberFormat="1" applyFont="1" applyFill="1" applyBorder="1" applyAlignment="1">
      <alignment horizontal="center" vertical="center"/>
    </xf>
    <xf numFmtId="0" fontId="30" fillId="0" borderId="35" xfId="521" applyFont="1" applyFill="1" applyBorder="1" applyAlignment="1">
      <alignment vertical="center"/>
      <protection/>
    </xf>
    <xf numFmtId="0" fontId="27" fillId="0" borderId="27" xfId="521" applyFont="1" applyFill="1" applyBorder="1">
      <alignment/>
      <protection/>
    </xf>
    <xf numFmtId="1" fontId="0" fillId="59" borderId="37" xfId="0" applyNumberFormat="1" applyFill="1" applyBorder="1" applyAlignment="1">
      <alignment/>
    </xf>
    <xf numFmtId="0" fontId="3" fillId="0" borderId="0" xfId="612">
      <alignment/>
      <protection/>
    </xf>
    <xf numFmtId="0" fontId="4" fillId="0" borderId="0" xfId="612" applyFont="1" applyFill="1" applyBorder="1">
      <alignment/>
      <protection/>
    </xf>
    <xf numFmtId="0" fontId="3" fillId="0" borderId="0" xfId="612" applyFont="1" applyFill="1" applyBorder="1">
      <alignment/>
      <protection/>
    </xf>
    <xf numFmtId="0" fontId="3" fillId="0" borderId="0" xfId="612" applyFont="1" applyFill="1" applyBorder="1" applyAlignment="1">
      <alignment horizontal="center" wrapText="1"/>
      <protection/>
    </xf>
    <xf numFmtId="0" fontId="4" fillId="0" borderId="28" xfId="612" applyFont="1" applyFill="1" applyBorder="1">
      <alignment/>
      <protection/>
    </xf>
    <xf numFmtId="0" fontId="4" fillId="0" borderId="0" xfId="612" applyFont="1" applyFill="1" applyBorder="1" applyAlignment="1">
      <alignment horizontal="center" wrapText="1"/>
      <protection/>
    </xf>
    <xf numFmtId="170" fontId="4" fillId="0" borderId="0" xfId="95" applyNumberFormat="1" applyFont="1" applyFill="1" applyBorder="1" applyAlignment="1">
      <alignment/>
    </xf>
    <xf numFmtId="0" fontId="4" fillId="0" borderId="34" xfId="612" applyFont="1" applyFill="1" applyBorder="1">
      <alignment/>
      <protection/>
    </xf>
    <xf numFmtId="37" fontId="4" fillId="0" borderId="0" xfId="612" applyNumberFormat="1" applyFont="1" applyFill="1" applyBorder="1" applyAlignment="1">
      <alignment horizontal="center" wrapText="1"/>
      <protection/>
    </xf>
    <xf numFmtId="170" fontId="3" fillId="0" borderId="0" xfId="95" applyNumberFormat="1" applyFont="1" applyFill="1" applyBorder="1" applyAlignment="1">
      <alignment/>
    </xf>
    <xf numFmtId="170" fontId="4" fillId="0" borderId="34" xfId="95" applyNumberFormat="1" applyFont="1" applyFill="1" applyBorder="1" applyAlignment="1">
      <alignment/>
    </xf>
    <xf numFmtId="188" fontId="3" fillId="0" borderId="0" xfId="929" applyNumberFormat="1" applyFont="1" applyFill="1" applyBorder="1" applyAlignment="1">
      <alignment/>
    </xf>
    <xf numFmtId="188" fontId="4" fillId="0" borderId="34" xfId="929" applyNumberFormat="1" applyFont="1" applyFill="1" applyBorder="1" applyAlignment="1">
      <alignment/>
    </xf>
    <xf numFmtId="10" fontId="4" fillId="0" borderId="34" xfId="986" applyNumberFormat="1" applyFont="1" applyFill="1" applyBorder="1" applyAlignment="1">
      <alignment/>
    </xf>
    <xf numFmtId="0" fontId="32" fillId="0" borderId="28" xfId="612" applyFont="1" applyFill="1" applyBorder="1">
      <alignment/>
      <protection/>
    </xf>
    <xf numFmtId="3" fontId="3" fillId="0" borderId="0" xfId="95" applyNumberFormat="1" applyFont="1" applyFill="1" applyBorder="1" applyAlignment="1">
      <alignment/>
    </xf>
    <xf numFmtId="10" fontId="3" fillId="0" borderId="0" xfId="612" applyNumberFormat="1" applyFont="1" applyFill="1" applyBorder="1">
      <alignment/>
      <protection/>
    </xf>
    <xf numFmtId="10" fontId="3" fillId="0" borderId="34" xfId="612" applyNumberFormat="1" applyFont="1" applyFill="1" applyBorder="1">
      <alignment/>
      <protection/>
    </xf>
    <xf numFmtId="5" fontId="3" fillId="0" borderId="0" xfId="612" applyNumberFormat="1" applyFont="1" applyFill="1" applyBorder="1">
      <alignment/>
      <protection/>
    </xf>
    <xf numFmtId="5" fontId="3" fillId="0" borderId="0" xfId="612" applyNumberFormat="1" applyFont="1" applyFill="1" applyBorder="1" applyAlignment="1">
      <alignment horizontal="center" wrapText="1"/>
      <protection/>
    </xf>
    <xf numFmtId="171" fontId="3" fillId="0" borderId="0" xfId="612" applyNumberFormat="1" applyFont="1" applyFill="1" applyBorder="1">
      <alignment/>
      <protection/>
    </xf>
    <xf numFmtId="5" fontId="4" fillId="0" borderId="0" xfId="612" applyNumberFormat="1" applyFont="1" applyFill="1" applyBorder="1">
      <alignment/>
      <protection/>
    </xf>
    <xf numFmtId="189" fontId="4" fillId="0" borderId="0" xfId="612" applyNumberFormat="1" applyFont="1" applyFill="1" applyBorder="1">
      <alignment/>
      <protection/>
    </xf>
    <xf numFmtId="174" fontId="4" fillId="0" borderId="0" xfId="612" applyNumberFormat="1" applyFont="1" applyFill="1" applyBorder="1">
      <alignment/>
      <protection/>
    </xf>
    <xf numFmtId="179" fontId="4" fillId="0" borderId="0" xfId="612" applyNumberFormat="1" applyFont="1" applyFill="1" applyBorder="1">
      <alignment/>
      <protection/>
    </xf>
    <xf numFmtId="0" fontId="4" fillId="0" borderId="6" xfId="612" applyFont="1" applyFill="1" applyBorder="1" applyAlignment="1">
      <alignment horizontal="center" wrapText="1"/>
      <protection/>
    </xf>
    <xf numFmtId="0" fontId="4" fillId="0" borderId="26" xfId="612" applyFont="1" applyFill="1" applyBorder="1" applyAlignment="1">
      <alignment horizontal="center" wrapText="1"/>
      <protection/>
    </xf>
    <xf numFmtId="0" fontId="32" fillId="0" borderId="27" xfId="612" applyFont="1" applyFill="1" applyBorder="1">
      <alignment/>
      <protection/>
    </xf>
    <xf numFmtId="5" fontId="4" fillId="0" borderId="0" xfId="612" applyNumberFormat="1" applyFont="1" applyFill="1" applyBorder="1" applyAlignment="1">
      <alignment horizontal="center" wrapText="1"/>
      <protection/>
    </xf>
    <xf numFmtId="0" fontId="4" fillId="0" borderId="72" xfId="612" applyFont="1" applyFill="1" applyBorder="1">
      <alignment/>
      <protection/>
    </xf>
    <xf numFmtId="44" fontId="37" fillId="0" borderId="70" xfId="235" applyFont="1" applyFill="1" applyBorder="1" applyAlignment="1">
      <alignment horizontal="center" wrapText="1"/>
    </xf>
    <xf numFmtId="0" fontId="3" fillId="0" borderId="48" xfId="612" applyFont="1" applyFill="1" applyBorder="1">
      <alignment/>
      <protection/>
    </xf>
    <xf numFmtId="0" fontId="4" fillId="0" borderId="49" xfId="612" applyFont="1" applyFill="1" applyBorder="1">
      <alignment/>
      <protection/>
    </xf>
    <xf numFmtId="0" fontId="4" fillId="0" borderId="49" xfId="612" applyFont="1" applyFill="1" applyBorder="1" applyAlignment="1">
      <alignment horizontal="center" wrapText="1"/>
      <protection/>
    </xf>
    <xf numFmtId="0" fontId="4" fillId="0" borderId="49" xfId="612" applyFont="1" applyFill="1" applyBorder="1" applyAlignment="1">
      <alignment horizontal="center"/>
      <protection/>
    </xf>
    <xf numFmtId="0" fontId="4" fillId="0" borderId="50" xfId="612" applyFont="1" applyFill="1" applyBorder="1">
      <alignment/>
      <protection/>
    </xf>
    <xf numFmtId="170" fontId="3" fillId="0" borderId="0" xfId="95" applyNumberFormat="1" applyFont="1" applyFill="1" applyBorder="1" applyAlignment="1">
      <alignment horizontal="right"/>
    </xf>
    <xf numFmtId="7" fontId="4" fillId="0" borderId="70" xfId="235" applyNumberFormat="1" applyFont="1" applyFill="1" applyBorder="1" applyAlignment="1">
      <alignment/>
    </xf>
    <xf numFmtId="5" fontId="4" fillId="0" borderId="70" xfId="235" applyNumberFormat="1" applyFont="1" applyFill="1" applyBorder="1" applyAlignment="1">
      <alignment/>
    </xf>
    <xf numFmtId="0" fontId="4" fillId="0" borderId="28" xfId="612" applyFont="1" applyFill="1" applyBorder="1" applyAlignment="1">
      <alignment vertical="center"/>
      <protection/>
    </xf>
    <xf numFmtId="0" fontId="31" fillId="0" borderId="27" xfId="612" applyFont="1" applyFill="1" applyBorder="1" applyAlignment="1">
      <alignment vertical="center" wrapText="1"/>
      <protection/>
    </xf>
    <xf numFmtId="168" fontId="3" fillId="0" borderId="0" xfId="986" applyNumberFormat="1" applyFont="1" applyFill="1" applyBorder="1" applyAlignment="1">
      <alignment/>
    </xf>
    <xf numFmtId="5" fontId="4" fillId="0" borderId="71" xfId="235" applyNumberFormat="1" applyFont="1" applyFill="1" applyBorder="1" applyAlignment="1">
      <alignment/>
    </xf>
    <xf numFmtId="7" fontId="4" fillId="0" borderId="0" xfId="235" applyNumberFormat="1" applyFont="1" applyFill="1" applyBorder="1" applyAlignment="1">
      <alignment/>
    </xf>
    <xf numFmtId="44" fontId="37" fillId="0" borderId="0" xfId="235" applyFont="1" applyFill="1" applyBorder="1" applyAlignment="1">
      <alignment horizontal="center" wrapText="1"/>
    </xf>
    <xf numFmtId="5" fontId="4" fillId="0" borderId="0" xfId="235" applyNumberFormat="1" applyFont="1" applyFill="1" applyBorder="1" applyAlignment="1">
      <alignment/>
    </xf>
    <xf numFmtId="196" fontId="3" fillId="0" borderId="0" xfId="235" applyNumberFormat="1" applyFont="1" applyFill="1" applyBorder="1" applyAlignment="1">
      <alignment vertical="top"/>
    </xf>
    <xf numFmtId="195" fontId="3" fillId="0" borderId="0" xfId="235" applyNumberFormat="1" applyFont="1" applyFill="1" applyBorder="1" applyAlignment="1">
      <alignment vertical="top"/>
    </xf>
    <xf numFmtId="0" fontId="26" fillId="0" borderId="0" xfId="612" applyFont="1" applyFill="1" applyBorder="1">
      <alignment/>
      <protection/>
    </xf>
    <xf numFmtId="0" fontId="26" fillId="0" borderId="0" xfId="612" applyFont="1" applyFill="1">
      <alignment/>
      <protection/>
    </xf>
    <xf numFmtId="0" fontId="26" fillId="0" borderId="0" xfId="612" applyFont="1" applyFill="1" applyBorder="1" applyAlignment="1">
      <alignment horizontal="center"/>
      <protection/>
    </xf>
    <xf numFmtId="41" fontId="3" fillId="0" borderId="0" xfId="235" applyNumberFormat="1" applyFont="1" applyFill="1" applyBorder="1" applyAlignment="1">
      <alignment/>
    </xf>
    <xf numFmtId="41" fontId="3" fillId="0" borderId="0" xfId="235" applyNumberFormat="1" applyFont="1" applyFill="1" applyBorder="1" applyAlignment="1">
      <alignment vertical="top"/>
    </xf>
    <xf numFmtId="43" fontId="3" fillId="0" borderId="0" xfId="235" applyNumberFormat="1" applyFont="1" applyFill="1" applyBorder="1" applyAlignment="1">
      <alignment vertical="top"/>
    </xf>
    <xf numFmtId="5" fontId="3" fillId="0" borderId="0" xfId="612" applyNumberFormat="1" applyFont="1" applyFill="1" applyBorder="1" applyAlignment="1">
      <alignment horizontal="right" vertical="center"/>
      <protection/>
    </xf>
    <xf numFmtId="9" fontId="3" fillId="0" borderId="0" xfId="929" applyFont="1" applyFill="1" applyBorder="1" applyAlignment="1">
      <alignment horizontal="right" vertical="center"/>
    </xf>
    <xf numFmtId="5" fontId="4" fillId="0" borderId="34" xfId="612" applyNumberFormat="1" applyFont="1" applyFill="1" applyBorder="1" applyAlignment="1">
      <alignment horizontal="right" vertical="center"/>
      <protection/>
    </xf>
    <xf numFmtId="5" fontId="3" fillId="0" borderId="0" xfId="235" applyNumberFormat="1" applyFont="1" applyFill="1" applyBorder="1" applyAlignment="1">
      <alignment horizontal="right" vertical="center"/>
    </xf>
    <xf numFmtId="5" fontId="3" fillId="0" borderId="34" xfId="235" applyNumberFormat="1" applyFont="1" applyFill="1" applyBorder="1" applyAlignment="1">
      <alignment horizontal="right" vertical="center"/>
    </xf>
    <xf numFmtId="44" fontId="3" fillId="0" borderId="0" xfId="235" applyFont="1" applyFill="1" applyBorder="1" applyAlignment="1">
      <alignment horizontal="right" vertical="center"/>
    </xf>
    <xf numFmtId="44" fontId="4" fillId="0" borderId="34" xfId="235" applyFont="1" applyFill="1" applyBorder="1" applyAlignment="1">
      <alignment/>
    </xf>
    <xf numFmtId="0" fontId="31" fillId="0" borderId="27" xfId="612" applyFont="1" applyFill="1" applyBorder="1">
      <alignment/>
      <protection/>
    </xf>
    <xf numFmtId="0" fontId="4" fillId="0" borderId="6" xfId="612" applyFont="1" applyFill="1" applyBorder="1" applyAlignment="1">
      <alignment horizontal="right"/>
      <protection/>
    </xf>
    <xf numFmtId="0" fontId="3" fillId="0" borderId="6" xfId="612" applyFont="1" applyFill="1" applyBorder="1" applyAlignment="1">
      <alignment horizontal="center" wrapText="1"/>
      <protection/>
    </xf>
    <xf numFmtId="195" fontId="4" fillId="0" borderId="6" xfId="235" applyNumberFormat="1" applyFont="1" applyFill="1" applyBorder="1" applyAlignment="1">
      <alignment vertical="top"/>
    </xf>
    <xf numFmtId="173" fontId="4" fillId="0" borderId="26" xfId="235" applyNumberFormat="1" applyFont="1" applyFill="1" applyBorder="1" applyAlignment="1">
      <alignment/>
    </xf>
    <xf numFmtId="0" fontId="27" fillId="0" borderId="27" xfId="612" applyFont="1" applyFill="1" applyBorder="1" applyAlignment="1">
      <alignment vertical="center"/>
      <protection/>
    </xf>
    <xf numFmtId="0" fontId="27" fillId="0" borderId="28" xfId="612" applyFont="1" applyFill="1" applyBorder="1" applyAlignment="1">
      <alignment vertical="center"/>
      <protection/>
    </xf>
    <xf numFmtId="0" fontId="3" fillId="0" borderId="28" xfId="612" applyFont="1" applyFill="1" applyBorder="1" applyAlignment="1">
      <alignment horizontal="left" indent="1"/>
      <protection/>
    </xf>
    <xf numFmtId="168" fontId="3" fillId="0" borderId="0" xfId="986" applyNumberFormat="1" applyFont="1" applyFill="1" applyAlignment="1">
      <alignment/>
    </xf>
    <xf numFmtId="204" fontId="21" fillId="0" borderId="53" xfId="613" applyNumberFormat="1" applyFont="1" applyBorder="1" applyAlignment="1">
      <alignment/>
      <protection/>
    </xf>
    <xf numFmtId="204" fontId="21" fillId="0" borderId="34" xfId="613" applyNumberFormat="1" applyFont="1" applyBorder="1" applyAlignment="1">
      <alignment/>
      <protection/>
    </xf>
    <xf numFmtId="0" fontId="3" fillId="0" borderId="0" xfId="613">
      <alignment/>
      <protection/>
    </xf>
    <xf numFmtId="0" fontId="62" fillId="0" borderId="0" xfId="613" applyFont="1" applyAlignment="1">
      <alignment horizontal="center"/>
      <protection/>
    </xf>
    <xf numFmtId="0" fontId="63" fillId="0" borderId="0" xfId="613" applyFont="1" applyAlignment="1">
      <alignment horizontal="center"/>
      <protection/>
    </xf>
    <xf numFmtId="0" fontId="64" fillId="0" borderId="0" xfId="613" applyFont="1" applyAlignment="1">
      <alignment horizontal="center"/>
      <protection/>
    </xf>
    <xf numFmtId="0" fontId="22" fillId="0" borderId="26" xfId="613" applyFont="1" applyBorder="1" applyAlignment="1">
      <alignment horizontal="center"/>
      <protection/>
    </xf>
    <xf numFmtId="0" fontId="62" fillId="0" borderId="0" xfId="613" applyFont="1" applyAlignment="1">
      <alignment horizontal="left"/>
      <protection/>
    </xf>
    <xf numFmtId="0" fontId="21" fillId="0" borderId="27" xfId="613" applyFont="1" applyBorder="1" applyAlignment="1">
      <alignment/>
      <protection/>
    </xf>
    <xf numFmtId="0" fontId="22" fillId="0" borderId="50" xfId="613" applyFont="1" applyBorder="1" applyAlignment="1">
      <alignment/>
      <protection/>
    </xf>
    <xf numFmtId="0" fontId="21" fillId="0" borderId="0" xfId="613" applyFont="1" applyAlignment="1">
      <alignment/>
      <protection/>
    </xf>
    <xf numFmtId="0" fontId="22" fillId="0" borderId="48" xfId="613" applyFont="1" applyBorder="1" applyAlignment="1">
      <alignment/>
      <protection/>
    </xf>
    <xf numFmtId="0" fontId="22" fillId="0" borderId="34" xfId="613" applyFont="1" applyBorder="1" applyAlignment="1">
      <alignment/>
      <protection/>
    </xf>
    <xf numFmtId="0" fontId="22" fillId="0" borderId="28" xfId="613" applyFont="1" applyBorder="1" applyAlignment="1">
      <alignment/>
      <protection/>
    </xf>
    <xf numFmtId="0" fontId="21" fillId="0" borderId="34" xfId="613" applyFont="1" applyBorder="1" applyAlignment="1">
      <alignment/>
      <protection/>
    </xf>
    <xf numFmtId="0" fontId="21" fillId="0" borderId="28" xfId="613" applyFont="1" applyBorder="1" applyAlignment="1">
      <alignment/>
      <protection/>
    </xf>
    <xf numFmtId="204" fontId="21" fillId="0" borderId="34" xfId="613" applyNumberFormat="1" applyFont="1" applyBorder="1" applyAlignment="1" quotePrefix="1">
      <alignment/>
      <protection/>
    </xf>
    <xf numFmtId="204" fontId="21" fillId="0" borderId="53" xfId="613" applyNumberFormat="1" applyFont="1" applyBorder="1" applyAlignment="1" quotePrefix="1">
      <alignment/>
      <protection/>
    </xf>
    <xf numFmtId="204" fontId="21" fillId="0" borderId="34" xfId="224" applyNumberFormat="1" applyFont="1" applyBorder="1" applyAlignment="1">
      <alignment/>
    </xf>
    <xf numFmtId="204" fontId="21" fillId="0" borderId="35" xfId="224" applyNumberFormat="1" applyFont="1" applyBorder="1" applyAlignment="1">
      <alignment/>
    </xf>
    <xf numFmtId="0" fontId="21" fillId="0" borderId="29" xfId="613" applyFont="1" applyBorder="1" applyAlignment="1">
      <alignment/>
      <protection/>
    </xf>
    <xf numFmtId="0" fontId="3" fillId="0" borderId="0" xfId="613" applyAlignment="1">
      <alignment/>
      <protection/>
    </xf>
    <xf numFmtId="0" fontId="22" fillId="0" borderId="33" xfId="613" applyFont="1" applyBorder="1" applyAlignment="1">
      <alignment horizontal="center" vertical="center" wrapText="1"/>
      <protection/>
    </xf>
    <xf numFmtId="0" fontId="22" fillId="0" borderId="65" xfId="613" applyFont="1" applyBorder="1" applyAlignment="1">
      <alignment horizontal="right"/>
      <protection/>
    </xf>
    <xf numFmtId="0" fontId="22" fillId="0" borderId="66" xfId="613" applyFont="1" applyBorder="1" applyAlignment="1">
      <alignment horizontal="right"/>
      <protection/>
    </xf>
    <xf numFmtId="0" fontId="21" fillId="0" borderId="66" xfId="613" applyFont="1" applyBorder="1" applyAlignment="1">
      <alignment/>
      <protection/>
    </xf>
    <xf numFmtId="168" fontId="21" fillId="0" borderId="66" xfId="987" applyNumberFormat="1" applyFont="1" applyBorder="1" applyAlignment="1">
      <alignment/>
    </xf>
    <xf numFmtId="168" fontId="21" fillId="0" borderId="73" xfId="987" applyNumberFormat="1" applyFont="1" applyBorder="1" applyAlignment="1">
      <alignment/>
    </xf>
    <xf numFmtId="168" fontId="21" fillId="0" borderId="67" xfId="987" applyNumberFormat="1" applyFont="1" applyBorder="1" applyAlignment="1">
      <alignment/>
    </xf>
    <xf numFmtId="171" fontId="8" fillId="62" borderId="34" xfId="235" applyNumberFormat="1" applyFont="1" applyFill="1" applyBorder="1" applyAlignment="1">
      <alignment/>
    </xf>
    <xf numFmtId="171" fontId="8" fillId="0" borderId="0" xfId="235" applyNumberFormat="1" applyFont="1" applyFill="1" applyBorder="1" applyAlignment="1">
      <alignment/>
    </xf>
    <xf numFmtId="171" fontId="6" fillId="62" borderId="0" xfId="235" applyNumberFormat="1" applyFont="1" applyFill="1" applyBorder="1" applyAlignment="1">
      <alignment/>
    </xf>
    <xf numFmtId="44" fontId="8" fillId="62" borderId="34" xfId="235" applyNumberFormat="1" applyFont="1" applyFill="1" applyBorder="1" applyAlignment="1">
      <alignment/>
    </xf>
    <xf numFmtId="171" fontId="17" fillId="15" borderId="6" xfId="235" applyNumberFormat="1" applyFont="1" applyFill="1" applyBorder="1" applyAlignment="1">
      <alignment/>
    </xf>
    <xf numFmtId="171" fontId="17" fillId="15" borderId="26" xfId="235" applyNumberFormat="1" applyFont="1" applyFill="1" applyBorder="1" applyAlignment="1">
      <alignment/>
    </xf>
    <xf numFmtId="44" fontId="18" fillId="61" borderId="0" xfId="235" applyNumberFormat="1" applyFont="1" applyFill="1" applyBorder="1" applyAlignment="1">
      <alignment/>
    </xf>
    <xf numFmtId="171" fontId="17" fillId="61" borderId="34" xfId="235" applyNumberFormat="1" applyFont="1" applyFill="1" applyBorder="1" applyAlignment="1">
      <alignment/>
    </xf>
    <xf numFmtId="173" fontId="18" fillId="61" borderId="0" xfId="235" applyNumberFormat="1" applyFont="1" applyFill="1" applyBorder="1" applyAlignment="1">
      <alignment/>
    </xf>
    <xf numFmtId="171" fontId="6" fillId="62" borderId="44" xfId="235" applyNumberFormat="1" applyFont="1" applyFill="1" applyBorder="1" applyAlignment="1">
      <alignment/>
    </xf>
    <xf numFmtId="44" fontId="8" fillId="62" borderId="35" xfId="235" applyNumberFormat="1" applyFont="1" applyFill="1" applyBorder="1" applyAlignment="1">
      <alignment/>
    </xf>
    <xf numFmtId="171" fontId="6" fillId="62" borderId="34" xfId="235" applyNumberFormat="1" applyFont="1" applyFill="1" applyBorder="1" applyAlignment="1">
      <alignment/>
    </xf>
    <xf numFmtId="171" fontId="8" fillId="15" borderId="34" xfId="235" applyNumberFormat="1" applyFont="1" applyFill="1" applyBorder="1" applyAlignment="1">
      <alignment/>
    </xf>
    <xf numFmtId="170" fontId="6" fillId="54" borderId="0" xfId="95" applyNumberFormat="1" applyFont="1" applyFill="1" applyBorder="1" applyAlignment="1">
      <alignment/>
    </xf>
    <xf numFmtId="170" fontId="8" fillId="54" borderId="34" xfId="95" applyNumberFormat="1" applyFont="1" applyFill="1" applyBorder="1" applyAlignment="1">
      <alignment/>
    </xf>
    <xf numFmtId="170" fontId="6" fillId="54" borderId="0" xfId="95" applyNumberFormat="1" applyFont="1" applyFill="1" applyBorder="1" applyAlignment="1">
      <alignment horizontal="right"/>
    </xf>
    <xf numFmtId="170" fontId="12" fillId="54" borderId="0" xfId="95" applyNumberFormat="1" applyFont="1" applyFill="1" applyBorder="1" applyAlignment="1">
      <alignment/>
    </xf>
    <xf numFmtId="170" fontId="13" fillId="54" borderId="0" xfId="95" applyNumberFormat="1" applyFont="1" applyFill="1" applyBorder="1" applyAlignment="1">
      <alignment horizontal="right"/>
    </xf>
    <xf numFmtId="170" fontId="13" fillId="54" borderId="0" xfId="95" applyNumberFormat="1" applyFont="1" applyFill="1" applyBorder="1" applyAlignment="1">
      <alignment/>
    </xf>
    <xf numFmtId="171" fontId="8" fillId="61" borderId="50" xfId="235" applyNumberFormat="1" applyFont="1" applyFill="1" applyBorder="1" applyAlignment="1">
      <alignment/>
    </xf>
    <xf numFmtId="171" fontId="17" fillId="56" borderId="34" xfId="235" applyNumberFormat="1" applyFont="1" applyFill="1" applyBorder="1" applyAlignment="1">
      <alignment/>
    </xf>
    <xf numFmtId="171" fontId="6" fillId="56" borderId="0" xfId="235" applyNumberFormat="1" applyFont="1" applyFill="1" applyBorder="1" applyAlignment="1">
      <alignment/>
    </xf>
    <xf numFmtId="171" fontId="8" fillId="56" borderId="34" xfId="235" applyNumberFormat="1" applyFont="1" applyFill="1" applyBorder="1" applyAlignment="1">
      <alignment/>
    </xf>
    <xf numFmtId="171" fontId="6" fillId="46" borderId="49" xfId="235" applyNumberFormat="1" applyFont="1" applyFill="1" applyBorder="1" applyAlignment="1">
      <alignment/>
    </xf>
    <xf numFmtId="171" fontId="8" fillId="46" borderId="50" xfId="235" applyNumberFormat="1" applyFont="1" applyFill="1" applyBorder="1" applyAlignment="1">
      <alignment/>
    </xf>
    <xf numFmtId="171" fontId="6" fillId="46" borderId="0" xfId="235" applyNumberFormat="1" applyFont="1" applyFill="1" applyBorder="1" applyAlignment="1">
      <alignment/>
    </xf>
    <xf numFmtId="171" fontId="8" fillId="46" borderId="34" xfId="235" applyNumberFormat="1" applyFont="1" applyFill="1" applyBorder="1" applyAlignment="1">
      <alignment/>
    </xf>
    <xf numFmtId="171" fontId="6" fillId="46" borderId="44" xfId="235" applyNumberFormat="1" applyFont="1" applyFill="1" applyBorder="1" applyAlignment="1">
      <alignment/>
    </xf>
    <xf numFmtId="171" fontId="8" fillId="46" borderId="35" xfId="235" applyNumberFormat="1" applyFont="1" applyFill="1" applyBorder="1" applyAlignment="1">
      <alignment/>
    </xf>
    <xf numFmtId="170" fontId="18" fillId="61" borderId="0" xfId="95" applyNumberFormat="1" applyFont="1" applyFill="1" applyBorder="1" applyAlignment="1">
      <alignment/>
    </xf>
    <xf numFmtId="171" fontId="18" fillId="61" borderId="0" xfId="235" applyNumberFormat="1" applyFont="1" applyFill="1" applyBorder="1" applyAlignment="1">
      <alignment/>
    </xf>
    <xf numFmtId="173" fontId="17" fillId="61" borderId="0" xfId="235" applyNumberFormat="1" applyFont="1" applyFill="1" applyBorder="1" applyAlignment="1">
      <alignment/>
    </xf>
    <xf numFmtId="171" fontId="6" fillId="61" borderId="48" xfId="235" applyNumberFormat="1" applyFont="1" applyFill="1" applyBorder="1" applyAlignment="1">
      <alignment/>
    </xf>
    <xf numFmtId="171" fontId="18" fillId="61" borderId="28" xfId="235" applyNumberFormat="1" applyFont="1" applyFill="1" applyBorder="1" applyAlignment="1">
      <alignment/>
    </xf>
    <xf numFmtId="173" fontId="17" fillId="61" borderId="28" xfId="235" applyNumberFormat="1" applyFont="1" applyFill="1" applyBorder="1" applyAlignment="1">
      <alignment/>
    </xf>
    <xf numFmtId="170" fontId="18" fillId="61" borderId="28" xfId="95" applyNumberFormat="1" applyFont="1" applyFill="1" applyBorder="1" applyAlignment="1">
      <alignment/>
    </xf>
    <xf numFmtId="171" fontId="17" fillId="37" borderId="6" xfId="235" applyNumberFormat="1" applyFont="1" applyFill="1" applyBorder="1" applyAlignment="1">
      <alignment/>
    </xf>
    <xf numFmtId="171" fontId="17" fillId="37" borderId="26" xfId="235" applyNumberFormat="1" applyFont="1" applyFill="1" applyBorder="1" applyAlignment="1">
      <alignment/>
    </xf>
    <xf numFmtId="171" fontId="6" fillId="13" borderId="49" xfId="235" applyNumberFormat="1" applyFont="1" applyFill="1" applyBorder="1" applyAlignment="1">
      <alignment/>
    </xf>
    <xf numFmtId="171" fontId="6" fillId="13" borderId="0" xfId="235" applyNumberFormat="1" applyFont="1" applyFill="1" applyBorder="1" applyAlignment="1">
      <alignment/>
    </xf>
    <xf numFmtId="171" fontId="8" fillId="13" borderId="0" xfId="235" applyNumberFormat="1" applyFont="1" applyFill="1" applyBorder="1" applyAlignment="1">
      <alignment/>
    </xf>
    <xf numFmtId="171" fontId="8" fillId="13" borderId="74" xfId="235" applyNumberFormat="1" applyFont="1" applyFill="1" applyBorder="1" applyAlignment="1">
      <alignment/>
    </xf>
    <xf numFmtId="171" fontId="6" fillId="13" borderId="74" xfId="235" applyNumberFormat="1" applyFont="1" applyFill="1" applyBorder="1" applyAlignment="1">
      <alignment/>
    </xf>
    <xf numFmtId="175" fontId="17" fillId="61" borderId="0" xfId="235" applyNumberFormat="1" applyFont="1" applyFill="1" applyBorder="1" applyAlignment="1">
      <alignment/>
    </xf>
    <xf numFmtId="174" fontId="18" fillId="61" borderId="28" xfId="95" applyNumberFormat="1" applyFont="1" applyFill="1" applyBorder="1" applyAlignment="1">
      <alignment/>
    </xf>
    <xf numFmtId="174" fontId="18" fillId="61" borderId="0" xfId="95" applyNumberFormat="1" applyFont="1" applyFill="1" applyBorder="1" applyAlignment="1">
      <alignment/>
    </xf>
    <xf numFmtId="171" fontId="18" fillId="61" borderId="27" xfId="235" applyNumberFormat="1" applyFont="1" applyFill="1" applyBorder="1" applyAlignment="1">
      <alignment/>
    </xf>
    <xf numFmtId="171" fontId="17" fillId="61" borderId="26" xfId="235" applyNumberFormat="1" applyFont="1" applyFill="1" applyBorder="1" applyAlignment="1">
      <alignment/>
    </xf>
    <xf numFmtId="4" fontId="21" fillId="0" borderId="0" xfId="304" applyNumberFormat="1" applyFont="1" applyFill="1" applyBorder="1" applyAlignment="1">
      <alignment/>
    </xf>
    <xf numFmtId="177" fontId="21" fillId="0" borderId="0" xfId="304" applyNumberFormat="1" applyFont="1" applyFill="1" applyBorder="1" applyAlignment="1">
      <alignment/>
    </xf>
    <xf numFmtId="178" fontId="21" fillId="0" borderId="0" xfId="304" applyNumberFormat="1" applyFont="1" applyFill="1" applyBorder="1" applyAlignment="1">
      <alignment/>
    </xf>
    <xf numFmtId="171" fontId="18" fillId="61" borderId="44" xfId="235" applyNumberFormat="1" applyFont="1" applyFill="1" applyBorder="1" applyAlignment="1">
      <alignment/>
    </xf>
    <xf numFmtId="170" fontId="6" fillId="15" borderId="0" xfId="95" applyNumberFormat="1" applyFont="1" applyFill="1" applyBorder="1" applyAlignment="1">
      <alignment/>
    </xf>
    <xf numFmtId="170" fontId="6" fillId="15" borderId="29" xfId="95" applyNumberFormat="1" applyFont="1" applyFill="1" applyBorder="1" applyAlignment="1">
      <alignment/>
    </xf>
    <xf numFmtId="170" fontId="6" fillId="15" borderId="44" xfId="95" applyNumberFormat="1" applyFont="1" applyFill="1" applyBorder="1" applyAlignment="1">
      <alignment/>
    </xf>
    <xf numFmtId="171" fontId="8" fillId="62" borderId="44" xfId="235" applyNumberFormat="1" applyFont="1" applyFill="1" applyBorder="1" applyAlignment="1">
      <alignment/>
    </xf>
    <xf numFmtId="171" fontId="6" fillId="62" borderId="49" xfId="235" applyNumberFormat="1" applyFont="1" applyFill="1" applyBorder="1" applyAlignment="1">
      <alignment/>
    </xf>
    <xf numFmtId="171" fontId="8" fillId="62" borderId="49" xfId="235" applyNumberFormat="1" applyFont="1" applyFill="1" applyBorder="1" applyAlignment="1">
      <alignment/>
    </xf>
    <xf numFmtId="171" fontId="8" fillId="62" borderId="0" xfId="235" applyNumberFormat="1" applyFont="1" applyFill="1" applyBorder="1" applyAlignment="1">
      <alignment/>
    </xf>
    <xf numFmtId="171" fontId="17" fillId="62" borderId="0" xfId="235" applyNumberFormat="1" applyFont="1" applyFill="1" applyBorder="1" applyAlignment="1">
      <alignment/>
    </xf>
    <xf numFmtId="171" fontId="17" fillId="62" borderId="44" xfId="235" applyNumberFormat="1" applyFont="1" applyFill="1" applyBorder="1" applyAlignment="1">
      <alignment/>
    </xf>
    <xf numFmtId="171" fontId="6" fillId="0" borderId="0" xfId="235" applyNumberFormat="1" applyFont="1" applyFill="1" applyAlignment="1">
      <alignment/>
    </xf>
    <xf numFmtId="166" fontId="6" fillId="0" borderId="0" xfId="235" applyNumberFormat="1" applyFont="1" applyFill="1" applyAlignment="1">
      <alignment wrapText="1"/>
    </xf>
    <xf numFmtId="175" fontId="17" fillId="7" borderId="48" xfId="235" applyNumberFormat="1" applyFont="1" applyFill="1" applyBorder="1" applyAlignment="1">
      <alignment/>
    </xf>
    <xf numFmtId="175" fontId="17" fillId="7" borderId="49" xfId="235" applyNumberFormat="1" applyFont="1" applyFill="1" applyBorder="1" applyAlignment="1">
      <alignment/>
    </xf>
    <xf numFmtId="175" fontId="8" fillId="7" borderId="49" xfId="235" applyNumberFormat="1" applyFont="1" applyFill="1" applyBorder="1" applyAlignment="1">
      <alignment/>
    </xf>
    <xf numFmtId="175" fontId="8" fillId="7" borderId="0" xfId="235" applyNumberFormat="1" applyFont="1" applyFill="1" applyBorder="1" applyAlignment="1">
      <alignment/>
    </xf>
    <xf numFmtId="198" fontId="8" fillId="7" borderId="0" xfId="235" applyNumberFormat="1" applyFont="1" applyFill="1" applyBorder="1" applyAlignment="1">
      <alignment/>
    </xf>
    <xf numFmtId="175" fontId="17" fillId="7" borderId="28" xfId="235" applyNumberFormat="1" applyFont="1" applyFill="1" applyBorder="1" applyAlignment="1">
      <alignment/>
    </xf>
    <xf numFmtId="170" fontId="13" fillId="54" borderId="75" xfId="95" applyNumberFormat="1" applyFont="1" applyFill="1" applyBorder="1" applyAlignment="1">
      <alignment horizontal="right"/>
    </xf>
    <xf numFmtId="170" fontId="13" fillId="54" borderId="75" xfId="95" applyNumberFormat="1" applyFont="1" applyFill="1" applyBorder="1" applyAlignment="1">
      <alignment/>
    </xf>
    <xf numFmtId="170" fontId="8" fillId="54" borderId="76" xfId="95" applyNumberFormat="1" applyFont="1" applyFill="1" applyBorder="1" applyAlignment="1">
      <alignment/>
    </xf>
    <xf numFmtId="171" fontId="17" fillId="9" borderId="6" xfId="235" applyNumberFormat="1" applyFont="1" applyFill="1" applyBorder="1" applyAlignment="1">
      <alignment/>
    </xf>
    <xf numFmtId="171" fontId="17" fillId="9" borderId="26" xfId="235" applyNumberFormat="1" applyFont="1" applyFill="1" applyBorder="1" applyAlignment="1">
      <alignment/>
    </xf>
    <xf numFmtId="171" fontId="17" fillId="56" borderId="0" xfId="235" applyNumberFormat="1" applyFont="1" applyFill="1" applyBorder="1" applyAlignment="1">
      <alignment/>
    </xf>
    <xf numFmtId="171" fontId="17" fillId="37" borderId="0" xfId="235" applyNumberFormat="1" applyFont="1" applyFill="1" applyBorder="1" applyAlignment="1">
      <alignment/>
    </xf>
    <xf numFmtId="171" fontId="17" fillId="5" borderId="34" xfId="235" applyNumberFormat="1" applyFont="1" applyFill="1" applyBorder="1" applyAlignment="1">
      <alignment/>
    </xf>
    <xf numFmtId="171" fontId="17" fillId="5" borderId="0" xfId="235" applyNumberFormat="1" applyFont="1" applyFill="1" applyBorder="1" applyAlignment="1">
      <alignment/>
    </xf>
    <xf numFmtId="168" fontId="8" fillId="62" borderId="34" xfId="235" applyNumberFormat="1" applyFont="1" applyFill="1" applyBorder="1" applyAlignment="1">
      <alignment/>
    </xf>
    <xf numFmtId="4" fontId="21" fillId="48" borderId="0" xfId="304" applyNumberFormat="1" applyFont="1" applyFill="1" applyBorder="1" applyAlignment="1">
      <alignment/>
    </xf>
    <xf numFmtId="4" fontId="21" fillId="48" borderId="44" xfId="304" applyNumberFormat="1" applyFont="1" applyFill="1" applyBorder="1" applyAlignment="1">
      <alignment/>
    </xf>
    <xf numFmtId="170" fontId="6" fillId="48" borderId="0" xfId="95" applyNumberFormat="1" applyFont="1" applyFill="1" applyBorder="1" applyAlignment="1">
      <alignment/>
    </xf>
    <xf numFmtId="170" fontId="6" fillId="48" borderId="29" xfId="95" applyNumberFormat="1" applyFont="1" applyFill="1" applyBorder="1" applyAlignment="1">
      <alignment horizontal="center" wrapText="1"/>
    </xf>
    <xf numFmtId="170" fontId="6" fillId="48" borderId="44" xfId="95" applyNumberFormat="1" applyFont="1" applyFill="1" applyBorder="1" applyAlignment="1">
      <alignment/>
    </xf>
    <xf numFmtId="171" fontId="6" fillId="48" borderId="0" xfId="235" applyNumberFormat="1" applyFont="1" applyFill="1" applyBorder="1" applyAlignment="1">
      <alignment/>
    </xf>
    <xf numFmtId="44" fontId="6" fillId="48" borderId="0" xfId="235" applyNumberFormat="1" applyFont="1" applyFill="1" applyBorder="1" applyAlignment="1">
      <alignment/>
    </xf>
    <xf numFmtId="171" fontId="6" fillId="48" borderId="34" xfId="235" applyNumberFormat="1" applyFont="1" applyFill="1" applyBorder="1" applyAlignment="1">
      <alignment/>
    </xf>
    <xf numFmtId="171" fontId="6" fillId="48" borderId="44" xfId="235" applyNumberFormat="1" applyFont="1" applyFill="1" applyBorder="1" applyAlignment="1">
      <alignment/>
    </xf>
    <xf numFmtId="171" fontId="6" fillId="48" borderId="35" xfId="235" applyNumberFormat="1" applyFont="1" applyFill="1" applyBorder="1" applyAlignment="1">
      <alignment/>
    </xf>
    <xf numFmtId="171" fontId="6" fillId="48" borderId="49" xfId="235" applyNumberFormat="1" applyFont="1" applyFill="1" applyBorder="1" applyAlignment="1">
      <alignment/>
    </xf>
    <xf numFmtId="171" fontId="6" fillId="48" borderId="50" xfId="235" applyNumberFormat="1" applyFont="1" applyFill="1" applyBorder="1" applyAlignment="1">
      <alignment/>
    </xf>
    <xf numFmtId="171" fontId="17" fillId="48" borderId="44" xfId="235" applyNumberFormat="1" applyFont="1" applyFill="1" applyBorder="1" applyAlignment="1">
      <alignment/>
    </xf>
    <xf numFmtId="171" fontId="17" fillId="48" borderId="35" xfId="235" applyNumberFormat="1" applyFont="1" applyFill="1" applyBorder="1" applyAlignment="1">
      <alignment/>
    </xf>
    <xf numFmtId="175" fontId="8" fillId="48" borderId="48" xfId="235" applyNumberFormat="1" applyFont="1" applyFill="1" applyBorder="1" applyAlignment="1">
      <alignment horizontal="center" wrapText="1"/>
    </xf>
    <xf numFmtId="175" fontId="8" fillId="48" borderId="49" xfId="235" applyNumberFormat="1" applyFont="1" applyFill="1" applyBorder="1" applyAlignment="1">
      <alignment/>
    </xf>
    <xf numFmtId="44" fontId="8" fillId="48" borderId="49" xfId="235" applyNumberFormat="1" applyFont="1" applyFill="1" applyBorder="1" applyAlignment="1">
      <alignment/>
    </xf>
    <xf numFmtId="175" fontId="8" fillId="48" borderId="50" xfId="235" applyNumberFormat="1" applyFont="1" applyFill="1" applyBorder="1" applyAlignment="1">
      <alignment/>
    </xf>
    <xf numFmtId="199" fontId="8" fillId="48" borderId="0" xfId="235" applyNumberFormat="1" applyFont="1" applyFill="1" applyBorder="1" applyAlignment="1">
      <alignment/>
    </xf>
    <xf numFmtId="44" fontId="8" fillId="48" borderId="0" xfId="235" applyNumberFormat="1" applyFont="1" applyFill="1" applyBorder="1" applyAlignment="1">
      <alignment/>
    </xf>
    <xf numFmtId="175" fontId="8" fillId="48" borderId="34" xfId="235" applyNumberFormat="1" applyFont="1" applyFill="1" applyBorder="1" applyAlignment="1">
      <alignment/>
    </xf>
    <xf numFmtId="175" fontId="8" fillId="48" borderId="28" xfId="235" applyNumberFormat="1" applyFont="1" applyFill="1" applyBorder="1" applyAlignment="1">
      <alignment horizontal="center" wrapText="1"/>
    </xf>
    <xf numFmtId="173" fontId="8" fillId="48" borderId="0" xfId="235" applyNumberFormat="1" applyFont="1" applyFill="1" applyBorder="1" applyAlignment="1">
      <alignment/>
    </xf>
    <xf numFmtId="175" fontId="8" fillId="48" borderId="0" xfId="235" applyNumberFormat="1" applyFont="1" applyFill="1" applyBorder="1" applyAlignment="1">
      <alignment/>
    </xf>
    <xf numFmtId="198" fontId="8" fillId="48" borderId="0" xfId="235" applyNumberFormat="1" applyFont="1" applyFill="1" applyBorder="1" applyAlignment="1">
      <alignment/>
    </xf>
    <xf numFmtId="44" fontId="17" fillId="51" borderId="0" xfId="23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62" borderId="48" xfId="0" applyFont="1" applyFill="1" applyBorder="1" applyAlignment="1">
      <alignment vertical="center"/>
    </xf>
    <xf numFmtId="0" fontId="8" fillId="62" borderId="49" xfId="0" applyFont="1" applyFill="1" applyBorder="1" applyAlignment="1">
      <alignment horizontal="center" wrapText="1"/>
    </xf>
    <xf numFmtId="0" fontId="8" fillId="62" borderId="5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49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168" fontId="6" fillId="0" borderId="0" xfId="756" applyNumberFormat="1" applyFont="1" applyFill="1" applyBorder="1" applyAlignment="1">
      <alignment/>
    </xf>
    <xf numFmtId="0" fontId="10" fillId="5" borderId="48" xfId="0" applyFont="1" applyFill="1" applyBorder="1" applyAlignment="1">
      <alignment horizontal="left" indent="1"/>
    </xf>
    <xf numFmtId="0" fontId="11" fillId="5" borderId="49" xfId="0" applyFont="1" applyFill="1" applyBorder="1" applyAlignment="1">
      <alignment/>
    </xf>
    <xf numFmtId="0" fontId="11" fillId="5" borderId="49" xfId="0" applyFont="1" applyFill="1" applyBorder="1" applyAlignment="1">
      <alignment horizontal="center" wrapText="1"/>
    </xf>
    <xf numFmtId="10" fontId="11" fillId="5" borderId="49" xfId="0" applyNumberFormat="1" applyFont="1" applyFill="1" applyBorder="1" applyAlignment="1">
      <alignment/>
    </xf>
    <xf numFmtId="168" fontId="11" fillId="5" borderId="50" xfId="756" applyNumberFormat="1" applyFont="1" applyFill="1" applyBorder="1" applyAlignment="1">
      <alignment/>
    </xf>
    <xf numFmtId="0" fontId="8" fillId="54" borderId="28" xfId="0" applyFont="1" applyFill="1" applyBorder="1" applyAlignment="1">
      <alignment horizontal="left" indent="1"/>
    </xf>
    <xf numFmtId="0" fontId="8" fillId="54" borderId="0" xfId="0" applyFont="1" applyFill="1" applyBorder="1" applyAlignment="1">
      <alignment/>
    </xf>
    <xf numFmtId="0" fontId="9" fillId="56" borderId="0" xfId="0" applyFont="1" applyFill="1" applyBorder="1" applyAlignment="1">
      <alignment horizontal="left" wrapText="1"/>
    </xf>
    <xf numFmtId="170" fontId="8" fillId="0" borderId="0" xfId="0" applyNumberFormat="1" applyFont="1" applyFill="1" applyBorder="1" applyAlignment="1">
      <alignment/>
    </xf>
    <xf numFmtId="0" fontId="8" fillId="54" borderId="28" xfId="0" applyFont="1" applyFill="1" applyBorder="1" applyAlignment="1">
      <alignment horizontal="left" wrapText="1" indent="1"/>
    </xf>
    <xf numFmtId="171" fontId="8" fillId="0" borderId="0" xfId="0" applyNumberFormat="1" applyFont="1" applyFill="1" applyBorder="1" applyAlignment="1">
      <alignment/>
    </xf>
    <xf numFmtId="0" fontId="8" fillId="54" borderId="77" xfId="0" applyFont="1" applyFill="1" applyBorder="1" applyAlignment="1">
      <alignment horizontal="left" vertical="top" wrapText="1" indent="1"/>
    </xf>
    <xf numFmtId="0" fontId="8" fillId="54" borderId="75" xfId="0" applyFont="1" applyFill="1" applyBorder="1" applyAlignment="1">
      <alignment/>
    </xf>
    <xf numFmtId="0" fontId="9" fillId="56" borderId="75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/>
    </xf>
    <xf numFmtId="170" fontId="8" fillId="0" borderId="34" xfId="0" applyNumberFormat="1" applyFont="1" applyFill="1" applyBorder="1" applyAlignment="1">
      <alignment/>
    </xf>
    <xf numFmtId="171" fontId="8" fillId="0" borderId="33" xfId="0" applyNumberFormat="1" applyFont="1" applyFill="1" applyBorder="1" applyAlignment="1">
      <alignment/>
    </xf>
    <xf numFmtId="5" fontId="8" fillId="7" borderId="28" xfId="0" applyNumberFormat="1" applyFont="1" applyFill="1" applyBorder="1" applyAlignment="1">
      <alignment horizontal="left" indent="1"/>
    </xf>
    <xf numFmtId="0" fontId="6" fillId="7" borderId="0" xfId="0" applyFont="1" applyFill="1" applyBorder="1" applyAlignment="1">
      <alignment/>
    </xf>
    <xf numFmtId="10" fontId="6" fillId="7" borderId="0" xfId="756" applyNumberFormat="1" applyFont="1" applyFill="1" applyBorder="1" applyAlignment="1">
      <alignment/>
    </xf>
    <xf numFmtId="168" fontId="8" fillId="7" borderId="34" xfId="756" applyNumberFormat="1" applyFont="1" applyFill="1" applyBorder="1" applyAlignment="1">
      <alignment/>
    </xf>
    <xf numFmtId="0" fontId="8" fillId="7" borderId="28" xfId="0" applyFont="1" applyFill="1" applyBorder="1" applyAlignment="1">
      <alignment horizontal="left" indent="1"/>
    </xf>
    <xf numFmtId="0" fontId="5" fillId="37" borderId="28" xfId="0" applyFont="1" applyFill="1" applyBorder="1" applyAlignment="1">
      <alignment horizontal="left" indent="1"/>
    </xf>
    <xf numFmtId="0" fontId="5" fillId="37" borderId="0" xfId="0" applyFont="1" applyFill="1" applyBorder="1" applyAlignment="1" quotePrefix="1">
      <alignment/>
    </xf>
    <xf numFmtId="37" fontId="6" fillId="0" borderId="0" xfId="0" applyNumberFormat="1" applyFont="1" applyFill="1" applyAlignment="1">
      <alignment/>
    </xf>
    <xf numFmtId="168" fontId="6" fillId="0" borderId="0" xfId="756" applyNumberFormat="1" applyFont="1" applyFill="1" applyAlignment="1">
      <alignment/>
    </xf>
    <xf numFmtId="0" fontId="8" fillId="7" borderId="29" xfId="0" applyFont="1" applyFill="1" applyBorder="1" applyAlignment="1">
      <alignment horizontal="left" indent="1"/>
    </xf>
    <xf numFmtId="0" fontId="6" fillId="7" borderId="44" xfId="0" applyFont="1" applyFill="1" applyBorder="1" applyAlignment="1">
      <alignment/>
    </xf>
    <xf numFmtId="10" fontId="6" fillId="7" borderId="44" xfId="0" applyNumberFormat="1" applyFont="1" applyFill="1" applyBorder="1" applyAlignment="1">
      <alignment/>
    </xf>
    <xf numFmtId="168" fontId="8" fillId="7" borderId="35" xfId="756" applyNumberFormat="1" applyFont="1" applyFill="1" applyBorder="1" applyAlignment="1">
      <alignment/>
    </xf>
    <xf numFmtId="0" fontId="8" fillId="56" borderId="28" xfId="0" applyFont="1" applyFill="1" applyBorder="1" applyAlignment="1">
      <alignment horizontal="left" indent="1"/>
    </xf>
    <xf numFmtId="0" fontId="8" fillId="56" borderId="0" xfId="0" applyFont="1" applyFill="1" applyBorder="1" applyAlignment="1">
      <alignment horizontal="center" wrapText="1"/>
    </xf>
    <xf numFmtId="10" fontId="6" fillId="56" borderId="0" xfId="0" applyNumberFormat="1" applyFont="1" applyFill="1" applyBorder="1" applyAlignment="1">
      <alignment/>
    </xf>
    <xf numFmtId="168" fontId="8" fillId="56" borderId="34" xfId="756" applyNumberFormat="1" applyFont="1" applyFill="1" applyBorder="1" applyAlignment="1">
      <alignment/>
    </xf>
    <xf numFmtId="172" fontId="6" fillId="56" borderId="0" xfId="0" applyNumberFormat="1" applyFont="1" applyFill="1" applyBorder="1" applyAlignment="1">
      <alignment/>
    </xf>
    <xf numFmtId="0" fontId="8" fillId="62" borderId="28" xfId="0" applyFont="1" applyFill="1" applyBorder="1" applyAlignment="1">
      <alignment horizontal="left" indent="1"/>
    </xf>
    <xf numFmtId="0" fontId="6" fillId="62" borderId="0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0" fontId="8" fillId="62" borderId="0" xfId="756" applyNumberFormat="1" applyFont="1" applyFill="1" applyBorder="1" applyAlignment="1">
      <alignment/>
    </xf>
    <xf numFmtId="10" fontId="8" fillId="62" borderId="34" xfId="756" applyNumberFormat="1" applyFont="1" applyFill="1" applyBorder="1" applyAlignment="1">
      <alignment/>
    </xf>
    <xf numFmtId="168" fontId="6" fillId="62" borderId="0" xfId="756" applyNumberFormat="1" applyFont="1" applyFill="1" applyBorder="1" applyAlignment="1">
      <alignment/>
    </xf>
    <xf numFmtId="0" fontId="6" fillId="5" borderId="49" xfId="0" applyFont="1" applyFill="1" applyBorder="1" applyAlignment="1">
      <alignment/>
    </xf>
    <xf numFmtId="0" fontId="8" fillId="5" borderId="49" xfId="0" applyFont="1" applyFill="1" applyBorder="1" applyAlignment="1">
      <alignment horizontal="center" wrapText="1"/>
    </xf>
    <xf numFmtId="10" fontId="6" fillId="5" borderId="49" xfId="0" applyNumberFormat="1" applyFont="1" applyFill="1" applyBorder="1" applyAlignment="1">
      <alignment/>
    </xf>
    <xf numFmtId="168" fontId="8" fillId="5" borderId="50" xfId="756" applyNumberFormat="1" applyFont="1" applyFill="1" applyBorder="1" applyAlignment="1">
      <alignment/>
    </xf>
    <xf numFmtId="0" fontId="8" fillId="62" borderId="29" xfId="0" applyFont="1" applyFill="1" applyBorder="1" applyAlignment="1">
      <alignment horizontal="left" indent="1"/>
    </xf>
    <xf numFmtId="0" fontId="6" fillId="62" borderId="44" xfId="0" applyFont="1" applyFill="1" applyBorder="1" applyAlignment="1">
      <alignment/>
    </xf>
    <xf numFmtId="0" fontId="8" fillId="56" borderId="44" xfId="0" applyFont="1" applyFill="1" applyBorder="1" applyAlignment="1">
      <alignment horizontal="center" wrapText="1"/>
    </xf>
    <xf numFmtId="0" fontId="5" fillId="37" borderId="48" xfId="0" applyFont="1" applyFill="1" applyBorder="1" applyAlignment="1">
      <alignment horizontal="left" indent="1"/>
    </xf>
    <xf numFmtId="0" fontId="14" fillId="37" borderId="49" xfId="0" applyFont="1" applyFill="1" applyBorder="1" applyAlignment="1">
      <alignment/>
    </xf>
    <xf numFmtId="0" fontId="5" fillId="37" borderId="49" xfId="0" applyFont="1" applyFill="1" applyBorder="1" applyAlignment="1">
      <alignment horizontal="center" wrapText="1"/>
    </xf>
    <xf numFmtId="10" fontId="5" fillId="37" borderId="50" xfId="756" applyNumberFormat="1" applyFont="1" applyFill="1" applyBorder="1" applyAlignment="1">
      <alignment/>
    </xf>
    <xf numFmtId="10" fontId="6" fillId="56" borderId="0" xfId="756" applyNumberFormat="1" applyFont="1" applyFill="1" applyBorder="1" applyAlignment="1">
      <alignment/>
    </xf>
    <xf numFmtId="10" fontId="8" fillId="56" borderId="34" xfId="756" applyNumberFormat="1" applyFont="1" applyFill="1" applyBorder="1" applyAlignment="1">
      <alignment/>
    </xf>
    <xf numFmtId="0" fontId="8" fillId="15" borderId="28" xfId="0" applyFont="1" applyFill="1" applyBorder="1" applyAlignment="1">
      <alignment horizontal="left" indent="1"/>
    </xf>
    <xf numFmtId="0" fontId="6" fillId="15" borderId="0" xfId="0" applyFont="1" applyFill="1" applyBorder="1" applyAlignment="1">
      <alignment/>
    </xf>
    <xf numFmtId="171" fontId="6" fillId="15" borderId="34" xfId="0" applyNumberFormat="1" applyFont="1" applyFill="1" applyBorder="1" applyAlignment="1">
      <alignment/>
    </xf>
    <xf numFmtId="0" fontId="8" fillId="15" borderId="29" xfId="0" applyFont="1" applyFill="1" applyBorder="1" applyAlignment="1">
      <alignment horizontal="left" indent="1"/>
    </xf>
    <xf numFmtId="0" fontId="6" fillId="15" borderId="44" xfId="0" applyFont="1" applyFill="1" applyBorder="1" applyAlignment="1">
      <alignment/>
    </xf>
    <xf numFmtId="168" fontId="8" fillId="15" borderId="35" xfId="756" applyNumberFormat="1" applyFont="1" applyFill="1" applyBorder="1" applyAlignment="1">
      <alignment/>
    </xf>
    <xf numFmtId="10" fontId="8" fillId="56" borderId="0" xfId="756" applyNumberFormat="1" applyFont="1" applyFill="1" applyBorder="1" applyAlignment="1">
      <alignment/>
    </xf>
    <xf numFmtId="0" fontId="15" fillId="46" borderId="48" xfId="0" applyFont="1" applyFill="1" applyBorder="1" applyAlignment="1">
      <alignment horizontal="left" indent="1"/>
    </xf>
    <xf numFmtId="0" fontId="16" fillId="46" borderId="49" xfId="0" applyFont="1" applyFill="1" applyBorder="1" applyAlignment="1">
      <alignment wrapText="1"/>
    </xf>
    <xf numFmtId="0" fontId="8" fillId="46" borderId="49" xfId="0" applyFont="1" applyFill="1" applyBorder="1" applyAlignment="1">
      <alignment horizontal="center" wrapText="1"/>
    </xf>
    <xf numFmtId="172" fontId="6" fillId="46" borderId="0" xfId="0" applyNumberFormat="1" applyFont="1" applyFill="1" applyBorder="1" applyAlignment="1">
      <alignment/>
    </xf>
    <xf numFmtId="0" fontId="6" fillId="46" borderId="0" xfId="0" applyFont="1" applyFill="1" applyBorder="1" applyAlignment="1">
      <alignment/>
    </xf>
    <xf numFmtId="0" fontId="8" fillId="46" borderId="28" xfId="0" applyFont="1" applyFill="1" applyBorder="1" applyAlignment="1">
      <alignment horizontal="left" indent="1"/>
    </xf>
    <xf numFmtId="0" fontId="16" fillId="46" borderId="0" xfId="0" applyFont="1" applyFill="1" applyBorder="1" applyAlignment="1">
      <alignment wrapText="1"/>
    </xf>
    <xf numFmtId="0" fontId="8" fillId="46" borderId="0" xfId="0" applyFont="1" applyFill="1" applyBorder="1" applyAlignment="1">
      <alignment horizontal="center" wrapText="1"/>
    </xf>
    <xf numFmtId="9" fontId="6" fillId="46" borderId="0" xfId="756" applyFont="1" applyFill="1" applyBorder="1" applyAlignment="1">
      <alignment/>
    </xf>
    <xf numFmtId="9" fontId="8" fillId="46" borderId="34" xfId="756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6" fillId="46" borderId="0" xfId="0" applyNumberFormat="1" applyFont="1" applyFill="1" applyBorder="1" applyAlignment="1">
      <alignment/>
    </xf>
    <xf numFmtId="168" fontId="8" fillId="46" borderId="34" xfId="756" applyNumberFormat="1" applyFont="1" applyFill="1" applyBorder="1" applyAlignment="1">
      <alignment/>
    </xf>
    <xf numFmtId="0" fontId="8" fillId="46" borderId="29" xfId="0" applyFont="1" applyFill="1" applyBorder="1" applyAlignment="1">
      <alignment horizontal="left" indent="1"/>
    </xf>
    <xf numFmtId="0" fontId="16" fillId="46" borderId="44" xfId="0" applyFont="1" applyFill="1" applyBorder="1" applyAlignment="1">
      <alignment wrapText="1"/>
    </xf>
    <xf numFmtId="0" fontId="8" fillId="46" borderId="44" xfId="0" applyFont="1" applyFill="1" applyBorder="1" applyAlignment="1">
      <alignment horizontal="center" wrapText="1"/>
    </xf>
    <xf numFmtId="0" fontId="6" fillId="56" borderId="28" xfId="0" applyFont="1" applyFill="1" applyBorder="1" applyAlignment="1">
      <alignment/>
    </xf>
    <xf numFmtId="9" fontId="6" fillId="56" borderId="0" xfId="756" applyFont="1" applyFill="1" applyBorder="1" applyAlignment="1">
      <alignment/>
    </xf>
    <xf numFmtId="168" fontId="6" fillId="56" borderId="0" xfId="756" applyNumberFormat="1" applyFont="1" applyFill="1" applyBorder="1" applyAlignment="1">
      <alignment/>
    </xf>
    <xf numFmtId="0" fontId="17" fillId="56" borderId="6" xfId="0" applyFont="1" applyFill="1" applyBorder="1" applyAlignment="1">
      <alignment horizontal="center" wrapText="1"/>
    </xf>
    <xf numFmtId="0" fontId="17" fillId="37" borderId="27" xfId="0" applyFont="1" applyFill="1" applyBorder="1" applyAlignment="1">
      <alignment horizontal="left" indent="1"/>
    </xf>
    <xf numFmtId="0" fontId="17" fillId="37" borderId="6" xfId="0" applyFont="1" applyFill="1" applyBorder="1" applyAlignment="1">
      <alignment/>
    </xf>
    <xf numFmtId="0" fontId="17" fillId="37" borderId="6" xfId="0" applyFont="1" applyFill="1" applyBorder="1" applyAlignment="1">
      <alignment horizontal="center" wrapText="1"/>
    </xf>
    <xf numFmtId="172" fontId="6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168" fontId="17" fillId="15" borderId="6" xfId="756" applyNumberFormat="1" applyFont="1" applyFill="1" applyBorder="1" applyAlignment="1">
      <alignment/>
    </xf>
    <xf numFmtId="0" fontId="17" fillId="56" borderId="28" xfId="0" applyFont="1" applyFill="1" applyBorder="1" applyAlignment="1">
      <alignment horizontal="left" indent="1"/>
    </xf>
    <xf numFmtId="0" fontId="17" fillId="56" borderId="0" xfId="0" applyFont="1" applyFill="1" applyBorder="1" applyAlignment="1">
      <alignment/>
    </xf>
    <xf numFmtId="0" fontId="17" fillId="56" borderId="0" xfId="0" applyFont="1" applyFill="1" applyBorder="1" applyAlignment="1">
      <alignment horizontal="center" wrapText="1"/>
    </xf>
    <xf numFmtId="10" fontId="17" fillId="56" borderId="0" xfId="756" applyNumberFormat="1" applyFont="1" applyFill="1" applyBorder="1" applyAlignment="1">
      <alignment/>
    </xf>
    <xf numFmtId="0" fontId="17" fillId="9" borderId="27" xfId="0" applyFont="1" applyFill="1" applyBorder="1" applyAlignment="1">
      <alignment horizontal="left" indent="1"/>
    </xf>
    <xf numFmtId="0" fontId="17" fillId="9" borderId="6" xfId="0" applyFont="1" applyFill="1" applyBorder="1" applyAlignment="1">
      <alignment/>
    </xf>
    <xf numFmtId="0" fontId="20" fillId="9" borderId="6" xfId="0" applyFont="1" applyFill="1" applyBorder="1" applyAlignment="1">
      <alignment horizontal="left" wrapText="1"/>
    </xf>
    <xf numFmtId="0" fontId="17" fillId="56" borderId="0" xfId="0" applyFont="1" applyFill="1" applyBorder="1" applyAlignment="1">
      <alignment horizontal="left" indent="1"/>
    </xf>
    <xf numFmtId="0" fontId="20" fillId="56" borderId="0" xfId="0" applyFont="1" applyFill="1" applyBorder="1" applyAlignment="1">
      <alignment horizontal="left" wrapText="1"/>
    </xf>
    <xf numFmtId="0" fontId="18" fillId="56" borderId="0" xfId="0" applyFont="1" applyFill="1" applyBorder="1" applyAlignment="1">
      <alignment/>
    </xf>
    <xf numFmtId="0" fontId="17" fillId="5" borderId="28" xfId="0" applyFont="1" applyFill="1" applyBorder="1" applyAlignment="1">
      <alignment horizontal="left" indent="1"/>
    </xf>
    <xf numFmtId="0" fontId="17" fillId="5" borderId="0" xfId="0" applyFont="1" applyFill="1" applyBorder="1" applyAlignment="1">
      <alignment/>
    </xf>
    <xf numFmtId="0" fontId="20" fillId="5" borderId="0" xfId="0" applyFont="1" applyFill="1" applyBorder="1" applyAlignment="1">
      <alignment horizontal="left" wrapText="1"/>
    </xf>
    <xf numFmtId="0" fontId="17" fillId="37" borderId="28" xfId="0" applyFont="1" applyFill="1" applyBorder="1" applyAlignment="1">
      <alignment horizontal="left" indent="1"/>
    </xf>
    <xf numFmtId="0" fontId="17" fillId="37" borderId="0" xfId="0" applyFont="1" applyFill="1" applyBorder="1" applyAlignment="1">
      <alignment/>
    </xf>
    <xf numFmtId="0" fontId="17" fillId="37" borderId="0" xfId="0" applyFont="1" applyFill="1" applyBorder="1" applyAlignment="1">
      <alignment horizontal="center" wrapText="1"/>
    </xf>
    <xf numFmtId="172" fontId="17" fillId="37" borderId="0" xfId="0" applyNumberFormat="1" applyFont="1" applyFill="1" applyBorder="1" applyAlignment="1">
      <alignment/>
    </xf>
    <xf numFmtId="171" fontId="17" fillId="37" borderId="0" xfId="0" applyNumberFormat="1" applyFont="1" applyFill="1" applyBorder="1" applyAlignment="1">
      <alignment/>
    </xf>
    <xf numFmtId="0" fontId="8" fillId="56" borderId="49" xfId="0" applyFont="1" applyFill="1" applyBorder="1" applyAlignment="1">
      <alignment horizontal="center" wrapText="1"/>
    </xf>
    <xf numFmtId="10" fontId="6" fillId="61" borderId="49" xfId="0" applyNumberFormat="1" applyFont="1" applyFill="1" applyBorder="1" applyAlignment="1">
      <alignment/>
    </xf>
    <xf numFmtId="198" fontId="6" fillId="61" borderId="49" xfId="0" applyNumberFormat="1" applyFont="1" applyFill="1" applyBorder="1" applyAlignment="1">
      <alignment/>
    </xf>
    <xf numFmtId="44" fontId="6" fillId="61" borderId="49" xfId="0" applyNumberFormat="1" applyFont="1" applyFill="1" applyBorder="1" applyAlignment="1">
      <alignment/>
    </xf>
    <xf numFmtId="172" fontId="6" fillId="0" borderId="49" xfId="0" applyNumberFormat="1" applyFont="1" applyFill="1" applyBorder="1" applyAlignment="1">
      <alignment/>
    </xf>
    <xf numFmtId="0" fontId="6" fillId="0" borderId="49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17" fillId="61" borderId="34" xfId="0" applyFont="1" applyFill="1" applyBorder="1" applyAlignment="1" quotePrefix="1">
      <alignment wrapText="1"/>
    </xf>
    <xf numFmtId="0" fontId="20" fillId="61" borderId="34" xfId="0" applyFont="1" applyFill="1" applyBorder="1" applyAlignment="1">
      <alignment wrapText="1"/>
    </xf>
    <xf numFmtId="167" fontId="17" fillId="56" borderId="0" xfId="0" applyNumberFormat="1" applyFont="1" applyFill="1" applyBorder="1" applyAlignment="1">
      <alignment horizontal="center" wrapText="1"/>
    </xf>
    <xf numFmtId="9" fontId="18" fillId="61" borderId="0" xfId="756" applyFon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0" fontId="20" fillId="61" borderId="34" xfId="0" applyFont="1" applyFill="1" applyBorder="1" applyAlignment="1" quotePrefix="1">
      <alignment wrapText="1"/>
    </xf>
    <xf numFmtId="0" fontId="17" fillId="61" borderId="34" xfId="0" applyFont="1" applyFill="1" applyBorder="1" applyAlignment="1">
      <alignment horizontal="right" wrapText="1"/>
    </xf>
    <xf numFmtId="171" fontId="18" fillId="61" borderId="6" xfId="0" applyNumberFormat="1" applyFont="1" applyFill="1" applyBorder="1" applyAlignment="1">
      <alignment/>
    </xf>
    <xf numFmtId="172" fontId="18" fillId="0" borderId="6" xfId="0" applyNumberFormat="1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8" fillId="0" borderId="60" xfId="0" applyFont="1" applyFill="1" applyBorder="1" applyAlignment="1">
      <alignment horizontal="left" indent="1"/>
    </xf>
    <xf numFmtId="0" fontId="6" fillId="0" borderId="61" xfId="0" applyFont="1" applyFill="1" applyBorder="1" applyAlignment="1">
      <alignment horizontal="center" wrapText="1"/>
    </xf>
    <xf numFmtId="44" fontId="6" fillId="0" borderId="0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8" fillId="0" borderId="63" xfId="0" applyFont="1" applyFill="1" applyBorder="1" applyAlignment="1">
      <alignment horizontal="left" indent="1"/>
    </xf>
    <xf numFmtId="176" fontId="6" fillId="0" borderId="0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78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52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left" indent="1"/>
    </xf>
    <xf numFmtId="167" fontId="6" fillId="0" borderId="0" xfId="0" applyNumberFormat="1" applyFont="1" applyFill="1" applyAlignment="1">
      <alignment/>
    </xf>
    <xf numFmtId="0" fontId="17" fillId="13" borderId="48" xfId="0" applyFont="1" applyFill="1" applyBorder="1" applyAlignment="1">
      <alignment horizontal="left" indent="1"/>
    </xf>
    <xf numFmtId="0" fontId="8" fillId="13" borderId="49" xfId="0" applyFont="1" applyFill="1" applyBorder="1" applyAlignment="1">
      <alignment/>
    </xf>
    <xf numFmtId="0" fontId="6" fillId="13" borderId="49" xfId="0" applyFont="1" applyFill="1" applyBorder="1" applyAlignment="1">
      <alignment horizontal="center" wrapText="1"/>
    </xf>
    <xf numFmtId="0" fontId="6" fillId="13" borderId="49" xfId="0" applyFont="1" applyFill="1" applyBorder="1" applyAlignment="1">
      <alignment/>
    </xf>
    <xf numFmtId="0" fontId="8" fillId="13" borderId="28" xfId="0" applyFont="1" applyFill="1" applyBorder="1" applyAlignment="1">
      <alignment horizontal="left" indent="1"/>
    </xf>
    <xf numFmtId="0" fontId="8" fillId="13" borderId="0" xfId="0" applyFont="1" applyFill="1" applyBorder="1" applyAlignment="1">
      <alignment/>
    </xf>
    <xf numFmtId="0" fontId="6" fillId="13" borderId="0" xfId="0" applyFont="1" applyFill="1" applyBorder="1" applyAlignment="1">
      <alignment horizontal="center" wrapText="1"/>
    </xf>
    <xf numFmtId="0" fontId="6" fillId="13" borderId="0" xfId="0" applyFont="1" applyFill="1" applyBorder="1" applyAlignment="1">
      <alignment/>
    </xf>
    <xf numFmtId="44" fontId="6" fillId="13" borderId="0" xfId="0" applyNumberFormat="1" applyFont="1" applyFill="1" applyBorder="1" applyAlignment="1">
      <alignment/>
    </xf>
    <xf numFmtId="172" fontId="6" fillId="13" borderId="0" xfId="0" applyNumberFormat="1" applyFont="1" applyFill="1" applyBorder="1" applyAlignment="1">
      <alignment/>
    </xf>
    <xf numFmtId="0" fontId="6" fillId="13" borderId="29" xfId="0" applyFont="1" applyFill="1" applyBorder="1" applyAlignment="1">
      <alignment/>
    </xf>
    <xf numFmtId="0" fontId="6" fillId="13" borderId="44" xfId="0" applyFont="1" applyFill="1" applyBorder="1" applyAlignment="1">
      <alignment/>
    </xf>
    <xf numFmtId="0" fontId="6" fillId="13" borderId="44" xfId="0" applyFont="1" applyFill="1" applyBorder="1" applyAlignment="1">
      <alignment horizontal="center" wrapText="1"/>
    </xf>
    <xf numFmtId="10" fontId="6" fillId="13" borderId="44" xfId="756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17" fillId="54" borderId="33" xfId="0" applyFont="1" applyFill="1" applyBorder="1" applyAlignment="1">
      <alignment horizontal="center" wrapText="1"/>
    </xf>
    <xf numFmtId="44" fontId="6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6" fillId="48" borderId="48" xfId="0" applyFont="1" applyFill="1" applyBorder="1" applyAlignment="1">
      <alignment horizontal="center" wrapText="1"/>
    </xf>
    <xf numFmtId="6" fontId="6" fillId="48" borderId="49" xfId="0" applyNumberFormat="1" applyFont="1" applyFill="1" applyBorder="1" applyAlignment="1">
      <alignment/>
    </xf>
    <xf numFmtId="6" fontId="6" fillId="48" borderId="50" xfId="0" applyNumberFormat="1" applyFont="1" applyFill="1" applyBorder="1" applyAlignment="1">
      <alignment/>
    </xf>
    <xf numFmtId="0" fontId="6" fillId="48" borderId="28" xfId="0" applyFont="1" applyFill="1" applyBorder="1" applyAlignment="1">
      <alignment horizontal="center" wrapText="1"/>
    </xf>
    <xf numFmtId="44" fontId="6" fillId="48" borderId="0" xfId="0" applyNumberFormat="1" applyFont="1" applyFill="1" applyBorder="1" applyAlignment="1">
      <alignment/>
    </xf>
    <xf numFmtId="0" fontId="6" fillId="48" borderId="0" xfId="0" applyFont="1" applyFill="1" applyBorder="1" applyAlignment="1">
      <alignment/>
    </xf>
    <xf numFmtId="0" fontId="6" fillId="48" borderId="34" xfId="0" applyFont="1" applyFill="1" applyBorder="1" applyAlignment="1">
      <alignment/>
    </xf>
    <xf numFmtId="173" fontId="6" fillId="48" borderId="0" xfId="0" applyNumberFormat="1" applyFont="1" applyFill="1" applyBorder="1" applyAlignment="1">
      <alignment/>
    </xf>
    <xf numFmtId="171" fontId="6" fillId="48" borderId="28" xfId="0" applyNumberFormat="1" applyFont="1" applyFill="1" applyBorder="1" applyAlignment="1">
      <alignment horizontal="center" wrapText="1"/>
    </xf>
    <xf numFmtId="171" fontId="6" fillId="48" borderId="0" xfId="0" applyNumberFormat="1" applyFont="1" applyFill="1" applyBorder="1" applyAlignment="1">
      <alignment/>
    </xf>
    <xf numFmtId="4" fontId="21" fillId="48" borderId="0" xfId="0" applyNumberFormat="1" applyFont="1" applyFill="1" applyBorder="1" applyAlignment="1">
      <alignment/>
    </xf>
    <xf numFmtId="170" fontId="6" fillId="48" borderId="48" xfId="0" applyNumberFormat="1" applyFont="1" applyFill="1" applyBorder="1" applyAlignment="1">
      <alignment/>
    </xf>
    <xf numFmtId="170" fontId="6" fillId="48" borderId="49" xfId="0" applyNumberFormat="1" applyFont="1" applyFill="1" applyBorder="1" applyAlignment="1">
      <alignment/>
    </xf>
    <xf numFmtId="170" fontId="6" fillId="48" borderId="50" xfId="0" applyNumberFormat="1" applyFont="1" applyFill="1" applyBorder="1" applyAlignment="1">
      <alignment/>
    </xf>
    <xf numFmtId="170" fontId="6" fillId="48" borderId="28" xfId="0" applyNumberFormat="1" applyFont="1" applyFill="1" applyBorder="1" applyAlignment="1">
      <alignment/>
    </xf>
    <xf numFmtId="170" fontId="21" fillId="48" borderId="0" xfId="0" applyNumberFormat="1" applyFont="1" applyFill="1" applyBorder="1" applyAlignment="1">
      <alignment/>
    </xf>
    <xf numFmtId="170" fontId="6" fillId="48" borderId="0" xfId="0" applyNumberFormat="1" applyFont="1" applyFill="1" applyBorder="1" applyAlignment="1">
      <alignment/>
    </xf>
    <xf numFmtId="170" fontId="6" fillId="48" borderId="34" xfId="0" applyNumberFormat="1" applyFont="1" applyFill="1" applyBorder="1" applyAlignment="1">
      <alignment/>
    </xf>
    <xf numFmtId="170" fontId="6" fillId="48" borderId="29" xfId="0" applyNumberFormat="1" applyFont="1" applyFill="1" applyBorder="1" applyAlignment="1">
      <alignment/>
    </xf>
    <xf numFmtId="170" fontId="6" fillId="48" borderId="44" xfId="0" applyNumberFormat="1" applyFont="1" applyFill="1" applyBorder="1" applyAlignment="1">
      <alignment/>
    </xf>
    <xf numFmtId="170" fontId="6" fillId="48" borderId="35" xfId="0" applyNumberFormat="1" applyFont="1" applyFill="1" applyBorder="1" applyAlignment="1">
      <alignment/>
    </xf>
    <xf numFmtId="171" fontId="6" fillId="48" borderId="34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6" fillId="15" borderId="48" xfId="0" applyFont="1" applyFill="1" applyBorder="1" applyAlignment="1">
      <alignment/>
    </xf>
    <xf numFmtId="0" fontId="6" fillId="15" borderId="49" xfId="0" applyFont="1" applyFill="1" applyBorder="1" applyAlignment="1">
      <alignment/>
    </xf>
    <xf numFmtId="170" fontId="6" fillId="15" borderId="49" xfId="0" applyNumberFormat="1" applyFont="1" applyFill="1" applyBorder="1" applyAlignment="1">
      <alignment/>
    </xf>
    <xf numFmtId="0" fontId="6" fillId="15" borderId="28" xfId="0" applyFont="1" applyFill="1" applyBorder="1" applyAlignment="1">
      <alignment/>
    </xf>
    <xf numFmtId="170" fontId="6" fillId="15" borderId="0" xfId="0" applyNumberFormat="1" applyFont="1" applyFill="1" applyBorder="1" applyAlignment="1">
      <alignment/>
    </xf>
    <xf numFmtId="0" fontId="6" fillId="15" borderId="29" xfId="0" applyFont="1" applyFill="1" applyBorder="1" applyAlignment="1">
      <alignment/>
    </xf>
    <xf numFmtId="0" fontId="6" fillId="48" borderId="29" xfId="0" applyFont="1" applyFill="1" applyBorder="1" applyAlignment="1">
      <alignment horizontal="center" wrapText="1"/>
    </xf>
    <xf numFmtId="170" fontId="6" fillId="48" borderId="44" xfId="0" applyNumberFormat="1" applyFont="1" applyFill="1" applyBorder="1" applyAlignment="1">
      <alignment horizontal="center"/>
    </xf>
    <xf numFmtId="170" fontId="6" fillId="48" borderId="35" xfId="0" applyNumberFormat="1" applyFont="1" applyFill="1" applyBorder="1" applyAlignment="1">
      <alignment horizontal="center"/>
    </xf>
    <xf numFmtId="170" fontId="6" fillId="15" borderId="44" xfId="0" applyNumberFormat="1" applyFont="1" applyFill="1" applyBorder="1" applyAlignment="1">
      <alignment/>
    </xf>
    <xf numFmtId="0" fontId="6" fillId="48" borderId="49" xfId="0" applyFont="1" applyFill="1" applyBorder="1" applyAlignment="1">
      <alignment/>
    </xf>
    <xf numFmtId="0" fontId="6" fillId="48" borderId="44" xfId="0" applyFont="1" applyFill="1" applyBorder="1" applyAlignment="1">
      <alignment/>
    </xf>
    <xf numFmtId="0" fontId="6" fillId="48" borderId="35" xfId="0" applyFont="1" applyFill="1" applyBorder="1" applyAlignment="1">
      <alignment/>
    </xf>
    <xf numFmtId="43" fontId="6" fillId="48" borderId="0" xfId="0" applyNumberFormat="1" applyFont="1" applyFill="1" applyBorder="1" applyAlignment="1">
      <alignment/>
    </xf>
    <xf numFmtId="43" fontId="6" fillId="48" borderId="34" xfId="0" applyNumberFormat="1" applyFont="1" applyFill="1" applyBorder="1" applyAlignment="1">
      <alignment/>
    </xf>
    <xf numFmtId="0" fontId="6" fillId="62" borderId="48" xfId="0" applyFont="1" applyFill="1" applyBorder="1" applyAlignment="1">
      <alignment/>
    </xf>
    <xf numFmtId="0" fontId="6" fillId="62" borderId="49" xfId="0" applyFont="1" applyFill="1" applyBorder="1" applyAlignment="1">
      <alignment/>
    </xf>
    <xf numFmtId="0" fontId="6" fillId="48" borderId="50" xfId="0" applyFont="1" applyFill="1" applyBorder="1" applyAlignment="1">
      <alignment/>
    </xf>
    <xf numFmtId="0" fontId="6" fillId="62" borderId="28" xfId="0" applyFont="1" applyFill="1" applyBorder="1" applyAlignment="1">
      <alignment/>
    </xf>
    <xf numFmtId="0" fontId="6" fillId="62" borderId="29" xfId="0" applyFont="1" applyFill="1" applyBorder="1" applyAlignment="1">
      <alignment/>
    </xf>
    <xf numFmtId="0" fontId="6" fillId="54" borderId="28" xfId="0" applyFont="1" applyFill="1" applyBorder="1" applyAlignment="1">
      <alignment/>
    </xf>
    <xf numFmtId="0" fontId="6" fillId="54" borderId="0" xfId="0" applyFont="1" applyFill="1" applyBorder="1" applyAlignment="1">
      <alignment/>
    </xf>
    <xf numFmtId="0" fontId="17" fillId="54" borderId="0" xfId="0" applyFont="1" applyFill="1" applyBorder="1" applyAlignment="1">
      <alignment/>
    </xf>
    <xf numFmtId="0" fontId="17" fillId="48" borderId="28" xfId="0" applyFont="1" applyFill="1" applyBorder="1" applyAlignment="1">
      <alignment horizontal="center" wrapText="1"/>
    </xf>
    <xf numFmtId="0" fontId="17" fillId="62" borderId="0" xfId="0" applyFont="1" applyFill="1" applyBorder="1" applyAlignment="1">
      <alignment/>
    </xf>
    <xf numFmtId="0" fontId="6" fillId="54" borderId="29" xfId="0" applyFont="1" applyFill="1" applyBorder="1" applyAlignment="1">
      <alignment/>
    </xf>
    <xf numFmtId="0" fontId="17" fillId="54" borderId="44" xfId="0" applyFont="1" applyFill="1" applyBorder="1" applyAlignment="1">
      <alignment horizontal="right"/>
    </xf>
    <xf numFmtId="0" fontId="17" fillId="48" borderId="29" xfId="0" applyFont="1" applyFill="1" applyBorder="1" applyAlignment="1">
      <alignment horizontal="center" wrapText="1"/>
    </xf>
    <xf numFmtId="0" fontId="17" fillId="62" borderId="44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48" borderId="49" xfId="0" applyFont="1" applyFill="1" applyBorder="1" applyAlignment="1">
      <alignment horizontal="center" wrapText="1"/>
    </xf>
    <xf numFmtId="0" fontId="8" fillId="48" borderId="50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/>
    </xf>
    <xf numFmtId="0" fontId="8" fillId="48" borderId="28" xfId="0" applyFont="1" applyFill="1" applyBorder="1" applyAlignment="1">
      <alignment horizontal="center" wrapText="1"/>
    </xf>
    <xf numFmtId="0" fontId="8" fillId="48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17" fillId="7" borderId="29" xfId="0" applyFont="1" applyFill="1" applyBorder="1" applyAlignment="1">
      <alignment/>
    </xf>
    <xf numFmtId="0" fontId="17" fillId="7" borderId="44" xfId="0" applyFont="1" applyFill="1" applyBorder="1" applyAlignment="1">
      <alignment/>
    </xf>
    <xf numFmtId="0" fontId="8" fillId="48" borderId="29" xfId="0" applyFont="1" applyFill="1" applyBorder="1" applyAlignment="1">
      <alignment horizontal="center" wrapText="1"/>
    </xf>
    <xf numFmtId="0" fontId="8" fillId="48" borderId="44" xfId="0" applyFont="1" applyFill="1" applyBorder="1" applyAlignment="1">
      <alignment/>
    </xf>
    <xf numFmtId="0" fontId="8" fillId="48" borderId="35" xfId="0" applyFont="1" applyFill="1" applyBorder="1" applyAlignment="1">
      <alignment/>
    </xf>
    <xf numFmtId="0" fontId="8" fillId="7" borderId="44" xfId="0" applyFont="1" applyFill="1" applyBorder="1" applyAlignment="1">
      <alignment/>
    </xf>
    <xf numFmtId="0" fontId="8" fillId="7" borderId="35" xfId="0" applyFont="1" applyFill="1" applyBorder="1" applyAlignment="1">
      <alignment/>
    </xf>
    <xf numFmtId="200" fontId="6" fillId="48" borderId="0" xfId="0" applyNumberFormat="1" applyFont="1" applyFill="1" applyBorder="1" applyAlignment="1">
      <alignment/>
    </xf>
    <xf numFmtId="44" fontId="6" fillId="48" borderId="34" xfId="0" applyNumberFormat="1" applyFont="1" applyFill="1" applyBorder="1" applyAlignment="1">
      <alignment/>
    </xf>
    <xf numFmtId="9" fontId="6" fillId="48" borderId="44" xfId="756" applyFont="1" applyFill="1" applyBorder="1" applyAlignment="1">
      <alignment/>
    </xf>
    <xf numFmtId="9" fontId="6" fillId="48" borderId="35" xfId="756" applyFont="1" applyFill="1" applyBorder="1" applyAlignment="1">
      <alignment/>
    </xf>
    <xf numFmtId="0" fontId="28" fillId="0" borderId="0" xfId="616">
      <alignment/>
      <protection/>
    </xf>
    <xf numFmtId="166" fontId="28" fillId="0" borderId="0" xfId="290" applyFont="1" applyAlignment="1">
      <alignment/>
    </xf>
    <xf numFmtId="183" fontId="28" fillId="0" borderId="0" xfId="290" applyNumberFormat="1" applyFont="1" applyAlignment="1">
      <alignment/>
    </xf>
    <xf numFmtId="183" fontId="28" fillId="0" borderId="0" xfId="616" applyNumberFormat="1">
      <alignment/>
      <protection/>
    </xf>
    <xf numFmtId="183" fontId="28" fillId="0" borderId="70" xfId="616" applyNumberFormat="1" applyBorder="1">
      <alignment/>
      <protection/>
    </xf>
    <xf numFmtId="10" fontId="28" fillId="0" borderId="0" xfId="989" applyNumberFormat="1" applyFont="1" applyAlignment="1">
      <alignment/>
    </xf>
    <xf numFmtId="9" fontId="28" fillId="0" borderId="0" xfId="616" applyNumberFormat="1" applyAlignment="1">
      <alignment horizontal="center"/>
      <protection/>
    </xf>
    <xf numFmtId="9" fontId="28" fillId="0" borderId="0" xfId="989" applyFont="1" applyBorder="1" applyAlignment="1">
      <alignment horizontal="center"/>
    </xf>
    <xf numFmtId="9" fontId="28" fillId="0" borderId="0" xfId="989" applyFont="1" applyAlignment="1">
      <alignment horizontal="center"/>
    </xf>
    <xf numFmtId="10" fontId="28" fillId="0" borderId="0" xfId="989" applyNumberFormat="1" applyFont="1" applyAlignment="1">
      <alignment horizontal="center"/>
    </xf>
    <xf numFmtId="183" fontId="28" fillId="0" borderId="7" xfId="616" applyNumberFormat="1" applyBorder="1">
      <alignment/>
      <protection/>
    </xf>
    <xf numFmtId="183" fontId="28" fillId="0" borderId="52" xfId="616" applyNumberFormat="1" applyBorder="1">
      <alignment/>
      <protection/>
    </xf>
    <xf numFmtId="10" fontId="28" fillId="0" borderId="0" xfId="616" applyNumberFormat="1">
      <alignment/>
      <protection/>
    </xf>
    <xf numFmtId="183" fontId="28" fillId="0" borderId="0" xfId="616" applyNumberFormat="1" applyFont="1">
      <alignment/>
      <protection/>
    </xf>
    <xf numFmtId="0" fontId="28" fillId="0" borderId="0" xfId="616" applyFill="1">
      <alignment/>
      <protection/>
    </xf>
    <xf numFmtId="183" fontId="27" fillId="7" borderId="0" xfId="616" applyNumberFormat="1" applyFont="1" applyFill="1">
      <alignment/>
      <protection/>
    </xf>
    <xf numFmtId="164" fontId="28" fillId="0" borderId="0" xfId="616" applyNumberFormat="1" applyAlignment="1">
      <alignment horizontal="center"/>
      <protection/>
    </xf>
    <xf numFmtId="9" fontId="28" fillId="7" borderId="0" xfId="616" applyNumberFormat="1" applyFill="1" applyAlignment="1">
      <alignment horizontal="center"/>
      <protection/>
    </xf>
    <xf numFmtId="9" fontId="28" fillId="7" borderId="0" xfId="989" applyFont="1" applyFill="1" applyBorder="1" applyAlignment="1">
      <alignment horizontal="center"/>
    </xf>
    <xf numFmtId="9" fontId="28" fillId="7" borderId="0" xfId="989" applyFont="1" applyFill="1" applyAlignment="1">
      <alignment horizontal="center"/>
    </xf>
    <xf numFmtId="10" fontId="28" fillId="7" borderId="0" xfId="989" applyNumberFormat="1" applyFont="1" applyFill="1" applyAlignment="1">
      <alignment horizontal="center"/>
    </xf>
    <xf numFmtId="0" fontId="28" fillId="0" borderId="0" xfId="616" applyAlignment="1">
      <alignment wrapText="1"/>
      <protection/>
    </xf>
    <xf numFmtId="0" fontId="27" fillId="0" borderId="27" xfId="616" applyFont="1" applyBorder="1" applyAlignment="1">
      <alignment/>
      <protection/>
    </xf>
    <xf numFmtId="0" fontId="27" fillId="0" borderId="6" xfId="616" applyFont="1" applyBorder="1" applyAlignment="1">
      <alignment/>
      <protection/>
    </xf>
    <xf numFmtId="0" fontId="27" fillId="0" borderId="26" xfId="616" applyFont="1" applyBorder="1" applyAlignment="1">
      <alignment/>
      <protection/>
    </xf>
    <xf numFmtId="168" fontId="28" fillId="0" borderId="0" xfId="616" applyNumberFormat="1" applyAlignment="1">
      <alignment horizontal="center"/>
      <protection/>
    </xf>
    <xf numFmtId="187" fontId="28" fillId="0" borderId="0" xfId="290" applyNumberFormat="1" applyFont="1" applyAlignment="1">
      <alignment/>
    </xf>
    <xf numFmtId="0" fontId="28" fillId="0" borderId="0" xfId="616" applyFont="1">
      <alignment/>
      <protection/>
    </xf>
    <xf numFmtId="0" fontId="28" fillId="30" borderId="0" xfId="616" applyFont="1" applyFill="1">
      <alignment/>
      <protection/>
    </xf>
    <xf numFmtId="0" fontId="28" fillId="30" borderId="0" xfId="616" applyFill="1">
      <alignment/>
      <protection/>
    </xf>
    <xf numFmtId="183" fontId="28" fillId="30" borderId="0" xfId="616" applyNumberFormat="1" applyFill="1">
      <alignment/>
      <protection/>
    </xf>
    <xf numFmtId="10" fontId="28" fillId="30" borderId="0" xfId="616" applyNumberFormat="1" applyFill="1">
      <alignment/>
      <protection/>
    </xf>
    <xf numFmtId="187" fontId="28" fillId="30" borderId="0" xfId="290" applyNumberFormat="1" applyFont="1" applyFill="1" applyAlignment="1">
      <alignment/>
    </xf>
    <xf numFmtId="166" fontId="28" fillId="30" borderId="0" xfId="290" applyFont="1" applyFill="1" applyAlignment="1">
      <alignment/>
    </xf>
    <xf numFmtId="169" fontId="28" fillId="7" borderId="0" xfId="179" applyNumberFormat="1" applyFont="1" applyFill="1" applyAlignment="1">
      <alignment/>
    </xf>
    <xf numFmtId="168" fontId="28" fillId="7" borderId="0" xfId="616" applyNumberFormat="1" applyFill="1" applyAlignment="1">
      <alignment horizontal="center"/>
      <protection/>
    </xf>
    <xf numFmtId="166" fontId="28" fillId="30" borderId="0" xfId="290" applyNumberFormat="1" applyFont="1" applyFill="1" applyAlignment="1">
      <alignment/>
    </xf>
    <xf numFmtId="0" fontId="4" fillId="0" borderId="27" xfId="740" applyFont="1" applyFill="1" applyBorder="1" applyAlignment="1" applyProtection="1">
      <alignment horizontal="center"/>
      <protection/>
    </xf>
    <xf numFmtId="0" fontId="4" fillId="0" borderId="26" xfId="74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59" borderId="0" xfId="0" applyFill="1" applyAlignment="1">
      <alignment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 wrapText="1"/>
    </xf>
    <xf numFmtId="173" fontId="0" fillId="59" borderId="0" xfId="222" applyNumberFormat="1" applyFont="1" applyFill="1" applyBorder="1" applyAlignment="1">
      <alignment/>
    </xf>
    <xf numFmtId="173" fontId="0" fillId="59" borderId="34" xfId="222" applyNumberFormat="1" applyFont="1" applyFill="1" applyBorder="1" applyAlignment="1">
      <alignment/>
    </xf>
    <xf numFmtId="0" fontId="0" fillId="59" borderId="29" xfId="0" applyFill="1" applyBorder="1" applyAlignment="1">
      <alignment/>
    </xf>
    <xf numFmtId="0" fontId="0" fillId="59" borderId="35" xfId="0" applyFill="1" applyBorder="1" applyAlignment="1">
      <alignment/>
    </xf>
    <xf numFmtId="0" fontId="0" fillId="59" borderId="27" xfId="0" applyFill="1" applyBorder="1" applyAlignment="1">
      <alignment horizontal="center" wrapText="1"/>
    </xf>
    <xf numFmtId="0" fontId="0" fillId="59" borderId="26" xfId="0" applyFill="1" applyBorder="1" applyAlignment="1">
      <alignment horizontal="center" wrapText="1"/>
    </xf>
    <xf numFmtId="0" fontId="0" fillId="59" borderId="6" xfId="0" applyFill="1" applyBorder="1" applyAlignment="1">
      <alignment/>
    </xf>
    <xf numFmtId="0" fontId="0" fillId="59" borderId="26" xfId="0" applyFill="1" applyBorder="1" applyAlignment="1">
      <alignment/>
    </xf>
    <xf numFmtId="0" fontId="0" fillId="59" borderId="44" xfId="0" applyFill="1" applyBorder="1" applyAlignment="1">
      <alignment horizontal="center" wrapText="1"/>
    </xf>
    <xf numFmtId="0" fontId="0" fillId="59" borderId="35" xfId="0" applyFill="1" applyBorder="1" applyAlignment="1">
      <alignment horizontal="center" wrapText="1"/>
    </xf>
    <xf numFmtId="181" fontId="0" fillId="59" borderId="0" xfId="0" applyNumberFormat="1" applyFill="1" applyBorder="1" applyAlignment="1">
      <alignment/>
    </xf>
    <xf numFmtId="0" fontId="0" fillId="59" borderId="44" xfId="0" applyFill="1" applyBorder="1" applyAlignment="1">
      <alignment/>
    </xf>
    <xf numFmtId="207" fontId="0" fillId="59" borderId="0" xfId="0" applyNumberFormat="1" applyFill="1" applyBorder="1" applyAlignment="1">
      <alignment/>
    </xf>
    <xf numFmtId="208" fontId="0" fillId="59" borderId="0" xfId="0" applyNumberFormat="1" applyFill="1" applyBorder="1" applyAlignment="1">
      <alignment/>
    </xf>
    <xf numFmtId="44" fontId="0" fillId="59" borderId="0" xfId="0" applyNumberFormat="1" applyFill="1" applyBorder="1" applyAlignment="1">
      <alignment/>
    </xf>
    <xf numFmtId="205" fontId="0" fillId="59" borderId="0" xfId="0" applyNumberFormat="1" applyFill="1" applyBorder="1" applyAlignment="1">
      <alignment/>
    </xf>
    <xf numFmtId="206" fontId="0" fillId="59" borderId="0" xfId="0" applyNumberFormat="1" applyFill="1" applyBorder="1" applyAlignment="1">
      <alignment/>
    </xf>
    <xf numFmtId="205" fontId="0" fillId="59" borderId="65" xfId="0" applyNumberFormat="1" applyFill="1" applyBorder="1" applyAlignment="1">
      <alignment/>
    </xf>
    <xf numFmtId="205" fontId="0" fillId="59" borderId="66" xfId="0" applyNumberFormat="1" applyFill="1" applyBorder="1" applyAlignment="1">
      <alignment/>
    </xf>
    <xf numFmtId="206" fontId="0" fillId="59" borderId="66" xfId="0" applyNumberFormat="1" applyFill="1" applyBorder="1" applyAlignment="1">
      <alignment/>
    </xf>
    <xf numFmtId="44" fontId="0" fillId="59" borderId="0" xfId="0" applyNumberFormat="1" applyFill="1" applyAlignment="1">
      <alignment/>
    </xf>
    <xf numFmtId="169" fontId="112" fillId="58" borderId="41" xfId="81" applyNumberFormat="1" applyFont="1" applyFill="1" applyBorder="1" applyAlignment="1">
      <alignment wrapText="1"/>
    </xf>
    <xf numFmtId="0" fontId="0" fillId="59" borderId="67" xfId="0" applyFill="1" applyBorder="1" applyAlignment="1">
      <alignment/>
    </xf>
    <xf numFmtId="173" fontId="0" fillId="59" borderId="28" xfId="222" applyNumberFormat="1" applyFont="1" applyFill="1" applyBorder="1" applyAlignment="1">
      <alignment/>
    </xf>
    <xf numFmtId="175" fontId="0" fillId="59" borderId="34" xfId="222" applyNumberFormat="1" applyFont="1" applyFill="1" applyBorder="1" applyAlignment="1">
      <alignment/>
    </xf>
    <xf numFmtId="0" fontId="112" fillId="59" borderId="33" xfId="0" applyFont="1" applyFill="1" applyBorder="1" applyAlignment="1">
      <alignment horizontal="center" wrapText="1"/>
    </xf>
    <xf numFmtId="0" fontId="112" fillId="59" borderId="27" xfId="0" applyFont="1" applyFill="1" applyBorder="1" applyAlignment="1">
      <alignment horizontal="center" wrapText="1"/>
    </xf>
    <xf numFmtId="0" fontId="112" fillId="59" borderId="26" xfId="0" applyFont="1" applyFill="1" applyBorder="1" applyAlignment="1">
      <alignment horizontal="center" wrapText="1"/>
    </xf>
    <xf numFmtId="173" fontId="0" fillId="59" borderId="48" xfId="222" applyNumberFormat="1" applyFont="1" applyFill="1" applyBorder="1" applyAlignment="1">
      <alignment/>
    </xf>
    <xf numFmtId="173" fontId="0" fillId="59" borderId="50" xfId="222" applyNumberFormat="1" applyFont="1" applyFill="1" applyBorder="1" applyAlignment="1">
      <alignment/>
    </xf>
    <xf numFmtId="175" fontId="0" fillId="59" borderId="28" xfId="222" applyNumberFormat="1" applyFont="1" applyFill="1" applyBorder="1" applyAlignment="1">
      <alignment/>
    </xf>
    <xf numFmtId="0" fontId="0" fillId="59" borderId="29" xfId="0" applyFont="1" applyFill="1" applyBorder="1" applyAlignment="1">
      <alignment/>
    </xf>
    <xf numFmtId="0" fontId="0" fillId="59" borderId="35" xfId="0" applyFont="1" applyFill="1" applyBorder="1" applyAlignment="1">
      <alignment/>
    </xf>
    <xf numFmtId="0" fontId="112" fillId="59" borderId="44" xfId="0" applyFont="1" applyFill="1" applyBorder="1" applyAlignment="1">
      <alignment horizontal="center" wrapText="1"/>
    </xf>
    <xf numFmtId="0" fontId="117" fillId="59" borderId="0" xfId="0" applyFont="1" applyFill="1" applyAlignment="1">
      <alignment/>
    </xf>
    <xf numFmtId="0" fontId="115" fillId="59" borderId="0" xfId="0" applyFont="1" applyFill="1" applyAlignment="1">
      <alignment/>
    </xf>
    <xf numFmtId="0" fontId="0" fillId="59" borderId="27" xfId="0" applyFill="1" applyBorder="1" applyAlignment="1">
      <alignment/>
    </xf>
    <xf numFmtId="0" fontId="0" fillId="59" borderId="29" xfId="0" applyFill="1" applyBorder="1" applyAlignment="1">
      <alignment wrapText="1"/>
    </xf>
    <xf numFmtId="0" fontId="0" fillId="59" borderId="0" xfId="0" applyFill="1" applyAlignment="1">
      <alignment wrapText="1"/>
    </xf>
    <xf numFmtId="0" fontId="0" fillId="59" borderId="33" xfId="0" applyFill="1" applyBorder="1" applyAlignment="1">
      <alignment wrapText="1"/>
    </xf>
    <xf numFmtId="0" fontId="0" fillId="59" borderId="65" xfId="0" applyFill="1" applyBorder="1" applyAlignment="1">
      <alignment/>
    </xf>
    <xf numFmtId="0" fontId="0" fillId="59" borderId="66" xfId="0" applyFill="1" applyBorder="1" applyAlignment="1">
      <alignment/>
    </xf>
    <xf numFmtId="0" fontId="109" fillId="59" borderId="66" xfId="0" applyFont="1" applyFill="1" applyBorder="1" applyAlignment="1">
      <alignment/>
    </xf>
    <xf numFmtId="0" fontId="0" fillId="59" borderId="28" xfId="0" applyFill="1" applyBorder="1" applyAlignment="1">
      <alignment/>
    </xf>
    <xf numFmtId="2" fontId="0" fillId="59" borderId="0" xfId="0" applyNumberFormat="1" applyFill="1" applyBorder="1" applyAlignment="1">
      <alignment/>
    </xf>
    <xf numFmtId="44" fontId="0" fillId="59" borderId="48" xfId="0" applyNumberFormat="1" applyFill="1" applyBorder="1" applyAlignment="1">
      <alignment/>
    </xf>
    <xf numFmtId="205" fontId="0" fillId="59" borderId="50" xfId="0" applyNumberFormat="1" applyFill="1" applyBorder="1" applyAlignment="1">
      <alignment/>
    </xf>
    <xf numFmtId="0" fontId="109" fillId="59" borderId="0" xfId="0" applyFont="1" applyFill="1" applyAlignment="1">
      <alignment/>
    </xf>
    <xf numFmtId="44" fontId="0" fillId="59" borderId="28" xfId="0" applyNumberFormat="1" applyFill="1" applyBorder="1" applyAlignment="1">
      <alignment/>
    </xf>
    <xf numFmtId="205" fontId="0" fillId="59" borderId="34" xfId="0" applyNumberFormat="1" applyFill="1" applyBorder="1" applyAlignment="1">
      <alignment/>
    </xf>
    <xf numFmtId="176" fontId="0" fillId="59" borderId="0" xfId="0" applyNumberFormat="1" applyFill="1" applyBorder="1" applyAlignment="1">
      <alignment/>
    </xf>
    <xf numFmtId="206" fontId="0" fillId="59" borderId="34" xfId="0" applyNumberFormat="1" applyFill="1" applyBorder="1" applyAlignment="1">
      <alignment/>
    </xf>
    <xf numFmtId="44" fontId="0" fillId="59" borderId="34" xfId="0" applyNumberFormat="1" applyFill="1" applyBorder="1" applyAlignment="1">
      <alignment/>
    </xf>
    <xf numFmtId="44" fontId="0" fillId="59" borderId="44" xfId="0" applyNumberFormat="1" applyFill="1" applyBorder="1" applyAlignment="1">
      <alignment/>
    </xf>
    <xf numFmtId="44" fontId="0" fillId="59" borderId="29" xfId="0" applyNumberFormat="1" applyFill="1" applyBorder="1" applyAlignment="1">
      <alignment/>
    </xf>
    <xf numFmtId="44" fontId="0" fillId="59" borderId="35" xfId="0" applyNumberFormat="1" applyFill="1" applyBorder="1" applyAlignment="1">
      <alignment/>
    </xf>
    <xf numFmtId="0" fontId="118" fillId="59" borderId="0" xfId="0" applyFont="1" applyFill="1" applyAlignment="1">
      <alignment/>
    </xf>
    <xf numFmtId="0" fontId="112" fillId="59" borderId="27" xfId="0" applyFont="1" applyFill="1" applyBorder="1" applyAlignment="1">
      <alignment/>
    </xf>
    <xf numFmtId="0" fontId="112" fillId="59" borderId="6" xfId="0" applyFont="1" applyFill="1" applyBorder="1" applyAlignment="1">
      <alignment/>
    </xf>
    <xf numFmtId="209" fontId="0" fillId="59" borderId="28" xfId="0" applyNumberFormat="1" applyFont="1" applyFill="1" applyBorder="1" applyAlignment="1" applyProtection="1">
      <alignment/>
      <protection/>
    </xf>
    <xf numFmtId="209" fontId="0" fillId="59" borderId="34" xfId="0" applyNumberFormat="1" applyFont="1" applyFill="1" applyBorder="1" applyAlignment="1" applyProtection="1">
      <alignment/>
      <protection/>
    </xf>
    <xf numFmtId="0" fontId="119" fillId="59" borderId="28" xfId="0" applyFont="1" applyFill="1" applyBorder="1" applyAlignment="1">
      <alignment wrapText="1"/>
    </xf>
    <xf numFmtId="170" fontId="120" fillId="59" borderId="37" xfId="0" applyNumberFormat="1" applyFont="1" applyFill="1" applyBorder="1" applyAlignment="1">
      <alignment/>
    </xf>
    <xf numFmtId="174" fontId="120" fillId="59" borderId="0" xfId="81" applyNumberFormat="1" applyFont="1" applyFill="1" applyBorder="1" applyAlignment="1">
      <alignment/>
    </xf>
    <xf numFmtId="43" fontId="120" fillId="59" borderId="36" xfId="0" applyNumberFormat="1" applyFont="1" applyFill="1" applyBorder="1" applyAlignment="1">
      <alignment/>
    </xf>
    <xf numFmtId="43" fontId="120" fillId="59" borderId="0" xfId="0" applyNumberFormat="1" applyFont="1" applyFill="1" applyBorder="1" applyAlignment="1">
      <alignment/>
    </xf>
    <xf numFmtId="168" fontId="120" fillId="59" borderId="34" xfId="752" applyNumberFormat="1" applyFont="1" applyFill="1" applyBorder="1" applyAlignment="1">
      <alignment horizontal="right"/>
    </xf>
    <xf numFmtId="43" fontId="120" fillId="59" borderId="0" xfId="81" applyNumberFormat="1" applyFont="1" applyFill="1" applyBorder="1" applyAlignment="1">
      <alignment/>
    </xf>
    <xf numFmtId="179" fontId="120" fillId="59" borderId="0" xfId="81" applyNumberFormat="1" applyFont="1" applyFill="1" applyBorder="1" applyAlignment="1">
      <alignment/>
    </xf>
    <xf numFmtId="0" fontId="112" fillId="63" borderId="27" xfId="0" applyFont="1" applyFill="1" applyBorder="1" applyAlignment="1">
      <alignment horizontal="center" wrapText="1"/>
    </xf>
    <xf numFmtId="0" fontId="112" fillId="63" borderId="26" xfId="0" applyFont="1" applyFill="1" applyBorder="1" applyAlignment="1">
      <alignment horizontal="center" wrapText="1"/>
    </xf>
    <xf numFmtId="173" fontId="0" fillId="63" borderId="34" xfId="222" applyNumberFormat="1" applyFont="1" applyFill="1" applyBorder="1" applyAlignment="1">
      <alignment/>
    </xf>
    <xf numFmtId="0" fontId="0" fillId="63" borderId="35" xfId="0" applyFill="1" applyBorder="1" applyAlignment="1">
      <alignment/>
    </xf>
    <xf numFmtId="0" fontId="112" fillId="63" borderId="44" xfId="0" applyFont="1" applyFill="1" applyBorder="1" applyAlignment="1">
      <alignment horizontal="center" wrapText="1"/>
    </xf>
    <xf numFmtId="209" fontId="0" fillId="63" borderId="0" xfId="0" applyNumberFormat="1" applyFont="1" applyFill="1" applyAlignment="1" applyProtection="1">
      <alignment/>
      <protection/>
    </xf>
    <xf numFmtId="211" fontId="0" fillId="63" borderId="48" xfId="0" applyNumberFormat="1" applyFont="1" applyFill="1" applyBorder="1" applyAlignment="1" applyProtection="1" quotePrefix="1">
      <alignment/>
      <protection/>
    </xf>
    <xf numFmtId="210" fontId="0" fillId="63" borderId="50" xfId="0" applyNumberFormat="1" applyFont="1" applyFill="1" applyBorder="1" applyAlignment="1">
      <alignment/>
    </xf>
    <xf numFmtId="211" fontId="0" fillId="63" borderId="28" xfId="0" applyNumberFormat="1" applyFont="1" applyFill="1" applyBorder="1" applyAlignment="1" applyProtection="1" quotePrefix="1">
      <alignment/>
      <protection/>
    </xf>
    <xf numFmtId="210" fontId="0" fillId="63" borderId="34" xfId="0" applyNumberFormat="1" applyFont="1" applyFill="1" applyBorder="1" applyAlignment="1">
      <alignment/>
    </xf>
    <xf numFmtId="210" fontId="0" fillId="63" borderId="34" xfId="0" applyNumberFormat="1" applyFont="1" applyFill="1" applyBorder="1" applyAlignment="1" applyProtection="1" quotePrefix="1">
      <alignment/>
      <protection/>
    </xf>
    <xf numFmtId="0" fontId="0" fillId="63" borderId="29" xfId="0" applyFont="1" applyFill="1" applyBorder="1" applyAlignment="1">
      <alignment/>
    </xf>
    <xf numFmtId="0" fontId="0" fillId="63" borderId="35" xfId="0" applyFont="1" applyFill="1" applyBorder="1" applyAlignment="1">
      <alignment/>
    </xf>
    <xf numFmtId="0" fontId="83" fillId="59" borderId="28" xfId="0" applyFont="1" applyFill="1" applyBorder="1" applyAlignment="1">
      <alignment wrapText="1"/>
    </xf>
    <xf numFmtId="0" fontId="83" fillId="58" borderId="28" xfId="0" applyFont="1" applyFill="1" applyBorder="1" applyAlignment="1">
      <alignment wrapText="1"/>
    </xf>
    <xf numFmtId="0" fontId="112" fillId="58" borderId="27" xfId="0" applyFont="1" applyFill="1" applyBorder="1" applyAlignment="1">
      <alignment horizontal="center" wrapText="1"/>
    </xf>
    <xf numFmtId="0" fontId="112" fillId="58" borderId="26" xfId="0" applyFont="1" applyFill="1" applyBorder="1" applyAlignment="1">
      <alignment horizontal="center" wrapText="1"/>
    </xf>
    <xf numFmtId="173" fontId="0" fillId="58" borderId="48" xfId="222" applyNumberFormat="1" applyFont="1" applyFill="1" applyBorder="1" applyAlignment="1">
      <alignment/>
    </xf>
    <xf numFmtId="173" fontId="0" fillId="58" borderId="50" xfId="222" applyNumberFormat="1" applyFont="1" applyFill="1" applyBorder="1" applyAlignment="1">
      <alignment/>
    </xf>
    <xf numFmtId="173" fontId="0" fillId="58" borderId="28" xfId="222" applyNumberFormat="1" applyFont="1" applyFill="1" applyBorder="1" applyAlignment="1">
      <alignment/>
    </xf>
    <xf numFmtId="173" fontId="0" fillId="58" borderId="34" xfId="222" applyNumberFormat="1" applyFont="1" applyFill="1" applyBorder="1" applyAlignment="1">
      <alignment/>
    </xf>
    <xf numFmtId="175" fontId="0" fillId="58" borderId="28" xfId="222" applyNumberFormat="1" applyFont="1" applyFill="1" applyBorder="1" applyAlignment="1">
      <alignment/>
    </xf>
    <xf numFmtId="175" fontId="0" fillId="58" borderId="34" xfId="222" applyNumberFormat="1" applyFont="1" applyFill="1" applyBorder="1" applyAlignment="1">
      <alignment/>
    </xf>
    <xf numFmtId="0" fontId="0" fillId="58" borderId="29" xfId="0" applyFill="1" applyBorder="1" applyAlignment="1">
      <alignment/>
    </xf>
    <xf numFmtId="0" fontId="0" fillId="58" borderId="35" xfId="0" applyFill="1" applyBorder="1" applyAlignment="1">
      <alignment/>
    </xf>
    <xf numFmtId="209" fontId="0" fillId="58" borderId="48" xfId="0" applyNumberFormat="1" applyFont="1" applyFill="1" applyBorder="1" applyAlignment="1" applyProtection="1">
      <alignment/>
      <protection/>
    </xf>
    <xf numFmtId="209" fontId="0" fillId="58" borderId="50" xfId="0" applyNumberFormat="1" applyFont="1" applyFill="1" applyBorder="1" applyAlignment="1" applyProtection="1">
      <alignment/>
      <protection/>
    </xf>
    <xf numFmtId="209" fontId="0" fillId="58" borderId="28" xfId="0" applyNumberFormat="1" applyFont="1" applyFill="1" applyBorder="1" applyAlignment="1" applyProtection="1">
      <alignment/>
      <protection/>
    </xf>
    <xf numFmtId="209" fontId="0" fillId="58" borderId="34" xfId="0" applyNumberFormat="1" applyFont="1" applyFill="1" applyBorder="1" applyAlignment="1" applyProtection="1">
      <alignment/>
      <protection/>
    </xf>
    <xf numFmtId="0" fontId="0" fillId="58" borderId="29" xfId="0" applyFont="1" applyFill="1" applyBorder="1" applyAlignment="1">
      <alignment/>
    </xf>
    <xf numFmtId="0" fontId="0" fillId="58" borderId="35" xfId="0" applyFont="1" applyFill="1" applyBorder="1" applyAlignment="1">
      <alignment/>
    </xf>
    <xf numFmtId="0" fontId="112" fillId="58" borderId="33" xfId="0" applyFont="1" applyFill="1" applyBorder="1" applyAlignment="1">
      <alignment horizontal="center" wrapText="1"/>
    </xf>
    <xf numFmtId="173" fontId="0" fillId="58" borderId="66" xfId="222" applyNumberFormat="1" applyFont="1" applyFill="1" applyBorder="1" applyAlignment="1">
      <alignment/>
    </xf>
    <xf numFmtId="175" fontId="0" fillId="58" borderId="66" xfId="222" applyNumberFormat="1" applyFont="1" applyFill="1" applyBorder="1" applyAlignment="1">
      <alignment/>
    </xf>
    <xf numFmtId="0" fontId="0" fillId="58" borderId="67" xfId="0" applyFill="1" applyBorder="1" applyAlignment="1">
      <alignment/>
    </xf>
    <xf numFmtId="0" fontId="0" fillId="60" borderId="80" xfId="0" applyFill="1" applyBorder="1" applyAlignment="1">
      <alignment horizontal="center"/>
    </xf>
    <xf numFmtId="0" fontId="0" fillId="60" borderId="81" xfId="0" applyFill="1" applyBorder="1" applyAlignment="1">
      <alignment horizontal="center"/>
    </xf>
    <xf numFmtId="0" fontId="0" fillId="60" borderId="82" xfId="0" applyFill="1" applyBorder="1" applyAlignment="1">
      <alignment horizontal="center"/>
    </xf>
    <xf numFmtId="165" fontId="30" fillId="56" borderId="27" xfId="605" applyNumberFormat="1" applyFont="1" applyFill="1" applyBorder="1" applyAlignment="1">
      <alignment horizontal="left"/>
      <protection/>
    </xf>
    <xf numFmtId="165" fontId="30" fillId="56" borderId="6" xfId="605" applyNumberFormat="1" applyFont="1" applyFill="1" applyBorder="1" applyAlignment="1">
      <alignment horizontal="left"/>
      <protection/>
    </xf>
    <xf numFmtId="165" fontId="30" fillId="56" borderId="48" xfId="605" applyNumberFormat="1" applyFont="1" applyFill="1" applyBorder="1" applyAlignment="1">
      <alignment horizontal="left"/>
      <protection/>
    </xf>
    <xf numFmtId="165" fontId="30" fillId="56" borderId="49" xfId="605" applyNumberFormat="1" applyFont="1" applyFill="1" applyBorder="1" applyAlignment="1">
      <alignment horizontal="left"/>
      <protection/>
    </xf>
    <xf numFmtId="165" fontId="30" fillId="56" borderId="27" xfId="605" applyNumberFormat="1" applyFont="1" applyFill="1" applyBorder="1" applyAlignment="1">
      <alignment horizontal="left" wrapText="1"/>
      <protection/>
    </xf>
    <xf numFmtId="165" fontId="30" fillId="56" borderId="6" xfId="605" applyNumberFormat="1" applyFont="1" applyFill="1" applyBorder="1" applyAlignment="1">
      <alignment horizontal="left" wrapText="1"/>
      <protection/>
    </xf>
    <xf numFmtId="0" fontId="29" fillId="59" borderId="0" xfId="0" applyFont="1" applyFill="1" applyAlignment="1">
      <alignment horizontal="left" wrapText="1"/>
    </xf>
  </cellXfs>
  <cellStyles count="1099">
    <cellStyle name="Normal" xfId="0"/>
    <cellStyle name="$" xfId="15"/>
    <cellStyle name="$ 2" xfId="16"/>
    <cellStyle name="$.00" xfId="17"/>
    <cellStyle name="$.00 2" xfId="18"/>
    <cellStyle name="$M" xfId="19"/>
    <cellStyle name="$M 2" xfId="20"/>
    <cellStyle name="$M 3" xfId="21"/>
    <cellStyle name="$M.00" xfId="22"/>
    <cellStyle name="$M.00 2" xfId="23"/>
    <cellStyle name="%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60% - Accent1" xfId="49"/>
    <cellStyle name="60% - Accent1 2" xfId="50"/>
    <cellStyle name="60% - Accent2" xfId="51"/>
    <cellStyle name="60% - Accent2 2" xfId="52"/>
    <cellStyle name="60% - Accent3" xfId="53"/>
    <cellStyle name="60% - Accent3 2" xfId="54"/>
    <cellStyle name="60% - Accent4" xfId="55"/>
    <cellStyle name="60% - Accent4 2" xfId="56"/>
    <cellStyle name="60% - Accent5" xfId="57"/>
    <cellStyle name="60% - Accent5 2" xfId="58"/>
    <cellStyle name="60% - Accent6" xfId="59"/>
    <cellStyle name="60% - Accent6 2" xfId="60"/>
    <cellStyle name="99-4,5M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C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10" xfId="83"/>
    <cellStyle name="Comma 10 2" xfId="84"/>
    <cellStyle name="Comma 11" xfId="85"/>
    <cellStyle name="Comma 11 2" xfId="86"/>
    <cellStyle name="Comma 12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10" xfId="96"/>
    <cellStyle name="Comma 2 10 2" xfId="97"/>
    <cellStyle name="Comma 2 11" xfId="98"/>
    <cellStyle name="Comma 2 11 2" xfId="99"/>
    <cellStyle name="Comma 2 11 2 2" xfId="100"/>
    <cellStyle name="Comma 2 11 3" xfId="101"/>
    <cellStyle name="Comma 2 11 3 2" xfId="102"/>
    <cellStyle name="Comma 2 11 4" xfId="103"/>
    <cellStyle name="Comma 2 12" xfId="104"/>
    <cellStyle name="Comma 2 12 2" xfId="105"/>
    <cellStyle name="Comma 2 13" xfId="106"/>
    <cellStyle name="Comma 2 13 2" xfId="107"/>
    <cellStyle name="Comma 2 14" xfId="108"/>
    <cellStyle name="Comma 2 14 2" xfId="109"/>
    <cellStyle name="Comma 2 15" xfId="110"/>
    <cellStyle name="Comma 2 16" xfId="111"/>
    <cellStyle name="Comma 2 17" xfId="112"/>
    <cellStyle name="Comma 2 2" xfId="113"/>
    <cellStyle name="Comma 2 2 10" xfId="114"/>
    <cellStyle name="Comma 2 2 11" xfId="115"/>
    <cellStyle name="Comma 2 2 12" xfId="116"/>
    <cellStyle name="Comma 2 2 13" xfId="117"/>
    <cellStyle name="Comma 2 2 2" xfId="118"/>
    <cellStyle name="Comma 2 2 3" xfId="119"/>
    <cellStyle name="Comma 2 2 4" xfId="120"/>
    <cellStyle name="Comma 2 2 5" xfId="121"/>
    <cellStyle name="Comma 2 2 6" xfId="122"/>
    <cellStyle name="Comma 2 2 7" xfId="123"/>
    <cellStyle name="Comma 2 2 8" xfId="124"/>
    <cellStyle name="Comma 2 2 9" xfId="125"/>
    <cellStyle name="Comma 2 3" xfId="126"/>
    <cellStyle name="Comma 2 3 2" xfId="127"/>
    <cellStyle name="Comma 2 4" xfId="128"/>
    <cellStyle name="Comma 2 4 2" xfId="129"/>
    <cellStyle name="Comma 2 5" xfId="130"/>
    <cellStyle name="Comma 2 5 2" xfId="131"/>
    <cellStyle name="Comma 2 6" xfId="132"/>
    <cellStyle name="Comma 2 6 2" xfId="133"/>
    <cellStyle name="Comma 2 7" xfId="134"/>
    <cellStyle name="Comma 2 7 2" xfId="135"/>
    <cellStyle name="Comma 2 8" xfId="136"/>
    <cellStyle name="Comma 2 8 2" xfId="137"/>
    <cellStyle name="Comma 2 9" xfId="138"/>
    <cellStyle name="Comma 2 9 2" xfId="139"/>
    <cellStyle name="Comma 20" xfId="140"/>
    <cellStyle name="Comma 21" xfId="141"/>
    <cellStyle name="Comma 22" xfId="142"/>
    <cellStyle name="Comma 23" xfId="143"/>
    <cellStyle name="Comma 24" xfId="144"/>
    <cellStyle name="Comma 25" xfId="145"/>
    <cellStyle name="Comma 25 2" xfId="146"/>
    <cellStyle name="Comma 25 3" xfId="147"/>
    <cellStyle name="Comma 25 3 2" xfId="148"/>
    <cellStyle name="Comma 25 4" xfId="149"/>
    <cellStyle name="Comma 26" xfId="150"/>
    <cellStyle name="Comma 26 2" xfId="151"/>
    <cellStyle name="Comma 27" xfId="152"/>
    <cellStyle name="Comma 27 2" xfId="153"/>
    <cellStyle name="Comma 28" xfId="154"/>
    <cellStyle name="Comma 29" xfId="155"/>
    <cellStyle name="Comma 3" xfId="156"/>
    <cellStyle name="Comma 3 2" xfId="157"/>
    <cellStyle name="Comma 3 2 2" xfId="158"/>
    <cellStyle name="Comma 3 2 2 2" xfId="159"/>
    <cellStyle name="Comma 3 2 2 3" xfId="160"/>
    <cellStyle name="Comma 3 2 2 4" xfId="161"/>
    <cellStyle name="Comma 3 2 3" xfId="162"/>
    <cellStyle name="Comma 3 2 4" xfId="163"/>
    <cellStyle name="Comma 3 2 5" xfId="164"/>
    <cellStyle name="Comma 3 2 5 2" xfId="165"/>
    <cellStyle name="Comma 3 2 6" xfId="166"/>
    <cellStyle name="Comma 3 3" xfId="167"/>
    <cellStyle name="Comma 3 3 2" xfId="168"/>
    <cellStyle name="Comma 3 3 2 2" xfId="169"/>
    <cellStyle name="Comma 3 3 3" xfId="170"/>
    <cellStyle name="Comma 3 3 3 2" xfId="171"/>
    <cellStyle name="Comma 3 4" xfId="172"/>
    <cellStyle name="Comma 3 4 2" xfId="173"/>
    <cellStyle name="Comma 3 5" xfId="174"/>
    <cellStyle name="Comma 3 6" xfId="175"/>
    <cellStyle name="Comma 3 7" xfId="176"/>
    <cellStyle name="Comma 3 8" xfId="177"/>
    <cellStyle name="Comma 30" xfId="178"/>
    <cellStyle name="Comma 31" xfId="179"/>
    <cellStyle name="Comma 4" xfId="180"/>
    <cellStyle name="Comma 4 2" xfId="181"/>
    <cellStyle name="Comma 4 3" xfId="182"/>
    <cellStyle name="Comma 4 4" xfId="183"/>
    <cellStyle name="Comma 4 5" xfId="184"/>
    <cellStyle name="Comma 4 6" xfId="185"/>
    <cellStyle name="Comma 4 7" xfId="186"/>
    <cellStyle name="Comma 5" xfId="187"/>
    <cellStyle name="Comma 5 2" xfId="188"/>
    <cellStyle name="Comma 5 3" xfId="189"/>
    <cellStyle name="Comma 6" xfId="190"/>
    <cellStyle name="Comma 6 2" xfId="191"/>
    <cellStyle name="Comma 6 2 2" xfId="192"/>
    <cellStyle name="Comma 6 3" xfId="193"/>
    <cellStyle name="Comma 6 4" xfId="194"/>
    <cellStyle name="Comma 7" xfId="195"/>
    <cellStyle name="Comma 7 2" xfId="196"/>
    <cellStyle name="Comma 7 2 2" xfId="197"/>
    <cellStyle name="Comma 7 3" xfId="198"/>
    <cellStyle name="Comma 8" xfId="199"/>
    <cellStyle name="Comma 8 2" xfId="200"/>
    <cellStyle name="Comma 8 3" xfId="201"/>
    <cellStyle name="Comma 9" xfId="202"/>
    <cellStyle name="Comma 9 2" xfId="203"/>
    <cellStyle name="Comma 9 3" xfId="204"/>
    <cellStyle name="Comma0" xfId="205"/>
    <cellStyle name="Comma0 10" xfId="206"/>
    <cellStyle name="Comma0 2" xfId="207"/>
    <cellStyle name="Comma0 3" xfId="208"/>
    <cellStyle name="Comma0 4" xfId="209"/>
    <cellStyle name="Comma0 4 2" xfId="210"/>
    <cellStyle name="Comma0 4 3" xfId="211"/>
    <cellStyle name="Comma0 4 3 2" xfId="212"/>
    <cellStyle name="Comma0 4 4" xfId="213"/>
    <cellStyle name="Comma0 5" xfId="214"/>
    <cellStyle name="Comma0 5 2" xfId="215"/>
    <cellStyle name="Comma0 6" xfId="216"/>
    <cellStyle name="Comma0 6 2" xfId="217"/>
    <cellStyle name="Comma0 7" xfId="218"/>
    <cellStyle name="Comma0 7 2" xfId="219"/>
    <cellStyle name="Comma0 8" xfId="220"/>
    <cellStyle name="Comma0 9" xfId="221"/>
    <cellStyle name="Currency" xfId="222"/>
    <cellStyle name="Currency [0]" xfId="223"/>
    <cellStyle name="Currency 10" xfId="224"/>
    <cellStyle name="Currency 11" xfId="225"/>
    <cellStyle name="Currency 12" xfId="226"/>
    <cellStyle name="Currency 13" xfId="227"/>
    <cellStyle name="Currency 14" xfId="228"/>
    <cellStyle name="Currency 15" xfId="229"/>
    <cellStyle name="Currency 16" xfId="230"/>
    <cellStyle name="Currency 17" xfId="231"/>
    <cellStyle name="Currency 18" xfId="232"/>
    <cellStyle name="Currency 19" xfId="233"/>
    <cellStyle name="Currency 2" xfId="234"/>
    <cellStyle name="Currency 2 10" xfId="235"/>
    <cellStyle name="Currency 2 11" xfId="236"/>
    <cellStyle name="Currency 2 2" xfId="237"/>
    <cellStyle name="Currency 2 2 2" xfId="238"/>
    <cellStyle name="Currency 2 2 2 2" xfId="239"/>
    <cellStyle name="Currency 2 2 2 3" xfId="240"/>
    <cellStyle name="Currency 2 2 3" xfId="241"/>
    <cellStyle name="Currency 2 2 4" xfId="242"/>
    <cellStyle name="Currency 2 2 5" xfId="243"/>
    <cellStyle name="Currency 2 2 6" xfId="244"/>
    <cellStyle name="Currency 2 2 7" xfId="245"/>
    <cellStyle name="Currency 2 2 8" xfId="246"/>
    <cellStyle name="Currency 2 2 9" xfId="247"/>
    <cellStyle name="Currency 2 3" xfId="248"/>
    <cellStyle name="Currency 2 4" xfId="249"/>
    <cellStyle name="Currency 2 5" xfId="250"/>
    <cellStyle name="Currency 2 6" xfId="251"/>
    <cellStyle name="Currency 2 7" xfId="252"/>
    <cellStyle name="Currency 2 8" xfId="253"/>
    <cellStyle name="Currency 2 9" xfId="254"/>
    <cellStyle name="Currency 20" xfId="255"/>
    <cellStyle name="Currency 21" xfId="256"/>
    <cellStyle name="Currency 22" xfId="257"/>
    <cellStyle name="Currency 23" xfId="258"/>
    <cellStyle name="Currency 24" xfId="259"/>
    <cellStyle name="Currency 24 2" xfId="260"/>
    <cellStyle name="Currency 24 3" xfId="261"/>
    <cellStyle name="Currency 24 3 2" xfId="262"/>
    <cellStyle name="Currency 24 4" xfId="263"/>
    <cellStyle name="Currency 25" xfId="264"/>
    <cellStyle name="Currency 25 2" xfId="265"/>
    <cellStyle name="Currency 26" xfId="266"/>
    <cellStyle name="Currency 26 2" xfId="267"/>
    <cellStyle name="Currency 27" xfId="268"/>
    <cellStyle name="Currency 27 2" xfId="269"/>
    <cellStyle name="Currency 28" xfId="270"/>
    <cellStyle name="Currency 29" xfId="271"/>
    <cellStyle name="Currency 3" xfId="272"/>
    <cellStyle name="Currency 3 2" xfId="273"/>
    <cellStyle name="Currency 3 2 2" xfId="274"/>
    <cellStyle name="Currency 3 2 2 2" xfId="275"/>
    <cellStyle name="Currency 3 2 2 3" xfId="276"/>
    <cellStyle name="Currency 3 2 3" xfId="277"/>
    <cellStyle name="Currency 3 2 4" xfId="278"/>
    <cellStyle name="Currency 3 2 5" xfId="279"/>
    <cellStyle name="Currency 3 3" xfId="280"/>
    <cellStyle name="Currency 3 3 2" xfId="281"/>
    <cellStyle name="Currency 3 3 3" xfId="282"/>
    <cellStyle name="Currency 3 4" xfId="283"/>
    <cellStyle name="Currency 3 5" xfId="284"/>
    <cellStyle name="Currency 3 6" xfId="285"/>
    <cellStyle name="Currency 3 7" xfId="286"/>
    <cellStyle name="Currency 3 8" xfId="287"/>
    <cellStyle name="Currency 3 9" xfId="288"/>
    <cellStyle name="Currency 30" xfId="289"/>
    <cellStyle name="Currency 31" xfId="290"/>
    <cellStyle name="Currency 4" xfId="291"/>
    <cellStyle name="Currency 4 2" xfId="292"/>
    <cellStyle name="Currency 4 3" xfId="293"/>
    <cellStyle name="Currency 5" xfId="294"/>
    <cellStyle name="Currency 5 2" xfId="295"/>
    <cellStyle name="Currency 6" xfId="296"/>
    <cellStyle name="Currency 6 2" xfId="297"/>
    <cellStyle name="Currency 6 2 2" xfId="298"/>
    <cellStyle name="Currency 7" xfId="299"/>
    <cellStyle name="Currency 7 2" xfId="300"/>
    <cellStyle name="Currency 7 3" xfId="301"/>
    <cellStyle name="Currency 8" xfId="302"/>
    <cellStyle name="Currency 9" xfId="303"/>
    <cellStyle name="Currency_2008-2010 RATE ADJUSTMENT SUMMARY v8.3 consol" xfId="304"/>
    <cellStyle name="Currency0" xfId="305"/>
    <cellStyle name="Currency0 10" xfId="306"/>
    <cellStyle name="Currency0 2" xfId="307"/>
    <cellStyle name="Currency0 3" xfId="308"/>
    <cellStyle name="Currency0 4" xfId="309"/>
    <cellStyle name="Currency0 4 2" xfId="310"/>
    <cellStyle name="Currency0 4 3" xfId="311"/>
    <cellStyle name="Currency0 4 3 2" xfId="312"/>
    <cellStyle name="Currency0 4 4" xfId="313"/>
    <cellStyle name="Currency0 5" xfId="314"/>
    <cellStyle name="Currency0 5 2" xfId="315"/>
    <cellStyle name="Currency0 6" xfId="316"/>
    <cellStyle name="Currency0 6 2" xfId="317"/>
    <cellStyle name="Currency0 7" xfId="318"/>
    <cellStyle name="Currency0 7 2" xfId="319"/>
    <cellStyle name="Currency0 8" xfId="320"/>
    <cellStyle name="Currency0 9" xfId="321"/>
    <cellStyle name="Currʬncy" xfId="322"/>
    <cellStyle name="custom" xfId="323"/>
    <cellStyle name="Custom - Style1" xfId="324"/>
    <cellStyle name="custom 2" xfId="325"/>
    <cellStyle name="Data   - Style2" xfId="326"/>
    <cellStyle name="Date" xfId="327"/>
    <cellStyle name="Date 10" xfId="328"/>
    <cellStyle name="Date 2" xfId="329"/>
    <cellStyle name="Date 3" xfId="330"/>
    <cellStyle name="Date 4" xfId="331"/>
    <cellStyle name="Date 4 2" xfId="332"/>
    <cellStyle name="Date 4 3" xfId="333"/>
    <cellStyle name="Date 4 3 2" xfId="334"/>
    <cellStyle name="Date 4 4" xfId="335"/>
    <cellStyle name="Date 5" xfId="336"/>
    <cellStyle name="Date 5 2" xfId="337"/>
    <cellStyle name="Date 6" xfId="338"/>
    <cellStyle name="Date 6 2" xfId="339"/>
    <cellStyle name="Date 7" xfId="340"/>
    <cellStyle name="Date 7 2" xfId="341"/>
    <cellStyle name="Date 8" xfId="342"/>
    <cellStyle name="Date 9" xfId="343"/>
    <cellStyle name="Explanatory Text" xfId="344"/>
    <cellStyle name="Explanatory Text 2" xfId="345"/>
    <cellStyle name="Fixed" xfId="346"/>
    <cellStyle name="Fixed 10" xfId="347"/>
    <cellStyle name="Fixed 2" xfId="348"/>
    <cellStyle name="Fixed 3" xfId="349"/>
    <cellStyle name="Fixed 4" xfId="350"/>
    <cellStyle name="Fixed 4 2" xfId="351"/>
    <cellStyle name="Fixed 4 3" xfId="352"/>
    <cellStyle name="Fixed 4 3 2" xfId="353"/>
    <cellStyle name="Fixed 4 4" xfId="354"/>
    <cellStyle name="Fixed 5" xfId="355"/>
    <cellStyle name="Fixed 5 2" xfId="356"/>
    <cellStyle name="Fixed 6" xfId="357"/>
    <cellStyle name="Fixed 6 2" xfId="358"/>
    <cellStyle name="Fixed 7" xfId="359"/>
    <cellStyle name="Fixed 7 2" xfId="360"/>
    <cellStyle name="Fixed 8" xfId="361"/>
    <cellStyle name="Fixed 9" xfId="362"/>
    <cellStyle name="Good" xfId="363"/>
    <cellStyle name="Good 2" xfId="364"/>
    <cellStyle name="Grey" xfId="365"/>
    <cellStyle name="Header1" xfId="366"/>
    <cellStyle name="Header2" xfId="367"/>
    <cellStyle name="Header2 2" xfId="368"/>
    <cellStyle name="Heading 1" xfId="369"/>
    <cellStyle name="Heading 1 2" xfId="370"/>
    <cellStyle name="Heading 1 3" xfId="371"/>
    <cellStyle name="Heading 2" xfId="372"/>
    <cellStyle name="Heading 2 2" xfId="373"/>
    <cellStyle name="Heading 2 3" xfId="374"/>
    <cellStyle name="Heading 3" xfId="375"/>
    <cellStyle name="Heading 3 2" xfId="376"/>
    <cellStyle name="Heading 4" xfId="377"/>
    <cellStyle name="Heading 4 2" xfId="378"/>
    <cellStyle name="Hyperlink 2" xfId="379"/>
    <cellStyle name="Input" xfId="380"/>
    <cellStyle name="Input [yellow]" xfId="381"/>
    <cellStyle name="Input [yellow] 2" xfId="382"/>
    <cellStyle name="Input 2" xfId="383"/>
    <cellStyle name="Labels - Style3" xfId="384"/>
    <cellStyle name="Linked Cell" xfId="385"/>
    <cellStyle name="Linked Cell 2" xfId="386"/>
    <cellStyle name="M" xfId="387"/>
    <cellStyle name="M 2" xfId="388"/>
    <cellStyle name="M.00" xfId="389"/>
    <cellStyle name="M.00 2" xfId="390"/>
    <cellStyle name="Neutral" xfId="391"/>
    <cellStyle name="Neutral 2" xfId="392"/>
    <cellStyle name="no dec" xfId="393"/>
    <cellStyle name="NorALL-HC" xfId="394"/>
    <cellStyle name="Normal - Style1" xfId="395"/>
    <cellStyle name="Normal - Style1 2" xfId="396"/>
    <cellStyle name="Normal - Style1 3" xfId="397"/>
    <cellStyle name="Normal - Style1_v1.1 Prefile" xfId="398"/>
    <cellStyle name="Normal 10" xfId="399"/>
    <cellStyle name="Normal 10 2" xfId="400"/>
    <cellStyle name="Normal 10 2 2" xfId="401"/>
    <cellStyle name="Normal 10 3" xfId="402"/>
    <cellStyle name="Normal 100" xfId="403"/>
    <cellStyle name="Normal 101" xfId="404"/>
    <cellStyle name="Normal 102" xfId="405"/>
    <cellStyle name="Normal 103" xfId="406"/>
    <cellStyle name="Normal 104" xfId="407"/>
    <cellStyle name="Normal 105" xfId="408"/>
    <cellStyle name="Normal 106" xfId="409"/>
    <cellStyle name="Normal 107" xfId="410"/>
    <cellStyle name="Normal 108" xfId="411"/>
    <cellStyle name="Normal 109" xfId="412"/>
    <cellStyle name="Normal 11" xfId="413"/>
    <cellStyle name="Normal 11 2" xfId="414"/>
    <cellStyle name="Normal 11 2 2" xfId="415"/>
    <cellStyle name="Normal 11 3" xfId="416"/>
    <cellStyle name="Normal 11 4" xfId="417"/>
    <cellStyle name="Normal 11 5" xfId="418"/>
    <cellStyle name="Normal 110" xfId="419"/>
    <cellStyle name="Normal 111" xfId="420"/>
    <cellStyle name="Normal 112" xfId="421"/>
    <cellStyle name="Normal 113" xfId="422"/>
    <cellStyle name="Normal 114" xfId="423"/>
    <cellStyle name="Normal 115" xfId="424"/>
    <cellStyle name="Normal 116" xfId="425"/>
    <cellStyle name="Normal 117" xfId="426"/>
    <cellStyle name="Normal 118" xfId="427"/>
    <cellStyle name="Normal 119" xfId="428"/>
    <cellStyle name="Normal 12" xfId="429"/>
    <cellStyle name="Normal 12 2" xfId="430"/>
    <cellStyle name="Normal 120" xfId="431"/>
    <cellStyle name="Normal 121" xfId="432"/>
    <cellStyle name="Normal 122" xfId="433"/>
    <cellStyle name="Normal 123" xfId="434"/>
    <cellStyle name="Normal 124" xfId="435"/>
    <cellStyle name="Normal 125" xfId="436"/>
    <cellStyle name="Normal 126" xfId="437"/>
    <cellStyle name="Normal 127" xfId="438"/>
    <cellStyle name="Normal 128" xfId="439"/>
    <cellStyle name="Normal 129" xfId="440"/>
    <cellStyle name="Normal 13" xfId="441"/>
    <cellStyle name="Normal 13 2" xfId="442"/>
    <cellStyle name="Normal 130" xfId="443"/>
    <cellStyle name="Normal 131" xfId="444"/>
    <cellStyle name="Normal 132" xfId="445"/>
    <cellStyle name="Normal 133" xfId="446"/>
    <cellStyle name="Normal 134" xfId="447"/>
    <cellStyle name="Normal 135" xfId="448"/>
    <cellStyle name="Normal 136" xfId="449"/>
    <cellStyle name="Normal 137" xfId="450"/>
    <cellStyle name="Normal 138" xfId="451"/>
    <cellStyle name="Normal 139" xfId="452"/>
    <cellStyle name="Normal 14" xfId="453"/>
    <cellStyle name="Normal 14 2" xfId="454"/>
    <cellStyle name="Normal 140" xfId="455"/>
    <cellStyle name="Normal 141" xfId="456"/>
    <cellStyle name="Normal 142" xfId="457"/>
    <cellStyle name="Normal 143" xfId="458"/>
    <cellStyle name="Normal 144" xfId="459"/>
    <cellStyle name="Normal 145" xfId="460"/>
    <cellStyle name="Normal 146" xfId="461"/>
    <cellStyle name="Normal 147" xfId="462"/>
    <cellStyle name="Normal 148" xfId="463"/>
    <cellStyle name="Normal 149" xfId="464"/>
    <cellStyle name="Normal 15" xfId="465"/>
    <cellStyle name="Normal 15 2" xfId="466"/>
    <cellStyle name="Normal 150" xfId="467"/>
    <cellStyle name="Normal 151" xfId="468"/>
    <cellStyle name="Normal 152" xfId="469"/>
    <cellStyle name="Normal 153" xfId="470"/>
    <cellStyle name="Normal 154" xfId="471"/>
    <cellStyle name="Normal 155" xfId="472"/>
    <cellStyle name="Normal 156" xfId="473"/>
    <cellStyle name="Normal 157" xfId="474"/>
    <cellStyle name="Normal 158" xfId="475"/>
    <cellStyle name="Normal 159" xfId="476"/>
    <cellStyle name="Normal 16" xfId="477"/>
    <cellStyle name="Normal 160" xfId="478"/>
    <cellStyle name="Normal 161" xfId="479"/>
    <cellStyle name="Normal 162" xfId="480"/>
    <cellStyle name="Normal 163" xfId="481"/>
    <cellStyle name="Normal 164" xfId="482"/>
    <cellStyle name="Normal 165" xfId="483"/>
    <cellStyle name="Normal 166" xfId="484"/>
    <cellStyle name="Normal 167" xfId="485"/>
    <cellStyle name="Normal 168" xfId="486"/>
    <cellStyle name="Normal 169" xfId="487"/>
    <cellStyle name="Normal 17" xfId="488"/>
    <cellStyle name="Normal 170" xfId="489"/>
    <cellStyle name="Normal 171" xfId="490"/>
    <cellStyle name="Normal 172" xfId="491"/>
    <cellStyle name="Normal 173" xfId="492"/>
    <cellStyle name="Normal 174" xfId="493"/>
    <cellStyle name="Normal 175" xfId="494"/>
    <cellStyle name="Normal 176" xfId="495"/>
    <cellStyle name="Normal 177" xfId="496"/>
    <cellStyle name="Normal 178" xfId="497"/>
    <cellStyle name="Normal 179" xfId="498"/>
    <cellStyle name="Normal 18" xfId="499"/>
    <cellStyle name="Normal 180" xfId="500"/>
    <cellStyle name="Normal 181" xfId="501"/>
    <cellStyle name="Normal 182" xfId="502"/>
    <cellStyle name="Normal 183" xfId="503"/>
    <cellStyle name="Normal 184" xfId="504"/>
    <cellStyle name="Normal 185" xfId="505"/>
    <cellStyle name="Normal 186" xfId="506"/>
    <cellStyle name="Normal 187" xfId="507"/>
    <cellStyle name="Normal 188" xfId="508"/>
    <cellStyle name="Normal 189" xfId="509"/>
    <cellStyle name="Normal 19" xfId="510"/>
    <cellStyle name="Normal 190" xfId="511"/>
    <cellStyle name="Normal 191" xfId="512"/>
    <cellStyle name="Normal 192" xfId="513"/>
    <cellStyle name="Normal 193" xfId="514"/>
    <cellStyle name="Normal 194" xfId="515"/>
    <cellStyle name="Normal 195" xfId="516"/>
    <cellStyle name="Normal 196" xfId="517"/>
    <cellStyle name="Normal 197" xfId="518"/>
    <cellStyle name="Normal 198" xfId="519"/>
    <cellStyle name="Normal 199" xfId="520"/>
    <cellStyle name="Normal 2" xfId="521"/>
    <cellStyle name="Normal 2 10" xfId="522"/>
    <cellStyle name="Normal 2 10 2" xfId="523"/>
    <cellStyle name="Normal 2 11" xfId="524"/>
    <cellStyle name="Normal 2 11 2" xfId="525"/>
    <cellStyle name="Normal 2 11 3" xfId="526"/>
    <cellStyle name="Normal 2 11 4" xfId="527"/>
    <cellStyle name="Normal 2 12" xfId="528"/>
    <cellStyle name="Normal 2 13" xfId="529"/>
    <cellStyle name="Normal 2 14" xfId="530"/>
    <cellStyle name="Normal 2 14 2" xfId="531"/>
    <cellStyle name="Normal 2 15" xfId="532"/>
    <cellStyle name="Normal 2 2" xfId="533"/>
    <cellStyle name="Normal 2 2 10" xfId="534"/>
    <cellStyle name="Normal 2 2 11" xfId="535"/>
    <cellStyle name="Normal 2 2 12" xfId="536"/>
    <cellStyle name="Normal 2 2 13" xfId="537"/>
    <cellStyle name="Normal 2 2 13 2" xfId="538"/>
    <cellStyle name="Normal 2 2 13 3" xfId="539"/>
    <cellStyle name="Normal 2 2 13 4" xfId="540"/>
    <cellStyle name="Normal 2 2 14" xfId="541"/>
    <cellStyle name="Normal 2 2 15" xfId="542"/>
    <cellStyle name="Normal 2 2 16" xfId="543"/>
    <cellStyle name="Normal 2 2 16 2" xfId="544"/>
    <cellStyle name="Normal 2 2 17" xfId="545"/>
    <cellStyle name="Normal 2 2 18" xfId="546"/>
    <cellStyle name="Normal 2 2 2" xfId="547"/>
    <cellStyle name="Normal 2 2 2 2" xfId="548"/>
    <cellStyle name="Normal 2 2 2 2 2" xfId="549"/>
    <cellStyle name="Normal 2 2 2 2 2 2" xfId="550"/>
    <cellStyle name="Normal 2 2 2 2 2 3" xfId="551"/>
    <cellStyle name="Normal 2 2 2 2 2 4" xfId="552"/>
    <cellStyle name="Normal 2 2 2 2 3" xfId="553"/>
    <cellStyle name="Normal 2 2 2 2 4" xfId="554"/>
    <cellStyle name="Normal 2 2 2 2 5" xfId="555"/>
    <cellStyle name="Normal 2 2 2 2 5 2" xfId="556"/>
    <cellStyle name="Normal 2 2 2 3" xfId="557"/>
    <cellStyle name="Normal 2 2 2 3 2" xfId="558"/>
    <cellStyle name="Normal 2 2 2 3 2 2" xfId="559"/>
    <cellStyle name="Normal 2 2 2 3 3" xfId="560"/>
    <cellStyle name="Normal 2 2 2 3 3 2" xfId="561"/>
    <cellStyle name="Normal 2 2 2 4" xfId="562"/>
    <cellStyle name="Normal 2 2 2 4 2" xfId="563"/>
    <cellStyle name="Normal 2 2 2 5" xfId="564"/>
    <cellStyle name="Normal 2 2 2 6" xfId="565"/>
    <cellStyle name="Normal 2 2 3" xfId="566"/>
    <cellStyle name="Normal 2 2 4" xfId="567"/>
    <cellStyle name="Normal 2 2 5" xfId="568"/>
    <cellStyle name="Normal 2 2 6" xfId="569"/>
    <cellStyle name="Normal 2 2 7" xfId="570"/>
    <cellStyle name="Normal 2 2 8" xfId="571"/>
    <cellStyle name="Normal 2 2 9" xfId="572"/>
    <cellStyle name="Normal 2 3" xfId="573"/>
    <cellStyle name="Normal 2 3 2" xfId="574"/>
    <cellStyle name="Normal 2 3 2 2" xfId="575"/>
    <cellStyle name="Normal 2 3 2 2 2" xfId="576"/>
    <cellStyle name="Normal 2 3 2 2 3" xfId="577"/>
    <cellStyle name="Normal 2 3 2 2 4" xfId="578"/>
    <cellStyle name="Normal 2 3 2 3" xfId="579"/>
    <cellStyle name="Normal 2 3 2 4" xfId="580"/>
    <cellStyle name="Normal 2 3 2 5" xfId="581"/>
    <cellStyle name="Normal 2 3 2 5 2" xfId="582"/>
    <cellStyle name="Normal 2 3 3" xfId="583"/>
    <cellStyle name="Normal 2 3 3 2" xfId="584"/>
    <cellStyle name="Normal 2 3 3 2 2" xfId="585"/>
    <cellStyle name="Normal 2 3 3 3" xfId="586"/>
    <cellStyle name="Normal 2 3 3 3 2" xfId="587"/>
    <cellStyle name="Normal 2 3 4" xfId="588"/>
    <cellStyle name="Normal 2 3 4 2" xfId="589"/>
    <cellStyle name="Normal 2 3 5" xfId="590"/>
    <cellStyle name="Normal 2 3 6" xfId="591"/>
    <cellStyle name="Normal 2 4" xfId="592"/>
    <cellStyle name="Normal 2 4 2" xfId="593"/>
    <cellStyle name="Normal 2 5" xfId="594"/>
    <cellStyle name="Normal 2 5 2" xfId="595"/>
    <cellStyle name="Normal 2 6" xfId="596"/>
    <cellStyle name="Normal 2 6 2" xfId="597"/>
    <cellStyle name="Normal 2 7" xfId="598"/>
    <cellStyle name="Normal 2 7 2" xfId="599"/>
    <cellStyle name="Normal 2 8" xfId="600"/>
    <cellStyle name="Normal 2 8 2" xfId="601"/>
    <cellStyle name="Normal 2 9" xfId="602"/>
    <cellStyle name="Normal 2 9 2" xfId="603"/>
    <cellStyle name="Normal 20" xfId="604"/>
    <cellStyle name="Normal 200" xfId="605"/>
    <cellStyle name="Normal 201" xfId="606"/>
    <cellStyle name="Normal 202" xfId="607"/>
    <cellStyle name="Normal 203" xfId="608"/>
    <cellStyle name="Normal 204" xfId="609"/>
    <cellStyle name="Normal 205" xfId="610"/>
    <cellStyle name="Normal 206" xfId="611"/>
    <cellStyle name="Normal 207" xfId="612"/>
    <cellStyle name="Normal 208" xfId="613"/>
    <cellStyle name="Normal 209" xfId="614"/>
    <cellStyle name="Normal 21" xfId="615"/>
    <cellStyle name="Normal 210" xfId="616"/>
    <cellStyle name="Normal 22" xfId="617"/>
    <cellStyle name="Normal 23" xfId="618"/>
    <cellStyle name="Normal 24" xfId="619"/>
    <cellStyle name="Normal 25" xfId="620"/>
    <cellStyle name="Normal 26" xfId="621"/>
    <cellStyle name="Normal 27" xfId="622"/>
    <cellStyle name="Normal 28" xfId="623"/>
    <cellStyle name="Normal 29" xfId="624"/>
    <cellStyle name="Normal 3" xfId="625"/>
    <cellStyle name="Normal 3 2" xfId="626"/>
    <cellStyle name="Normal 3 3" xfId="627"/>
    <cellStyle name="Normal 3 3 2" xfId="628"/>
    <cellStyle name="Normal 3 4" xfId="629"/>
    <cellStyle name="Normal 3 4 2" xfId="630"/>
    <cellStyle name="Normal 3 5" xfId="631"/>
    <cellStyle name="Normal 3 5 2" xfId="632"/>
    <cellStyle name="Normal 3 6" xfId="633"/>
    <cellStyle name="Normal 3 7" xfId="634"/>
    <cellStyle name="Normal 3 8" xfId="635"/>
    <cellStyle name="Normal 30" xfId="636"/>
    <cellStyle name="Normal 31" xfId="637"/>
    <cellStyle name="Normal 32" xfId="638"/>
    <cellStyle name="Normal 33" xfId="639"/>
    <cellStyle name="Normal 34" xfId="640"/>
    <cellStyle name="Normal 35" xfId="641"/>
    <cellStyle name="Normal 36" xfId="642"/>
    <cellStyle name="Normal 37" xfId="643"/>
    <cellStyle name="Normal 38" xfId="644"/>
    <cellStyle name="Normal 39" xfId="645"/>
    <cellStyle name="Normal 4" xfId="646"/>
    <cellStyle name="Normal 4 2" xfId="647"/>
    <cellStyle name="Normal 4 2 2" xfId="648"/>
    <cellStyle name="Normal 4 3" xfId="649"/>
    <cellStyle name="Normal 4 4" xfId="650"/>
    <cellStyle name="Normal 4 5" xfId="651"/>
    <cellStyle name="Normal 4 6" xfId="652"/>
    <cellStyle name="Normal 40" xfId="653"/>
    <cellStyle name="Normal 41" xfId="654"/>
    <cellStyle name="Normal 42" xfId="655"/>
    <cellStyle name="Normal 43" xfId="656"/>
    <cellStyle name="Normal 44" xfId="657"/>
    <cellStyle name="Normal 45" xfId="658"/>
    <cellStyle name="Normal 46" xfId="659"/>
    <cellStyle name="Normal 47" xfId="660"/>
    <cellStyle name="Normal 48" xfId="661"/>
    <cellStyle name="Normal 49" xfId="662"/>
    <cellStyle name="Normal 5" xfId="663"/>
    <cellStyle name="Normal 5 2" xfId="664"/>
    <cellStyle name="Normal 5 2 2" xfId="665"/>
    <cellStyle name="Normal 5 3" xfId="666"/>
    <cellStyle name="Normal 5 3 2" xfId="667"/>
    <cellStyle name="Normal 5 4" xfId="668"/>
    <cellStyle name="Normal 5 4 2" xfId="669"/>
    <cellStyle name="Normal 5 5" xfId="670"/>
    <cellStyle name="Normal 50" xfId="671"/>
    <cellStyle name="Normal 51" xfId="672"/>
    <cellStyle name="Normal 52" xfId="673"/>
    <cellStyle name="Normal 53" xfId="674"/>
    <cellStyle name="Normal 54" xfId="675"/>
    <cellStyle name="Normal 55" xfId="676"/>
    <cellStyle name="Normal 56" xfId="677"/>
    <cellStyle name="Normal 57" xfId="678"/>
    <cellStyle name="Normal 58" xfId="679"/>
    <cellStyle name="Normal 59" xfId="680"/>
    <cellStyle name="Normal 6" xfId="681"/>
    <cellStyle name="Normal 6 2" xfId="682"/>
    <cellStyle name="Normal 6 2 2" xfId="683"/>
    <cellStyle name="Normal 6 3" xfId="684"/>
    <cellStyle name="Normal 60" xfId="685"/>
    <cellStyle name="Normal 61" xfId="686"/>
    <cellStyle name="Normal 62" xfId="687"/>
    <cellStyle name="Normal 63" xfId="688"/>
    <cellStyle name="Normal 64" xfId="689"/>
    <cellStyle name="Normal 65" xfId="690"/>
    <cellStyle name="Normal 66" xfId="691"/>
    <cellStyle name="Normal 67" xfId="692"/>
    <cellStyle name="Normal 68" xfId="693"/>
    <cellStyle name="Normal 69" xfId="694"/>
    <cellStyle name="Normal 7" xfId="695"/>
    <cellStyle name="Normal 7 2" xfId="696"/>
    <cellStyle name="Normal 7 3" xfId="697"/>
    <cellStyle name="Normal 7 4" xfId="698"/>
    <cellStyle name="Normal 7 5" xfId="699"/>
    <cellStyle name="Normal 70" xfId="700"/>
    <cellStyle name="Normal 71" xfId="701"/>
    <cellStyle name="Normal 72" xfId="702"/>
    <cellStyle name="Normal 73" xfId="703"/>
    <cellStyle name="Normal 74" xfId="704"/>
    <cellStyle name="Normal 75" xfId="705"/>
    <cellStyle name="Normal 76" xfId="706"/>
    <cellStyle name="Normal 77" xfId="707"/>
    <cellStyle name="Normal 78" xfId="708"/>
    <cellStyle name="Normal 79" xfId="709"/>
    <cellStyle name="Normal 8" xfId="710"/>
    <cellStyle name="Normal 8 2" xfId="711"/>
    <cellStyle name="Normal 8 3" xfId="712"/>
    <cellStyle name="Normal 8 4" xfId="713"/>
    <cellStyle name="Normal 8 5" xfId="714"/>
    <cellStyle name="Normal 80" xfId="715"/>
    <cellStyle name="Normal 81" xfId="716"/>
    <cellStyle name="Normal 82" xfId="717"/>
    <cellStyle name="Normal 83" xfId="718"/>
    <cellStyle name="Normal 84" xfId="719"/>
    <cellStyle name="Normal 85" xfId="720"/>
    <cellStyle name="Normal 86" xfId="721"/>
    <cellStyle name="Normal 87" xfId="722"/>
    <cellStyle name="Normal 88" xfId="723"/>
    <cellStyle name="Normal 89" xfId="724"/>
    <cellStyle name="Normal 9" xfId="725"/>
    <cellStyle name="Normal 9 2" xfId="726"/>
    <cellStyle name="Normal 9 3" xfId="727"/>
    <cellStyle name="Normal 9 4" xfId="728"/>
    <cellStyle name="Normal 9 5" xfId="729"/>
    <cellStyle name="Normal 90" xfId="730"/>
    <cellStyle name="Normal 91" xfId="731"/>
    <cellStyle name="Normal 92" xfId="732"/>
    <cellStyle name="Normal 93" xfId="733"/>
    <cellStyle name="Normal 94" xfId="734"/>
    <cellStyle name="Normal 95" xfId="735"/>
    <cellStyle name="Normal 96" xfId="736"/>
    <cellStyle name="Normal 97" xfId="737"/>
    <cellStyle name="Normal 98" xfId="738"/>
    <cellStyle name="Normal 99" xfId="739"/>
    <cellStyle name="Normal_Sheet2" xfId="740"/>
    <cellStyle name="Note" xfId="741"/>
    <cellStyle name="Note 2" xfId="742"/>
    <cellStyle name="Note 3" xfId="743"/>
    <cellStyle name="Output" xfId="744"/>
    <cellStyle name="Output 2" xfId="745"/>
    <cellStyle name="Output Amounts" xfId="746"/>
    <cellStyle name="Output Column Headings" xfId="747"/>
    <cellStyle name="Output Line Items" xfId="748"/>
    <cellStyle name="Output Line Items 2" xfId="749"/>
    <cellStyle name="Output Report Heading" xfId="750"/>
    <cellStyle name="Output Report Title" xfId="751"/>
    <cellStyle name="Percent" xfId="752"/>
    <cellStyle name="Percent [2]" xfId="753"/>
    <cellStyle name="Percent [2] 2" xfId="754"/>
    <cellStyle name="Percent [2] 3" xfId="755"/>
    <cellStyle name="Percent 10" xfId="756"/>
    <cellStyle name="Percent 100" xfId="757"/>
    <cellStyle name="Percent 101" xfId="758"/>
    <cellStyle name="Percent 102" xfId="759"/>
    <cellStyle name="Percent 103" xfId="760"/>
    <cellStyle name="Percent 104" xfId="761"/>
    <cellStyle name="Percent 105" xfId="762"/>
    <cellStyle name="Percent 106" xfId="763"/>
    <cellStyle name="Percent 107" xfId="764"/>
    <cellStyle name="Percent 108" xfId="765"/>
    <cellStyle name="Percent 109" xfId="766"/>
    <cellStyle name="Percent 11" xfId="767"/>
    <cellStyle name="Percent 110" xfId="768"/>
    <cellStyle name="Percent 111" xfId="769"/>
    <cellStyle name="Percent 112" xfId="770"/>
    <cellStyle name="Percent 113" xfId="771"/>
    <cellStyle name="Percent 114" xfId="772"/>
    <cellStyle name="Percent 115" xfId="773"/>
    <cellStyle name="Percent 116" xfId="774"/>
    <cellStyle name="Percent 117" xfId="775"/>
    <cellStyle name="Percent 118" xfId="776"/>
    <cellStyle name="Percent 119" xfId="777"/>
    <cellStyle name="Percent 12" xfId="778"/>
    <cellStyle name="Percent 120" xfId="779"/>
    <cellStyle name="Percent 121" xfId="780"/>
    <cellStyle name="Percent 122" xfId="781"/>
    <cellStyle name="Percent 123" xfId="782"/>
    <cellStyle name="Percent 124" xfId="783"/>
    <cellStyle name="Percent 125" xfId="784"/>
    <cellStyle name="Percent 126" xfId="785"/>
    <cellStyle name="Percent 127" xfId="786"/>
    <cellStyle name="Percent 128" xfId="787"/>
    <cellStyle name="Percent 129" xfId="788"/>
    <cellStyle name="Percent 13" xfId="789"/>
    <cellStyle name="Percent 130" xfId="790"/>
    <cellStyle name="Percent 131" xfId="791"/>
    <cellStyle name="Percent 132" xfId="792"/>
    <cellStyle name="Percent 133" xfId="793"/>
    <cellStyle name="Percent 134" xfId="794"/>
    <cellStyle name="Percent 135" xfId="795"/>
    <cellStyle name="Percent 136" xfId="796"/>
    <cellStyle name="Percent 137" xfId="797"/>
    <cellStyle name="Percent 138" xfId="798"/>
    <cellStyle name="Percent 139" xfId="799"/>
    <cellStyle name="Percent 14" xfId="800"/>
    <cellStyle name="Percent 140" xfId="801"/>
    <cellStyle name="Percent 141" xfId="802"/>
    <cellStyle name="Percent 142" xfId="803"/>
    <cellStyle name="Percent 143" xfId="804"/>
    <cellStyle name="Percent 144" xfId="805"/>
    <cellStyle name="Percent 145" xfId="806"/>
    <cellStyle name="Percent 146" xfId="807"/>
    <cellStyle name="Percent 147" xfId="808"/>
    <cellStyle name="Percent 148" xfId="809"/>
    <cellStyle name="Percent 149" xfId="810"/>
    <cellStyle name="Percent 15" xfId="811"/>
    <cellStyle name="Percent 150" xfId="812"/>
    <cellStyle name="Percent 151" xfId="813"/>
    <cellStyle name="Percent 152" xfId="814"/>
    <cellStyle name="Percent 153" xfId="815"/>
    <cellStyle name="Percent 154" xfId="816"/>
    <cellStyle name="Percent 155" xfId="817"/>
    <cellStyle name="Percent 156" xfId="818"/>
    <cellStyle name="Percent 156 2" xfId="819"/>
    <cellStyle name="Percent 156 3" xfId="820"/>
    <cellStyle name="Percent 156 3 2" xfId="821"/>
    <cellStyle name="Percent 156 4" xfId="822"/>
    <cellStyle name="Percent 157" xfId="823"/>
    <cellStyle name="Percent 157 2" xfId="824"/>
    <cellStyle name="Percent 157 3" xfId="825"/>
    <cellStyle name="Percent 157 3 2" xfId="826"/>
    <cellStyle name="Percent 157 4" xfId="827"/>
    <cellStyle name="Percent 158" xfId="828"/>
    <cellStyle name="Percent 158 2" xfId="829"/>
    <cellStyle name="Percent 158 3" xfId="830"/>
    <cellStyle name="Percent 158 3 2" xfId="831"/>
    <cellStyle name="Percent 158 4" xfId="832"/>
    <cellStyle name="Percent 159" xfId="833"/>
    <cellStyle name="Percent 159 2" xfId="834"/>
    <cellStyle name="Percent 159 3" xfId="835"/>
    <cellStyle name="Percent 159 3 2" xfId="836"/>
    <cellStyle name="Percent 159 4" xfId="837"/>
    <cellStyle name="Percent 16" xfId="838"/>
    <cellStyle name="Percent 160" xfId="839"/>
    <cellStyle name="Percent 160 2" xfId="840"/>
    <cellStyle name="Percent 160 3" xfId="841"/>
    <cellStyle name="Percent 160 3 2" xfId="842"/>
    <cellStyle name="Percent 160 4" xfId="843"/>
    <cellStyle name="Percent 161" xfId="844"/>
    <cellStyle name="Percent 161 2" xfId="845"/>
    <cellStyle name="Percent 161 3" xfId="846"/>
    <cellStyle name="Percent 161 3 2" xfId="847"/>
    <cellStyle name="Percent 161 4" xfId="848"/>
    <cellStyle name="Percent 162" xfId="849"/>
    <cellStyle name="Percent 162 2" xfId="850"/>
    <cellStyle name="Percent 162 3" xfId="851"/>
    <cellStyle name="Percent 162 3 2" xfId="852"/>
    <cellStyle name="Percent 162 4" xfId="853"/>
    <cellStyle name="Percent 163" xfId="854"/>
    <cellStyle name="Percent 163 2" xfId="855"/>
    <cellStyle name="Percent 163 3" xfId="856"/>
    <cellStyle name="Percent 163 3 2" xfId="857"/>
    <cellStyle name="Percent 163 4" xfId="858"/>
    <cellStyle name="Percent 164" xfId="859"/>
    <cellStyle name="Percent 164 2" xfId="860"/>
    <cellStyle name="Percent 164 3" xfId="861"/>
    <cellStyle name="Percent 164 3 2" xfId="862"/>
    <cellStyle name="Percent 164 4" xfId="863"/>
    <cellStyle name="Percent 165" xfId="864"/>
    <cellStyle name="Percent 165 2" xfId="865"/>
    <cellStyle name="Percent 165 3" xfId="866"/>
    <cellStyle name="Percent 165 3 2" xfId="867"/>
    <cellStyle name="Percent 165 4" xfId="868"/>
    <cellStyle name="Percent 166" xfId="869"/>
    <cellStyle name="Percent 166 2" xfId="870"/>
    <cellStyle name="Percent 167" xfId="871"/>
    <cellStyle name="Percent 168" xfId="872"/>
    <cellStyle name="Percent 169" xfId="873"/>
    <cellStyle name="Percent 17" xfId="874"/>
    <cellStyle name="Percent 170" xfId="875"/>
    <cellStyle name="Percent 171" xfId="876"/>
    <cellStyle name="Percent 172" xfId="877"/>
    <cellStyle name="Percent 173" xfId="878"/>
    <cellStyle name="Percent 174" xfId="879"/>
    <cellStyle name="Percent 175" xfId="880"/>
    <cellStyle name="Percent 176" xfId="881"/>
    <cellStyle name="Percent 177" xfId="882"/>
    <cellStyle name="Percent 178" xfId="883"/>
    <cellStyle name="Percent 178 2" xfId="884"/>
    <cellStyle name="Percent 179" xfId="885"/>
    <cellStyle name="Percent 179 2" xfId="886"/>
    <cellStyle name="Percent 18" xfId="887"/>
    <cellStyle name="Percent 180" xfId="888"/>
    <cellStyle name="Percent 180 2" xfId="889"/>
    <cellStyle name="Percent 181" xfId="890"/>
    <cellStyle name="Percent 181 2" xfId="891"/>
    <cellStyle name="Percent 182" xfId="892"/>
    <cellStyle name="Percent 182 2" xfId="893"/>
    <cellStyle name="Percent 183" xfId="894"/>
    <cellStyle name="Percent 183 2" xfId="895"/>
    <cellStyle name="Percent 184" xfId="896"/>
    <cellStyle name="Percent 184 2" xfId="897"/>
    <cellStyle name="Percent 185" xfId="898"/>
    <cellStyle name="Percent 185 2" xfId="899"/>
    <cellStyle name="Percent 186" xfId="900"/>
    <cellStyle name="Percent 186 2" xfId="901"/>
    <cellStyle name="Percent 187" xfId="902"/>
    <cellStyle name="Percent 187 2" xfId="903"/>
    <cellStyle name="Percent 188" xfId="904"/>
    <cellStyle name="Percent 188 2" xfId="905"/>
    <cellStyle name="Percent 189" xfId="906"/>
    <cellStyle name="Percent 189 2" xfId="907"/>
    <cellStyle name="Percent 19" xfId="908"/>
    <cellStyle name="Percent 190" xfId="909"/>
    <cellStyle name="Percent 190 2" xfId="910"/>
    <cellStyle name="Percent 191" xfId="911"/>
    <cellStyle name="Percent 191 2" xfId="912"/>
    <cellStyle name="Percent 192" xfId="913"/>
    <cellStyle name="Percent 192 2" xfId="914"/>
    <cellStyle name="Percent 193" xfId="915"/>
    <cellStyle name="Percent 193 2" xfId="916"/>
    <cellStyle name="Percent 194" xfId="917"/>
    <cellStyle name="Percent 194 2" xfId="918"/>
    <cellStyle name="Percent 195" xfId="919"/>
    <cellStyle name="Percent 195 2" xfId="920"/>
    <cellStyle name="Percent 196" xfId="921"/>
    <cellStyle name="Percent 196 2" xfId="922"/>
    <cellStyle name="Percent 197" xfId="923"/>
    <cellStyle name="Percent 197 2" xfId="924"/>
    <cellStyle name="Percent 198" xfId="925"/>
    <cellStyle name="Percent 198 2" xfId="926"/>
    <cellStyle name="Percent 199" xfId="927"/>
    <cellStyle name="Percent 199 2" xfId="928"/>
    <cellStyle name="Percent 2" xfId="929"/>
    <cellStyle name="Percent 2 10" xfId="930"/>
    <cellStyle name="Percent 2 11" xfId="931"/>
    <cellStyle name="Percent 2 12" xfId="932"/>
    <cellStyle name="Percent 2 13" xfId="933"/>
    <cellStyle name="Percent 2 14" xfId="934"/>
    <cellStyle name="Percent 2 2" xfId="935"/>
    <cellStyle name="Percent 2 2 2" xfId="936"/>
    <cellStyle name="Percent 2 2 3" xfId="937"/>
    <cellStyle name="Percent 2 3" xfId="938"/>
    <cellStyle name="Percent 2 3 2" xfId="939"/>
    <cellStyle name="Percent 2 4" xfId="940"/>
    <cellStyle name="Percent 2 4 2" xfId="941"/>
    <cellStyle name="Percent 2 5" xfId="942"/>
    <cellStyle name="Percent 2 5 2" xfId="943"/>
    <cellStyle name="Percent 2 6" xfId="944"/>
    <cellStyle name="Percent 2 6 2" xfId="945"/>
    <cellStyle name="Percent 2 7" xfId="946"/>
    <cellStyle name="Percent 2 7 2" xfId="947"/>
    <cellStyle name="Percent 2 8" xfId="948"/>
    <cellStyle name="Percent 2 8 2" xfId="949"/>
    <cellStyle name="Percent 2 9" xfId="950"/>
    <cellStyle name="Percent 2 9 2" xfId="951"/>
    <cellStyle name="Percent 20" xfId="952"/>
    <cellStyle name="Percent 200" xfId="953"/>
    <cellStyle name="Percent 200 2" xfId="954"/>
    <cellStyle name="Percent 201" xfId="955"/>
    <cellStyle name="Percent 201 2" xfId="956"/>
    <cellStyle name="Percent 202" xfId="957"/>
    <cellStyle name="Percent 202 2" xfId="958"/>
    <cellStyle name="Percent 203" xfId="959"/>
    <cellStyle name="Percent 204" xfId="960"/>
    <cellStyle name="Percent 205" xfId="961"/>
    <cellStyle name="Percent 206" xfId="962"/>
    <cellStyle name="Percent 207" xfId="963"/>
    <cellStyle name="Percent 208" xfId="964"/>
    <cellStyle name="Percent 209" xfId="965"/>
    <cellStyle name="Percent 21" xfId="966"/>
    <cellStyle name="Percent 210" xfId="967"/>
    <cellStyle name="Percent 211" xfId="968"/>
    <cellStyle name="Percent 212" xfId="969"/>
    <cellStyle name="Percent 213" xfId="970"/>
    <cellStyle name="Percent 213 2" xfId="971"/>
    <cellStyle name="Percent 214" xfId="972"/>
    <cellStyle name="Percent 214 2" xfId="973"/>
    <cellStyle name="Percent 215" xfId="974"/>
    <cellStyle name="Percent 216" xfId="975"/>
    <cellStyle name="Percent 217" xfId="976"/>
    <cellStyle name="Percent 218" xfId="977"/>
    <cellStyle name="Percent 219" xfId="978"/>
    <cellStyle name="Percent 22" xfId="979"/>
    <cellStyle name="Percent 220" xfId="980"/>
    <cellStyle name="Percent 221" xfId="981"/>
    <cellStyle name="Percent 222" xfId="982"/>
    <cellStyle name="Percent 223" xfId="983"/>
    <cellStyle name="Percent 224" xfId="984"/>
    <cellStyle name="Percent 225" xfId="985"/>
    <cellStyle name="Percent 226" xfId="986"/>
    <cellStyle name="Percent 227" xfId="987"/>
    <cellStyle name="Percent 228" xfId="988"/>
    <cellStyle name="Percent 229" xfId="989"/>
    <cellStyle name="Percent 23" xfId="990"/>
    <cellStyle name="Percent 24" xfId="991"/>
    <cellStyle name="Percent 25" xfId="992"/>
    <cellStyle name="Percent 26" xfId="993"/>
    <cellStyle name="Percent 27" xfId="994"/>
    <cellStyle name="Percent 28" xfId="995"/>
    <cellStyle name="Percent 29" xfId="996"/>
    <cellStyle name="Percent 3" xfId="997"/>
    <cellStyle name="Percent 3 2" xfId="998"/>
    <cellStyle name="Percent 3 2 2" xfId="999"/>
    <cellStyle name="Percent 3 3" xfId="1000"/>
    <cellStyle name="Percent 3 4" xfId="1001"/>
    <cellStyle name="Percent 30" xfId="1002"/>
    <cellStyle name="Percent 31" xfId="1003"/>
    <cellStyle name="Percent 32" xfId="1004"/>
    <cellStyle name="Percent 33" xfId="1005"/>
    <cellStyle name="Percent 34" xfId="1006"/>
    <cellStyle name="Percent 35" xfId="1007"/>
    <cellStyle name="Percent 36" xfId="1008"/>
    <cellStyle name="Percent 37" xfId="1009"/>
    <cellStyle name="Percent 38" xfId="1010"/>
    <cellStyle name="Percent 39" xfId="1011"/>
    <cellStyle name="Percent 4" xfId="1012"/>
    <cellStyle name="Percent 4 2" xfId="1013"/>
    <cellStyle name="Percent 4 2 2" xfId="1014"/>
    <cellStyle name="Percent 4 3" xfId="1015"/>
    <cellStyle name="Percent 40" xfId="1016"/>
    <cellStyle name="Percent 41" xfId="1017"/>
    <cellStyle name="Percent 42" xfId="1018"/>
    <cellStyle name="Percent 43" xfId="1019"/>
    <cellStyle name="Percent 44" xfId="1020"/>
    <cellStyle name="Percent 45" xfId="1021"/>
    <cellStyle name="Percent 46" xfId="1022"/>
    <cellStyle name="Percent 47" xfId="1023"/>
    <cellStyle name="Percent 48" xfId="1024"/>
    <cellStyle name="Percent 49" xfId="1025"/>
    <cellStyle name="Percent 5" xfId="1026"/>
    <cellStyle name="Percent 50" xfId="1027"/>
    <cellStyle name="Percent 51" xfId="1028"/>
    <cellStyle name="Percent 52" xfId="1029"/>
    <cellStyle name="Percent 53" xfId="1030"/>
    <cellStyle name="Percent 54" xfId="1031"/>
    <cellStyle name="Percent 55" xfId="1032"/>
    <cellStyle name="Percent 56" xfId="1033"/>
    <cellStyle name="Percent 57" xfId="1034"/>
    <cellStyle name="Percent 58" xfId="1035"/>
    <cellStyle name="Percent 59" xfId="1036"/>
    <cellStyle name="Percent 6" xfId="1037"/>
    <cellStyle name="Percent 60" xfId="1038"/>
    <cellStyle name="Percent 61" xfId="1039"/>
    <cellStyle name="Percent 62" xfId="1040"/>
    <cellStyle name="Percent 63" xfId="1041"/>
    <cellStyle name="Percent 64" xfId="1042"/>
    <cellStyle name="Percent 65" xfId="1043"/>
    <cellStyle name="Percent 66" xfId="1044"/>
    <cellStyle name="Percent 67" xfId="1045"/>
    <cellStyle name="Percent 68" xfId="1046"/>
    <cellStyle name="Percent 69" xfId="1047"/>
    <cellStyle name="Percent 7" xfId="1048"/>
    <cellStyle name="Percent 70" xfId="1049"/>
    <cellStyle name="Percent 71" xfId="1050"/>
    <cellStyle name="Percent 72" xfId="1051"/>
    <cellStyle name="Percent 73" xfId="1052"/>
    <cellStyle name="Percent 74" xfId="1053"/>
    <cellStyle name="Percent 75" xfId="1054"/>
    <cellStyle name="Percent 76" xfId="1055"/>
    <cellStyle name="Percent 77" xfId="1056"/>
    <cellStyle name="Percent 78" xfId="1057"/>
    <cellStyle name="Percent 79" xfId="1058"/>
    <cellStyle name="Percent 8" xfId="1059"/>
    <cellStyle name="Percent 80" xfId="1060"/>
    <cellStyle name="Percent 81" xfId="1061"/>
    <cellStyle name="Percent 82" xfId="1062"/>
    <cellStyle name="Percent 83" xfId="1063"/>
    <cellStyle name="Percent 84" xfId="1064"/>
    <cellStyle name="Percent 85" xfId="1065"/>
    <cellStyle name="Percent 86" xfId="1066"/>
    <cellStyle name="Percent 87" xfId="1067"/>
    <cellStyle name="Percent 88" xfId="1068"/>
    <cellStyle name="Percent 89" xfId="1069"/>
    <cellStyle name="Percent 9" xfId="1070"/>
    <cellStyle name="Percent 90" xfId="1071"/>
    <cellStyle name="Percent 91" xfId="1072"/>
    <cellStyle name="Percent 92" xfId="1073"/>
    <cellStyle name="Percent 93" xfId="1074"/>
    <cellStyle name="Percent 94" xfId="1075"/>
    <cellStyle name="Percent 95" xfId="1076"/>
    <cellStyle name="Percent 96" xfId="1077"/>
    <cellStyle name="Percent 97" xfId="1078"/>
    <cellStyle name="Percent 98" xfId="1079"/>
    <cellStyle name="Percent 99" xfId="1080"/>
    <cellStyle name="Reset  - Style4" xfId="1081"/>
    <cellStyle name="S" xfId="1082"/>
    <cellStyle name="S by Region Pg 2" xfId="1083"/>
    <cellStyle name="SUBSC98" xfId="1084"/>
    <cellStyle name="Table  - Style5" xfId="1085"/>
    <cellStyle name="Title" xfId="1086"/>
    <cellStyle name="Title  - Style6" xfId="1087"/>
    <cellStyle name="Title 2" xfId="1088"/>
    <cellStyle name="Total" xfId="1089"/>
    <cellStyle name="Total 10" xfId="1090"/>
    <cellStyle name="Total 11" xfId="1091"/>
    <cellStyle name="Total 2" xfId="1092"/>
    <cellStyle name="Total 2 2" xfId="1093"/>
    <cellStyle name="Total 3" xfId="1094"/>
    <cellStyle name="Total 4" xfId="1095"/>
    <cellStyle name="Total 4 2" xfId="1096"/>
    <cellStyle name="Total 4 3" xfId="1097"/>
    <cellStyle name="Total 4 3 2" xfId="1098"/>
    <cellStyle name="Total 4 4" xfId="1099"/>
    <cellStyle name="Total 5" xfId="1100"/>
    <cellStyle name="Total 5 2" xfId="1101"/>
    <cellStyle name="Total 6" xfId="1102"/>
    <cellStyle name="Total 6 2" xfId="1103"/>
    <cellStyle name="Total 7" xfId="1104"/>
    <cellStyle name="Total 7 2" xfId="1105"/>
    <cellStyle name="Total 8" xfId="1106"/>
    <cellStyle name="Total 9" xfId="1107"/>
    <cellStyle name="TotCol - Style7" xfId="1108"/>
    <cellStyle name="TotRow - Style8" xfId="1109"/>
    <cellStyle name="Warning Text" xfId="1110"/>
    <cellStyle name="Warning Text 2" xfId="1111"/>
    <cellStyle name="Обычный_Centr_0" xfId="1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C\Finance\Treasury%20and%20Risk%20Mgmt\Rates\Rate%20Filing\2011\Decision\LPP%20-%20Rate%20Riders%20V2.0%20(21%20Months%20Recover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PP Rate Riders"/>
      <sheetName val="RRR Report"/>
      <sheetName val="Purchased Energy"/>
      <sheetName val="RRR - Num  of Customers"/>
      <sheetName val="2009 Rev from Vasan"/>
      <sheetName val="Sheet1"/>
    </sheetNames>
    <sheetDataSet>
      <sheetData sheetId="2">
        <row r="13">
          <cell r="B13">
            <v>611357</v>
          </cell>
          <cell r="C13">
            <v>65883</v>
          </cell>
          <cell r="D13">
            <v>12444</v>
          </cell>
          <cell r="E13">
            <v>509</v>
          </cell>
          <cell r="F13">
            <v>47</v>
          </cell>
          <cell r="G13">
            <v>162476</v>
          </cell>
          <cell r="H13">
            <v>1131</v>
          </cell>
          <cell r="I13">
            <v>21472</v>
          </cell>
        </row>
      </sheetData>
      <sheetData sheetId="4">
        <row r="24">
          <cell r="L24">
            <v>190840140.77937073</v>
          </cell>
        </row>
        <row r="25">
          <cell r="L25">
            <v>59527011.70545142</v>
          </cell>
        </row>
        <row r="26">
          <cell r="L26">
            <v>2427253.476487298</v>
          </cell>
        </row>
        <row r="27">
          <cell r="L27">
            <v>88065971.49180916</v>
          </cell>
        </row>
        <row r="28">
          <cell r="L28">
            <v>48964037.11870368</v>
          </cell>
        </row>
        <row r="29">
          <cell r="L29">
            <v>46765659.291986585</v>
          </cell>
        </row>
        <row r="30">
          <cell r="L30">
            <v>18843322.150540274</v>
          </cell>
        </row>
        <row r="31">
          <cell r="L31">
            <v>7500335.596002758</v>
          </cell>
        </row>
        <row r="32">
          <cell r="L32">
            <v>1665310.4723773887</v>
          </cell>
        </row>
        <row r="33">
          <cell r="L33">
            <v>600296.2255749789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5">
      <selection activeCell="C54" sqref="C54:C55"/>
    </sheetView>
  </sheetViews>
  <sheetFormatPr defaultColWidth="9.140625" defaultRowHeight="15"/>
  <cols>
    <col min="1" max="1" width="4.8515625" style="0" customWidth="1"/>
    <col min="2" max="2" width="50.421875" style="0" customWidth="1"/>
    <col min="3" max="3" width="22.00390625" style="0" customWidth="1"/>
    <col min="4" max="4" width="22.421875" style="0" customWidth="1"/>
    <col min="5" max="5" width="20.57421875" style="0" customWidth="1"/>
  </cols>
  <sheetData>
    <row r="1" spans="1:5" ht="15.75">
      <c r="A1" s="591"/>
      <c r="B1" s="593" t="s">
        <v>316</v>
      </c>
      <c r="C1" s="607"/>
      <c r="D1" s="607"/>
      <c r="E1" s="607"/>
    </row>
    <row r="2" spans="1:5" ht="15.75">
      <c r="A2" s="591"/>
      <c r="B2" s="589"/>
      <c r="C2" s="590"/>
      <c r="D2" s="590"/>
      <c r="E2" s="590"/>
    </row>
    <row r="3" spans="1:5" ht="15.75">
      <c r="A3" s="591"/>
      <c r="B3" s="593" t="s">
        <v>301</v>
      </c>
      <c r="C3" s="590"/>
      <c r="D3" s="590"/>
      <c r="E3" s="590"/>
    </row>
    <row r="4" spans="1:5" ht="15.75" thickBot="1">
      <c r="A4" s="591"/>
      <c r="B4" s="591" t="s">
        <v>96</v>
      </c>
      <c r="C4" s="591"/>
      <c r="D4" s="591"/>
      <c r="E4" s="591" t="s">
        <v>99</v>
      </c>
    </row>
    <row r="5" spans="1:5" ht="30" customHeight="1" thickBot="1">
      <c r="A5" s="588"/>
      <c r="B5" s="594"/>
      <c r="C5" s="592"/>
      <c r="D5" s="592"/>
      <c r="E5" s="608" t="s">
        <v>302</v>
      </c>
    </row>
    <row r="6" spans="1:5" ht="15">
      <c r="A6" s="591">
        <v>1</v>
      </c>
      <c r="B6" s="597" t="s">
        <v>303</v>
      </c>
      <c r="C6" s="595">
        <v>2011</v>
      </c>
      <c r="D6" s="595">
        <v>2012</v>
      </c>
      <c r="E6" s="609">
        <v>2012</v>
      </c>
    </row>
    <row r="7" spans="1:5" ht="15">
      <c r="A7" s="591">
        <v>2</v>
      </c>
      <c r="B7" s="599"/>
      <c r="C7" s="598"/>
      <c r="D7" s="598"/>
      <c r="E7" s="610"/>
    </row>
    <row r="8" spans="1:5" ht="15">
      <c r="A8" s="591">
        <v>3</v>
      </c>
      <c r="B8" s="599" t="s">
        <v>304</v>
      </c>
      <c r="C8" s="600"/>
      <c r="D8" s="600"/>
      <c r="E8" s="611"/>
    </row>
    <row r="9" spans="1:5" ht="15">
      <c r="A9" s="591">
        <v>4</v>
      </c>
      <c r="B9" s="601" t="s">
        <v>305</v>
      </c>
      <c r="C9" s="602">
        <f>+'Residential '!D3+'Residential '!D4</f>
        <v>30.598</v>
      </c>
      <c r="D9" s="602">
        <f>+'Residential '!G3+'Residential '!G4</f>
        <v>30.68</v>
      </c>
      <c r="E9" s="612">
        <f>(+D9-C9)/C9</f>
        <v>0.0026799137198509947</v>
      </c>
    </row>
    <row r="10" spans="1:5" ht="15">
      <c r="A10" s="591">
        <v>5</v>
      </c>
      <c r="B10" s="601" t="s">
        <v>306</v>
      </c>
      <c r="C10" s="603">
        <f>SUM('Residential '!D5:D6)</f>
        <v>1.46</v>
      </c>
      <c r="D10" s="603">
        <f>SUM('Residential '!G5:G6)</f>
        <v>1.46</v>
      </c>
      <c r="E10" s="613">
        <f>(+D10-C10)/C10</f>
        <v>0</v>
      </c>
    </row>
    <row r="11" spans="1:5" ht="15">
      <c r="A11" s="591">
        <v>6</v>
      </c>
      <c r="B11" s="601" t="s">
        <v>307</v>
      </c>
      <c r="C11" s="604">
        <f>SUM(C9:C10)</f>
        <v>32.058</v>
      </c>
      <c r="D11" s="604">
        <f>SUM(D9:D10)</f>
        <v>32.14</v>
      </c>
      <c r="E11" s="612">
        <f>(+D11-C11)/C11</f>
        <v>0.002557863871732508</v>
      </c>
    </row>
    <row r="12" spans="1:5" ht="15">
      <c r="A12" s="591">
        <v>7</v>
      </c>
      <c r="B12" s="601" t="s">
        <v>308</v>
      </c>
      <c r="C12" s="604">
        <f>+'Residential '!D28</f>
        <v>124.35625600000002</v>
      </c>
      <c r="D12" s="604">
        <f>+'Residential '!G28</f>
        <v>125.29898880000002</v>
      </c>
      <c r="E12" s="612">
        <f>(+D12-C12)/C12</f>
        <v>0.007580903690120757</v>
      </c>
    </row>
    <row r="13" spans="1:5" ht="15">
      <c r="A13" s="591">
        <v>8</v>
      </c>
      <c r="B13" s="601"/>
      <c r="C13" s="604"/>
      <c r="D13" s="604"/>
      <c r="E13" s="611"/>
    </row>
    <row r="14" spans="1:5" ht="15">
      <c r="A14" s="591">
        <v>9</v>
      </c>
      <c r="B14" s="599" t="s">
        <v>309</v>
      </c>
      <c r="C14" s="604"/>
      <c r="D14" s="604"/>
      <c r="E14" s="611"/>
    </row>
    <row r="15" spans="1:5" ht="15">
      <c r="A15" s="591">
        <v>10</v>
      </c>
      <c r="B15" s="601" t="s">
        <v>305</v>
      </c>
      <c r="C15" s="602">
        <f>+'GS &lt; 50 kWh'!D3+'GS &lt; 50 kWh'!D4</f>
        <v>69.89</v>
      </c>
      <c r="D15" s="602">
        <f>+'GS &lt; 50 kWh'!G3+'GS &lt; 50 kWh'!G4</f>
        <v>70.08</v>
      </c>
      <c r="E15" s="612">
        <f>(+D15-C15)/C15</f>
        <v>0.0027185577335813098</v>
      </c>
    </row>
    <row r="16" spans="1:5" ht="15">
      <c r="A16" s="591">
        <v>11</v>
      </c>
      <c r="B16" s="601" t="s">
        <v>306</v>
      </c>
      <c r="C16" s="603">
        <f>SUM('GS &lt; 50 kWh'!D5:D6)</f>
        <v>1.46</v>
      </c>
      <c r="D16" s="603">
        <f>SUM('GS &lt; 50 kWh'!G5:G6)</f>
        <v>1.46</v>
      </c>
      <c r="E16" s="613">
        <f>(+D16-C16)/C16</f>
        <v>0</v>
      </c>
    </row>
    <row r="17" spans="1:5" ht="15">
      <c r="A17" s="591">
        <v>12</v>
      </c>
      <c r="B17" s="601" t="s">
        <v>307</v>
      </c>
      <c r="C17" s="604">
        <f>SUM(C15:C16)</f>
        <v>71.35</v>
      </c>
      <c r="D17" s="604">
        <f>SUM(D15:D16)</f>
        <v>71.53999999999999</v>
      </c>
      <c r="E17" s="612">
        <f>(+D17-C17)/C17</f>
        <v>0.0026629292221443273</v>
      </c>
    </row>
    <row r="18" spans="1:5" ht="15">
      <c r="A18" s="591">
        <v>13</v>
      </c>
      <c r="B18" s="601" t="s">
        <v>308</v>
      </c>
      <c r="C18" s="604">
        <f>+'GS &lt; 50 kWh'!D28</f>
        <v>300.12048000000004</v>
      </c>
      <c r="D18" s="604">
        <f>+'GS &lt; 50 kWh'!G28</f>
        <v>302.01032000000004</v>
      </c>
      <c r="E18" s="612">
        <f>(+D18-C18)/C18</f>
        <v>0.006296937816439558</v>
      </c>
    </row>
    <row r="19" spans="1:5" ht="15">
      <c r="A19" s="591">
        <v>14</v>
      </c>
      <c r="B19" s="599"/>
      <c r="C19" s="604"/>
      <c r="D19" s="604"/>
      <c r="E19" s="611"/>
    </row>
    <row r="20" spans="1:5" ht="15">
      <c r="A20" s="591">
        <v>15</v>
      </c>
      <c r="B20" s="599" t="s">
        <v>310</v>
      </c>
      <c r="C20" s="604"/>
      <c r="D20" s="604"/>
      <c r="E20" s="611"/>
    </row>
    <row r="21" spans="1:5" ht="15">
      <c r="A21" s="591">
        <v>16</v>
      </c>
      <c r="B21" s="601" t="s">
        <v>305</v>
      </c>
      <c r="C21" s="602">
        <f>+'GS &gt; 50 &lt; 1000'!D3+'GS &gt; 50 &lt; 1000'!D4</f>
        <v>2227.906</v>
      </c>
      <c r="D21" s="602">
        <f>+'GS &gt; 50 &lt; 1000'!G3+'GS &gt; 50 &lt; 1000'!G4</f>
        <v>2234.1364</v>
      </c>
      <c r="E21" s="612">
        <f>(+D21-C21)/C21</f>
        <v>0.002796527322068309</v>
      </c>
    </row>
    <row r="22" spans="1:5" ht="15">
      <c r="A22" s="591">
        <v>17</v>
      </c>
      <c r="B22" s="601" t="s">
        <v>306</v>
      </c>
      <c r="C22" s="603">
        <f>SUM('GS &gt; 50 &lt; 1000'!D5:D5)</f>
        <v>0.68</v>
      </c>
      <c r="D22" s="603">
        <f>SUM('GS &gt; 50 &lt; 1000'!G5:G5)</f>
        <v>0.68</v>
      </c>
      <c r="E22" s="613">
        <f>(+D22-C22)/C22</f>
        <v>0</v>
      </c>
    </row>
    <row r="23" spans="1:5" ht="15">
      <c r="A23" s="591">
        <v>18</v>
      </c>
      <c r="B23" s="601" t="s">
        <v>307</v>
      </c>
      <c r="C23" s="604">
        <f>SUM(C21:C22)</f>
        <v>2228.586</v>
      </c>
      <c r="D23" s="604">
        <f>SUM(D21:D22)</f>
        <v>2234.8163999999997</v>
      </c>
      <c r="E23" s="612">
        <f>(+D23-C23)/C23</f>
        <v>0.002795674028285163</v>
      </c>
    </row>
    <row r="24" spans="1:5" ht="15">
      <c r="A24" s="591">
        <v>19</v>
      </c>
      <c r="B24" s="601" t="s">
        <v>308</v>
      </c>
      <c r="C24" s="604">
        <f>+'GS &gt; 50 &lt; 1000'!D26</f>
        <v>20014.4273</v>
      </c>
      <c r="D24" s="604">
        <f>+'GS &gt; 50 &lt; 1000'!G26</f>
        <v>20026.0203</v>
      </c>
      <c r="E24" s="612">
        <f>(+D24-C24)/C24</f>
        <v>0.0005792321621913587</v>
      </c>
    </row>
    <row r="25" spans="1:5" ht="15">
      <c r="A25" s="591">
        <v>20</v>
      </c>
      <c r="B25" s="601"/>
      <c r="C25" s="604"/>
      <c r="D25" s="604"/>
      <c r="E25" s="611"/>
    </row>
    <row r="26" spans="1:5" ht="15">
      <c r="A26" s="591">
        <v>21</v>
      </c>
      <c r="B26" s="599" t="s">
        <v>311</v>
      </c>
      <c r="C26" s="604"/>
      <c r="D26" s="604"/>
      <c r="E26" s="611"/>
    </row>
    <row r="27" spans="1:5" ht="15">
      <c r="A27" s="591">
        <v>22</v>
      </c>
      <c r="B27" s="601" t="s">
        <v>305</v>
      </c>
      <c r="C27" s="602">
        <f>+'GS &gt; 1000 &lt; 5000'!D3+'GS &gt; 1000 &lt; 5000'!D4</f>
        <v>8680.724999999999</v>
      </c>
      <c r="D27" s="602">
        <f>+'GS &gt; 1000 &lt; 5000'!G3+'GS &gt; 1000 &lt; 5000'!G4</f>
        <v>8705.0678</v>
      </c>
      <c r="E27" s="612">
        <f>(+D27-C27)/C27</f>
        <v>0.0028042358213170183</v>
      </c>
    </row>
    <row r="28" spans="1:5" ht="15">
      <c r="A28" s="591">
        <v>23</v>
      </c>
      <c r="B28" s="601" t="s">
        <v>306</v>
      </c>
      <c r="C28" s="603">
        <f>SUM('GS &gt; 1000 &lt; 5000'!D5:D5)</f>
        <v>0.68</v>
      </c>
      <c r="D28" s="603">
        <f>SUM('GS &gt; 1000 &lt; 5000'!G5:G5)</f>
        <v>0.68</v>
      </c>
      <c r="E28" s="613">
        <f>(+D28-C28)/C28</f>
        <v>0</v>
      </c>
    </row>
    <row r="29" spans="1:5" ht="15">
      <c r="A29" s="591">
        <v>24</v>
      </c>
      <c r="B29" s="601" t="s">
        <v>307</v>
      </c>
      <c r="C29" s="604">
        <f>SUM(C27:C28)</f>
        <v>8681.404999999999</v>
      </c>
      <c r="D29" s="604">
        <f>SUM(D27:D28)</f>
        <v>8705.747800000001</v>
      </c>
      <c r="E29" s="612">
        <f>(+D29-C29)/C29</f>
        <v>0.0028040161701939</v>
      </c>
    </row>
    <row r="30" spans="1:5" ht="15">
      <c r="A30" s="591">
        <v>25</v>
      </c>
      <c r="B30" s="601" t="s">
        <v>308</v>
      </c>
      <c r="C30" s="604">
        <f>+'GS &gt; 1000 &lt; 5000'!D26</f>
        <v>102108.09480000002</v>
      </c>
      <c r="D30" s="604">
        <f>+'GS &gt; 1000 &lt; 5000'!G26</f>
        <v>102086.02280000002</v>
      </c>
      <c r="E30" s="612">
        <f>(+D30-C30)/C30</f>
        <v>-0.00021616307740569176</v>
      </c>
    </row>
    <row r="31" spans="1:5" ht="15">
      <c r="A31" s="591">
        <v>26</v>
      </c>
      <c r="B31" s="601"/>
      <c r="C31" s="604"/>
      <c r="D31" s="604"/>
      <c r="E31" s="611"/>
    </row>
    <row r="32" spans="1:5" ht="15">
      <c r="A32" s="591">
        <v>27</v>
      </c>
      <c r="B32" s="599" t="s">
        <v>312</v>
      </c>
      <c r="C32" s="604"/>
      <c r="D32" s="604"/>
      <c r="E32" s="611"/>
    </row>
    <row r="33" spans="1:5" ht="15">
      <c r="A33" s="591">
        <v>28</v>
      </c>
      <c r="B33" s="601" t="s">
        <v>305</v>
      </c>
      <c r="C33" s="602">
        <f>+LU!D3+LU!D4</f>
        <v>48191.06080000001</v>
      </c>
      <c r="D33" s="602">
        <f>+LU!G3+LU!G4</f>
        <v>48325.986399999994</v>
      </c>
      <c r="E33" s="612">
        <f>(+D33-C33)/C33</f>
        <v>0.002799805560619403</v>
      </c>
    </row>
    <row r="34" spans="1:5" ht="15">
      <c r="A34" s="591">
        <v>29</v>
      </c>
      <c r="B34" s="601" t="s">
        <v>306</v>
      </c>
      <c r="C34" s="603">
        <f>SUM(LU!D5:D5)</f>
        <v>0.68</v>
      </c>
      <c r="D34" s="603">
        <f>SUM(LU!G5:G5)</f>
        <v>0.68</v>
      </c>
      <c r="E34" s="613">
        <f>(+D34-C34)/C34</f>
        <v>0</v>
      </c>
    </row>
    <row r="35" spans="1:5" ht="15">
      <c r="A35" s="591">
        <v>30</v>
      </c>
      <c r="B35" s="601" t="s">
        <v>307</v>
      </c>
      <c r="C35" s="604">
        <f>SUM(C33:C34)</f>
        <v>48191.74080000001</v>
      </c>
      <c r="D35" s="604">
        <f>SUM(D33:D34)</f>
        <v>48326.666399999995</v>
      </c>
      <c r="E35" s="612">
        <f>(+D35-C35)/C35</f>
        <v>0.0027997660545183655</v>
      </c>
    </row>
    <row r="36" spans="1:5" ht="15">
      <c r="A36" s="591">
        <v>31</v>
      </c>
      <c r="B36" s="601" t="s">
        <v>308</v>
      </c>
      <c r="C36" s="604">
        <f>+LU!D26</f>
        <v>568211.9609</v>
      </c>
      <c r="D36" s="604">
        <f>+LU!G26</f>
        <v>567882.9228999999</v>
      </c>
      <c r="E36" s="612">
        <f>(+D36-C36)/C36</f>
        <v>-0.000579076159324225</v>
      </c>
    </row>
    <row r="37" spans="1:5" ht="15">
      <c r="A37" s="591">
        <v>32</v>
      </c>
      <c r="B37" s="601"/>
      <c r="C37" s="604"/>
      <c r="D37" s="604"/>
      <c r="E37" s="611"/>
    </row>
    <row r="38" spans="1:5" ht="15">
      <c r="A38" s="591">
        <v>33</v>
      </c>
      <c r="B38" s="599" t="s">
        <v>313</v>
      </c>
      <c r="C38" s="604"/>
      <c r="D38" s="604"/>
      <c r="E38" s="611"/>
    </row>
    <row r="39" spans="1:5" ht="15">
      <c r="A39" s="591">
        <v>34</v>
      </c>
      <c r="B39" s="601" t="s">
        <v>305</v>
      </c>
      <c r="C39" s="602">
        <f>+'St Lights'!D3+'St Lights'!D4</f>
        <v>959606.3054485077</v>
      </c>
      <c r="D39" s="602">
        <f>+'St Lights'!G3+'St Lights'!G4</f>
        <v>961697.6114485078</v>
      </c>
      <c r="E39" s="612">
        <f>(+D39-C39)/C39</f>
        <v>0.0021793374930176696</v>
      </c>
    </row>
    <row r="40" spans="1:5" ht="15">
      <c r="A40" s="591">
        <v>35</v>
      </c>
      <c r="B40" s="601" t="s">
        <v>306</v>
      </c>
      <c r="C40" s="603" t="e">
        <f>SUM('St Lights'!#REF!)</f>
        <v>#REF!</v>
      </c>
      <c r="D40" s="603" t="e">
        <f>SUM('St Lights'!#REF!)</f>
        <v>#REF!</v>
      </c>
      <c r="E40" s="613" t="e">
        <f>(+D40-C40)/C40</f>
        <v>#REF!</v>
      </c>
    </row>
    <row r="41" spans="1:5" ht="15">
      <c r="A41" s="591">
        <v>36</v>
      </c>
      <c r="B41" s="601" t="s">
        <v>307</v>
      </c>
      <c r="C41" s="604" t="e">
        <f>SUM(C39:C40)</f>
        <v>#REF!</v>
      </c>
      <c r="D41" s="604" t="e">
        <f>SUM(D39:D40)</f>
        <v>#REF!</v>
      </c>
      <c r="E41" s="612" t="e">
        <f>(+D41-C41)/C41</f>
        <v>#REF!</v>
      </c>
    </row>
    <row r="42" spans="1:5" ht="15">
      <c r="A42" s="591">
        <v>37</v>
      </c>
      <c r="B42" s="601" t="s">
        <v>308</v>
      </c>
      <c r="C42" s="604">
        <f>+'St Lights'!D25</f>
        <v>2101407.312647669</v>
      </c>
      <c r="D42" s="604">
        <f>+'St Lights'!G25</f>
        <v>2142575.4057873185</v>
      </c>
      <c r="E42" s="612">
        <f>(+D42-C42)/C42</f>
        <v>0.019590725173493192</v>
      </c>
    </row>
    <row r="43" spans="1:5" ht="15">
      <c r="A43" s="591">
        <v>38</v>
      </c>
      <c r="B43" s="601"/>
      <c r="C43" s="604"/>
      <c r="D43" s="604"/>
      <c r="E43" s="611"/>
    </row>
    <row r="44" spans="1:5" ht="15">
      <c r="A44" s="591">
        <v>39</v>
      </c>
      <c r="B44" s="599" t="s">
        <v>314</v>
      </c>
      <c r="C44" s="604"/>
      <c r="D44" s="604"/>
      <c r="E44" s="611"/>
    </row>
    <row r="45" spans="1:5" ht="15">
      <c r="A45" s="591">
        <v>40</v>
      </c>
      <c r="B45" s="601" t="s">
        <v>305</v>
      </c>
      <c r="C45" s="587">
        <f>+USL!D3+USL!D4+USL!D5</f>
        <v>27.7472</v>
      </c>
      <c r="D45" s="602">
        <f>SUM(USL!G3:G5)</f>
        <v>27.81925</v>
      </c>
      <c r="E45" s="612">
        <f>(+D45-C45)/C45</f>
        <v>0.0025966584015684768</v>
      </c>
    </row>
    <row r="46" spans="1:5" ht="15">
      <c r="A46" s="591">
        <v>41</v>
      </c>
      <c r="B46" s="601" t="s">
        <v>306</v>
      </c>
      <c r="C46" s="586" t="e">
        <f>SUM(USL!#REF!)</f>
        <v>#REF!</v>
      </c>
      <c r="D46" s="603" t="e">
        <f>SUM(USL!#REF!)</f>
        <v>#REF!</v>
      </c>
      <c r="E46" s="613" t="e">
        <f>(+D46-C46)/C46</f>
        <v>#REF!</v>
      </c>
    </row>
    <row r="47" spans="1:5" ht="15">
      <c r="A47" s="591">
        <v>42</v>
      </c>
      <c r="B47" s="601" t="s">
        <v>307</v>
      </c>
      <c r="C47" s="604" t="e">
        <f>SUM(C45:C46)</f>
        <v>#REF!</v>
      </c>
      <c r="D47" s="604" t="e">
        <f>SUM(D45:D46)</f>
        <v>#REF!</v>
      </c>
      <c r="E47" s="612" t="e">
        <f>(+D47-C47)/C47</f>
        <v>#REF!</v>
      </c>
    </row>
    <row r="48" spans="1:5" ht="15.75" thickBot="1">
      <c r="A48" s="591">
        <v>43</v>
      </c>
      <c r="B48" s="606" t="s">
        <v>308</v>
      </c>
      <c r="C48" s="605">
        <f>+USL!D30</f>
        <v>66.12919420000001</v>
      </c>
      <c r="D48" s="605">
        <f>+USL!G30</f>
        <v>67.43530772000001</v>
      </c>
      <c r="E48" s="614">
        <f>(+D48-C48)/C48</f>
        <v>0.019750936568950304</v>
      </c>
    </row>
    <row r="50" ht="15">
      <c r="B50" s="596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78.140625" style="1" customWidth="1"/>
    <col min="2" max="3" width="10.7109375" style="0" customWidth="1"/>
    <col min="4" max="4" width="10.421875" style="0" customWidth="1"/>
    <col min="5" max="5" width="10.7109375" style="0" customWidth="1"/>
    <col min="6" max="6" width="11.00390625" style="0" customWidth="1"/>
    <col min="7" max="9" width="10.7109375" style="0" customWidth="1"/>
    <col min="10" max="10" width="9.140625" style="0" hidden="1" customWidth="1"/>
    <col min="11" max="11" width="8.8515625" style="0" hidden="1" customWidth="1"/>
    <col min="12" max="14" width="11.7109375" style="0" hidden="1" customWidth="1"/>
    <col min="15" max="16" width="9.140625" style="0" hidden="1" customWidth="1"/>
  </cols>
  <sheetData>
    <row r="1" spans="1:16" ht="15.75" thickBot="1">
      <c r="A1" s="8" t="s">
        <v>364</v>
      </c>
      <c r="B1" s="2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.75" thickBot="1">
      <c r="A2" s="9"/>
      <c r="B2" s="11" t="s">
        <v>5</v>
      </c>
      <c r="C2" s="12" t="s">
        <v>6</v>
      </c>
      <c r="D2" s="12" t="s">
        <v>7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>
      <c r="A3" s="10" t="s">
        <v>95</v>
      </c>
      <c r="B3" s="47">
        <v>1</v>
      </c>
      <c r="C3" s="49">
        <v>4.89</v>
      </c>
      <c r="D3" s="28">
        <f>+B3*C3</f>
        <v>4.89</v>
      </c>
      <c r="E3" s="47">
        <v>1</v>
      </c>
      <c r="F3" s="49">
        <f>+'2014 Proposed Rates'!S11</f>
        <v>4.9</v>
      </c>
      <c r="G3" s="28">
        <f>+E3*F3</f>
        <v>4.9</v>
      </c>
      <c r="H3" s="50">
        <f>+G3-D3</f>
        <v>0.010000000000000675</v>
      </c>
      <c r="I3" s="14">
        <f>IF(D3=0,"n/a",H3/D3)</f>
        <v>0.002044989775051263</v>
      </c>
      <c r="J3" s="156"/>
      <c r="L3" s="47">
        <f>E3</f>
        <v>1</v>
      </c>
      <c r="M3" s="49">
        <f>F3</f>
        <v>4.9</v>
      </c>
      <c r="N3" s="28">
        <f>L3*M3</f>
        <v>4.9</v>
      </c>
      <c r="O3" s="50">
        <f>N3-D3</f>
        <v>0.010000000000000675</v>
      </c>
      <c r="P3" s="14">
        <f>IF(D3=0,"n/a",O3/D3)</f>
        <v>0.002044989775051263</v>
      </c>
    </row>
    <row r="4" spans="1:16" ht="15">
      <c r="A4" s="10" t="s">
        <v>410</v>
      </c>
      <c r="B4" s="47">
        <v>1</v>
      </c>
      <c r="C4" s="49">
        <v>0.49</v>
      </c>
      <c r="D4" s="28">
        <f>+B4*C4</f>
        <v>0.49</v>
      </c>
      <c r="E4" s="47">
        <v>1</v>
      </c>
      <c r="F4" s="49">
        <f>+'2014 Proposed Rates'!S12</f>
        <v>0.49</v>
      </c>
      <c r="G4" s="28">
        <f>+E4*F4</f>
        <v>0.49</v>
      </c>
      <c r="H4" s="50">
        <f>+G4-D4</f>
        <v>0</v>
      </c>
      <c r="I4" s="14">
        <f>IF(D4=0,"n/a",H4/D4)</f>
        <v>0</v>
      </c>
      <c r="J4" s="156"/>
      <c r="L4" s="47">
        <f>E4</f>
        <v>1</v>
      </c>
      <c r="M4" s="49">
        <f>F4</f>
        <v>0.49</v>
      </c>
      <c r="N4" s="28">
        <f>L4*M4</f>
        <v>0.49</v>
      </c>
      <c r="O4" s="50">
        <f aca="true" t="shared" si="0" ref="O4:O30">N4-D4</f>
        <v>0</v>
      </c>
      <c r="P4" s="14">
        <f>IF(D4=0,"n/a",O4/D4)</f>
        <v>0</v>
      </c>
    </row>
    <row r="5" spans="1:16" ht="15">
      <c r="A5" s="10" t="s">
        <v>396</v>
      </c>
      <c r="B5" s="59">
        <v>365</v>
      </c>
      <c r="C5" s="30">
        <v>0.06128</v>
      </c>
      <c r="D5" s="28">
        <f aca="true" t="shared" si="1" ref="D5:D29">+B5*C5</f>
        <v>22.3672</v>
      </c>
      <c r="E5" s="59">
        <f>+B32</f>
        <v>365</v>
      </c>
      <c r="F5" s="30">
        <f>+'2014 Proposed Rates'!T11</f>
        <v>0.06145</v>
      </c>
      <c r="G5" s="28">
        <f aca="true" t="shared" si="2" ref="G5:G29">+E5*F5</f>
        <v>22.42925</v>
      </c>
      <c r="H5" s="50">
        <f>+G5-D5</f>
        <v>0.06204999999999927</v>
      </c>
      <c r="I5" s="14">
        <f>IF(D5=0,"n/a",H5/D5)</f>
        <v>0.002774151436031299</v>
      </c>
      <c r="J5" s="173">
        <f>SUM(H3:H5)/SUM(D3:D5)</f>
        <v>0.0025966584015684447</v>
      </c>
      <c r="L5" s="47">
        <f>E5</f>
        <v>365</v>
      </c>
      <c r="M5" s="30">
        <f>F5</f>
        <v>0.06145</v>
      </c>
      <c r="N5" s="28">
        <f>L5*M5</f>
        <v>22.42925</v>
      </c>
      <c r="O5" s="50">
        <f t="shared" si="0"/>
        <v>0.06204999999999927</v>
      </c>
      <c r="P5" s="14">
        <f>IF(D5=0,"n/a",O5/D5)</f>
        <v>0.002774151436031299</v>
      </c>
    </row>
    <row r="6" spans="1:16" ht="15">
      <c r="A6" s="10" t="s">
        <v>399</v>
      </c>
      <c r="B6" s="59">
        <v>365</v>
      </c>
      <c r="C6" s="30">
        <v>-0.00015</v>
      </c>
      <c r="D6" s="28">
        <f t="shared" si="1"/>
        <v>-0.05474999999999999</v>
      </c>
      <c r="E6" s="47">
        <f>+E5</f>
        <v>365</v>
      </c>
      <c r="F6" s="30">
        <f>+'2014 Proposed Rates'!U11</f>
        <v>-6E-05</v>
      </c>
      <c r="G6" s="28">
        <f t="shared" si="2"/>
        <v>-0.0219</v>
      </c>
      <c r="H6" s="50">
        <f>+G6-D6</f>
        <v>0.03284999999999999</v>
      </c>
      <c r="I6" s="14">
        <f>IF(D6=0,"n/a",H6/D6)</f>
        <v>-0.5999999999999999</v>
      </c>
      <c r="L6" s="47"/>
      <c r="M6" s="30"/>
      <c r="N6" s="28"/>
      <c r="O6" s="50"/>
      <c r="P6" s="14"/>
    </row>
    <row r="7" spans="1:16" ht="15">
      <c r="A7" s="10" t="s">
        <v>400</v>
      </c>
      <c r="B7" s="59">
        <v>1</v>
      </c>
      <c r="C7" s="30">
        <v>0.02</v>
      </c>
      <c r="D7" s="28">
        <f t="shared" si="1"/>
        <v>0.02</v>
      </c>
      <c r="E7" s="47">
        <f>+E3</f>
        <v>1</v>
      </c>
      <c r="F7" s="49">
        <f>+'2014 Proposed Rates'!AA11</f>
        <v>0.02</v>
      </c>
      <c r="G7" s="28">
        <f>+E7*F7</f>
        <v>0.02</v>
      </c>
      <c r="H7" s="50">
        <f>+G7-D7</f>
        <v>0</v>
      </c>
      <c r="I7" s="14">
        <f>IF(D7=0,"n/a",H7/D7)</f>
        <v>0</v>
      </c>
      <c r="L7" s="47"/>
      <c r="M7" s="30"/>
      <c r="N7" s="28"/>
      <c r="O7" s="50"/>
      <c r="P7" s="14"/>
    </row>
    <row r="8" spans="1:16" ht="15">
      <c r="A8" s="10" t="s">
        <v>411</v>
      </c>
      <c r="B8" s="59">
        <v>1</v>
      </c>
      <c r="C8" s="30">
        <v>0.19</v>
      </c>
      <c r="D8" s="28">
        <f t="shared" si="1"/>
        <v>0.19</v>
      </c>
      <c r="E8" s="47">
        <f>+E4</f>
        <v>1</v>
      </c>
      <c r="F8" s="30">
        <f>+'2014 Proposed Rates'!AA12</f>
        <v>0.19</v>
      </c>
      <c r="G8" s="28">
        <f>+E8*F8</f>
        <v>0.19</v>
      </c>
      <c r="H8" s="50">
        <f>+G8-D8</f>
        <v>0</v>
      </c>
      <c r="I8" s="14">
        <f>IF(D8=0,"n/a",H8/D8)</f>
        <v>0</v>
      </c>
      <c r="L8" s="47"/>
      <c r="M8" s="30"/>
      <c r="N8" s="28"/>
      <c r="O8" s="50"/>
      <c r="P8" s="14"/>
    </row>
    <row r="9" spans="1:16" ht="15">
      <c r="A9" s="10" t="s">
        <v>400</v>
      </c>
      <c r="B9" s="59">
        <v>365</v>
      </c>
      <c r="C9" s="30">
        <v>0.00245</v>
      </c>
      <c r="D9" s="28">
        <f t="shared" si="1"/>
        <v>0.89425</v>
      </c>
      <c r="E9" s="47">
        <f>+E5</f>
        <v>365</v>
      </c>
      <c r="F9" s="30">
        <f>+'2014 Proposed Rates'!AB11</f>
        <v>0.00245</v>
      </c>
      <c r="G9" s="28">
        <f>+E9*F9</f>
        <v>0.89425</v>
      </c>
      <c r="H9" s="50">
        <f>+G9-D9</f>
        <v>0</v>
      </c>
      <c r="I9" s="14">
        <f>IF(D9=0,"n/a",H9/D9)</f>
        <v>0</v>
      </c>
      <c r="L9" s="47"/>
      <c r="M9" s="30"/>
      <c r="N9" s="28"/>
      <c r="O9" s="50"/>
      <c r="P9" s="14"/>
    </row>
    <row r="10" spans="1:16" ht="15">
      <c r="A10" s="10" t="s">
        <v>403</v>
      </c>
      <c r="B10" s="59">
        <v>1</v>
      </c>
      <c r="C10" s="30">
        <v>0.02</v>
      </c>
      <c r="D10" s="28">
        <f t="shared" si="1"/>
        <v>0.02</v>
      </c>
      <c r="E10" s="47">
        <f>+E3</f>
        <v>1</v>
      </c>
      <c r="F10" s="49">
        <f>+'2014 Proposed Rates'!Y11</f>
        <v>0.02</v>
      </c>
      <c r="G10" s="28">
        <f>+E10*F10</f>
        <v>0.02</v>
      </c>
      <c r="H10" s="50">
        <f>+G10-D10</f>
        <v>0</v>
      </c>
      <c r="I10" s="14">
        <f>IF(D10=0,"n/a",H10/D10)</f>
        <v>0</v>
      </c>
      <c r="L10" s="47"/>
      <c r="M10" s="30"/>
      <c r="N10" s="28"/>
      <c r="O10" s="50"/>
      <c r="P10" s="14"/>
    </row>
    <row r="11" spans="1:16" ht="15">
      <c r="A11" s="10" t="s">
        <v>412</v>
      </c>
      <c r="B11" s="59">
        <v>1</v>
      </c>
      <c r="C11" s="30">
        <v>0</v>
      </c>
      <c r="D11" s="28">
        <f t="shared" si="1"/>
        <v>0</v>
      </c>
      <c r="E11" s="47">
        <f>+E4</f>
        <v>1</v>
      </c>
      <c r="F11" s="49">
        <f>+'2014 Proposed Rates'!Y12</f>
        <v>0</v>
      </c>
      <c r="G11" s="28">
        <f>+E11*F11</f>
        <v>0</v>
      </c>
      <c r="H11" s="50">
        <f>+G11-D11</f>
        <v>0</v>
      </c>
      <c r="I11" s="14" t="str">
        <f>IF(D11=0,"n/a",H11/D11)</f>
        <v>n/a</v>
      </c>
      <c r="L11" s="47"/>
      <c r="M11" s="30"/>
      <c r="N11" s="28"/>
      <c r="O11" s="50"/>
      <c r="P11" s="14"/>
    </row>
    <row r="12" spans="1:16" ht="15">
      <c r="A12" s="10" t="s">
        <v>403</v>
      </c>
      <c r="B12" s="59">
        <v>365</v>
      </c>
      <c r="C12" s="30">
        <v>0.00022</v>
      </c>
      <c r="D12" s="28">
        <f t="shared" si="1"/>
        <v>0.0803</v>
      </c>
      <c r="E12" s="47">
        <f>+E5</f>
        <v>365</v>
      </c>
      <c r="F12" s="30">
        <f>+'2014 Proposed Rates'!Z11</f>
        <v>0.00022</v>
      </c>
      <c r="G12" s="28">
        <f t="shared" si="2"/>
        <v>0.0803</v>
      </c>
      <c r="H12" s="50">
        <f>+G12-D12</f>
        <v>0</v>
      </c>
      <c r="I12" s="14">
        <f>IF(D12=0,"n/a",H12/D12)</f>
        <v>0</v>
      </c>
      <c r="L12" s="47"/>
      <c r="M12" s="30"/>
      <c r="N12" s="28"/>
      <c r="O12" s="50"/>
      <c r="P12" s="14"/>
    </row>
    <row r="13" spans="1:16" s="996" customFormat="1" ht="15">
      <c r="A13" s="1061" t="s">
        <v>401</v>
      </c>
      <c r="B13" s="57">
        <v>0</v>
      </c>
      <c r="C13" s="30">
        <v>0</v>
      </c>
      <c r="D13" s="1064">
        <f t="shared" si="1"/>
        <v>0</v>
      </c>
      <c r="E13" s="1062">
        <f>+E3</f>
        <v>1</v>
      </c>
      <c r="F13" s="1067">
        <f>+'2014 Proposed Rates'!AC11</f>
        <v>0.08</v>
      </c>
      <c r="G13" s="1064">
        <f t="shared" si="2"/>
        <v>0.08</v>
      </c>
      <c r="H13" s="50">
        <f aca="true" t="shared" si="3" ref="H13:H18">+G13-D13</f>
        <v>0.08</v>
      </c>
      <c r="I13" s="14" t="str">
        <f aca="true" t="shared" si="4" ref="I13:I18">IF(D13=0,"n/a",H13/D13)</f>
        <v>n/a</v>
      </c>
      <c r="L13" s="47"/>
      <c r="M13" s="30"/>
      <c r="N13" s="28"/>
      <c r="O13" s="50"/>
      <c r="P13" s="14"/>
    </row>
    <row r="14" spans="1:16" s="996" customFormat="1" ht="15" customHeight="1">
      <c r="A14" s="1061" t="s">
        <v>413</v>
      </c>
      <c r="B14" s="57">
        <v>0</v>
      </c>
      <c r="C14" s="30">
        <v>0</v>
      </c>
      <c r="D14" s="1064">
        <f t="shared" si="1"/>
        <v>0</v>
      </c>
      <c r="E14" s="1062">
        <f>+E4</f>
        <v>1</v>
      </c>
      <c r="F14" s="1067">
        <f>+'2014 Proposed Rates'!AC12</f>
        <v>0.01</v>
      </c>
      <c r="G14" s="1064">
        <f t="shared" si="2"/>
        <v>0.01</v>
      </c>
      <c r="H14" s="50">
        <f t="shared" si="3"/>
        <v>0.01</v>
      </c>
      <c r="I14" s="14" t="str">
        <f t="shared" si="4"/>
        <v>n/a</v>
      </c>
      <c r="L14" s="47"/>
      <c r="M14" s="30"/>
      <c r="N14" s="28"/>
      <c r="O14" s="50"/>
      <c r="P14" s="14"/>
    </row>
    <row r="15" spans="1:16" s="996" customFormat="1" ht="15">
      <c r="A15" s="1061" t="s">
        <v>401</v>
      </c>
      <c r="B15" s="57">
        <v>0</v>
      </c>
      <c r="C15" s="30">
        <v>0</v>
      </c>
      <c r="D15" s="1064">
        <f t="shared" si="1"/>
        <v>0</v>
      </c>
      <c r="E15" s="1062">
        <f>+E5</f>
        <v>365</v>
      </c>
      <c r="F15" s="1063">
        <f>+'2014 Proposed Rates'!AD11</f>
        <v>0.00102</v>
      </c>
      <c r="G15" s="1064">
        <f t="shared" si="2"/>
        <v>0.3723</v>
      </c>
      <c r="H15" s="50">
        <f t="shared" si="3"/>
        <v>0.3723</v>
      </c>
      <c r="I15" s="14" t="str">
        <f t="shared" si="4"/>
        <v>n/a</v>
      </c>
      <c r="L15" s="47"/>
      <c r="M15" s="30"/>
      <c r="N15" s="28"/>
      <c r="O15" s="50"/>
      <c r="P15" s="14"/>
    </row>
    <row r="16" spans="1:16" s="996" customFormat="1" ht="15">
      <c r="A16" s="1082" t="s">
        <v>415</v>
      </c>
      <c r="B16" s="57">
        <v>0</v>
      </c>
      <c r="C16" s="30">
        <v>0</v>
      </c>
      <c r="D16" s="1064">
        <f t="shared" si="1"/>
        <v>0</v>
      </c>
      <c r="E16" s="1062">
        <f>+E3</f>
        <v>1</v>
      </c>
      <c r="F16" s="1067">
        <f>+'2014 Proposed Rates'!AE11</f>
        <v>0.09</v>
      </c>
      <c r="G16" s="1064">
        <f t="shared" si="2"/>
        <v>0.09</v>
      </c>
      <c r="H16" s="50">
        <f t="shared" si="3"/>
        <v>0.09</v>
      </c>
      <c r="I16" s="14" t="str">
        <f t="shared" si="4"/>
        <v>n/a</v>
      </c>
      <c r="L16" s="47"/>
      <c r="M16" s="30"/>
      <c r="N16" s="28"/>
      <c r="O16" s="50"/>
      <c r="P16" s="14"/>
    </row>
    <row r="17" spans="1:16" s="996" customFormat="1" ht="15" customHeight="1">
      <c r="A17" s="1061" t="s">
        <v>414</v>
      </c>
      <c r="B17" s="57">
        <v>0</v>
      </c>
      <c r="C17" s="30">
        <v>0</v>
      </c>
      <c r="D17" s="1064">
        <f t="shared" si="1"/>
        <v>0</v>
      </c>
      <c r="E17" s="1062">
        <f>+E4</f>
        <v>1</v>
      </c>
      <c r="F17" s="1067">
        <f>+'2014 Proposed Rates'!AE12</f>
        <v>0.01</v>
      </c>
      <c r="G17" s="1064">
        <f t="shared" si="2"/>
        <v>0.01</v>
      </c>
      <c r="H17" s="50">
        <f t="shared" si="3"/>
        <v>0.01</v>
      </c>
      <c r="I17" s="14" t="str">
        <f t="shared" si="4"/>
        <v>n/a</v>
      </c>
      <c r="L17" s="47"/>
      <c r="M17" s="30"/>
      <c r="N17" s="28"/>
      <c r="O17" s="50"/>
      <c r="P17" s="14"/>
    </row>
    <row r="18" spans="1:16" s="996" customFormat="1" ht="15">
      <c r="A18" s="1061" t="s">
        <v>402</v>
      </c>
      <c r="B18" s="57">
        <v>0</v>
      </c>
      <c r="C18" s="30">
        <v>0</v>
      </c>
      <c r="D18" s="1064">
        <f t="shared" si="1"/>
        <v>0</v>
      </c>
      <c r="E18" s="1062">
        <f>+E5</f>
        <v>365</v>
      </c>
      <c r="F18" s="1063">
        <f>+'2014 Proposed Rates'!AF11</f>
        <v>0.0011</v>
      </c>
      <c r="G18" s="1064">
        <f t="shared" si="2"/>
        <v>0.4015</v>
      </c>
      <c r="H18" s="50">
        <f t="shared" si="3"/>
        <v>0.4015</v>
      </c>
      <c r="I18" s="14" t="str">
        <f t="shared" si="4"/>
        <v>n/a</v>
      </c>
      <c r="L18" s="47"/>
      <c r="M18" s="30"/>
      <c r="N18" s="28"/>
      <c r="O18" s="50"/>
      <c r="P18" s="14"/>
    </row>
    <row r="19" spans="1:16" ht="15">
      <c r="A19" s="1082" t="s">
        <v>415</v>
      </c>
      <c r="B19" s="59">
        <v>365</v>
      </c>
      <c r="C19" s="30">
        <v>-0.00119</v>
      </c>
      <c r="D19" s="28">
        <f t="shared" si="1"/>
        <v>-0.43435</v>
      </c>
      <c r="E19" s="47">
        <f>+E5</f>
        <v>365</v>
      </c>
      <c r="F19" s="30">
        <f>+'2014 Proposed Rates'!X11</f>
        <v>0</v>
      </c>
      <c r="G19" s="28">
        <f t="shared" si="2"/>
        <v>0</v>
      </c>
      <c r="H19" s="50">
        <f>+G19-D19</f>
        <v>0.43435</v>
      </c>
      <c r="I19" s="14">
        <f>IF(D19=0,"n/a",H19/D19)</f>
        <v>-1</v>
      </c>
      <c r="L19" s="47"/>
      <c r="M19" s="30"/>
      <c r="N19" s="28"/>
      <c r="O19" s="50"/>
      <c r="P19" s="14"/>
    </row>
    <row r="20" spans="1:16" ht="15">
      <c r="A20" s="6" t="s">
        <v>1</v>
      </c>
      <c r="B20" s="58"/>
      <c r="C20" s="43"/>
      <c r="D20" s="53">
        <f>SUM(D3:D19)</f>
        <v>28.462650000000004</v>
      </c>
      <c r="E20" s="58"/>
      <c r="F20" s="43"/>
      <c r="G20" s="53">
        <f>SUM(G3:G19)</f>
        <v>29.965700000000002</v>
      </c>
      <c r="H20" s="56">
        <f>SUM(H3:H19)</f>
        <v>1.50305</v>
      </c>
      <c r="I20" s="15">
        <f>+H20/D20</f>
        <v>0.05280780250609131</v>
      </c>
      <c r="J20" s="156"/>
      <c r="L20" s="48">
        <f>E20</f>
        <v>0</v>
      </c>
      <c r="M20" s="43"/>
      <c r="N20" s="53">
        <f>SUM(N3:N5)</f>
        <v>27.81925</v>
      </c>
      <c r="O20" s="56">
        <f t="shared" si="0"/>
        <v>-0.6434000000000033</v>
      </c>
      <c r="P20" s="15">
        <f aca="true" t="shared" si="5" ref="P20:P30">O20/D20</f>
        <v>-0.022605063126588817</v>
      </c>
    </row>
    <row r="21" spans="1:16" ht="15">
      <c r="A21" s="10" t="s">
        <v>404</v>
      </c>
      <c r="B21" s="59">
        <v>378.72400000000005</v>
      </c>
      <c r="C21" s="42">
        <v>0.00499</v>
      </c>
      <c r="D21" s="28">
        <f t="shared" si="1"/>
        <v>1.88983276</v>
      </c>
      <c r="E21" s="59">
        <f>+B21</f>
        <v>378.72400000000005</v>
      </c>
      <c r="F21" s="42">
        <f>+'2014 Proposed Rates'!V11</f>
        <v>0.00466</v>
      </c>
      <c r="G21" s="28">
        <f t="shared" si="2"/>
        <v>1.7648538400000002</v>
      </c>
      <c r="H21" s="50">
        <f>+G21-D21</f>
        <v>-0.12497891999999977</v>
      </c>
      <c r="I21" s="13">
        <f>+H21/D21</f>
        <v>-0.066132264529058</v>
      </c>
      <c r="L21" s="59">
        <f>E21</f>
        <v>378.72400000000005</v>
      </c>
      <c r="M21" s="42">
        <f>F21</f>
        <v>0.00466</v>
      </c>
      <c r="N21" s="28">
        <f>L21*M21</f>
        <v>1.7648538400000002</v>
      </c>
      <c r="O21" s="50">
        <f t="shared" si="0"/>
        <v>-0.12497891999999977</v>
      </c>
      <c r="P21" s="13">
        <f t="shared" si="5"/>
        <v>-0.066132264529058</v>
      </c>
    </row>
    <row r="22" spans="1:16" ht="15">
      <c r="A22" s="10" t="s">
        <v>405</v>
      </c>
      <c r="B22" s="59">
        <v>378.72400000000005</v>
      </c>
      <c r="C22" s="42">
        <v>0.00346</v>
      </c>
      <c r="D22" s="28">
        <f t="shared" si="1"/>
        <v>1.3103850400000001</v>
      </c>
      <c r="E22" s="59">
        <f>+B22</f>
        <v>378.72400000000005</v>
      </c>
      <c r="F22" s="42">
        <f>+'2014 Proposed Rates'!W11</f>
        <v>0.00327</v>
      </c>
      <c r="G22" s="28">
        <f t="shared" si="2"/>
        <v>1.2384274800000001</v>
      </c>
      <c r="H22" s="50">
        <f>+G22-D22</f>
        <v>-0.07195755999999998</v>
      </c>
      <c r="I22" s="13">
        <f>+H22/D22</f>
        <v>-0.05491329479768784</v>
      </c>
      <c r="L22" s="59">
        <f>E22</f>
        <v>378.72400000000005</v>
      </c>
      <c r="M22" s="42">
        <f>F22</f>
        <v>0.00327</v>
      </c>
      <c r="N22" s="28">
        <f>L22*M22</f>
        <v>1.2384274800000001</v>
      </c>
      <c r="O22" s="50">
        <f t="shared" si="0"/>
        <v>-0.07195755999999998</v>
      </c>
      <c r="P22" s="13">
        <f t="shared" si="5"/>
        <v>-0.05491329479768784</v>
      </c>
    </row>
    <row r="23" spans="1:16" ht="15">
      <c r="A23" s="6" t="s">
        <v>2</v>
      </c>
      <c r="B23" s="60"/>
      <c r="C23" s="43"/>
      <c r="D23" s="53">
        <f>SUM(D20:D22)</f>
        <v>31.662867800000004</v>
      </c>
      <c r="E23" s="45"/>
      <c r="F23" s="43"/>
      <c r="G23" s="53">
        <f>SUM(G20:G22)</f>
        <v>32.968981320000005</v>
      </c>
      <c r="H23" s="56">
        <f>+G23-D23</f>
        <v>1.3061135200000002</v>
      </c>
      <c r="I23" s="15">
        <f>+H23/D23</f>
        <v>0.04125063870556918</v>
      </c>
      <c r="L23" s="60">
        <f>E23</f>
        <v>0</v>
      </c>
      <c r="M23" s="43"/>
      <c r="N23" s="53">
        <f>SUM(N20:N22)</f>
        <v>30.82253132</v>
      </c>
      <c r="O23" s="56">
        <f t="shared" si="0"/>
        <v>-0.8403364800000048</v>
      </c>
      <c r="P23" s="15">
        <f t="shared" si="5"/>
        <v>-0.026540125338867907</v>
      </c>
    </row>
    <row r="24" spans="1:16" ht="15">
      <c r="A24" s="10" t="s">
        <v>406</v>
      </c>
      <c r="B24" s="59">
        <v>378.72400000000005</v>
      </c>
      <c r="C24" s="51">
        <v>0.0044</v>
      </c>
      <c r="D24" s="28">
        <f t="shared" si="1"/>
        <v>1.6663856000000004</v>
      </c>
      <c r="E24" s="47">
        <f>+B24</f>
        <v>378.72400000000005</v>
      </c>
      <c r="F24" s="51">
        <f aca="true" t="shared" si="6" ref="F24:F29">+C24</f>
        <v>0.0044</v>
      </c>
      <c r="G24" s="28">
        <f t="shared" si="2"/>
        <v>1.6663856000000004</v>
      </c>
      <c r="H24" s="50">
        <f aca="true" t="shared" si="7" ref="H24:H29">+G24-D24</f>
        <v>0</v>
      </c>
      <c r="I24" s="14">
        <f aca="true" t="shared" si="8" ref="I24:I29">IF(D24=0,"n/a",H24/D24)</f>
        <v>0</v>
      </c>
      <c r="L24" s="59">
        <f>E24</f>
        <v>378.72400000000005</v>
      </c>
      <c r="M24" s="51">
        <f>F24</f>
        <v>0.0044</v>
      </c>
      <c r="N24" s="174">
        <f>L24*M24</f>
        <v>1.6663856000000004</v>
      </c>
      <c r="O24" s="50">
        <f t="shared" si="0"/>
        <v>0</v>
      </c>
      <c r="P24" s="14">
        <f aca="true" t="shared" si="9" ref="P24:P29">IF(D24=0,"n/a",O24/D24)</f>
        <v>0</v>
      </c>
    </row>
    <row r="25" spans="1:16" ht="15">
      <c r="A25" s="10" t="s">
        <v>407</v>
      </c>
      <c r="B25" s="59">
        <v>378.72400000000005</v>
      </c>
      <c r="C25" s="51">
        <v>0.0012</v>
      </c>
      <c r="D25" s="28">
        <f t="shared" si="1"/>
        <v>0.4544688</v>
      </c>
      <c r="E25" s="47">
        <f>+B25</f>
        <v>378.72400000000005</v>
      </c>
      <c r="F25" s="51">
        <f t="shared" si="6"/>
        <v>0.0012</v>
      </c>
      <c r="G25" s="28">
        <f t="shared" si="2"/>
        <v>0.4544688</v>
      </c>
      <c r="H25" s="50">
        <f t="shared" si="7"/>
        <v>0</v>
      </c>
      <c r="I25" s="14">
        <f t="shared" si="8"/>
        <v>0</v>
      </c>
      <c r="L25" s="59">
        <f>E25</f>
        <v>378.72400000000005</v>
      </c>
      <c r="M25" s="51">
        <f>F25</f>
        <v>0.0012</v>
      </c>
      <c r="N25" s="174">
        <f>L25*M25</f>
        <v>0.4544688</v>
      </c>
      <c r="O25" s="50">
        <f t="shared" si="0"/>
        <v>0</v>
      </c>
      <c r="P25" s="14">
        <f t="shared" si="9"/>
        <v>0</v>
      </c>
    </row>
    <row r="26" spans="1:16" ht="15">
      <c r="A26" s="10" t="s">
        <v>409</v>
      </c>
      <c r="B26" s="59">
        <v>365</v>
      </c>
      <c r="C26" s="51">
        <v>0.007</v>
      </c>
      <c r="D26" s="28">
        <f t="shared" si="1"/>
        <v>2.555</v>
      </c>
      <c r="E26" s="47">
        <f>+B26</f>
        <v>365</v>
      </c>
      <c r="F26" s="51">
        <f>+C26</f>
        <v>0.007</v>
      </c>
      <c r="G26" s="28">
        <f t="shared" si="2"/>
        <v>2.555</v>
      </c>
      <c r="H26" s="50">
        <f>+G26-D26</f>
        <v>0</v>
      </c>
      <c r="I26" s="14">
        <f t="shared" si="8"/>
        <v>0</v>
      </c>
      <c r="L26" s="59">
        <f>E26</f>
        <v>365</v>
      </c>
      <c r="M26" s="51">
        <f>F26</f>
        <v>0.007</v>
      </c>
      <c r="N26" s="174">
        <f>L26*M26</f>
        <v>2.555</v>
      </c>
      <c r="O26" s="50">
        <f t="shared" si="0"/>
        <v>0</v>
      </c>
      <c r="P26" s="14">
        <f t="shared" si="9"/>
        <v>0</v>
      </c>
    </row>
    <row r="27" spans="1:16" ht="15">
      <c r="A27" s="10" t="s">
        <v>408</v>
      </c>
      <c r="B27" s="222">
        <v>1</v>
      </c>
      <c r="C27" s="50">
        <v>0.25</v>
      </c>
      <c r="D27" s="28">
        <f t="shared" si="1"/>
        <v>0.25</v>
      </c>
      <c r="E27" s="47">
        <f>+B27</f>
        <v>1</v>
      </c>
      <c r="F27" s="51">
        <f t="shared" si="6"/>
        <v>0.25</v>
      </c>
      <c r="G27" s="28">
        <f t="shared" si="2"/>
        <v>0.25</v>
      </c>
      <c r="H27" s="50">
        <f>+G27-D27</f>
        <v>0</v>
      </c>
      <c r="I27" s="14">
        <f t="shared" si="8"/>
        <v>0</v>
      </c>
      <c r="L27" s="222">
        <f>E27</f>
        <v>1</v>
      </c>
      <c r="M27" s="50">
        <f>F27</f>
        <v>0.25</v>
      </c>
      <c r="N27" s="174">
        <f>L27*M27</f>
        <v>0.25</v>
      </c>
      <c r="O27" s="50">
        <f t="shared" si="0"/>
        <v>0</v>
      </c>
      <c r="P27" s="14">
        <f t="shared" si="9"/>
        <v>0</v>
      </c>
    </row>
    <row r="28" spans="1:16" ht="15">
      <c r="A28" s="10" t="s">
        <v>198</v>
      </c>
      <c r="B28" s="59">
        <v>378.72400000000005</v>
      </c>
      <c r="C28" s="238">
        <v>0.078</v>
      </c>
      <c r="D28" s="28">
        <f t="shared" si="1"/>
        <v>29.540472000000005</v>
      </c>
      <c r="E28" s="515">
        <f>+B28</f>
        <v>378.72400000000005</v>
      </c>
      <c r="F28" s="238">
        <f t="shared" si="6"/>
        <v>0.078</v>
      </c>
      <c r="G28" s="28">
        <f t="shared" si="2"/>
        <v>29.540472000000005</v>
      </c>
      <c r="H28" s="50">
        <f t="shared" si="7"/>
        <v>0</v>
      </c>
      <c r="I28" s="14">
        <f t="shared" si="8"/>
        <v>0</v>
      </c>
      <c r="L28" s="59">
        <f>E28</f>
        <v>378.72400000000005</v>
      </c>
      <c r="M28" s="238">
        <f>F28</f>
        <v>0.078</v>
      </c>
      <c r="N28" s="174">
        <f>L28*M28</f>
        <v>29.540472000000005</v>
      </c>
      <c r="O28" s="50">
        <f t="shared" si="0"/>
        <v>0</v>
      </c>
      <c r="P28" s="14">
        <f t="shared" si="9"/>
        <v>0</v>
      </c>
    </row>
    <row r="29" spans="1:16" ht="15">
      <c r="A29" s="10" t="s">
        <v>199</v>
      </c>
      <c r="B29" s="222">
        <v>0</v>
      </c>
      <c r="C29" s="238">
        <v>0.091</v>
      </c>
      <c r="D29" s="28">
        <f t="shared" si="1"/>
        <v>0</v>
      </c>
      <c r="E29" s="29">
        <f>+B29</f>
        <v>0</v>
      </c>
      <c r="F29" s="238">
        <f t="shared" si="6"/>
        <v>0.091</v>
      </c>
      <c r="G29" s="28">
        <f t="shared" si="2"/>
        <v>0</v>
      </c>
      <c r="H29" s="50">
        <f t="shared" si="7"/>
        <v>0</v>
      </c>
      <c r="I29" s="14" t="str">
        <f t="shared" si="8"/>
        <v>n/a</v>
      </c>
      <c r="L29" s="222">
        <f>E29</f>
        <v>0</v>
      </c>
      <c r="M29" s="238">
        <f>F29</f>
        <v>0.091</v>
      </c>
      <c r="N29" s="174">
        <f>L29*M29</f>
        <v>0</v>
      </c>
      <c r="O29" s="50">
        <f t="shared" si="0"/>
        <v>0</v>
      </c>
      <c r="P29" s="14" t="str">
        <f t="shared" si="9"/>
        <v>n/a</v>
      </c>
    </row>
    <row r="30" spans="1:16" ht="15.75" thickBot="1">
      <c r="A30" s="7" t="s">
        <v>3</v>
      </c>
      <c r="B30" s="46"/>
      <c r="C30" s="44"/>
      <c r="D30" s="54">
        <f>SUM(D23:D29)</f>
        <v>66.12919420000001</v>
      </c>
      <c r="E30" s="46"/>
      <c r="F30" s="55"/>
      <c r="G30" s="54">
        <f>SUM(G23:G29)</f>
        <v>67.43530772000001</v>
      </c>
      <c r="H30" s="46">
        <f>+G30-D30</f>
        <v>1.3061135199999967</v>
      </c>
      <c r="I30" s="16">
        <f>+H30/D30</f>
        <v>0.019750936568950304</v>
      </c>
      <c r="L30" s="46"/>
      <c r="M30" s="55"/>
      <c r="N30" s="54">
        <f>SUM(N23:N29)</f>
        <v>65.28885772000001</v>
      </c>
      <c r="O30" s="46">
        <f t="shared" si="0"/>
        <v>-0.8403364800000048</v>
      </c>
      <c r="P30" s="16">
        <f t="shared" si="5"/>
        <v>-0.012707496139428304</v>
      </c>
    </row>
    <row r="31" spans="2:4" ht="15.75" thickBot="1">
      <c r="B31" t="s">
        <v>84</v>
      </c>
      <c r="C31" t="s">
        <v>85</v>
      </c>
      <c r="D31" t="s">
        <v>86</v>
      </c>
    </row>
    <row r="32" spans="1:7" ht="16.5" thickBot="1" thickTop="1">
      <c r="A32" s="5" t="s">
        <v>93</v>
      </c>
      <c r="B32" s="241">
        <v>365</v>
      </c>
      <c r="C32" s="241">
        <v>1</v>
      </c>
      <c r="D32" s="242">
        <v>1</v>
      </c>
      <c r="E32" s="33"/>
      <c r="F32" s="34"/>
      <c r="G32" s="35"/>
    </row>
    <row r="33" spans="1:2" ht="15.75" thickBot="1">
      <c r="A33" s="239" t="s">
        <v>94</v>
      </c>
      <c r="B33" s="240">
        <f>1.0376</f>
        <v>1.0376</v>
      </c>
    </row>
    <row r="34" spans="4:7" ht="15.75" thickTop="1">
      <c r="D34" s="156"/>
      <c r="G34" s="156"/>
    </row>
    <row r="35" spans="4:7" ht="15">
      <c r="D35" s="156"/>
      <c r="G35" s="156"/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83" r:id="rId1"/>
  <headerFooter>
    <oddHeader>&amp;RToronto Hydro-Electric System Limited
EB-2012-0064
Tab 9
Schedule 2-3
Filed:  2013 Aug 19
page &amp;P of &amp;N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61"/>
  <sheetViews>
    <sheetView zoomScalePageLayoutView="0" workbookViewId="0" topLeftCell="T1">
      <selection activeCell="AF5" sqref="AF5"/>
    </sheetView>
  </sheetViews>
  <sheetFormatPr defaultColWidth="9.140625" defaultRowHeight="15"/>
  <cols>
    <col min="1" max="1" width="7.57421875" style="997" customWidth="1"/>
    <col min="2" max="2" width="40.421875" style="997" customWidth="1"/>
    <col min="3" max="5" width="15.7109375" style="997" customWidth="1"/>
    <col min="6" max="7" width="12.7109375" style="997" customWidth="1"/>
    <col min="8" max="8" width="18.8515625" style="997" customWidth="1"/>
    <col min="9" max="16" width="16.7109375" style="997" customWidth="1"/>
    <col min="17" max="17" width="3.28125" style="997" customWidth="1"/>
    <col min="18" max="18" width="38.28125" style="997" customWidth="1"/>
    <col min="19" max="19" width="14.00390625" style="997" customWidth="1"/>
    <col min="20" max="20" width="14.7109375" style="997" customWidth="1"/>
    <col min="21" max="21" width="11.421875" style="997" customWidth="1"/>
    <col min="22" max="22" width="10.140625" style="997" customWidth="1"/>
    <col min="23" max="23" width="10.421875" style="997" customWidth="1"/>
    <col min="24" max="24" width="12.7109375" style="997" customWidth="1"/>
    <col min="25" max="25" width="13.57421875" style="997" customWidth="1"/>
    <col min="26" max="26" width="13.28125" style="997" customWidth="1"/>
    <col min="27" max="27" width="13.140625" style="997" customWidth="1"/>
    <col min="28" max="28" width="11.8515625" style="997" customWidth="1"/>
    <col min="29" max="29" width="12.7109375" style="997" customWidth="1"/>
    <col min="30" max="30" width="14.140625" style="997" customWidth="1"/>
    <col min="31" max="31" width="11.7109375" style="997" customWidth="1"/>
    <col min="32" max="32" width="14.7109375" style="997" customWidth="1"/>
    <col min="33" max="16384" width="9.140625" style="997" customWidth="1"/>
  </cols>
  <sheetData>
    <row r="1" spans="2:19" ht="21.75" thickBot="1">
      <c r="B1" s="1034" t="s">
        <v>10</v>
      </c>
      <c r="R1" s="1034" t="s">
        <v>358</v>
      </c>
      <c r="S1" s="1035" t="s">
        <v>377</v>
      </c>
    </row>
    <row r="2" spans="2:31" ht="15.75" thickBot="1">
      <c r="B2" s="1036" t="s">
        <v>420</v>
      </c>
      <c r="C2" s="1006"/>
      <c r="D2" s="1006"/>
      <c r="E2" s="1006"/>
      <c r="F2" s="1006"/>
      <c r="G2" s="1006"/>
      <c r="H2" s="1007"/>
      <c r="I2" s="1057" t="s">
        <v>390</v>
      </c>
      <c r="J2" s="1058" t="s">
        <v>10</v>
      </c>
      <c r="K2" s="1058" t="s">
        <v>390</v>
      </c>
      <c r="L2" s="1058"/>
      <c r="M2" s="1056" t="s">
        <v>391</v>
      </c>
      <c r="O2" s="1056" t="s">
        <v>391</v>
      </c>
      <c r="R2" s="1036" t="s">
        <v>356</v>
      </c>
      <c r="S2" s="1006"/>
      <c r="T2" s="1006"/>
      <c r="U2" s="1006"/>
      <c r="V2" s="1006"/>
      <c r="W2" s="1006"/>
      <c r="X2" s="1007"/>
      <c r="AC2" s="1056" t="s">
        <v>391</v>
      </c>
      <c r="AE2" s="1056" t="s">
        <v>391</v>
      </c>
    </row>
    <row r="3" spans="2:32" ht="60.75" thickBot="1">
      <c r="B3" s="1037" t="s">
        <v>353</v>
      </c>
      <c r="C3" s="1084" t="s">
        <v>384</v>
      </c>
      <c r="D3" s="1085" t="s">
        <v>385</v>
      </c>
      <c r="E3" s="1100" t="s">
        <v>386</v>
      </c>
      <c r="F3" s="1084" t="s">
        <v>387</v>
      </c>
      <c r="G3" s="1085" t="s">
        <v>388</v>
      </c>
      <c r="H3" s="1073" t="s">
        <v>389</v>
      </c>
      <c r="I3" s="1069" t="s">
        <v>378</v>
      </c>
      <c r="J3" s="1070" t="s">
        <v>379</v>
      </c>
      <c r="K3" s="1069" t="s">
        <v>380</v>
      </c>
      <c r="L3" s="1070" t="s">
        <v>381</v>
      </c>
      <c r="M3" s="1084" t="s">
        <v>392</v>
      </c>
      <c r="N3" s="1085" t="s">
        <v>393</v>
      </c>
      <c r="O3" s="1084" t="s">
        <v>421</v>
      </c>
      <c r="P3" s="1085" t="s">
        <v>422</v>
      </c>
      <c r="Q3" s="1038"/>
      <c r="R3" s="1039" t="s">
        <v>353</v>
      </c>
      <c r="S3" s="1026" t="s">
        <v>375</v>
      </c>
      <c r="T3" s="1027" t="s">
        <v>376</v>
      </c>
      <c r="U3" s="1025" t="s">
        <v>359</v>
      </c>
      <c r="V3" s="1026" t="s">
        <v>350</v>
      </c>
      <c r="W3" s="1027" t="s">
        <v>349</v>
      </c>
      <c r="X3" s="1033" t="s">
        <v>348</v>
      </c>
      <c r="Y3" s="1026" t="s">
        <v>378</v>
      </c>
      <c r="Z3" s="1027" t="s">
        <v>379</v>
      </c>
      <c r="AA3" s="1026" t="s">
        <v>382</v>
      </c>
      <c r="AB3" s="1027" t="s">
        <v>383</v>
      </c>
      <c r="AC3" s="1026" t="s">
        <v>392</v>
      </c>
      <c r="AD3" s="1027" t="s">
        <v>393</v>
      </c>
      <c r="AE3" s="1026" t="s">
        <v>394</v>
      </c>
      <c r="AF3" s="1027" t="s">
        <v>395</v>
      </c>
    </row>
    <row r="4" spans="2:32" ht="15">
      <c r="B4" s="1040" t="s">
        <v>112</v>
      </c>
      <c r="C4" s="1086">
        <v>18.481603999999997</v>
      </c>
      <c r="D4" s="1087">
        <v>0.015252587999999997</v>
      </c>
      <c r="E4" s="1101">
        <v>-4E-05</v>
      </c>
      <c r="F4" s="1088">
        <v>0.007655066184263816</v>
      </c>
      <c r="G4" s="1089">
        <v>0.0051767519513599035</v>
      </c>
      <c r="H4" s="1071"/>
      <c r="I4" s="1074">
        <v>0.07</v>
      </c>
      <c r="J4" s="1074">
        <v>5E-05</v>
      </c>
      <c r="K4" s="1075">
        <v>0.73</v>
      </c>
      <c r="L4" s="1076">
        <v>0.00061</v>
      </c>
      <c r="M4" s="1094">
        <v>0.3</v>
      </c>
      <c r="N4" s="1095">
        <v>0.00025</v>
      </c>
      <c r="O4" s="1094">
        <v>0.33</v>
      </c>
      <c r="P4" s="1095">
        <v>0.00027</v>
      </c>
      <c r="R4" s="1041" t="s">
        <v>112</v>
      </c>
      <c r="S4" s="1028">
        <f>ROUND(+C4,2)</f>
        <v>18.48</v>
      </c>
      <c r="T4" s="1029">
        <f>ROUND(+D4,5)</f>
        <v>0.01525</v>
      </c>
      <c r="U4" s="1029">
        <f>ROUND(+E4,5)</f>
        <v>-4E-05</v>
      </c>
      <c r="V4" s="1028">
        <f aca="true" t="shared" si="0" ref="V4:X6">ROUND(+F4,5)</f>
        <v>0.00766</v>
      </c>
      <c r="W4" s="1029">
        <f t="shared" si="0"/>
        <v>0.00518</v>
      </c>
      <c r="X4" s="1029">
        <f t="shared" si="0"/>
        <v>0</v>
      </c>
      <c r="Y4" s="1028">
        <f>ROUND(+I4,2)</f>
        <v>0.07</v>
      </c>
      <c r="Z4" s="1029">
        <f>ROUND(+J4,5)</f>
        <v>5E-05</v>
      </c>
      <c r="AA4" s="1028">
        <f>ROUND(+K4,2)</f>
        <v>0.73</v>
      </c>
      <c r="AB4" s="1029">
        <f>ROUND(+L4,5)</f>
        <v>0.00061</v>
      </c>
      <c r="AC4" s="1059">
        <f>+M4</f>
        <v>0.3</v>
      </c>
      <c r="AD4" s="1060">
        <f>+N4</f>
        <v>0.00025</v>
      </c>
      <c r="AE4" s="1059">
        <f>+O4</f>
        <v>0.33</v>
      </c>
      <c r="AF4" s="1060">
        <f>+P4</f>
        <v>0.00027</v>
      </c>
    </row>
    <row r="5" spans="2:32" ht="15">
      <c r="B5" s="1042" t="s">
        <v>366</v>
      </c>
      <c r="C5" s="1088">
        <v>17.208047999999998</v>
      </c>
      <c r="D5" s="1089">
        <v>0.025962491999999997</v>
      </c>
      <c r="E5" s="1101">
        <v>-7E-05</v>
      </c>
      <c r="F5" s="1088">
        <v>0.007655066184263816</v>
      </c>
      <c r="G5" s="1089">
        <v>0.0051767519513599035</v>
      </c>
      <c r="H5" s="1071"/>
      <c r="I5" s="1074">
        <v>0.06</v>
      </c>
      <c r="J5" s="1074">
        <v>9E-05</v>
      </c>
      <c r="K5" s="1077">
        <v>0.68</v>
      </c>
      <c r="L5" s="1078">
        <v>0.00103</v>
      </c>
      <c r="M5" s="1096">
        <v>0.28</v>
      </c>
      <c r="N5" s="1097">
        <v>0.00043</v>
      </c>
      <c r="O5" s="1096">
        <v>0.31</v>
      </c>
      <c r="P5" s="1097">
        <v>0.00046</v>
      </c>
      <c r="R5" s="1042" t="s">
        <v>366</v>
      </c>
      <c r="S5" s="1023">
        <f aca="true" t="shared" si="1" ref="S5:S12">ROUND(+C5,2)</f>
        <v>17.21</v>
      </c>
      <c r="T5" s="1001">
        <f>ROUND(+D5,5)</f>
        <v>0.02596</v>
      </c>
      <c r="U5" s="1001">
        <f>ROUND(+E5,5)</f>
        <v>-7E-05</v>
      </c>
      <c r="V5" s="1023">
        <f t="shared" si="0"/>
        <v>0.00766</v>
      </c>
      <c r="W5" s="1001">
        <f t="shared" si="0"/>
        <v>0.00518</v>
      </c>
      <c r="X5" s="1001">
        <f t="shared" si="0"/>
        <v>0</v>
      </c>
      <c r="Y5" s="1023">
        <f aca="true" t="shared" si="2" ref="Y5:Y12">ROUND(+I5,2)</f>
        <v>0.06</v>
      </c>
      <c r="Z5" s="1001">
        <f>ROUND(+J5,5)</f>
        <v>9E-05</v>
      </c>
      <c r="AA5" s="1023">
        <f aca="true" t="shared" si="3" ref="AA5:AA12">ROUND(+K5,2)</f>
        <v>0.68</v>
      </c>
      <c r="AB5" s="1001">
        <f>ROUND(+L5,5)</f>
        <v>0.00103</v>
      </c>
      <c r="AC5" s="1059">
        <f aca="true" t="shared" si="4" ref="AC5:AC12">+M5</f>
        <v>0.28</v>
      </c>
      <c r="AD5" s="1060">
        <f aca="true" t="shared" si="5" ref="AD5:AD12">+N5</f>
        <v>0.00043</v>
      </c>
      <c r="AE5" s="1059">
        <f aca="true" t="shared" si="6" ref="AE5:AE12">+O5</f>
        <v>0.31</v>
      </c>
      <c r="AF5" s="1060">
        <f aca="true" t="shared" si="7" ref="AF5:AF12">+P5</f>
        <v>0.00046</v>
      </c>
    </row>
    <row r="6" spans="2:32" ht="15">
      <c r="B6" s="1041" t="s">
        <v>346</v>
      </c>
      <c r="C6" s="1088">
        <v>24.598684</v>
      </c>
      <c r="D6" s="1089">
        <v>0.022743503999999998</v>
      </c>
      <c r="E6" s="1101">
        <v>-3E-05</v>
      </c>
      <c r="F6" s="1088">
        <v>0.007412344573543254</v>
      </c>
      <c r="G6" s="1089">
        <v>0.004666634058342687</v>
      </c>
      <c r="H6" s="1071"/>
      <c r="I6" s="1074">
        <v>0.09</v>
      </c>
      <c r="J6" s="1074">
        <v>8E-05</v>
      </c>
      <c r="K6" s="1077">
        <v>0.97</v>
      </c>
      <c r="L6" s="1078">
        <v>0.0009</v>
      </c>
      <c r="M6" s="1096">
        <v>0.4</v>
      </c>
      <c r="N6" s="1097">
        <v>0.00038</v>
      </c>
      <c r="O6" s="1096">
        <v>0.44</v>
      </c>
      <c r="P6" s="1097">
        <v>0.00041</v>
      </c>
      <c r="R6" s="1041" t="s">
        <v>346</v>
      </c>
      <c r="S6" s="1023">
        <f t="shared" si="1"/>
        <v>24.6</v>
      </c>
      <c r="T6" s="1001">
        <f>ROUND(+D6,5)</f>
        <v>0.02274</v>
      </c>
      <c r="U6" s="1001">
        <f>ROUND(+E6,5)</f>
        <v>-3E-05</v>
      </c>
      <c r="V6" s="1023">
        <f t="shared" si="0"/>
        <v>0.00741</v>
      </c>
      <c r="W6" s="1001">
        <f t="shared" si="0"/>
        <v>0.00467</v>
      </c>
      <c r="X6" s="1001">
        <f t="shared" si="0"/>
        <v>0</v>
      </c>
      <c r="Y6" s="1023">
        <f t="shared" si="2"/>
        <v>0.09</v>
      </c>
      <c r="Z6" s="1001">
        <f>ROUND(+J6,5)</f>
        <v>8E-05</v>
      </c>
      <c r="AA6" s="1023">
        <f t="shared" si="3"/>
        <v>0.97</v>
      </c>
      <c r="AB6" s="1001">
        <f>ROUND(+L6,5)</f>
        <v>0.0009</v>
      </c>
      <c r="AC6" s="1059">
        <f t="shared" si="4"/>
        <v>0.4</v>
      </c>
      <c r="AD6" s="1060">
        <f t="shared" si="5"/>
        <v>0.00038</v>
      </c>
      <c r="AE6" s="1059">
        <f t="shared" si="6"/>
        <v>0.44</v>
      </c>
      <c r="AF6" s="1060">
        <f t="shared" si="7"/>
        <v>0.00041</v>
      </c>
    </row>
    <row r="7" spans="2:32" ht="15">
      <c r="B7" s="1041" t="s">
        <v>345</v>
      </c>
      <c r="C7" s="1088">
        <v>36.000519999999995</v>
      </c>
      <c r="D7" s="1089">
        <v>5.665318599999999</v>
      </c>
      <c r="E7" s="1102">
        <v>-0.0056</v>
      </c>
      <c r="F7" s="1088">
        <v>2.652853850710059</v>
      </c>
      <c r="G7" s="1089">
        <v>1.7782331885474238</v>
      </c>
      <c r="H7" s="1071"/>
      <c r="I7" s="1074">
        <v>0.13</v>
      </c>
      <c r="J7" s="1074">
        <v>0.0202</v>
      </c>
      <c r="K7" s="1077">
        <v>1.42</v>
      </c>
      <c r="L7" s="1079">
        <v>0.2225</v>
      </c>
      <c r="M7" s="1096">
        <v>0.59</v>
      </c>
      <c r="N7" s="1097">
        <v>0.0924</v>
      </c>
      <c r="O7" s="1096">
        <v>0.64</v>
      </c>
      <c r="P7" s="1097">
        <v>0.1</v>
      </c>
      <c r="R7" s="1041" t="s">
        <v>345</v>
      </c>
      <c r="S7" s="1023">
        <f t="shared" si="1"/>
        <v>36</v>
      </c>
      <c r="T7" s="1001">
        <f>ROUND(+D7,4)</f>
        <v>5.6653</v>
      </c>
      <c r="U7" s="1001">
        <f>ROUND(+E7,4)</f>
        <v>-0.0056</v>
      </c>
      <c r="V7" s="1023">
        <f aca="true" t="shared" si="8" ref="V7:X9">ROUND(+F7,4)</f>
        <v>2.6529</v>
      </c>
      <c r="W7" s="1001">
        <f t="shared" si="8"/>
        <v>1.7782</v>
      </c>
      <c r="X7" s="1001">
        <f t="shared" si="8"/>
        <v>0</v>
      </c>
      <c r="Y7" s="1023">
        <f t="shared" si="2"/>
        <v>0.13</v>
      </c>
      <c r="Z7" s="1001">
        <f>ROUND(+J7,4)</f>
        <v>0.0202</v>
      </c>
      <c r="AA7" s="1023">
        <f t="shared" si="3"/>
        <v>1.42</v>
      </c>
      <c r="AB7" s="1001">
        <f>ROUND(+L7,4)</f>
        <v>0.2225</v>
      </c>
      <c r="AC7" s="1059">
        <f t="shared" si="4"/>
        <v>0.59</v>
      </c>
      <c r="AD7" s="1060">
        <f t="shared" si="5"/>
        <v>0.0924</v>
      </c>
      <c r="AE7" s="1059">
        <f t="shared" si="6"/>
        <v>0.64</v>
      </c>
      <c r="AF7" s="1060">
        <f t="shared" si="7"/>
        <v>0.1</v>
      </c>
    </row>
    <row r="8" spans="2:32" ht="15">
      <c r="B8" s="1041" t="s">
        <v>344</v>
      </c>
      <c r="C8" s="1088">
        <v>695.0005679999999</v>
      </c>
      <c r="D8" s="1089">
        <v>4.505078999999999</v>
      </c>
      <c r="E8" s="1102">
        <v>-0.0047</v>
      </c>
      <c r="F8" s="1088">
        <v>2.563046854743451</v>
      </c>
      <c r="G8" s="1089">
        <v>1.7765327955706993</v>
      </c>
      <c r="H8" s="1071"/>
      <c r="I8" s="1074">
        <v>2.49</v>
      </c>
      <c r="J8" s="1074">
        <v>0.0161</v>
      </c>
      <c r="K8" s="1077">
        <v>27.34</v>
      </c>
      <c r="L8" s="1079">
        <v>0.1771</v>
      </c>
      <c r="M8" s="1096">
        <v>11.44</v>
      </c>
      <c r="N8" s="1097">
        <v>0.0735</v>
      </c>
      <c r="O8" s="1096">
        <v>12.39</v>
      </c>
      <c r="P8" s="1097">
        <v>0.0795</v>
      </c>
      <c r="R8" s="1041" t="s">
        <v>344</v>
      </c>
      <c r="S8" s="1023">
        <f t="shared" si="1"/>
        <v>695</v>
      </c>
      <c r="T8" s="1001">
        <f>ROUND(+D8,4)</f>
        <v>4.5051</v>
      </c>
      <c r="U8" s="1001">
        <f>ROUND(+E8,4)</f>
        <v>-0.0047</v>
      </c>
      <c r="V8" s="1023">
        <f t="shared" si="8"/>
        <v>2.563</v>
      </c>
      <c r="W8" s="1001">
        <f t="shared" si="8"/>
        <v>1.7765</v>
      </c>
      <c r="X8" s="1001">
        <f t="shared" si="8"/>
        <v>0</v>
      </c>
      <c r="Y8" s="1023">
        <f t="shared" si="2"/>
        <v>2.49</v>
      </c>
      <c r="Z8" s="1001">
        <f>ROUND(+J8,4)</f>
        <v>0.0161</v>
      </c>
      <c r="AA8" s="1023">
        <f t="shared" si="3"/>
        <v>27.34</v>
      </c>
      <c r="AB8" s="1001">
        <f>ROUND(+L8,4)</f>
        <v>0.1771</v>
      </c>
      <c r="AC8" s="1059">
        <f t="shared" si="4"/>
        <v>11.44</v>
      </c>
      <c r="AD8" s="1060">
        <f t="shared" si="5"/>
        <v>0.0735</v>
      </c>
      <c r="AE8" s="1059">
        <f t="shared" si="6"/>
        <v>12.39</v>
      </c>
      <c r="AF8" s="1060">
        <f t="shared" si="7"/>
        <v>0.0795</v>
      </c>
    </row>
    <row r="9" spans="2:32" ht="15">
      <c r="B9" s="1041" t="s">
        <v>343</v>
      </c>
      <c r="C9" s="1088">
        <v>3046.55654</v>
      </c>
      <c r="D9" s="1089">
        <v>4.79960136</v>
      </c>
      <c r="E9" s="1102">
        <v>-0.0049</v>
      </c>
      <c r="F9" s="1088">
        <v>2.9218080662815717</v>
      </c>
      <c r="G9" s="1089">
        <v>1.9736839145942058</v>
      </c>
      <c r="H9" s="1071"/>
      <c r="I9" s="1074">
        <v>10.9</v>
      </c>
      <c r="J9" s="1074">
        <v>0.0172</v>
      </c>
      <c r="K9" s="1077">
        <v>119.83</v>
      </c>
      <c r="L9" s="1079">
        <v>0.1887</v>
      </c>
      <c r="M9" s="1096">
        <v>50.16</v>
      </c>
      <c r="N9" s="1097">
        <v>0.0783</v>
      </c>
      <c r="O9" s="1096">
        <v>54.31</v>
      </c>
      <c r="P9" s="1097">
        <v>0.0847</v>
      </c>
      <c r="R9" s="1041" t="s">
        <v>343</v>
      </c>
      <c r="S9" s="1023">
        <f t="shared" si="1"/>
        <v>3046.56</v>
      </c>
      <c r="T9" s="1001">
        <f>ROUND(+D9,4)</f>
        <v>4.7996</v>
      </c>
      <c r="U9" s="1001">
        <f>ROUND(+E9,4)</f>
        <v>-0.0049</v>
      </c>
      <c r="V9" s="1023">
        <f t="shared" si="8"/>
        <v>2.9218</v>
      </c>
      <c r="W9" s="1001">
        <f t="shared" si="8"/>
        <v>1.9737</v>
      </c>
      <c r="X9" s="1001">
        <f t="shared" si="8"/>
        <v>0</v>
      </c>
      <c r="Y9" s="1023">
        <f t="shared" si="2"/>
        <v>10.9</v>
      </c>
      <c r="Z9" s="1001">
        <f>ROUND(+J9,4)</f>
        <v>0.0172</v>
      </c>
      <c r="AA9" s="1023">
        <f t="shared" si="3"/>
        <v>119.83</v>
      </c>
      <c r="AB9" s="1001">
        <f>ROUND(+L9,4)</f>
        <v>0.1887</v>
      </c>
      <c r="AC9" s="1059">
        <f t="shared" si="4"/>
        <v>50.16</v>
      </c>
      <c r="AD9" s="1060">
        <f t="shared" si="5"/>
        <v>0.0783</v>
      </c>
      <c r="AE9" s="1059">
        <f t="shared" si="6"/>
        <v>54.31</v>
      </c>
      <c r="AF9" s="1060">
        <f t="shared" si="7"/>
        <v>0.0847</v>
      </c>
    </row>
    <row r="10" spans="2:32" ht="15">
      <c r="B10" s="1041" t="s">
        <v>342</v>
      </c>
      <c r="C10" s="1088">
        <v>1.312504752</v>
      </c>
      <c r="D10" s="1089">
        <v>29.08230308</v>
      </c>
      <c r="E10" s="1102">
        <v>-0.0354</v>
      </c>
      <c r="F10" s="1088">
        <v>2.359440765135167</v>
      </c>
      <c r="G10" s="1089">
        <v>2.1203900419748978</v>
      </c>
      <c r="H10" s="1071"/>
      <c r="I10" s="1074">
        <v>0</v>
      </c>
      <c r="J10" s="1074">
        <v>0.1041</v>
      </c>
      <c r="K10" s="1077">
        <v>0.05</v>
      </c>
      <c r="L10" s="1079">
        <v>1.1439</v>
      </c>
      <c r="M10" s="1096">
        <v>0.02</v>
      </c>
      <c r="N10" s="1097">
        <v>0.4742</v>
      </c>
      <c r="O10" s="1096">
        <v>0.02</v>
      </c>
      <c r="P10" s="1097">
        <v>0.5135</v>
      </c>
      <c r="R10" s="1041" t="s">
        <v>342</v>
      </c>
      <c r="S10" s="1023">
        <f t="shared" si="1"/>
        <v>1.31</v>
      </c>
      <c r="T10" s="1001">
        <f>ROUND(+D10,4)</f>
        <v>29.0823</v>
      </c>
      <c r="U10" s="1001">
        <f>ROUND(+E10,4)</f>
        <v>-0.0354</v>
      </c>
      <c r="V10" s="1023">
        <f>ROUND(+F10,4)</f>
        <v>2.3594</v>
      </c>
      <c r="W10" s="1001">
        <f>ROUND(+G10,4)</f>
        <v>2.1204</v>
      </c>
      <c r="X10" s="1001">
        <f>ROUND(+H10,4)</f>
        <v>0</v>
      </c>
      <c r="Y10" s="1023">
        <f t="shared" si="2"/>
        <v>0</v>
      </c>
      <c r="Z10" s="1001">
        <f>ROUND(+J10,4)</f>
        <v>0.1041</v>
      </c>
      <c r="AA10" s="1023">
        <f t="shared" si="3"/>
        <v>0.05</v>
      </c>
      <c r="AB10" s="1001">
        <f>ROUND(+L10,4)</f>
        <v>1.1439</v>
      </c>
      <c r="AC10" s="1059">
        <f t="shared" si="4"/>
        <v>0.02</v>
      </c>
      <c r="AD10" s="1060">
        <f t="shared" si="5"/>
        <v>0.4742</v>
      </c>
      <c r="AE10" s="1059">
        <f t="shared" si="6"/>
        <v>0.02</v>
      </c>
      <c r="AF10" s="1060">
        <f t="shared" si="7"/>
        <v>0.5135</v>
      </c>
    </row>
    <row r="11" spans="2:32" ht="15">
      <c r="B11" s="1041" t="s">
        <v>354</v>
      </c>
      <c r="C11" s="1088">
        <v>4.9036919999999995</v>
      </c>
      <c r="D11" s="1089">
        <v>0.061451584</v>
      </c>
      <c r="E11" s="1101">
        <v>-6E-05</v>
      </c>
      <c r="F11" s="1088">
        <v>0.004658387836521518</v>
      </c>
      <c r="G11" s="1089">
        <v>0.0032685331663695736</v>
      </c>
      <c r="H11" s="1071"/>
      <c r="I11" s="1074">
        <v>0.02</v>
      </c>
      <c r="J11" s="1074">
        <v>0.00022</v>
      </c>
      <c r="K11" s="1077">
        <v>0.02</v>
      </c>
      <c r="L11" s="1078">
        <v>0.00245</v>
      </c>
      <c r="M11" s="1096">
        <v>0.08</v>
      </c>
      <c r="N11" s="1097">
        <v>0.00102</v>
      </c>
      <c r="O11" s="1096">
        <v>0.09</v>
      </c>
      <c r="P11" s="1097">
        <v>0.0011</v>
      </c>
      <c r="Q11" s="997" t="s">
        <v>355</v>
      </c>
      <c r="R11" s="1041" t="s">
        <v>354</v>
      </c>
      <c r="S11" s="1023">
        <f t="shared" si="1"/>
        <v>4.9</v>
      </c>
      <c r="T11" s="1001">
        <f>ROUND(+D11,5)</f>
        <v>0.06145</v>
      </c>
      <c r="U11" s="1001">
        <f>ROUND(+E11,5)</f>
        <v>-6E-05</v>
      </c>
      <c r="V11" s="1023">
        <f>ROUND(+F11,5)</f>
        <v>0.00466</v>
      </c>
      <c r="W11" s="1001">
        <f>ROUND(+G11,5)</f>
        <v>0.00327</v>
      </c>
      <c r="X11" s="1001">
        <f>ROUND(+H11,5)</f>
        <v>0</v>
      </c>
      <c r="Y11" s="1023">
        <f t="shared" si="2"/>
        <v>0.02</v>
      </c>
      <c r="Z11" s="1001">
        <f>ROUND(+J11,5)</f>
        <v>0.00022</v>
      </c>
      <c r="AA11" s="1023">
        <f t="shared" si="3"/>
        <v>0.02</v>
      </c>
      <c r="AB11" s="1001">
        <f>ROUND(+L11,5)</f>
        <v>0.00245</v>
      </c>
      <c r="AC11" s="1059">
        <f t="shared" si="4"/>
        <v>0.08</v>
      </c>
      <c r="AD11" s="1060">
        <f t="shared" si="5"/>
        <v>0.00102</v>
      </c>
      <c r="AE11" s="1059">
        <f t="shared" si="6"/>
        <v>0.09</v>
      </c>
      <c r="AF11" s="1060">
        <f t="shared" si="7"/>
        <v>0.0011</v>
      </c>
    </row>
    <row r="12" spans="2:32" ht="15">
      <c r="B12" s="1041" t="s">
        <v>341</v>
      </c>
      <c r="C12" s="1090">
        <v>0.491372</v>
      </c>
      <c r="D12" s="1091"/>
      <c r="E12" s="1101"/>
      <c r="F12" s="1088"/>
      <c r="G12" s="1091"/>
      <c r="H12" s="1071"/>
      <c r="I12" s="1074"/>
      <c r="J12" s="1074"/>
      <c r="K12" s="1077">
        <v>0.19</v>
      </c>
      <c r="L12" s="1078"/>
      <c r="M12" s="1096">
        <v>0.01</v>
      </c>
      <c r="N12" s="1097"/>
      <c r="O12" s="1096">
        <v>0.01</v>
      </c>
      <c r="P12" s="1097"/>
      <c r="R12" s="1041" t="s">
        <v>341</v>
      </c>
      <c r="S12" s="1030">
        <f t="shared" si="1"/>
        <v>0.49</v>
      </c>
      <c r="T12" s="1024">
        <f>ROUND(+D12,5)</f>
        <v>0</v>
      </c>
      <c r="U12" s="1024" t="s">
        <v>10</v>
      </c>
      <c r="V12" s="1030"/>
      <c r="W12" s="1024"/>
      <c r="X12" s="1024"/>
      <c r="Y12" s="1030">
        <f t="shared" si="2"/>
        <v>0</v>
      </c>
      <c r="Z12" s="1024">
        <f>ROUND(+J12,5)</f>
        <v>0</v>
      </c>
      <c r="AA12" s="1030">
        <f t="shared" si="3"/>
        <v>0.19</v>
      </c>
      <c r="AB12" s="1024">
        <f>ROUND(+L12,5)</f>
        <v>0</v>
      </c>
      <c r="AC12" s="1059">
        <f t="shared" si="4"/>
        <v>0.01</v>
      </c>
      <c r="AD12" s="1060">
        <f t="shared" si="5"/>
        <v>0</v>
      </c>
      <c r="AE12" s="1059">
        <f t="shared" si="6"/>
        <v>0.01</v>
      </c>
      <c r="AF12" s="1060">
        <f t="shared" si="7"/>
        <v>0</v>
      </c>
    </row>
    <row r="13" spans="2:32" ht="15.75" thickBot="1">
      <c r="B13" s="1022"/>
      <c r="C13" s="1092"/>
      <c r="D13" s="1093"/>
      <c r="E13" s="1103"/>
      <c r="F13" s="1092"/>
      <c r="G13" s="1093"/>
      <c r="H13" s="1072"/>
      <c r="I13" s="1080"/>
      <c r="J13" s="1081"/>
      <c r="K13" s="1080"/>
      <c r="L13" s="1081"/>
      <c r="M13" s="1098"/>
      <c r="N13" s="1099"/>
      <c r="O13" s="1098"/>
      <c r="P13" s="1099"/>
      <c r="R13" s="1022"/>
      <c r="S13" s="1002"/>
      <c r="T13" s="1003"/>
      <c r="U13" s="1011"/>
      <c r="V13" s="1002"/>
      <c r="W13" s="1003"/>
      <c r="X13" s="1003"/>
      <c r="Y13" s="1002"/>
      <c r="Z13" s="1003"/>
      <c r="AA13" s="1002"/>
      <c r="AB13" s="1003"/>
      <c r="AC13" s="1031"/>
      <c r="AD13" s="1032"/>
      <c r="AE13" s="1002"/>
      <c r="AF13" s="1003"/>
    </row>
    <row r="14" ht="15.75" thickBot="1"/>
    <row r="15" spans="2:24" ht="15.75" thickBot="1">
      <c r="B15" s="1036" t="s">
        <v>367</v>
      </c>
      <c r="C15" s="1006"/>
      <c r="D15" s="1006"/>
      <c r="E15" s="1006"/>
      <c r="F15" s="1006"/>
      <c r="G15" s="1006"/>
      <c r="H15" s="1007"/>
      <c r="I15" s="998"/>
      <c r="J15" s="998"/>
      <c r="K15" s="998"/>
      <c r="L15" s="998"/>
      <c r="R15" s="1036" t="s">
        <v>367</v>
      </c>
      <c r="S15" s="1006"/>
      <c r="T15" s="1006"/>
      <c r="U15" s="1006"/>
      <c r="V15" s="1006"/>
      <c r="W15" s="1006"/>
      <c r="X15" s="1007"/>
    </row>
    <row r="16" spans="2:28" ht="45.75" hidden="1" thickBot="1">
      <c r="B16" s="1037" t="s">
        <v>353</v>
      </c>
      <c r="C16" s="1008" t="s">
        <v>352</v>
      </c>
      <c r="D16" s="1008" t="s">
        <v>351</v>
      </c>
      <c r="E16" s="1008"/>
      <c r="F16" s="1004" t="s">
        <v>350</v>
      </c>
      <c r="G16" s="1005" t="s">
        <v>349</v>
      </c>
      <c r="H16" s="1009" t="s">
        <v>348</v>
      </c>
      <c r="I16" s="1004" t="s">
        <v>368</v>
      </c>
      <c r="J16" s="1005" t="s">
        <v>369</v>
      </c>
      <c r="K16" s="999"/>
      <c r="L16" s="999"/>
      <c r="R16" s="1037" t="s">
        <v>353</v>
      </c>
      <c r="S16" s="1008" t="s">
        <v>352</v>
      </c>
      <c r="T16" s="1008" t="s">
        <v>351</v>
      </c>
      <c r="U16" s="1005" t="s">
        <v>365</v>
      </c>
      <c r="V16" s="1004" t="s">
        <v>350</v>
      </c>
      <c r="W16" s="1005" t="s">
        <v>349</v>
      </c>
      <c r="X16" s="1009" t="s">
        <v>348</v>
      </c>
      <c r="Y16" s="1004" t="s">
        <v>368</v>
      </c>
      <c r="Z16" s="1005" t="s">
        <v>369</v>
      </c>
      <c r="AA16" s="999"/>
      <c r="AB16" s="999"/>
    </row>
    <row r="17" spans="2:28" ht="15" hidden="1">
      <c r="B17" s="1043" t="s">
        <v>112</v>
      </c>
      <c r="C17" s="998">
        <v>18.49904388</v>
      </c>
      <c r="D17" s="998">
        <v>0.015279605817605431</v>
      </c>
      <c r="E17" s="1000"/>
      <c r="F17" s="1023">
        <v>0.007522395218152739</v>
      </c>
      <c r="G17" s="1024">
        <v>0.0060082391926883</v>
      </c>
      <c r="H17" s="1001"/>
      <c r="I17" s="1023">
        <v>0.5152586301369863</v>
      </c>
      <c r="J17" s="1001">
        <v>0.000431</v>
      </c>
      <c r="K17" s="999"/>
      <c r="L17" s="999"/>
      <c r="R17" s="1043" t="s">
        <v>112</v>
      </c>
      <c r="S17" s="1044">
        <v>18.5</v>
      </c>
      <c r="T17" s="1010">
        <v>0.01528</v>
      </c>
      <c r="U17" s="1015"/>
      <c r="V17" s="1015">
        <v>0.00752</v>
      </c>
      <c r="W17" s="1015">
        <v>0.00601</v>
      </c>
      <c r="X17" s="1017">
        <v>0</v>
      </c>
      <c r="Y17" s="1045">
        <v>0.52</v>
      </c>
      <c r="Z17" s="1046">
        <v>0.00043</v>
      </c>
      <c r="AA17" s="1000"/>
      <c r="AB17" s="1000"/>
    </row>
    <row r="18" spans="2:28" ht="15" hidden="1">
      <c r="B18" s="1047" t="s">
        <v>366</v>
      </c>
      <c r="C18" s="998">
        <v>17.231986079999995</v>
      </c>
      <c r="D18" s="998">
        <v>0.026000026055999995</v>
      </c>
      <c r="E18" s="1000"/>
      <c r="F18" s="1023">
        <v>0.007522395218152738</v>
      </c>
      <c r="G18" s="1024">
        <v>0.006008239192688301</v>
      </c>
      <c r="H18" s="1001"/>
      <c r="I18" s="1023">
        <v>0.479966794520548</v>
      </c>
      <c r="J18" s="1001">
        <v>0.000734</v>
      </c>
      <c r="K18" s="999"/>
      <c r="L18" s="999"/>
      <c r="R18" s="1047" t="s">
        <v>366</v>
      </c>
      <c r="S18" s="1044">
        <v>17.23</v>
      </c>
      <c r="T18" s="1010">
        <v>0.026</v>
      </c>
      <c r="U18" s="1015"/>
      <c r="V18" s="1015">
        <v>0.00752</v>
      </c>
      <c r="W18" s="1015">
        <v>0.00601</v>
      </c>
      <c r="X18" s="1018">
        <v>0</v>
      </c>
      <c r="Y18" s="1048">
        <v>0.48</v>
      </c>
      <c r="Z18" s="1049">
        <v>0.00073</v>
      </c>
      <c r="AA18" s="1000"/>
      <c r="AB18" s="1000"/>
    </row>
    <row r="19" spans="2:28" ht="15" hidden="1">
      <c r="B19" s="1043" t="s">
        <v>346</v>
      </c>
      <c r="C19" s="998">
        <v>24.631603631999997</v>
      </c>
      <c r="D19" s="998">
        <v>0.022776631012799996</v>
      </c>
      <c r="E19" s="1000"/>
      <c r="F19" s="1023">
        <v>0.007276285559521853</v>
      </c>
      <c r="G19" s="1024">
        <v>0.005422640830827842</v>
      </c>
      <c r="H19" s="1001"/>
      <c r="I19" s="1023">
        <v>0.6860712328767125</v>
      </c>
      <c r="J19" s="1001">
        <v>0.000643</v>
      </c>
      <c r="K19" s="999"/>
      <c r="L19" s="999"/>
      <c r="R19" s="1043" t="s">
        <v>346</v>
      </c>
      <c r="S19" s="1044">
        <v>24.63</v>
      </c>
      <c r="T19" s="1010">
        <v>0.02278</v>
      </c>
      <c r="U19" s="1015"/>
      <c r="V19" s="1015">
        <v>0.00728</v>
      </c>
      <c r="W19" s="1015">
        <v>0.00542</v>
      </c>
      <c r="X19" s="1018">
        <v>0</v>
      </c>
      <c r="Y19" s="1048">
        <v>0.69</v>
      </c>
      <c r="Z19" s="1049">
        <v>0.00064</v>
      </c>
      <c r="AA19" s="1000"/>
      <c r="AB19" s="1000"/>
    </row>
    <row r="20" spans="2:28" ht="15" hidden="1">
      <c r="B20" s="1043" t="s">
        <v>345</v>
      </c>
      <c r="C20" s="998">
        <v>36.045260294399995</v>
      </c>
      <c r="D20" s="998">
        <v>5.671958900543999</v>
      </c>
      <c r="E20" s="1000"/>
      <c r="F20" s="1023">
        <v>2.605659259704656</v>
      </c>
      <c r="G20" s="1024">
        <v>2.064819823919975</v>
      </c>
      <c r="H20" s="1001"/>
      <c r="I20" s="1023">
        <v>1.0039788493150685</v>
      </c>
      <c r="J20" s="1001">
        <v>0.15798279452054795</v>
      </c>
      <c r="K20" s="999"/>
      <c r="L20" s="999"/>
      <c r="R20" s="1043" t="s">
        <v>345</v>
      </c>
      <c r="S20" s="1044">
        <v>36.05</v>
      </c>
      <c r="T20" s="1050">
        <v>5.672</v>
      </c>
      <c r="U20" s="1016"/>
      <c r="V20" s="1016">
        <v>2.6057</v>
      </c>
      <c r="W20" s="1016">
        <v>2.0648</v>
      </c>
      <c r="X20" s="1019">
        <v>0</v>
      </c>
      <c r="Y20" s="1048">
        <v>1</v>
      </c>
      <c r="Z20" s="1051">
        <v>0.158</v>
      </c>
      <c r="AA20" s="1000"/>
      <c r="AB20" s="1000"/>
    </row>
    <row r="21" spans="2:28" ht="15" hidden="1">
      <c r="B21" s="1043" t="s">
        <v>344</v>
      </c>
      <c r="C21" s="998">
        <v>695.8275979104</v>
      </c>
      <c r="D21" s="998">
        <v>4.510421674127999</v>
      </c>
      <c r="E21" s="1000"/>
      <c r="F21" s="1023">
        <v>2.5174877993951563</v>
      </c>
      <c r="G21" s="1024">
        <v>2.0628287894896498</v>
      </c>
      <c r="H21" s="1001"/>
      <c r="I21" s="1023">
        <v>19.381075397260275</v>
      </c>
      <c r="J21" s="1001">
        <v>0.12563013698630135</v>
      </c>
      <c r="K21" s="999"/>
      <c r="L21" s="999"/>
      <c r="R21" s="1043" t="s">
        <v>344</v>
      </c>
      <c r="S21" s="1044">
        <v>695.83</v>
      </c>
      <c r="T21" s="1050">
        <v>4.5104</v>
      </c>
      <c r="U21" s="1016"/>
      <c r="V21" s="1016">
        <v>2.5175</v>
      </c>
      <c r="W21" s="1016">
        <v>2.0628</v>
      </c>
      <c r="X21" s="1019">
        <v>0</v>
      </c>
      <c r="Y21" s="1048">
        <v>19.38</v>
      </c>
      <c r="Z21" s="1051">
        <v>0.1256</v>
      </c>
      <c r="AA21" s="1000"/>
      <c r="AB21" s="1000"/>
    </row>
    <row r="22" spans="2:28" ht="15" hidden="1">
      <c r="B22" s="1043" t="s">
        <v>343</v>
      </c>
      <c r="C22" s="998">
        <v>3050.1730372463994</v>
      </c>
      <c r="D22" s="998">
        <v>4.805291365343999</v>
      </c>
      <c r="E22" s="1000"/>
      <c r="F22" s="1023">
        <v>2.869852628034942</v>
      </c>
      <c r="G22" s="1024">
        <v>2.2916806293047167</v>
      </c>
      <c r="H22" s="1001"/>
      <c r="I22" s="1023">
        <v>84.95730147945204</v>
      </c>
      <c r="J22" s="1001">
        <v>0.13384306849315067</v>
      </c>
      <c r="K22" s="999"/>
      <c r="L22" s="999"/>
      <c r="R22" s="1043" t="s">
        <v>343</v>
      </c>
      <c r="S22" s="1044">
        <v>3050.17</v>
      </c>
      <c r="T22" s="1050">
        <v>4.8053</v>
      </c>
      <c r="U22" s="1016"/>
      <c r="V22" s="1016">
        <v>2.8699</v>
      </c>
      <c r="W22" s="1016">
        <v>2.2917</v>
      </c>
      <c r="X22" s="1019">
        <v>0</v>
      </c>
      <c r="Y22" s="1048">
        <v>84.96</v>
      </c>
      <c r="Z22" s="1051">
        <v>0.1338</v>
      </c>
      <c r="AA22" s="1000"/>
      <c r="AB22" s="1000"/>
    </row>
    <row r="23" spans="2:28" ht="15" hidden="1">
      <c r="B23" s="1043" t="s">
        <v>342</v>
      </c>
      <c r="C23" s="998">
        <v>1.3177401119999999</v>
      </c>
      <c r="D23" s="998">
        <v>29.116785514751992</v>
      </c>
      <c r="E23" s="1000"/>
      <c r="F23" s="1023">
        <v>2.31749695070771</v>
      </c>
      <c r="G23" s="1024">
        <v>2.4620897526061096</v>
      </c>
      <c r="H23" s="1001"/>
      <c r="I23" s="1023">
        <v>0.03670323287671233</v>
      </c>
      <c r="J23" s="1001">
        <v>0.8109981369863014</v>
      </c>
      <c r="K23" s="999"/>
      <c r="L23" s="999"/>
      <c r="R23" s="1043" t="s">
        <v>342</v>
      </c>
      <c r="S23" s="1044">
        <v>1.32</v>
      </c>
      <c r="T23" s="1050">
        <v>29.1168</v>
      </c>
      <c r="U23" s="1016"/>
      <c r="V23" s="1016">
        <v>2.3175</v>
      </c>
      <c r="W23" s="1016">
        <v>2.4621</v>
      </c>
      <c r="X23" s="1019">
        <v>0</v>
      </c>
      <c r="Y23" s="1048">
        <v>0.04</v>
      </c>
      <c r="Z23" s="1051">
        <v>0.811</v>
      </c>
      <c r="AA23" s="1000"/>
      <c r="AB23" s="1000"/>
    </row>
    <row r="24" spans="2:28" ht="15" hidden="1">
      <c r="B24" s="1043" t="s">
        <v>118</v>
      </c>
      <c r="C24" s="1012">
        <v>4.906047801599999</v>
      </c>
      <c r="D24" s="998">
        <v>0.06152832676799999</v>
      </c>
      <c r="E24" s="1000"/>
      <c r="F24" s="1023">
        <v>0.004579779734522576</v>
      </c>
      <c r="G24" s="1024">
        <v>0.0037946773848557686</v>
      </c>
      <c r="H24" s="1001"/>
      <c r="I24" s="1023">
        <v>0.136649095890411</v>
      </c>
      <c r="J24" s="1001">
        <v>0.001738</v>
      </c>
      <c r="K24" s="999"/>
      <c r="L24" s="999"/>
      <c r="R24" s="1043" t="s">
        <v>118</v>
      </c>
      <c r="S24" s="1044">
        <v>4.91</v>
      </c>
      <c r="T24" s="1010">
        <v>0.06153</v>
      </c>
      <c r="U24" s="1015"/>
      <c r="V24" s="1015">
        <v>0.00458</v>
      </c>
      <c r="W24" s="1015">
        <v>0.00379</v>
      </c>
      <c r="X24" s="1018">
        <v>0</v>
      </c>
      <c r="Y24" s="1048">
        <v>0.14</v>
      </c>
      <c r="Z24" s="1049">
        <v>0.00174</v>
      </c>
      <c r="AA24" s="1000"/>
      <c r="AB24" s="1000"/>
    </row>
    <row r="25" spans="2:28" ht="15" hidden="1">
      <c r="B25" s="1043" t="s">
        <v>341</v>
      </c>
      <c r="C25" s="1012">
        <v>0.4966866575999999</v>
      </c>
      <c r="D25" s="998" t="s">
        <v>340</v>
      </c>
      <c r="E25" s="1000"/>
      <c r="F25" s="1023"/>
      <c r="G25" s="1024"/>
      <c r="H25" s="1001"/>
      <c r="I25" s="1023">
        <v>0.013833863013698633</v>
      </c>
      <c r="J25" s="1001" t="s">
        <v>340</v>
      </c>
      <c r="K25" s="999"/>
      <c r="L25" s="999"/>
      <c r="R25" s="1043" t="s">
        <v>341</v>
      </c>
      <c r="S25" s="1044">
        <v>0.5</v>
      </c>
      <c r="T25" s="998"/>
      <c r="U25" s="1014"/>
      <c r="V25" s="1014"/>
      <c r="W25" s="1014"/>
      <c r="X25" s="1018">
        <v>0</v>
      </c>
      <c r="Y25" s="1048">
        <v>0.01</v>
      </c>
      <c r="Z25" s="1052"/>
      <c r="AA25" s="1000"/>
      <c r="AB25" s="1000"/>
    </row>
    <row r="26" spans="2:28" ht="15.75" hidden="1" thickBot="1">
      <c r="B26" s="1002"/>
      <c r="C26" s="1011"/>
      <c r="D26" s="1011"/>
      <c r="E26" s="1011"/>
      <c r="F26" s="1002"/>
      <c r="G26" s="1003"/>
      <c r="H26" s="1003"/>
      <c r="I26" s="1002"/>
      <c r="J26" s="1003"/>
      <c r="K26" s="998"/>
      <c r="L26" s="998"/>
      <c r="R26" s="1002"/>
      <c r="S26" s="1011"/>
      <c r="T26" s="1011"/>
      <c r="U26" s="1053"/>
      <c r="V26" s="1054"/>
      <c r="W26" s="1055"/>
      <c r="X26" s="1055"/>
      <c r="Y26" s="1002"/>
      <c r="Z26" s="1003"/>
      <c r="AA26" s="998"/>
      <c r="AB26" s="998"/>
    </row>
    <row r="27" ht="15" hidden="1"/>
    <row r="28" spans="2:28" ht="15.75" hidden="1" thickBot="1">
      <c r="B28" s="1036" t="s">
        <v>370</v>
      </c>
      <c r="C28" s="1006"/>
      <c r="D28" s="1006"/>
      <c r="E28" s="1006"/>
      <c r="F28" s="1006"/>
      <c r="G28" s="1006"/>
      <c r="H28" s="1007"/>
      <c r="I28" s="998"/>
      <c r="J28" s="998"/>
      <c r="K28" s="998"/>
      <c r="L28" s="998"/>
      <c r="R28" s="1036" t="s">
        <v>370</v>
      </c>
      <c r="S28" s="1006"/>
      <c r="T28" s="1006"/>
      <c r="U28" s="1006"/>
      <c r="V28" s="1006"/>
      <c r="W28" s="1006"/>
      <c r="X28" s="1007"/>
      <c r="Y28" s="998"/>
      <c r="Z28" s="998"/>
      <c r="AA28" s="998"/>
      <c r="AB28" s="998"/>
    </row>
    <row r="29" spans="2:28" ht="60.75" hidden="1" thickBot="1">
      <c r="B29" s="1037" t="s">
        <v>353</v>
      </c>
      <c r="C29" s="1008" t="s">
        <v>352</v>
      </c>
      <c r="D29" s="1008" t="s">
        <v>351</v>
      </c>
      <c r="E29" s="1008"/>
      <c r="F29" s="1004" t="s">
        <v>350</v>
      </c>
      <c r="G29" s="1005" t="s">
        <v>349</v>
      </c>
      <c r="H29" s="1009" t="s">
        <v>348</v>
      </c>
      <c r="I29" s="1004" t="s">
        <v>371</v>
      </c>
      <c r="J29" s="1005" t="s">
        <v>372</v>
      </c>
      <c r="K29" s="1004" t="s">
        <v>373</v>
      </c>
      <c r="L29" s="1005" t="s">
        <v>374</v>
      </c>
      <c r="R29" s="1037" t="s">
        <v>353</v>
      </c>
      <c r="S29" s="1008" t="s">
        <v>352</v>
      </c>
      <c r="T29" s="1008" t="s">
        <v>351</v>
      </c>
      <c r="U29" s="1005" t="s">
        <v>365</v>
      </c>
      <c r="V29" s="1004" t="s">
        <v>350</v>
      </c>
      <c r="W29" s="1005" t="s">
        <v>349</v>
      </c>
      <c r="X29" s="1009" t="s">
        <v>348</v>
      </c>
      <c r="Y29" s="1004" t="s">
        <v>371</v>
      </c>
      <c r="Z29" s="1005" t="s">
        <v>372</v>
      </c>
      <c r="AA29" s="1004" t="s">
        <v>373</v>
      </c>
      <c r="AB29" s="1005" t="s">
        <v>374</v>
      </c>
    </row>
    <row r="30" spans="2:28" ht="15" hidden="1">
      <c r="B30" s="1043" t="s">
        <v>112</v>
      </c>
      <c r="C30" s="1013">
        <v>18.624837378383997</v>
      </c>
      <c r="D30" s="1010">
        <v>0.015383507137165147</v>
      </c>
      <c r="E30" s="1000"/>
      <c r="F30" s="1023">
        <v>0.007522395218152739</v>
      </c>
      <c r="G30" s="1024">
        <v>0.0060082391926883</v>
      </c>
      <c r="H30" s="1001"/>
      <c r="I30" s="1023">
        <v>0.5152586301369863</v>
      </c>
      <c r="J30" s="1001">
        <v>0.000431</v>
      </c>
      <c r="K30" s="1023">
        <v>1.2318519452054795</v>
      </c>
      <c r="L30" s="1001">
        <v>0.001031</v>
      </c>
      <c r="R30" s="1043" t="s">
        <v>112</v>
      </c>
      <c r="S30" s="1044">
        <v>18.62</v>
      </c>
      <c r="T30" s="1010">
        <v>0.01538</v>
      </c>
      <c r="U30" s="1015"/>
      <c r="V30" s="1015">
        <v>0.00752</v>
      </c>
      <c r="W30" s="1015">
        <v>0.00601</v>
      </c>
      <c r="X30" s="1017">
        <v>0</v>
      </c>
      <c r="Y30" s="1045">
        <v>0.52</v>
      </c>
      <c r="Z30" s="1046">
        <v>0.00043</v>
      </c>
      <c r="AA30" s="1015">
        <v>1.23</v>
      </c>
      <c r="AB30" s="1015">
        <v>0.00103</v>
      </c>
    </row>
    <row r="31" spans="2:28" ht="15" hidden="1">
      <c r="B31" s="1047" t="s">
        <v>366</v>
      </c>
      <c r="C31" s="1013">
        <v>17.349163585343994</v>
      </c>
      <c r="D31" s="1010">
        <v>0.026176826233180794</v>
      </c>
      <c r="E31" s="1000"/>
      <c r="F31" s="1023">
        <v>0.007522395218152738</v>
      </c>
      <c r="G31" s="1024">
        <v>0.006008239192688301</v>
      </c>
      <c r="H31" s="1001"/>
      <c r="I31" s="1023">
        <v>0.479966794520548</v>
      </c>
      <c r="J31" s="1001">
        <v>0.000734</v>
      </c>
      <c r="K31" s="1023">
        <v>0.461016</v>
      </c>
      <c r="L31" s="1001">
        <v>0.001755</v>
      </c>
      <c r="R31" s="1047" t="s">
        <v>366</v>
      </c>
      <c r="S31" s="1044">
        <v>17.35</v>
      </c>
      <c r="T31" s="1010">
        <v>0.02618</v>
      </c>
      <c r="U31" s="1015"/>
      <c r="V31" s="1015">
        <v>0.00752</v>
      </c>
      <c r="W31" s="1015">
        <v>0.00601</v>
      </c>
      <c r="X31" s="1018">
        <v>0</v>
      </c>
      <c r="Y31" s="1048">
        <v>0.48</v>
      </c>
      <c r="Z31" s="1049">
        <v>0.00073</v>
      </c>
      <c r="AA31" s="1015">
        <v>0.46</v>
      </c>
      <c r="AB31" s="1015">
        <v>0.00176</v>
      </c>
    </row>
    <row r="32" spans="2:28" ht="15" hidden="1">
      <c r="B32" s="1043" t="s">
        <v>346</v>
      </c>
      <c r="C32" s="1013">
        <v>24.799098536697596</v>
      </c>
      <c r="D32" s="1010">
        <v>0.022931512103687032</v>
      </c>
      <c r="E32" s="1000"/>
      <c r="F32" s="1023">
        <v>0.007276285559521853</v>
      </c>
      <c r="G32" s="1024">
        <v>0.005422640830827842</v>
      </c>
      <c r="H32" s="1001"/>
      <c r="I32" s="1023">
        <v>0.6860712328767125</v>
      </c>
      <c r="J32" s="1001">
        <v>0.000643</v>
      </c>
      <c r="K32" s="1023">
        <v>1.6402191780821918</v>
      </c>
      <c r="L32" s="1001">
        <v>0.001538</v>
      </c>
      <c r="R32" s="1043" t="s">
        <v>346</v>
      </c>
      <c r="S32" s="1044">
        <v>24.8</v>
      </c>
      <c r="T32" s="1010">
        <v>0.02293</v>
      </c>
      <c r="U32" s="1015"/>
      <c r="V32" s="1015">
        <v>0.00728</v>
      </c>
      <c r="W32" s="1015">
        <v>0.00542</v>
      </c>
      <c r="X32" s="1018">
        <v>0</v>
      </c>
      <c r="Y32" s="1048">
        <v>0.69</v>
      </c>
      <c r="Z32" s="1049">
        <v>0.00064</v>
      </c>
      <c r="AA32" s="1015">
        <v>1.64</v>
      </c>
      <c r="AB32" s="1015">
        <v>0.00154</v>
      </c>
    </row>
    <row r="33" spans="2:28" ht="15" hidden="1">
      <c r="B33" s="1043" t="s">
        <v>345</v>
      </c>
      <c r="C33" s="1013">
        <v>36.29036806440191</v>
      </c>
      <c r="D33" s="1010">
        <v>5.710528221067698</v>
      </c>
      <c r="E33" s="1000"/>
      <c r="F33" s="1023">
        <v>2.605659259704656</v>
      </c>
      <c r="G33" s="1024">
        <v>2.064819823919975</v>
      </c>
      <c r="H33" s="1001"/>
      <c r="I33" s="1023">
        <v>1.0039788493150685</v>
      </c>
      <c r="J33" s="1001">
        <v>0.15798279452054795</v>
      </c>
      <c r="K33" s="1023">
        <v>2.400254136986301</v>
      </c>
      <c r="L33" s="1001">
        <v>0.3776962191780822</v>
      </c>
      <c r="R33" s="1043" t="s">
        <v>345</v>
      </c>
      <c r="S33" s="1044">
        <v>36.29</v>
      </c>
      <c r="T33" s="1050">
        <v>5.7105</v>
      </c>
      <c r="U33" s="1016"/>
      <c r="V33" s="1016">
        <v>2.6057</v>
      </c>
      <c r="W33" s="1016">
        <v>2.0648</v>
      </c>
      <c r="X33" s="1019">
        <v>0</v>
      </c>
      <c r="Y33" s="1048">
        <v>1</v>
      </c>
      <c r="Z33" s="1051">
        <v>0.158</v>
      </c>
      <c r="AA33" s="1016">
        <v>2.4</v>
      </c>
      <c r="AB33" s="1016">
        <v>0.3777</v>
      </c>
    </row>
    <row r="34" spans="2:28" ht="15" hidden="1">
      <c r="B34" s="1043" t="s">
        <v>344</v>
      </c>
      <c r="C34" s="1013">
        <v>700.5592255761907</v>
      </c>
      <c r="D34" s="1010">
        <v>4.541092541512069</v>
      </c>
      <c r="E34" s="1000"/>
      <c r="F34" s="1023">
        <v>2.5174877993951563</v>
      </c>
      <c r="G34" s="1024">
        <v>2.0628287894896498</v>
      </c>
      <c r="H34" s="1001"/>
      <c r="I34" s="1023">
        <v>19.381075397260275</v>
      </c>
      <c r="J34" s="1001">
        <v>0.12563013698630135</v>
      </c>
      <c r="K34" s="1023">
        <v>46.335170958904115</v>
      </c>
      <c r="L34" s="1001">
        <v>0.30034947945205476</v>
      </c>
      <c r="R34" s="1043" t="s">
        <v>344</v>
      </c>
      <c r="S34" s="1044">
        <v>700.56</v>
      </c>
      <c r="T34" s="1050">
        <v>4.5411</v>
      </c>
      <c r="U34" s="1016"/>
      <c r="V34" s="1016">
        <v>2.5175</v>
      </c>
      <c r="W34" s="1016">
        <v>2.0628</v>
      </c>
      <c r="X34" s="1019">
        <v>0</v>
      </c>
      <c r="Y34" s="1048">
        <v>19.38</v>
      </c>
      <c r="Z34" s="1051">
        <v>0.1256</v>
      </c>
      <c r="AA34" s="1016">
        <v>46.34</v>
      </c>
      <c r="AB34" s="1016">
        <v>0.3003</v>
      </c>
    </row>
    <row r="35" spans="2:28" ht="15" hidden="1">
      <c r="B35" s="1043" t="s">
        <v>343</v>
      </c>
      <c r="C35" s="1013">
        <v>3070.914213899675</v>
      </c>
      <c r="D35" s="1010">
        <v>4.8379673466283375</v>
      </c>
      <c r="E35" s="1000"/>
      <c r="F35" s="1023">
        <v>2.869852628034942</v>
      </c>
      <c r="G35" s="1024">
        <v>2.2916806293047167</v>
      </c>
      <c r="H35" s="1001"/>
      <c r="I35" s="1023">
        <v>84.95730147945204</v>
      </c>
      <c r="J35" s="1001">
        <v>0.13384306849315067</v>
      </c>
      <c r="K35" s="1023">
        <v>203.11107189041098</v>
      </c>
      <c r="L35" s="1001">
        <v>0.31998476712328766</v>
      </c>
      <c r="R35" s="1043" t="s">
        <v>343</v>
      </c>
      <c r="S35" s="1044">
        <v>3070.91</v>
      </c>
      <c r="T35" s="1050">
        <v>4.838</v>
      </c>
      <c r="U35" s="1016"/>
      <c r="V35" s="1016">
        <v>2.8699</v>
      </c>
      <c r="W35" s="1016">
        <v>2.2917</v>
      </c>
      <c r="X35" s="1019">
        <v>0</v>
      </c>
      <c r="Y35" s="1048">
        <v>84.96</v>
      </c>
      <c r="Z35" s="1051">
        <v>0.1338</v>
      </c>
      <c r="AA35" s="1016">
        <v>203.11</v>
      </c>
      <c r="AB35" s="1016">
        <v>0.32</v>
      </c>
    </row>
    <row r="36" spans="2:28" ht="15" hidden="1">
      <c r="B36" s="1043" t="s">
        <v>342</v>
      </c>
      <c r="C36" s="1013">
        <v>1.3267007447615997</v>
      </c>
      <c r="D36" s="1010">
        <v>29.314779656252302</v>
      </c>
      <c r="E36" s="1000"/>
      <c r="F36" s="1023">
        <v>2.31749695070771</v>
      </c>
      <c r="G36" s="1024">
        <v>2.4620897526061096</v>
      </c>
      <c r="H36" s="1001"/>
      <c r="I36" s="1023">
        <v>0.03670323287671233</v>
      </c>
      <c r="J36" s="1001">
        <v>0.8109981369863014</v>
      </c>
      <c r="K36" s="1023">
        <v>0.08774827397260275</v>
      </c>
      <c r="L36" s="1001">
        <v>1.93888701369863</v>
      </c>
      <c r="R36" s="1043" t="s">
        <v>342</v>
      </c>
      <c r="S36" s="1044">
        <v>1.33</v>
      </c>
      <c r="T36" s="1050">
        <v>29.3148</v>
      </c>
      <c r="U36" s="1016"/>
      <c r="V36" s="1016">
        <v>2.3175</v>
      </c>
      <c r="W36" s="1016">
        <v>2.4621</v>
      </c>
      <c r="X36" s="1019">
        <v>0</v>
      </c>
      <c r="Y36" s="1048">
        <v>0.04</v>
      </c>
      <c r="Z36" s="1051">
        <v>0.811</v>
      </c>
      <c r="AA36" s="1016">
        <v>0.09</v>
      </c>
      <c r="AB36" s="1016">
        <v>1.9389</v>
      </c>
    </row>
    <row r="37" spans="2:28" ht="15" hidden="1">
      <c r="B37" s="1043" t="s">
        <v>118</v>
      </c>
      <c r="C37" s="1013">
        <v>4.939408926650878</v>
      </c>
      <c r="D37" s="1010">
        <v>0.06194671939002239</v>
      </c>
      <c r="E37" s="1000"/>
      <c r="F37" s="1023">
        <v>0.004579779734522576</v>
      </c>
      <c r="G37" s="1024">
        <v>0.0037946773848557686</v>
      </c>
      <c r="H37" s="1001"/>
      <c r="I37" s="1023">
        <v>0.136649095890411</v>
      </c>
      <c r="J37" s="1001">
        <v>0.001738</v>
      </c>
      <c r="K37" s="1023">
        <v>0.0330746301369863</v>
      </c>
      <c r="L37" s="1001">
        <v>0.004154</v>
      </c>
      <c r="R37" s="1043" t="s">
        <v>118</v>
      </c>
      <c r="S37" s="1044">
        <v>4.94</v>
      </c>
      <c r="T37" s="1010">
        <v>0.06195</v>
      </c>
      <c r="U37" s="1015"/>
      <c r="V37" s="1015">
        <v>0.00458</v>
      </c>
      <c r="W37" s="1015">
        <v>0.00379</v>
      </c>
      <c r="X37" s="1018">
        <v>0</v>
      </c>
      <c r="Y37" s="1048">
        <v>0.14</v>
      </c>
      <c r="Z37" s="1049">
        <v>0.00174</v>
      </c>
      <c r="AA37" s="1015">
        <v>0.03</v>
      </c>
      <c r="AB37" s="1015">
        <v>0.00415</v>
      </c>
    </row>
    <row r="38" spans="2:28" ht="15" hidden="1">
      <c r="B38" s="1043" t="s">
        <v>341</v>
      </c>
      <c r="C38" s="1013">
        <v>0.5000641268716799</v>
      </c>
      <c r="D38" s="998"/>
      <c r="E38" s="1000"/>
      <c r="F38" s="1023"/>
      <c r="G38" s="1024"/>
      <c r="H38" s="1001"/>
      <c r="I38" s="1023">
        <v>0.013833863013698633</v>
      </c>
      <c r="J38" s="1001" t="s">
        <v>340</v>
      </c>
      <c r="K38" s="1023">
        <v>0.32669358904109586</v>
      </c>
      <c r="L38" s="1001" t="s">
        <v>340</v>
      </c>
      <c r="R38" s="1043" t="s">
        <v>341</v>
      </c>
      <c r="S38" s="1044">
        <v>0.5</v>
      </c>
      <c r="T38" s="998"/>
      <c r="U38" s="1014"/>
      <c r="V38" s="1014"/>
      <c r="W38" s="1014"/>
      <c r="X38" s="1018">
        <v>0</v>
      </c>
      <c r="Y38" s="1048">
        <v>0.01</v>
      </c>
      <c r="Z38" s="1052"/>
      <c r="AA38" s="1015">
        <v>0.33</v>
      </c>
      <c r="AB38" s="1014"/>
    </row>
    <row r="39" spans="2:28" ht="15.75" hidden="1" thickBot="1">
      <c r="B39" s="1002"/>
      <c r="C39" s="1011"/>
      <c r="D39" s="1011"/>
      <c r="E39" s="1011"/>
      <c r="F39" s="1002"/>
      <c r="G39" s="1003"/>
      <c r="H39" s="1003"/>
      <c r="I39" s="1002"/>
      <c r="J39" s="1003"/>
      <c r="K39" s="1002"/>
      <c r="L39" s="1003"/>
      <c r="R39" s="1002"/>
      <c r="S39" s="1011"/>
      <c r="T39" s="1011"/>
      <c r="U39" s="1053"/>
      <c r="V39" s="1054"/>
      <c r="W39" s="1055"/>
      <c r="X39" s="1055"/>
      <c r="Y39" s="1002"/>
      <c r="Z39" s="1003"/>
      <c r="AA39" s="1002"/>
      <c r="AB39" s="1003"/>
    </row>
    <row r="40" ht="15" hidden="1"/>
    <row r="44" ht="15">
      <c r="M44" s="997" t="s">
        <v>10</v>
      </c>
    </row>
    <row r="45" ht="15">
      <c r="Z45" s="997" t="s">
        <v>10</v>
      </c>
    </row>
    <row r="48" ht="15">
      <c r="F48" s="997" t="s">
        <v>10</v>
      </c>
    </row>
    <row r="51" spans="11:12" ht="15">
      <c r="K51" s="1020"/>
      <c r="L51" s="1020"/>
    </row>
    <row r="52" spans="11:12" ht="15">
      <c r="K52" s="1020"/>
      <c r="L52" s="1020"/>
    </row>
    <row r="53" spans="5:12" ht="15">
      <c r="E53" s="997" t="s">
        <v>10</v>
      </c>
      <c r="K53" s="1020"/>
      <c r="L53" s="1020"/>
    </row>
    <row r="54" spans="11:12" ht="15">
      <c r="K54" s="1020"/>
      <c r="L54" s="1020"/>
    </row>
    <row r="55" spans="11:12" ht="15">
      <c r="K55" s="1020"/>
      <c r="L55" s="1020"/>
    </row>
    <row r="56" spans="11:12" ht="15">
      <c r="K56" s="1020"/>
      <c r="L56" s="1020"/>
    </row>
    <row r="57" spans="11:12" ht="15">
      <c r="K57" s="1020"/>
      <c r="L57" s="1020"/>
    </row>
    <row r="58" spans="11:12" ht="15">
      <c r="K58" s="1020"/>
      <c r="L58" s="1020" t="s">
        <v>10</v>
      </c>
    </row>
    <row r="59" spans="11:12" ht="15">
      <c r="K59" s="1020"/>
      <c r="L59" s="1020"/>
    </row>
    <row r="60" spans="11:12" ht="15">
      <c r="K60" s="1020"/>
      <c r="L60" s="1020"/>
    </row>
    <row r="61" spans="11:12" ht="15">
      <c r="K61" s="1020"/>
      <c r="L61" s="1020"/>
    </row>
  </sheetData>
  <sheetProtection/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167"/>
  <sheetViews>
    <sheetView zoomScale="80" zoomScaleNormal="80" zoomScalePageLayoutView="0" workbookViewId="0" topLeftCell="A52">
      <selection activeCell="B12" sqref="B12"/>
    </sheetView>
  </sheetViews>
  <sheetFormatPr defaultColWidth="9.140625" defaultRowHeight="15"/>
  <cols>
    <col min="1" max="1" width="78.28125" style="23" customWidth="1"/>
    <col min="2" max="2" width="25.8515625" style="23" customWidth="1"/>
    <col min="3" max="3" width="20.8515625" style="27" customWidth="1"/>
    <col min="4" max="4" width="22.28125" style="23" customWidth="1"/>
    <col min="5" max="5" width="21.57421875" style="23" customWidth="1"/>
    <col min="6" max="6" width="20.57421875" style="23" customWidth="1"/>
    <col min="7" max="7" width="22.421875" style="23" customWidth="1"/>
    <col min="8" max="8" width="23.00390625" style="23" customWidth="1"/>
    <col min="9" max="9" width="19.140625" style="23" customWidth="1"/>
    <col min="10" max="10" width="21.28125" style="23" customWidth="1"/>
    <col min="11" max="11" width="27.140625" style="23" customWidth="1"/>
    <col min="12" max="12" width="14.28125" style="23" customWidth="1"/>
    <col min="13" max="13" width="23.7109375" style="23" customWidth="1"/>
    <col min="14" max="14" width="15.57421875" style="23" customWidth="1"/>
    <col min="15" max="15" width="12.7109375" style="23" customWidth="1"/>
    <col min="16" max="16" width="12.8515625" style="23" customWidth="1"/>
    <col min="17" max="17" width="18.421875" style="23" customWidth="1"/>
    <col min="18" max="16384" width="9.140625" style="23" customWidth="1"/>
  </cols>
  <sheetData>
    <row r="1" spans="1:3" s="18" customFormat="1" ht="20.25" customHeight="1" thickBot="1">
      <c r="A1" s="720" t="s">
        <v>317</v>
      </c>
      <c r="C1" s="721"/>
    </row>
    <row r="2" spans="1:14" s="20" customFormat="1" ht="48" thickBot="1">
      <c r="A2" s="722" t="s">
        <v>251</v>
      </c>
      <c r="B2" s="723"/>
      <c r="C2" s="723"/>
      <c r="D2" s="723" t="s">
        <v>14</v>
      </c>
      <c r="E2" s="723" t="s">
        <v>15</v>
      </c>
      <c r="F2" s="723" t="s">
        <v>16</v>
      </c>
      <c r="G2" s="723" t="s">
        <v>17</v>
      </c>
      <c r="H2" s="723" t="s">
        <v>18</v>
      </c>
      <c r="I2" s="723" t="s">
        <v>19</v>
      </c>
      <c r="J2" s="723" t="s">
        <v>20</v>
      </c>
      <c r="K2" s="724" t="s">
        <v>21</v>
      </c>
      <c r="L2" s="19" t="s">
        <v>22</v>
      </c>
      <c r="M2" s="725" t="s">
        <v>23</v>
      </c>
      <c r="N2" s="20" t="s">
        <v>24</v>
      </c>
    </row>
    <row r="3" spans="1:12" s="21" customFormat="1" ht="16.5" thickBot="1">
      <c r="A3" s="726"/>
      <c r="B3" s="727"/>
      <c r="C3" s="728"/>
      <c r="D3" s="729" t="s">
        <v>25</v>
      </c>
      <c r="E3" s="729" t="s">
        <v>26</v>
      </c>
      <c r="F3" s="729" t="s">
        <v>27</v>
      </c>
      <c r="G3" s="729" t="s">
        <v>28</v>
      </c>
      <c r="H3" s="729" t="s">
        <v>29</v>
      </c>
      <c r="I3" s="729"/>
      <c r="J3" s="729" t="s">
        <v>30</v>
      </c>
      <c r="K3" s="730" t="s">
        <v>31</v>
      </c>
      <c r="L3" s="731"/>
    </row>
    <row r="4" spans="1:12" s="21" customFormat="1" ht="18.75">
      <c r="A4" s="732" t="s">
        <v>252</v>
      </c>
      <c r="B4" s="733"/>
      <c r="C4" s="734"/>
      <c r="D4" s="735"/>
      <c r="E4" s="735" t="s">
        <v>32</v>
      </c>
      <c r="F4" s="735"/>
      <c r="G4" s="735"/>
      <c r="H4" s="735"/>
      <c r="I4" s="735"/>
      <c r="J4" s="735"/>
      <c r="K4" s="736"/>
      <c r="L4" s="731"/>
    </row>
    <row r="5" spans="1:17" s="21" customFormat="1" ht="15.75">
      <c r="A5" s="737" t="s">
        <v>13</v>
      </c>
      <c r="B5" s="738"/>
      <c r="C5" s="739" t="s">
        <v>253</v>
      </c>
      <c r="D5" s="628" t="s">
        <v>33</v>
      </c>
      <c r="E5" s="628" t="s">
        <v>33</v>
      </c>
      <c r="F5" s="628">
        <v>26934429.732053652</v>
      </c>
      <c r="G5" s="628">
        <v>10637919.72094347</v>
      </c>
      <c r="H5" s="628">
        <v>5229314.742966217</v>
      </c>
      <c r="I5" s="628" t="s">
        <v>33</v>
      </c>
      <c r="J5" s="628">
        <v>322725</v>
      </c>
      <c r="K5" s="629">
        <v>43124389.19596334</v>
      </c>
      <c r="L5" s="22" t="s">
        <v>10</v>
      </c>
      <c r="M5" s="22">
        <v>0</v>
      </c>
      <c r="N5" s="22">
        <v>43124389.19596334</v>
      </c>
      <c r="Q5" s="740">
        <v>0</v>
      </c>
    </row>
    <row r="6" spans="1:17" s="21" customFormat="1" ht="15.75">
      <c r="A6" s="737" t="s">
        <v>34</v>
      </c>
      <c r="B6" s="738"/>
      <c r="C6" s="739" t="s">
        <v>253</v>
      </c>
      <c r="D6" s="628">
        <v>5037295612.099079</v>
      </c>
      <c r="E6" s="628">
        <v>2071525043.772528</v>
      </c>
      <c r="F6" s="628">
        <v>10268957200.243916</v>
      </c>
      <c r="G6" s="628">
        <v>4685622966.083459</v>
      </c>
      <c r="H6" s="628">
        <v>2236665845.1326065</v>
      </c>
      <c r="I6" s="628">
        <v>52097298.71804408</v>
      </c>
      <c r="J6" s="628">
        <v>111260969.55848952</v>
      </c>
      <c r="K6" s="629">
        <v>24463424935.608124</v>
      </c>
      <c r="L6" s="22">
        <v>0.1571044921875</v>
      </c>
      <c r="M6" s="22">
        <v>889948</v>
      </c>
      <c r="N6" s="22">
        <v>24462534987.608124</v>
      </c>
      <c r="Q6" s="740">
        <v>0</v>
      </c>
    </row>
    <row r="7" spans="1:14" s="21" customFormat="1" ht="15.75">
      <c r="A7" s="737" t="s">
        <v>35</v>
      </c>
      <c r="B7" s="738"/>
      <c r="C7" s="739" t="s">
        <v>253</v>
      </c>
      <c r="D7" s="630">
        <v>633121</v>
      </c>
      <c r="E7" s="630">
        <v>65907</v>
      </c>
      <c r="F7" s="630">
        <v>13776</v>
      </c>
      <c r="G7" s="630">
        <v>505</v>
      </c>
      <c r="H7" s="628">
        <v>50</v>
      </c>
      <c r="I7" s="631">
        <v>1107</v>
      </c>
      <c r="J7" s="738">
        <v>1</v>
      </c>
      <c r="K7" s="629">
        <v>714467</v>
      </c>
      <c r="L7" s="22">
        <v>0</v>
      </c>
      <c r="M7" s="22">
        <v>0</v>
      </c>
      <c r="N7" s="22">
        <v>714467</v>
      </c>
    </row>
    <row r="8" spans="1:14" s="21" customFormat="1" ht="15.75">
      <c r="A8" s="737" t="s">
        <v>36</v>
      </c>
      <c r="B8" s="738"/>
      <c r="C8" s="739"/>
      <c r="D8" s="630"/>
      <c r="E8" s="630"/>
      <c r="F8" s="630"/>
      <c r="G8" s="630"/>
      <c r="H8" s="628"/>
      <c r="I8" s="631">
        <v>12323</v>
      </c>
      <c r="J8" s="628">
        <v>163159</v>
      </c>
      <c r="K8" s="629"/>
      <c r="L8" s="22"/>
      <c r="M8" s="22"/>
      <c r="N8" s="22"/>
    </row>
    <row r="9" spans="1:17" s="21" customFormat="1" ht="32.25" customHeight="1">
      <c r="A9" s="741" t="s">
        <v>37</v>
      </c>
      <c r="B9" s="738"/>
      <c r="C9" s="739" t="s">
        <v>254</v>
      </c>
      <c r="D9" s="632">
        <v>236438395.2136873</v>
      </c>
      <c r="E9" s="632">
        <v>71910098.13484858</v>
      </c>
      <c r="F9" s="632">
        <v>169258291.72838742</v>
      </c>
      <c r="G9" s="632">
        <v>51159558.10497001</v>
      </c>
      <c r="H9" s="632">
        <v>25957906.416061822</v>
      </c>
      <c r="I9" s="633">
        <v>3595222.8590137307</v>
      </c>
      <c r="J9" s="633">
        <v>13049664.046430433</v>
      </c>
      <c r="K9" s="629">
        <v>571369136.5033994</v>
      </c>
      <c r="L9" s="22"/>
      <c r="M9" s="616">
        <v>524684355.91310686</v>
      </c>
      <c r="N9" s="22">
        <v>46684780.59029251</v>
      </c>
      <c r="O9" s="742" t="s">
        <v>10</v>
      </c>
      <c r="Q9" s="740">
        <v>0</v>
      </c>
    </row>
    <row r="10" spans="1:17" s="21" customFormat="1" ht="32.25" customHeight="1" thickBot="1">
      <c r="A10" s="743" t="s">
        <v>38</v>
      </c>
      <c r="B10" s="744"/>
      <c r="C10" s="745" t="s">
        <v>254</v>
      </c>
      <c r="D10" s="684">
        <v>9531407.34051039</v>
      </c>
      <c r="E10" s="684">
        <v>3692660.612465212</v>
      </c>
      <c r="F10" s="684">
        <v>3669965.073675009</v>
      </c>
      <c r="G10" s="684">
        <v>653371.986570339</v>
      </c>
      <c r="H10" s="684">
        <v>237517.3621937516</v>
      </c>
      <c r="I10" s="685">
        <v>106836.70754713129</v>
      </c>
      <c r="J10" s="685">
        <v>97331.91703816658</v>
      </c>
      <c r="K10" s="686">
        <v>17989091</v>
      </c>
      <c r="L10" s="22"/>
      <c r="M10" s="616">
        <v>17989091</v>
      </c>
      <c r="N10" s="22">
        <v>0</v>
      </c>
      <c r="O10" s="742"/>
      <c r="Q10" s="740">
        <v>0</v>
      </c>
    </row>
    <row r="11" spans="1:13" ht="17.25" thickBot="1" thickTop="1">
      <c r="A11" s="746"/>
      <c r="B11" s="18"/>
      <c r="C11" s="721"/>
      <c r="D11" s="18"/>
      <c r="E11" s="18"/>
      <c r="F11" s="18"/>
      <c r="G11" s="18"/>
      <c r="H11" s="18"/>
      <c r="I11" s="18"/>
      <c r="J11" s="18"/>
      <c r="K11" s="747" t="s">
        <v>10</v>
      </c>
      <c r="M11" s="748">
        <v>542673446.9131069</v>
      </c>
    </row>
    <row r="12" spans="1:11" ht="18.75">
      <c r="A12" s="732" t="s">
        <v>39</v>
      </c>
      <c r="B12" s="733"/>
      <c r="C12" s="734"/>
      <c r="D12" s="735"/>
      <c r="E12" s="735"/>
      <c r="F12" s="735"/>
      <c r="G12" s="735"/>
      <c r="H12" s="735"/>
      <c r="I12" s="735"/>
      <c r="J12" s="735"/>
      <c r="K12" s="736"/>
    </row>
    <row r="13" spans="1:12" s="18" customFormat="1" ht="15.75">
      <c r="A13" s="749" t="s">
        <v>40</v>
      </c>
      <c r="B13" s="750"/>
      <c r="C13" s="739" t="s">
        <v>253</v>
      </c>
      <c r="D13" s="751">
        <v>0.20591129922969062</v>
      </c>
      <c r="E13" s="751">
        <v>0.08467845566289808</v>
      </c>
      <c r="F13" s="751">
        <v>0.41976776462304644</v>
      </c>
      <c r="G13" s="751">
        <v>0.191535853152893</v>
      </c>
      <c r="H13" s="751">
        <v>0.09142897411216498</v>
      </c>
      <c r="I13" s="751">
        <v>0.0021295995493342814</v>
      </c>
      <c r="J13" s="751">
        <v>0.004548053669972509</v>
      </c>
      <c r="K13" s="752">
        <v>0.9999999999999998</v>
      </c>
      <c r="L13" s="731" t="s">
        <v>10</v>
      </c>
    </row>
    <row r="14" spans="1:12" ht="15.75">
      <c r="A14" s="753" t="s">
        <v>41</v>
      </c>
      <c r="B14" s="750"/>
      <c r="C14" s="739" t="s">
        <v>253</v>
      </c>
      <c r="D14" s="751">
        <v>0.8861444965267815</v>
      </c>
      <c r="E14" s="751">
        <v>0.09224638786675941</v>
      </c>
      <c r="F14" s="751">
        <v>0.019281506353687434</v>
      </c>
      <c r="G14" s="751">
        <v>0.0007068206089294537</v>
      </c>
      <c r="H14" s="751">
        <v>6.99822385078667E-05</v>
      </c>
      <c r="I14" s="751">
        <v>0.0015494067605641689</v>
      </c>
      <c r="J14" s="751">
        <v>1.3996447701573341E-06</v>
      </c>
      <c r="K14" s="752">
        <v>1</v>
      </c>
      <c r="L14" s="731" t="s">
        <v>10</v>
      </c>
    </row>
    <row r="15" spans="1:16" ht="35.25" customHeight="1">
      <c r="A15" s="754" t="s">
        <v>10</v>
      </c>
      <c r="B15" s="755" t="s">
        <v>42</v>
      </c>
      <c r="C15" s="739" t="s">
        <v>255</v>
      </c>
      <c r="D15" s="751">
        <v>0.6473517888930277</v>
      </c>
      <c r="E15" s="751">
        <v>0.29510887723854207</v>
      </c>
      <c r="F15" s="751">
        <v>0.03753621783563086</v>
      </c>
      <c r="G15" s="751">
        <v>0.08078232014672254</v>
      </c>
      <c r="H15" s="751">
        <v>0.06788648685897217</v>
      </c>
      <c r="I15" s="751">
        <v>0.019756190479937336</v>
      </c>
      <c r="J15" s="751"/>
      <c r="K15" s="752" t="s">
        <v>10</v>
      </c>
      <c r="L15" s="731"/>
      <c r="O15" s="756">
        <v>3301468.4721852755</v>
      </c>
      <c r="P15" s="757">
        <v>0.019756190479937336</v>
      </c>
    </row>
    <row r="16" spans="1:16" ht="30" customHeight="1">
      <c r="A16" s="754" t="s">
        <v>10</v>
      </c>
      <c r="B16" s="755" t="s">
        <v>43</v>
      </c>
      <c r="C16" s="739" t="s">
        <v>10</v>
      </c>
      <c r="D16" s="751">
        <v>0.3526482111069723</v>
      </c>
      <c r="E16" s="751">
        <v>0.7048911227614579</v>
      </c>
      <c r="F16" s="751">
        <v>0.9624637821643691</v>
      </c>
      <c r="G16" s="751">
        <v>0.9192176798532774</v>
      </c>
      <c r="H16" s="751">
        <v>0.9321135131410279</v>
      </c>
      <c r="I16" s="751">
        <v>0.9578483207783333</v>
      </c>
      <c r="J16" s="751">
        <v>0.7843320833839152</v>
      </c>
      <c r="K16" s="752" t="s">
        <v>10</v>
      </c>
      <c r="L16" s="731"/>
      <c r="P16" s="757">
        <v>0.9578483207783333</v>
      </c>
    </row>
    <row r="17" spans="1:16" ht="30" customHeight="1">
      <c r="A17" s="754" t="s">
        <v>10</v>
      </c>
      <c r="B17" s="755" t="s">
        <v>44</v>
      </c>
      <c r="C17" s="739"/>
      <c r="D17" s="751"/>
      <c r="E17" s="751"/>
      <c r="F17" s="751"/>
      <c r="G17" s="751"/>
      <c r="H17" s="751" t="s">
        <v>10</v>
      </c>
      <c r="I17" s="751">
        <v>0.02239548874172943</v>
      </c>
      <c r="J17" s="751">
        <v>0.21566791661608478</v>
      </c>
      <c r="K17" s="752"/>
      <c r="L17" s="731"/>
      <c r="P17" s="757">
        <v>0.02239548874172943</v>
      </c>
    </row>
    <row r="18" spans="1:12" s="18" customFormat="1" ht="23.25" customHeight="1" thickBot="1">
      <c r="A18" s="758" t="s">
        <v>45</v>
      </c>
      <c r="B18" s="759"/>
      <c r="C18" s="739" t="s">
        <v>10</v>
      </c>
      <c r="D18" s="760">
        <v>0.41381023248930876</v>
      </c>
      <c r="E18" s="760">
        <v>0.12585576213464367</v>
      </c>
      <c r="F18" s="760">
        <v>0.2962328220319972</v>
      </c>
      <c r="G18" s="760">
        <v>0.0895385396874086</v>
      </c>
      <c r="H18" s="760">
        <v>0.045431061563661106</v>
      </c>
      <c r="I18" s="760">
        <v>0.006292294471863446</v>
      </c>
      <c r="J18" s="760">
        <v>0.02283928762111706</v>
      </c>
      <c r="K18" s="761">
        <v>0.9999999999999998</v>
      </c>
      <c r="L18" s="24"/>
    </row>
    <row r="19" spans="1:14" s="18" customFormat="1" ht="16.5" thickBot="1">
      <c r="A19" s="762" t="s">
        <v>10</v>
      </c>
      <c r="B19" s="25"/>
      <c r="C19" s="763"/>
      <c r="D19" s="764"/>
      <c r="E19" s="764"/>
      <c r="F19" s="764"/>
      <c r="G19" s="764"/>
      <c r="H19" s="764"/>
      <c r="I19" s="764"/>
      <c r="J19" s="764"/>
      <c r="K19" s="765"/>
      <c r="L19" s="766"/>
      <c r="M19" s="25"/>
      <c r="N19" s="25"/>
    </row>
    <row r="20" spans="1:12" s="18" customFormat="1" ht="18.75">
      <c r="A20" s="732" t="s">
        <v>46</v>
      </c>
      <c r="B20" s="733"/>
      <c r="C20" s="734"/>
      <c r="D20" s="735"/>
      <c r="E20" s="735"/>
      <c r="F20" s="735"/>
      <c r="G20" s="735"/>
      <c r="H20" s="735"/>
      <c r="I20" s="735"/>
      <c r="J20" s="735" t="s">
        <v>10</v>
      </c>
      <c r="K20" s="736"/>
      <c r="L20" s="24"/>
    </row>
    <row r="21" spans="1:17" s="18" customFormat="1" ht="15.75">
      <c r="A21" s="767" t="s">
        <v>47</v>
      </c>
      <c r="B21" s="768"/>
      <c r="C21" s="739" t="s">
        <v>256</v>
      </c>
      <c r="D21" s="617">
        <v>245969802.5541977</v>
      </c>
      <c r="E21" s="617">
        <v>75602758.7473138</v>
      </c>
      <c r="F21" s="617">
        <v>172928256.80206242</v>
      </c>
      <c r="G21" s="617">
        <v>51812930.091540344</v>
      </c>
      <c r="H21" s="617">
        <v>26195423.778255574</v>
      </c>
      <c r="I21" s="617">
        <v>3702059.566560862</v>
      </c>
      <c r="J21" s="617">
        <v>13146995.9634686</v>
      </c>
      <c r="K21" s="615">
        <v>589358227.5033993</v>
      </c>
      <c r="L21" s="24"/>
      <c r="M21" s="769">
        <v>17989090.99999988</v>
      </c>
      <c r="Q21" s="740">
        <v>0</v>
      </c>
    </row>
    <row r="22" spans="1:17" s="18" customFormat="1" ht="15.75">
      <c r="A22" s="767" t="s">
        <v>48</v>
      </c>
      <c r="B22" s="768"/>
      <c r="C22" s="739" t="s">
        <v>256</v>
      </c>
      <c r="D22" s="617">
        <v>275646971.1996634</v>
      </c>
      <c r="E22" s="617">
        <v>81617023.5336626</v>
      </c>
      <c r="F22" s="617">
        <v>147698627.65411663</v>
      </c>
      <c r="G22" s="617">
        <v>41716305.29813716</v>
      </c>
      <c r="H22" s="617">
        <v>21819920.853217773</v>
      </c>
      <c r="I22" s="617">
        <v>3124747.2797880936</v>
      </c>
      <c r="J22" s="617">
        <v>17734631.684813593</v>
      </c>
      <c r="K22" s="615">
        <v>589358227.5033993</v>
      </c>
      <c r="L22" s="24"/>
      <c r="Q22" s="740">
        <v>0</v>
      </c>
    </row>
    <row r="23" spans="1:12" s="18" customFormat="1" ht="15.75">
      <c r="A23" s="767" t="s">
        <v>49</v>
      </c>
      <c r="B23" s="768"/>
      <c r="C23" s="763"/>
      <c r="D23" s="770">
        <v>0.892336315119642</v>
      </c>
      <c r="E23" s="770">
        <v>0.9263111477733779</v>
      </c>
      <c r="F23" s="770">
        <v>1.1708183044667755</v>
      </c>
      <c r="G23" s="770">
        <v>1.2420306573471656</v>
      </c>
      <c r="H23" s="770">
        <v>1.2005279008329925</v>
      </c>
      <c r="I23" s="770">
        <v>1.184754872980294</v>
      </c>
      <c r="J23" s="770">
        <v>0.7413176770243587</v>
      </c>
      <c r="K23" s="771" t="s">
        <v>10</v>
      </c>
      <c r="L23" s="24"/>
    </row>
    <row r="24" spans="1:12" s="18" customFormat="1" ht="15.75">
      <c r="A24" s="767" t="s">
        <v>50</v>
      </c>
      <c r="B24" s="768"/>
      <c r="C24" s="763"/>
      <c r="D24" s="617">
        <v>-29677168.6454657</v>
      </c>
      <c r="E24" s="617">
        <v>-6014264.786348805</v>
      </c>
      <c r="F24" s="617">
        <v>25229629.14794579</v>
      </c>
      <c r="G24" s="617">
        <v>10096624.793403186</v>
      </c>
      <c r="H24" s="617">
        <v>4375502.925037801</v>
      </c>
      <c r="I24" s="617">
        <v>577312.2867727685</v>
      </c>
      <c r="J24" s="617">
        <v>-4587635.7213449925</v>
      </c>
      <c r="K24" s="618">
        <v>4.842877388000488E-08</v>
      </c>
      <c r="L24" s="24"/>
    </row>
    <row r="25" spans="1:12" s="18" customFormat="1" ht="16.5" thickBot="1">
      <c r="A25" s="767" t="s">
        <v>257</v>
      </c>
      <c r="B25" s="768"/>
      <c r="C25" s="763"/>
      <c r="D25" s="772">
        <v>0.5242210681388251</v>
      </c>
      <c r="E25" s="772">
        <v>0.15521796981450192</v>
      </c>
      <c r="F25" s="772">
        <v>0.2808909236858474</v>
      </c>
      <c r="G25" s="772">
        <v>0</v>
      </c>
      <c r="H25" s="772">
        <v>0</v>
      </c>
      <c r="I25" s="772">
        <v>0.005942595159109816</v>
      </c>
      <c r="J25" s="772">
        <v>0.03372744320171578</v>
      </c>
      <c r="K25" s="693">
        <v>1</v>
      </c>
      <c r="L25" s="24"/>
    </row>
    <row r="26" spans="1:12" s="18" customFormat="1" ht="18.75">
      <c r="A26" s="732" t="s">
        <v>51</v>
      </c>
      <c r="B26" s="773"/>
      <c r="C26" s="774"/>
      <c r="D26" s="775"/>
      <c r="E26" s="775"/>
      <c r="F26" s="775"/>
      <c r="G26" s="775"/>
      <c r="H26" s="775"/>
      <c r="I26" s="775"/>
      <c r="J26" s="775"/>
      <c r="K26" s="776"/>
      <c r="L26" s="24"/>
    </row>
    <row r="27" spans="1:17" s="18" customFormat="1" ht="15.75">
      <c r="A27" s="767" t="s">
        <v>52</v>
      </c>
      <c r="B27" s="768"/>
      <c r="C27" s="739" t="s">
        <v>53</v>
      </c>
      <c r="D27" s="617">
        <v>236438395.2136873</v>
      </c>
      <c r="E27" s="617">
        <v>71910098.13484858</v>
      </c>
      <c r="F27" s="617">
        <v>169258291.72838742</v>
      </c>
      <c r="G27" s="617">
        <v>51159558.10497001</v>
      </c>
      <c r="H27" s="617">
        <v>25957906.416061822</v>
      </c>
      <c r="I27" s="617">
        <v>3595222.8590137307</v>
      </c>
      <c r="J27" s="617">
        <v>13049664.046430433</v>
      </c>
      <c r="K27" s="615">
        <v>571369136.5033994</v>
      </c>
      <c r="L27" s="24"/>
      <c r="Q27" s="740">
        <v>0</v>
      </c>
    </row>
    <row r="28" spans="1:12" s="18" customFormat="1" ht="15.75">
      <c r="A28" s="767" t="s">
        <v>48</v>
      </c>
      <c r="B28" s="768"/>
      <c r="C28" s="739" t="s">
        <v>53</v>
      </c>
      <c r="D28" s="617">
        <v>266115563.859153</v>
      </c>
      <c r="E28" s="617">
        <v>77924362.92119738</v>
      </c>
      <c r="F28" s="617">
        <v>144028662.58044162</v>
      </c>
      <c r="G28" s="617">
        <v>41062933.31156682</v>
      </c>
      <c r="H28" s="617">
        <v>21582403.49102402</v>
      </c>
      <c r="I28" s="617">
        <v>3017910.572240962</v>
      </c>
      <c r="J28" s="617">
        <v>17637299.767775428</v>
      </c>
      <c r="K28" s="615">
        <v>571369136.5033993</v>
      </c>
      <c r="L28" s="24"/>
    </row>
    <row r="29" spans="1:12" s="18" customFormat="1" ht="15.75">
      <c r="A29" s="767" t="s">
        <v>49</v>
      </c>
      <c r="B29" s="768"/>
      <c r="C29" s="763"/>
      <c r="D29" s="770">
        <v>0.8884801466885531</v>
      </c>
      <c r="E29" s="770">
        <v>0.9228191985036713</v>
      </c>
      <c r="F29" s="770">
        <v>1.175170890959671</v>
      </c>
      <c r="G29" s="770">
        <v>1.2458817229834653</v>
      </c>
      <c r="H29" s="770">
        <v>1.2027347383648694</v>
      </c>
      <c r="I29" s="770">
        <v>1.19129535914117</v>
      </c>
      <c r="J29" s="770">
        <v>0.739890131610343</v>
      </c>
      <c r="K29" s="771">
        <v>1.0000000000000002</v>
      </c>
      <c r="L29" s="24"/>
    </row>
    <row r="30" spans="1:12" s="18" customFormat="1" ht="15.75">
      <c r="A30" s="767" t="s">
        <v>50</v>
      </c>
      <c r="B30" s="768"/>
      <c r="C30" s="763"/>
      <c r="D30" s="617">
        <v>-29677168.6454657</v>
      </c>
      <c r="E30" s="617">
        <v>-6014264.786348805</v>
      </c>
      <c r="F30" s="617">
        <v>25229629.14794579</v>
      </c>
      <c r="G30" s="617">
        <v>10096624.793403186</v>
      </c>
      <c r="H30" s="617">
        <v>4375502.925037801</v>
      </c>
      <c r="I30" s="617">
        <v>577312.2867727685</v>
      </c>
      <c r="J30" s="617">
        <v>-4587635.721344994</v>
      </c>
      <c r="K30" s="626">
        <v>0</v>
      </c>
      <c r="L30" s="24"/>
    </row>
    <row r="31" spans="1:12" s="18" customFormat="1" ht="16.5" thickBot="1">
      <c r="A31" s="777"/>
      <c r="B31" s="778"/>
      <c r="C31" s="779"/>
      <c r="D31" s="624"/>
      <c r="E31" s="624"/>
      <c r="F31" s="624"/>
      <c r="G31" s="624"/>
      <c r="H31" s="624"/>
      <c r="I31" s="624"/>
      <c r="J31" s="624"/>
      <c r="K31" s="625"/>
      <c r="L31" s="24"/>
    </row>
    <row r="32" spans="1:12" s="25" customFormat="1" ht="16.5" thickBot="1">
      <c r="A32" s="762"/>
      <c r="C32" s="763"/>
      <c r="D32" s="636" t="s">
        <v>10</v>
      </c>
      <c r="E32" s="764"/>
      <c r="F32" s="764"/>
      <c r="G32" s="764"/>
      <c r="H32" s="764"/>
      <c r="I32" s="764"/>
      <c r="J32" s="764"/>
      <c r="K32" s="765"/>
      <c r="L32" s="766"/>
    </row>
    <row r="33" spans="1:12" s="18" customFormat="1" ht="20.25">
      <c r="A33" s="780" t="s">
        <v>54</v>
      </c>
      <c r="B33" s="781"/>
      <c r="C33" s="782"/>
      <c r="D33" s="783">
        <v>0.8884801466885531</v>
      </c>
      <c r="E33" s="784" t="s">
        <v>10</v>
      </c>
      <c r="F33" s="784" t="s">
        <v>10</v>
      </c>
      <c r="G33" s="784" t="s">
        <v>10</v>
      </c>
      <c r="H33" s="784" t="s">
        <v>10</v>
      </c>
      <c r="I33" s="784" t="s">
        <v>10</v>
      </c>
      <c r="J33" s="784" t="s">
        <v>10</v>
      </c>
      <c r="K33" s="785"/>
      <c r="L33" s="24"/>
    </row>
    <row r="34" spans="1:12" s="18" customFormat="1" ht="15.75">
      <c r="A34" s="786" t="s">
        <v>55</v>
      </c>
      <c r="B34" s="787"/>
      <c r="C34" s="763"/>
      <c r="D34" s="627">
        <v>236438395.2136873</v>
      </c>
      <c r="E34" s="784"/>
      <c r="F34" s="784"/>
      <c r="G34" s="784"/>
      <c r="H34" s="784"/>
      <c r="I34" s="784"/>
      <c r="J34" s="784"/>
      <c r="K34" s="785"/>
      <c r="L34" s="24"/>
    </row>
    <row r="35" spans="1:12" s="18" customFormat="1" ht="15.75">
      <c r="A35" s="786" t="s">
        <v>56</v>
      </c>
      <c r="B35" s="787"/>
      <c r="C35" s="763"/>
      <c r="D35" s="788">
        <v>0</v>
      </c>
      <c r="E35" s="784"/>
      <c r="F35" s="784"/>
      <c r="G35" s="784"/>
      <c r="H35" s="784"/>
      <c r="I35" s="784"/>
      <c r="J35" s="784"/>
      <c r="K35" s="785"/>
      <c r="L35" s="24"/>
    </row>
    <row r="36" spans="1:12" s="18" customFormat="1" ht="16.5" thickBot="1">
      <c r="A36" s="789" t="s">
        <v>10</v>
      </c>
      <c r="B36" s="790"/>
      <c r="C36" s="779"/>
      <c r="D36" s="791" t="s">
        <v>10</v>
      </c>
      <c r="E36" s="784"/>
      <c r="F36" s="784"/>
      <c r="G36" s="784"/>
      <c r="H36" s="784"/>
      <c r="I36" s="784"/>
      <c r="J36" s="784"/>
      <c r="K36" s="785"/>
      <c r="L36" s="24"/>
    </row>
    <row r="37" spans="1:12" s="25" customFormat="1" ht="16.5" thickBot="1">
      <c r="A37" s="762"/>
      <c r="C37" s="763"/>
      <c r="D37" s="792"/>
      <c r="E37" s="784"/>
      <c r="F37" s="784"/>
      <c r="G37" s="784"/>
      <c r="H37" s="784"/>
      <c r="I37" s="784"/>
      <c r="J37" s="784"/>
      <c r="K37" s="785"/>
      <c r="L37" s="766"/>
    </row>
    <row r="38" spans="1:14" s="18" customFormat="1" ht="25.5">
      <c r="A38" s="793" t="s">
        <v>57</v>
      </c>
      <c r="B38" s="794" t="s">
        <v>58</v>
      </c>
      <c r="C38" s="795"/>
      <c r="D38" s="638">
        <v>-29677168.6454657</v>
      </c>
      <c r="E38" s="638">
        <v>-6014264.786348805</v>
      </c>
      <c r="F38" s="638">
        <v>0</v>
      </c>
      <c r="G38" s="638">
        <v>0</v>
      </c>
      <c r="H38" s="638">
        <v>0</v>
      </c>
      <c r="I38" s="638">
        <v>0</v>
      </c>
      <c r="J38" s="638">
        <v>-4587635.721344994</v>
      </c>
      <c r="K38" s="639">
        <v>-40279069.1531595</v>
      </c>
      <c r="L38" s="796"/>
      <c r="M38" s="797"/>
      <c r="N38" s="797"/>
    </row>
    <row r="39" spans="1:14" s="18" customFormat="1" ht="15.75">
      <c r="A39" s="798"/>
      <c r="B39" s="799" t="s">
        <v>59</v>
      </c>
      <c r="C39" s="800"/>
      <c r="D39" s="640">
        <v>0</v>
      </c>
      <c r="E39" s="640">
        <v>0</v>
      </c>
      <c r="F39" s="640">
        <v>25229629.14794579</v>
      </c>
      <c r="G39" s="640">
        <v>10096624.793403186</v>
      </c>
      <c r="H39" s="640">
        <v>4375502.925037801</v>
      </c>
      <c r="I39" s="640">
        <v>577312.2867727685</v>
      </c>
      <c r="J39" s="640">
        <v>0</v>
      </c>
      <c r="K39" s="641">
        <v>40279069.153159544</v>
      </c>
      <c r="L39" s="796"/>
      <c r="M39" s="797"/>
      <c r="N39" s="797"/>
    </row>
    <row r="40" spans="1:14" s="18" customFormat="1" ht="15" customHeight="1">
      <c r="A40" s="798"/>
      <c r="B40" s="799"/>
      <c r="C40" s="800"/>
      <c r="D40" s="640"/>
      <c r="E40" s="640"/>
      <c r="F40" s="640"/>
      <c r="G40" s="640"/>
      <c r="H40" s="640"/>
      <c r="I40" s="640"/>
      <c r="J40" s="640"/>
      <c r="K40" s="641"/>
      <c r="L40" s="796"/>
      <c r="M40" s="797"/>
      <c r="N40" s="797"/>
    </row>
    <row r="41" spans="1:14" s="18" customFormat="1" ht="31.5">
      <c r="A41" s="798"/>
      <c r="B41" s="799" t="s">
        <v>60</v>
      </c>
      <c r="C41" s="800"/>
      <c r="D41" s="801">
        <v>0.7367888401943822</v>
      </c>
      <c r="E41" s="801">
        <v>0.14931489015994415</v>
      </c>
      <c r="F41" s="801">
        <v>0</v>
      </c>
      <c r="G41" s="801">
        <v>0</v>
      </c>
      <c r="H41" s="801">
        <v>0</v>
      </c>
      <c r="I41" s="801">
        <v>0</v>
      </c>
      <c r="J41" s="801">
        <v>0.11389626964567376</v>
      </c>
      <c r="K41" s="802">
        <v>1</v>
      </c>
      <c r="L41" s="796"/>
      <c r="M41" s="797"/>
      <c r="N41" s="797"/>
    </row>
    <row r="42" spans="1:24" s="18" customFormat="1" ht="31.5">
      <c r="A42" s="798"/>
      <c r="B42" s="799" t="s">
        <v>61</v>
      </c>
      <c r="C42" s="800"/>
      <c r="D42" s="801">
        <v>0</v>
      </c>
      <c r="E42" s="801">
        <v>0</v>
      </c>
      <c r="F42" s="801">
        <v>0.6263707101078017</v>
      </c>
      <c r="G42" s="801">
        <v>0.2506667856451989</v>
      </c>
      <c r="H42" s="801">
        <v>0.1086296932136174</v>
      </c>
      <c r="I42" s="801">
        <v>0.01433281103338217</v>
      </c>
      <c r="J42" s="801">
        <v>0</v>
      </c>
      <c r="K42" s="802">
        <v>1</v>
      </c>
      <c r="L42" s="796"/>
      <c r="M42" s="797"/>
      <c r="N42" s="797"/>
      <c r="X42" s="803" t="s">
        <v>32</v>
      </c>
    </row>
    <row r="43" spans="1:14" s="18" customFormat="1" ht="14.25" customHeight="1">
      <c r="A43" s="798"/>
      <c r="B43" s="799"/>
      <c r="C43" s="800"/>
      <c r="D43" s="640"/>
      <c r="E43" s="804"/>
      <c r="F43" s="804"/>
      <c r="G43" s="804"/>
      <c r="H43" s="804"/>
      <c r="I43" s="804"/>
      <c r="J43" s="804"/>
      <c r="K43" s="805"/>
      <c r="L43" s="796"/>
      <c r="M43" s="797"/>
      <c r="N43" s="797"/>
    </row>
    <row r="44" spans="1:14" s="18" customFormat="1" ht="31.5">
      <c r="A44" s="798"/>
      <c r="B44" s="799" t="s">
        <v>62</v>
      </c>
      <c r="C44" s="800"/>
      <c r="D44" s="640">
        <v>0</v>
      </c>
      <c r="E44" s="640">
        <v>0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1">
        <v>0</v>
      </c>
      <c r="L44" s="796"/>
      <c r="M44" s="797"/>
      <c r="N44" s="797"/>
    </row>
    <row r="45" spans="1:14" s="18" customFormat="1" ht="32.25" thickBot="1">
      <c r="A45" s="806"/>
      <c r="B45" s="807" t="s">
        <v>63</v>
      </c>
      <c r="C45" s="808"/>
      <c r="D45" s="642"/>
      <c r="E45" s="642">
        <v>0</v>
      </c>
      <c r="F45" s="642">
        <v>0</v>
      </c>
      <c r="G45" s="642">
        <v>0</v>
      </c>
      <c r="H45" s="642">
        <v>0</v>
      </c>
      <c r="I45" s="642">
        <v>0</v>
      </c>
      <c r="J45" s="642">
        <v>0</v>
      </c>
      <c r="K45" s="643">
        <v>0</v>
      </c>
      <c r="L45" s="796"/>
      <c r="M45" s="797"/>
      <c r="N45" s="797"/>
    </row>
    <row r="46" spans="1:12" s="25" customFormat="1" ht="16.5" thickBot="1">
      <c r="A46" s="809"/>
      <c r="C46" s="763"/>
      <c r="D46" s="636"/>
      <c r="E46" s="636"/>
      <c r="F46" s="810" t="s">
        <v>10</v>
      </c>
      <c r="G46" s="811">
        <v>0</v>
      </c>
      <c r="H46" s="636"/>
      <c r="I46" s="636"/>
      <c r="J46" s="636"/>
      <c r="K46" s="637"/>
      <c r="L46" s="766"/>
    </row>
    <row r="47" spans="1:12" s="18" customFormat="1" ht="19.5" thickBot="1">
      <c r="A47" s="157" t="s">
        <v>64</v>
      </c>
      <c r="B47" s="158"/>
      <c r="C47" s="812"/>
      <c r="D47" s="619">
        <v>0</v>
      </c>
      <c r="E47" s="619">
        <v>0</v>
      </c>
      <c r="F47" s="619">
        <v>0</v>
      </c>
      <c r="G47" s="619">
        <v>0</v>
      </c>
      <c r="H47" s="619">
        <v>0</v>
      </c>
      <c r="I47" s="619">
        <v>0</v>
      </c>
      <c r="J47" s="619">
        <v>0</v>
      </c>
      <c r="K47" s="620">
        <v>0</v>
      </c>
      <c r="L47" s="24"/>
    </row>
    <row r="48" spans="1:14" s="18" customFormat="1" ht="19.5" thickBot="1">
      <c r="A48" s="813" t="s">
        <v>65</v>
      </c>
      <c r="B48" s="814"/>
      <c r="C48" s="815"/>
      <c r="D48" s="651">
        <v>1677507.4180442402</v>
      </c>
      <c r="E48" s="651">
        <v>496697.50340640615</v>
      </c>
      <c r="F48" s="651">
        <v>898850.9557947117</v>
      </c>
      <c r="G48" s="651">
        <v>-2000000</v>
      </c>
      <c r="H48" s="651">
        <v>-1200000</v>
      </c>
      <c r="I48" s="651">
        <v>19016.30450915141</v>
      </c>
      <c r="J48" s="651">
        <v>107927.81824549049</v>
      </c>
      <c r="K48" s="652">
        <v>0</v>
      </c>
      <c r="L48" s="816"/>
      <c r="M48" s="817"/>
      <c r="N48" s="817"/>
    </row>
    <row r="49" spans="1:12" s="18" customFormat="1" ht="19.5" thickBot="1">
      <c r="A49" s="157" t="s">
        <v>66</v>
      </c>
      <c r="B49" s="158"/>
      <c r="C49" s="812"/>
      <c r="D49" s="818">
        <v>0.8947838269157349</v>
      </c>
      <c r="E49" s="818">
        <v>0.9291932962156886</v>
      </c>
      <c r="F49" s="818">
        <v>1.1814116692859482</v>
      </c>
      <c r="G49" s="818">
        <v>1.1971759964630313</v>
      </c>
      <c r="H49" s="818">
        <v>1.1471338873985222</v>
      </c>
      <c r="I49" s="818">
        <v>1.1975965082487894</v>
      </c>
      <c r="J49" s="818">
        <v>0.7460094253608911</v>
      </c>
      <c r="K49" s="620"/>
      <c r="L49" s="24"/>
    </row>
    <row r="50" spans="1:12" s="25" customFormat="1" ht="19.5" thickBot="1">
      <c r="A50" s="819" t="s">
        <v>200</v>
      </c>
      <c r="B50" s="820"/>
      <c r="C50" s="821"/>
      <c r="D50" s="822">
        <v>0.8984220247167525</v>
      </c>
      <c r="E50" s="822">
        <v>0.9323968573704884</v>
      </c>
      <c r="F50" s="822">
        <v>1.176904014063886</v>
      </c>
      <c r="G50" s="822">
        <v>1.1940877730071828</v>
      </c>
      <c r="H50" s="822">
        <v>1.1455322843010913</v>
      </c>
      <c r="I50" s="822">
        <v>1.1908405825774044</v>
      </c>
      <c r="J50" s="822">
        <v>0.7474033866214692</v>
      </c>
      <c r="K50" s="635"/>
      <c r="L50" s="766"/>
    </row>
    <row r="51" spans="1:254" s="828" customFormat="1" ht="20.25" thickBot="1">
      <c r="A51" s="823" t="s">
        <v>201</v>
      </c>
      <c r="B51" s="824"/>
      <c r="C51" s="825"/>
      <c r="D51" s="687">
        <v>238115902.63173154</v>
      </c>
      <c r="E51" s="687">
        <v>72406795.63825499</v>
      </c>
      <c r="F51" s="687">
        <v>170157142.68418214</v>
      </c>
      <c r="G51" s="687">
        <v>49159558.10497001</v>
      </c>
      <c r="H51" s="687">
        <v>24757906.416061822</v>
      </c>
      <c r="I51" s="687">
        <v>3614239.163522882</v>
      </c>
      <c r="J51" s="687">
        <v>13157591.864675924</v>
      </c>
      <c r="K51" s="688">
        <v>571369136.5033993</v>
      </c>
      <c r="L51" s="826"/>
      <c r="M51" s="820"/>
      <c r="N51" s="827"/>
      <c r="O51" s="689"/>
      <c r="P51" s="689"/>
      <c r="Q51" s="689"/>
      <c r="R51" s="689"/>
      <c r="S51" s="689"/>
      <c r="T51" s="689"/>
      <c r="U51" s="689"/>
      <c r="V51" s="689"/>
      <c r="W51" s="826"/>
      <c r="X51" s="820"/>
      <c r="Y51" s="827"/>
      <c r="Z51" s="689"/>
      <c r="AA51" s="689"/>
      <c r="AB51" s="689"/>
      <c r="AC51" s="689"/>
      <c r="AD51" s="689"/>
      <c r="AE51" s="689"/>
      <c r="AF51" s="689"/>
      <c r="AG51" s="689"/>
      <c r="AH51" s="689"/>
      <c r="AI51" s="826"/>
      <c r="AJ51" s="820"/>
      <c r="AK51" s="827"/>
      <c r="AL51" s="689"/>
      <c r="AM51" s="689"/>
      <c r="AN51" s="689"/>
      <c r="AO51" s="689"/>
      <c r="AP51" s="689"/>
      <c r="AQ51" s="689"/>
      <c r="AR51" s="689"/>
      <c r="AS51" s="689"/>
      <c r="AT51" s="689"/>
      <c r="AU51" s="826"/>
      <c r="AV51" s="820"/>
      <c r="AW51" s="827"/>
      <c r="AX51" s="689"/>
      <c r="AY51" s="689"/>
      <c r="AZ51" s="689"/>
      <c r="BA51" s="689"/>
      <c r="BB51" s="689"/>
      <c r="BC51" s="689"/>
      <c r="BD51" s="689"/>
      <c r="BE51" s="689"/>
      <c r="BF51" s="689"/>
      <c r="BG51" s="826"/>
      <c r="BH51" s="820"/>
      <c r="BI51" s="827"/>
      <c r="BJ51" s="689"/>
      <c r="BK51" s="689"/>
      <c r="BL51" s="689"/>
      <c r="BM51" s="689"/>
      <c r="BN51" s="689"/>
      <c r="BO51" s="689"/>
      <c r="BP51" s="689"/>
      <c r="BQ51" s="689"/>
      <c r="BR51" s="689"/>
      <c r="BS51" s="826"/>
      <c r="BT51" s="820"/>
      <c r="BU51" s="827"/>
      <c r="BV51" s="689"/>
      <c r="BW51" s="689"/>
      <c r="BX51" s="689"/>
      <c r="BY51" s="689"/>
      <c r="BZ51" s="689"/>
      <c r="CA51" s="689"/>
      <c r="CB51" s="689"/>
      <c r="CC51" s="689"/>
      <c r="CD51" s="689"/>
      <c r="CE51" s="826"/>
      <c r="CF51" s="820"/>
      <c r="CG51" s="827"/>
      <c r="CH51" s="689"/>
      <c r="CI51" s="689"/>
      <c r="CJ51" s="689"/>
      <c r="CK51" s="689"/>
      <c r="CL51" s="689"/>
      <c r="CM51" s="689"/>
      <c r="CN51" s="689"/>
      <c r="CO51" s="689"/>
      <c r="CP51" s="689"/>
      <c r="CQ51" s="826"/>
      <c r="CR51" s="820"/>
      <c r="CS51" s="827"/>
      <c r="CT51" s="689"/>
      <c r="CU51" s="689"/>
      <c r="CV51" s="689"/>
      <c r="CW51" s="689"/>
      <c r="CX51" s="689"/>
      <c r="CY51" s="689"/>
      <c r="CZ51" s="689"/>
      <c r="DA51" s="689"/>
      <c r="DB51" s="689"/>
      <c r="DC51" s="826"/>
      <c r="DD51" s="820"/>
      <c r="DE51" s="827"/>
      <c r="DF51" s="689"/>
      <c r="DG51" s="689"/>
      <c r="DH51" s="689"/>
      <c r="DI51" s="689"/>
      <c r="DJ51" s="689"/>
      <c r="DK51" s="689"/>
      <c r="DL51" s="689"/>
      <c r="DM51" s="689"/>
      <c r="DN51" s="689"/>
      <c r="DO51" s="826"/>
      <c r="DP51" s="820"/>
      <c r="DQ51" s="827"/>
      <c r="DR51" s="689"/>
      <c r="DS51" s="689"/>
      <c r="DT51" s="689"/>
      <c r="DU51" s="689"/>
      <c r="DV51" s="689"/>
      <c r="DW51" s="689"/>
      <c r="DX51" s="689"/>
      <c r="DY51" s="689"/>
      <c r="DZ51" s="689"/>
      <c r="EA51" s="826"/>
      <c r="EB51" s="820"/>
      <c r="EC51" s="827"/>
      <c r="ED51" s="689"/>
      <c r="EE51" s="689"/>
      <c r="EF51" s="689"/>
      <c r="EG51" s="689"/>
      <c r="EH51" s="689"/>
      <c r="EI51" s="689"/>
      <c r="EJ51" s="689"/>
      <c r="EK51" s="689"/>
      <c r="EL51" s="689"/>
      <c r="EM51" s="826"/>
      <c r="EN51" s="820"/>
      <c r="EO51" s="827"/>
      <c r="EP51" s="689"/>
      <c r="EQ51" s="689"/>
      <c r="ER51" s="689"/>
      <c r="ES51" s="689"/>
      <c r="ET51" s="689"/>
      <c r="EU51" s="689"/>
      <c r="EV51" s="689"/>
      <c r="EW51" s="689"/>
      <c r="EX51" s="689"/>
      <c r="EY51" s="826"/>
      <c r="EZ51" s="820"/>
      <c r="FA51" s="827"/>
      <c r="FB51" s="689"/>
      <c r="FC51" s="689"/>
      <c r="FD51" s="689"/>
      <c r="FE51" s="689"/>
      <c r="FF51" s="689"/>
      <c r="FG51" s="689"/>
      <c r="FH51" s="689"/>
      <c r="FI51" s="689"/>
      <c r="FJ51" s="689"/>
      <c r="FK51" s="826"/>
      <c r="FL51" s="820"/>
      <c r="FM51" s="827"/>
      <c r="FN51" s="689"/>
      <c r="FO51" s="689"/>
      <c r="FP51" s="689"/>
      <c r="FQ51" s="689"/>
      <c r="FR51" s="689"/>
      <c r="FS51" s="689"/>
      <c r="FT51" s="689"/>
      <c r="FU51" s="689"/>
      <c r="FV51" s="689"/>
      <c r="FW51" s="826"/>
      <c r="FX51" s="820"/>
      <c r="FY51" s="827"/>
      <c r="FZ51" s="689"/>
      <c r="GA51" s="689"/>
      <c r="GB51" s="689"/>
      <c r="GC51" s="689"/>
      <c r="GD51" s="689"/>
      <c r="GE51" s="689"/>
      <c r="GF51" s="689"/>
      <c r="GG51" s="689"/>
      <c r="GH51" s="689"/>
      <c r="GI51" s="826"/>
      <c r="GJ51" s="820"/>
      <c r="GK51" s="827"/>
      <c r="GL51" s="689"/>
      <c r="GM51" s="689"/>
      <c r="GN51" s="689"/>
      <c r="GO51" s="689"/>
      <c r="GP51" s="689"/>
      <c r="GQ51" s="689"/>
      <c r="GR51" s="689"/>
      <c r="GS51" s="689"/>
      <c r="GT51" s="689"/>
      <c r="GU51" s="826"/>
      <c r="GV51" s="820"/>
      <c r="GW51" s="827"/>
      <c r="GX51" s="689"/>
      <c r="GY51" s="689"/>
      <c r="GZ51" s="689"/>
      <c r="HA51" s="689"/>
      <c r="HB51" s="689"/>
      <c r="HC51" s="689"/>
      <c r="HD51" s="689"/>
      <c r="HE51" s="689"/>
      <c r="HF51" s="689"/>
      <c r="HG51" s="826"/>
      <c r="HH51" s="820"/>
      <c r="HI51" s="827"/>
      <c r="HJ51" s="689"/>
      <c r="HK51" s="689"/>
      <c r="HL51" s="689"/>
      <c r="HM51" s="689"/>
      <c r="HN51" s="689"/>
      <c r="HO51" s="689"/>
      <c r="HP51" s="689"/>
      <c r="HQ51" s="689"/>
      <c r="HR51" s="689"/>
      <c r="HS51" s="826"/>
      <c r="HT51" s="820"/>
      <c r="HU51" s="827"/>
      <c r="HV51" s="689"/>
      <c r="HW51" s="689"/>
      <c r="HX51" s="689"/>
      <c r="HY51" s="689"/>
      <c r="HZ51" s="689"/>
      <c r="IA51" s="689"/>
      <c r="IB51" s="689"/>
      <c r="IC51" s="689"/>
      <c r="ID51" s="689"/>
      <c r="IE51" s="826"/>
      <c r="IF51" s="820"/>
      <c r="IG51" s="827"/>
      <c r="IH51" s="689"/>
      <c r="II51" s="689"/>
      <c r="IJ51" s="689"/>
      <c r="IK51" s="689"/>
      <c r="IL51" s="689"/>
      <c r="IM51" s="689"/>
      <c r="IN51" s="689"/>
      <c r="IO51" s="689"/>
      <c r="IP51" s="689"/>
      <c r="IQ51" s="826"/>
      <c r="IR51" s="820"/>
      <c r="IS51" s="827"/>
      <c r="IT51" s="689"/>
    </row>
    <row r="52" spans="1:254" s="828" customFormat="1" ht="19.5">
      <c r="A52" s="829" t="s">
        <v>258</v>
      </c>
      <c r="B52" s="830"/>
      <c r="C52" s="831"/>
      <c r="D52" s="692">
        <v>0</v>
      </c>
      <c r="E52" s="692">
        <v>0</v>
      </c>
      <c r="F52" s="692">
        <v>3337870.3706797548</v>
      </c>
      <c r="G52" s="692">
        <v>5231203.195748313</v>
      </c>
      <c r="H52" s="692">
        <v>3127751.1056145905</v>
      </c>
      <c r="I52" s="692">
        <v>0</v>
      </c>
      <c r="J52" s="692">
        <v>0</v>
      </c>
      <c r="K52" s="691">
        <v>11696824.67204266</v>
      </c>
      <c r="L52" s="826"/>
      <c r="M52" s="820"/>
      <c r="N52" s="827"/>
      <c r="O52" s="689"/>
      <c r="P52" s="689"/>
      <c r="Q52" s="689"/>
      <c r="R52" s="689"/>
      <c r="S52" s="689"/>
      <c r="T52" s="689"/>
      <c r="U52" s="689"/>
      <c r="V52" s="689"/>
      <c r="W52" s="826"/>
      <c r="X52" s="820"/>
      <c r="Y52" s="827"/>
      <c r="Z52" s="689"/>
      <c r="AA52" s="689"/>
      <c r="AB52" s="689"/>
      <c r="AC52" s="689"/>
      <c r="AD52" s="689"/>
      <c r="AE52" s="689"/>
      <c r="AF52" s="689"/>
      <c r="AG52" s="689"/>
      <c r="AH52" s="689"/>
      <c r="AI52" s="826"/>
      <c r="AJ52" s="820"/>
      <c r="AK52" s="827"/>
      <c r="AL52" s="689"/>
      <c r="AM52" s="689"/>
      <c r="AN52" s="689"/>
      <c r="AO52" s="689"/>
      <c r="AP52" s="689"/>
      <c r="AQ52" s="689"/>
      <c r="AR52" s="689"/>
      <c r="AS52" s="689"/>
      <c r="AT52" s="689"/>
      <c r="AU52" s="826"/>
      <c r="AV52" s="820"/>
      <c r="AW52" s="827"/>
      <c r="AX52" s="689"/>
      <c r="AY52" s="689"/>
      <c r="AZ52" s="689"/>
      <c r="BA52" s="689"/>
      <c r="BB52" s="689"/>
      <c r="BC52" s="689"/>
      <c r="BD52" s="689"/>
      <c r="BE52" s="689"/>
      <c r="BF52" s="689"/>
      <c r="BG52" s="826"/>
      <c r="BH52" s="820"/>
      <c r="BI52" s="827"/>
      <c r="BJ52" s="689"/>
      <c r="BK52" s="689"/>
      <c r="BL52" s="689"/>
      <c r="BM52" s="689"/>
      <c r="BN52" s="689"/>
      <c r="BO52" s="689"/>
      <c r="BP52" s="689"/>
      <c r="BQ52" s="689"/>
      <c r="BR52" s="689"/>
      <c r="BS52" s="826"/>
      <c r="BT52" s="820"/>
      <c r="BU52" s="827"/>
      <c r="BV52" s="689"/>
      <c r="BW52" s="689"/>
      <c r="BX52" s="689"/>
      <c r="BY52" s="689"/>
      <c r="BZ52" s="689"/>
      <c r="CA52" s="689"/>
      <c r="CB52" s="689"/>
      <c r="CC52" s="689"/>
      <c r="CD52" s="689"/>
      <c r="CE52" s="826"/>
      <c r="CF52" s="820"/>
      <c r="CG52" s="827"/>
      <c r="CH52" s="689"/>
      <c r="CI52" s="689"/>
      <c r="CJ52" s="689"/>
      <c r="CK52" s="689"/>
      <c r="CL52" s="689"/>
      <c r="CM52" s="689"/>
      <c r="CN52" s="689"/>
      <c r="CO52" s="689"/>
      <c r="CP52" s="689"/>
      <c r="CQ52" s="826"/>
      <c r="CR52" s="820"/>
      <c r="CS52" s="827"/>
      <c r="CT52" s="689"/>
      <c r="CU52" s="689"/>
      <c r="CV52" s="689"/>
      <c r="CW52" s="689"/>
      <c r="CX52" s="689"/>
      <c r="CY52" s="689"/>
      <c r="CZ52" s="689"/>
      <c r="DA52" s="689"/>
      <c r="DB52" s="689"/>
      <c r="DC52" s="826"/>
      <c r="DD52" s="820"/>
      <c r="DE52" s="827"/>
      <c r="DF52" s="689"/>
      <c r="DG52" s="689"/>
      <c r="DH52" s="689"/>
      <c r="DI52" s="689"/>
      <c r="DJ52" s="689"/>
      <c r="DK52" s="689"/>
      <c r="DL52" s="689"/>
      <c r="DM52" s="689"/>
      <c r="DN52" s="689"/>
      <c r="DO52" s="826"/>
      <c r="DP52" s="820"/>
      <c r="DQ52" s="827"/>
      <c r="DR52" s="689"/>
      <c r="DS52" s="689"/>
      <c r="DT52" s="689"/>
      <c r="DU52" s="689"/>
      <c r="DV52" s="689"/>
      <c r="DW52" s="689"/>
      <c r="DX52" s="689"/>
      <c r="DY52" s="689"/>
      <c r="DZ52" s="689"/>
      <c r="EA52" s="826"/>
      <c r="EB52" s="820"/>
      <c r="EC52" s="827"/>
      <c r="ED52" s="689"/>
      <c r="EE52" s="689"/>
      <c r="EF52" s="689"/>
      <c r="EG52" s="689"/>
      <c r="EH52" s="689"/>
      <c r="EI52" s="689"/>
      <c r="EJ52" s="689"/>
      <c r="EK52" s="689"/>
      <c r="EL52" s="689"/>
      <c r="EM52" s="826"/>
      <c r="EN52" s="820"/>
      <c r="EO52" s="827"/>
      <c r="EP52" s="689"/>
      <c r="EQ52" s="689"/>
      <c r="ER52" s="689"/>
      <c r="ES52" s="689"/>
      <c r="ET52" s="689"/>
      <c r="EU52" s="689"/>
      <c r="EV52" s="689"/>
      <c r="EW52" s="689"/>
      <c r="EX52" s="689"/>
      <c r="EY52" s="826"/>
      <c r="EZ52" s="820"/>
      <c r="FA52" s="827"/>
      <c r="FB52" s="689"/>
      <c r="FC52" s="689"/>
      <c r="FD52" s="689"/>
      <c r="FE52" s="689"/>
      <c r="FF52" s="689"/>
      <c r="FG52" s="689"/>
      <c r="FH52" s="689"/>
      <c r="FI52" s="689"/>
      <c r="FJ52" s="689"/>
      <c r="FK52" s="826"/>
      <c r="FL52" s="820"/>
      <c r="FM52" s="827"/>
      <c r="FN52" s="689"/>
      <c r="FO52" s="689"/>
      <c r="FP52" s="689"/>
      <c r="FQ52" s="689"/>
      <c r="FR52" s="689"/>
      <c r="FS52" s="689"/>
      <c r="FT52" s="689"/>
      <c r="FU52" s="689"/>
      <c r="FV52" s="689"/>
      <c r="FW52" s="826"/>
      <c r="FX52" s="820"/>
      <c r="FY52" s="827"/>
      <c r="FZ52" s="689"/>
      <c r="GA52" s="689"/>
      <c r="GB52" s="689"/>
      <c r="GC52" s="689"/>
      <c r="GD52" s="689"/>
      <c r="GE52" s="689"/>
      <c r="GF52" s="689"/>
      <c r="GG52" s="689"/>
      <c r="GH52" s="689"/>
      <c r="GI52" s="826"/>
      <c r="GJ52" s="820"/>
      <c r="GK52" s="827"/>
      <c r="GL52" s="689"/>
      <c r="GM52" s="689"/>
      <c r="GN52" s="689"/>
      <c r="GO52" s="689"/>
      <c r="GP52" s="689"/>
      <c r="GQ52" s="689"/>
      <c r="GR52" s="689"/>
      <c r="GS52" s="689"/>
      <c r="GT52" s="689"/>
      <c r="GU52" s="826"/>
      <c r="GV52" s="820"/>
      <c r="GW52" s="827"/>
      <c r="GX52" s="689"/>
      <c r="GY52" s="689"/>
      <c r="GZ52" s="689"/>
      <c r="HA52" s="689"/>
      <c r="HB52" s="689"/>
      <c r="HC52" s="689"/>
      <c r="HD52" s="689"/>
      <c r="HE52" s="689"/>
      <c r="HF52" s="689"/>
      <c r="HG52" s="826"/>
      <c r="HH52" s="820"/>
      <c r="HI52" s="827"/>
      <c r="HJ52" s="689"/>
      <c r="HK52" s="689"/>
      <c r="HL52" s="689"/>
      <c r="HM52" s="689"/>
      <c r="HN52" s="689"/>
      <c r="HO52" s="689"/>
      <c r="HP52" s="689"/>
      <c r="HQ52" s="689"/>
      <c r="HR52" s="689"/>
      <c r="HS52" s="826"/>
      <c r="HT52" s="820"/>
      <c r="HU52" s="827"/>
      <c r="HV52" s="689"/>
      <c r="HW52" s="689"/>
      <c r="HX52" s="689"/>
      <c r="HY52" s="689"/>
      <c r="HZ52" s="689"/>
      <c r="IA52" s="689"/>
      <c r="IB52" s="689"/>
      <c r="IC52" s="689"/>
      <c r="ID52" s="689"/>
      <c r="IE52" s="826"/>
      <c r="IF52" s="820"/>
      <c r="IG52" s="827"/>
      <c r="IH52" s="689"/>
      <c r="II52" s="689"/>
      <c r="IJ52" s="689"/>
      <c r="IK52" s="689"/>
      <c r="IL52" s="689"/>
      <c r="IM52" s="689"/>
      <c r="IN52" s="689"/>
      <c r="IO52" s="689"/>
      <c r="IP52" s="689"/>
      <c r="IQ52" s="826"/>
      <c r="IR52" s="820"/>
      <c r="IS52" s="827"/>
      <c r="IT52" s="689"/>
    </row>
    <row r="53" spans="1:18" s="833" customFormat="1" ht="19.5" thickBot="1">
      <c r="A53" s="832" t="s">
        <v>202</v>
      </c>
      <c r="C53" s="834"/>
      <c r="D53" s="690">
        <v>238115902.63173154</v>
      </c>
      <c r="E53" s="690">
        <v>72406795.63825499</v>
      </c>
      <c r="F53" s="690">
        <v>173495013.0548619</v>
      </c>
      <c r="G53" s="690">
        <v>54390761.30071832</v>
      </c>
      <c r="H53" s="690">
        <v>27885657.521676414</v>
      </c>
      <c r="I53" s="690">
        <v>3614239.163522882</v>
      </c>
      <c r="J53" s="690">
        <v>13157591.864675924</v>
      </c>
      <c r="K53" s="690">
        <v>583065961.1754419</v>
      </c>
      <c r="L53" s="835"/>
      <c r="Q53" s="836">
        <v>11696824.672042608</v>
      </c>
      <c r="R53" s="833" t="s">
        <v>259</v>
      </c>
    </row>
    <row r="54" spans="1:14" s="18" customFormat="1" ht="42.75" customHeight="1">
      <c r="A54" s="159" t="s">
        <v>181</v>
      </c>
      <c r="B54" s="160" t="s">
        <v>10</v>
      </c>
      <c r="C54" s="837"/>
      <c r="D54" s="647" t="s">
        <v>10</v>
      </c>
      <c r="E54" s="838"/>
      <c r="F54" s="839"/>
      <c r="G54" s="840"/>
      <c r="H54" s="840"/>
      <c r="I54" s="840"/>
      <c r="J54" s="840"/>
      <c r="K54" s="634"/>
      <c r="L54" s="841"/>
      <c r="M54" s="842"/>
      <c r="N54" s="842"/>
    </row>
    <row r="55" spans="1:12" s="26" customFormat="1" ht="18.75">
      <c r="A55" s="161"/>
      <c r="B55" s="162"/>
      <c r="C55" s="821"/>
      <c r="D55" s="648" t="s">
        <v>10</v>
      </c>
      <c r="E55" s="623" t="s">
        <v>10</v>
      </c>
      <c r="F55" s="621" t="s">
        <v>10</v>
      </c>
      <c r="G55" s="621"/>
      <c r="H55" s="621"/>
      <c r="I55" s="621"/>
      <c r="J55" s="621"/>
      <c r="K55" s="622"/>
      <c r="L55" s="843"/>
    </row>
    <row r="56" spans="1:12" s="26" customFormat="1" ht="56.25">
      <c r="A56" s="163" t="s">
        <v>67</v>
      </c>
      <c r="B56" s="844" t="s">
        <v>68</v>
      </c>
      <c r="C56" s="821"/>
      <c r="D56" s="719">
        <v>20.01107523139773</v>
      </c>
      <c r="E56" s="719">
        <v>26.647621355928056</v>
      </c>
      <c r="F56" s="719">
        <v>42.74009154554202</v>
      </c>
      <c r="G56" s="719">
        <v>643.6073299623059</v>
      </c>
      <c r="H56" s="719">
        <v>2800.6905051109743</v>
      </c>
      <c r="I56" s="719">
        <v>5.301525585967809</v>
      </c>
      <c r="J56" s="621"/>
      <c r="K56" s="622"/>
      <c r="L56" s="843"/>
    </row>
    <row r="57" spans="1:17" s="26" customFormat="1" ht="58.5">
      <c r="A57" s="164"/>
      <c r="B57" s="845" t="s">
        <v>69</v>
      </c>
      <c r="C57" s="846" t="s">
        <v>10</v>
      </c>
      <c r="D57" s="645">
        <v>154144755.5325294</v>
      </c>
      <c r="E57" s="645">
        <v>21367888.165245995</v>
      </c>
      <c r="F57" s="645">
        <v>7163581.263765208</v>
      </c>
      <c r="G57" s="645">
        <v>3954430.703176735</v>
      </c>
      <c r="H57" s="645">
        <v>1703753.390609176</v>
      </c>
      <c r="I57" s="645">
        <v>71403.59735460744</v>
      </c>
      <c r="J57" s="644"/>
      <c r="K57" s="622">
        <v>188405812.65268117</v>
      </c>
      <c r="L57" s="843"/>
      <c r="Q57" s="26" t="s">
        <v>10</v>
      </c>
    </row>
    <row r="58" spans="1:12" s="26" customFormat="1" ht="37.5">
      <c r="A58" s="164"/>
      <c r="B58" s="844" t="s">
        <v>70</v>
      </c>
      <c r="C58" s="846"/>
      <c r="D58" s="650"/>
      <c r="E58" s="644"/>
      <c r="F58" s="644"/>
      <c r="G58" s="644" t="s">
        <v>10</v>
      </c>
      <c r="H58" s="644"/>
      <c r="I58" s="719">
        <v>0.5398702226036466</v>
      </c>
      <c r="J58" s="719">
        <v>1.4294840347629985</v>
      </c>
      <c r="K58" s="622"/>
      <c r="L58" s="843"/>
    </row>
    <row r="59" spans="1:14" s="26" customFormat="1" ht="39">
      <c r="A59" s="164"/>
      <c r="B59" s="845" t="s">
        <v>71</v>
      </c>
      <c r="C59" s="846"/>
      <c r="D59" s="659" t="s">
        <v>10</v>
      </c>
      <c r="E59" s="660" t="s">
        <v>10</v>
      </c>
      <c r="F59" s="660" t="s">
        <v>10</v>
      </c>
      <c r="G59" s="847" t="s">
        <v>10</v>
      </c>
      <c r="H59" s="660" t="s">
        <v>10</v>
      </c>
      <c r="I59" s="645">
        <v>80942.6524965943</v>
      </c>
      <c r="J59" s="645">
        <v>2837670.4251394025</v>
      </c>
      <c r="K59" s="622">
        <v>2918613.077635997</v>
      </c>
      <c r="L59" s="848"/>
      <c r="M59" s="848"/>
      <c r="N59" s="848"/>
    </row>
    <row r="60" spans="1:12" s="26" customFormat="1" ht="37.5">
      <c r="A60" s="161"/>
      <c r="B60" s="844" t="s">
        <v>72</v>
      </c>
      <c r="C60" s="821"/>
      <c r="D60" s="649">
        <v>0.016669886694263454</v>
      </c>
      <c r="E60" s="646">
        <v>0.02463832509601729</v>
      </c>
      <c r="F60" s="658">
        <v>6.090825781679791</v>
      </c>
      <c r="G60" s="658">
        <v>4.676235886729104</v>
      </c>
      <c r="H60" s="658">
        <v>4.938170521257635</v>
      </c>
      <c r="I60" s="658">
        <v>0.06645052620497272</v>
      </c>
      <c r="J60" s="658">
        <v>31.53939934214441</v>
      </c>
      <c r="K60" s="622"/>
      <c r="L60" s="843"/>
    </row>
    <row r="61" spans="1:12" s="26" customFormat="1" ht="21" customHeight="1" thickBot="1">
      <c r="A61" s="161"/>
      <c r="B61" s="849" t="s">
        <v>73</v>
      </c>
      <c r="C61" s="821" t="s">
        <v>10</v>
      </c>
      <c r="D61" s="648">
        <v>83971147.09920213</v>
      </c>
      <c r="E61" s="666">
        <v>51038907.47300899</v>
      </c>
      <c r="F61" s="666">
        <v>166331431.7910967</v>
      </c>
      <c r="G61" s="666">
        <v>50436330.597541586</v>
      </c>
      <c r="H61" s="666">
        <v>26181904.13106724</v>
      </c>
      <c r="I61" s="666">
        <v>3461892.91367168</v>
      </c>
      <c r="J61" s="666">
        <v>10319921.439536521</v>
      </c>
      <c r="K61" s="622">
        <v>391741535.4451248</v>
      </c>
      <c r="L61" s="843"/>
    </row>
    <row r="62" spans="1:14" s="26" customFormat="1" ht="24" customHeight="1" thickBot="1">
      <c r="A62" s="161"/>
      <c r="B62" s="850" t="s">
        <v>74</v>
      </c>
      <c r="C62" s="821" t="s">
        <v>10</v>
      </c>
      <c r="D62" s="661">
        <v>238115902.63173154</v>
      </c>
      <c r="E62" s="851">
        <v>72406795.63825499</v>
      </c>
      <c r="F62" s="851">
        <v>173495013.0548619</v>
      </c>
      <c r="G62" s="851">
        <v>54390761.30071832</v>
      </c>
      <c r="H62" s="851">
        <v>27885657.521676414</v>
      </c>
      <c r="I62" s="851">
        <v>3614239.163522882</v>
      </c>
      <c r="J62" s="851">
        <v>13157591.864675924</v>
      </c>
      <c r="K62" s="662">
        <v>583065961.175442</v>
      </c>
      <c r="L62" s="852"/>
      <c r="M62" s="853"/>
      <c r="N62" s="853"/>
    </row>
    <row r="63" spans="1:11" s="18" customFormat="1" ht="15" customHeight="1" hidden="1">
      <c r="A63" s="854" t="s">
        <v>75</v>
      </c>
      <c r="B63" s="855" t="s">
        <v>76</v>
      </c>
      <c r="C63" s="855"/>
      <c r="D63" s="18">
        <v>16.85</v>
      </c>
      <c r="E63" s="18">
        <v>21.44</v>
      </c>
      <c r="F63" s="18">
        <v>32.69</v>
      </c>
      <c r="G63" s="18">
        <v>705.35</v>
      </c>
      <c r="H63" s="856">
        <v>2639.04</v>
      </c>
      <c r="I63" s="856">
        <v>3.42</v>
      </c>
      <c r="K63" s="857"/>
    </row>
    <row r="64" spans="1:11" s="18" customFormat="1" ht="15" customHeight="1" hidden="1">
      <c r="A64" s="858"/>
      <c r="B64" s="721" t="s">
        <v>77</v>
      </c>
      <c r="C64" s="721"/>
      <c r="D64" s="18">
        <v>0.01432</v>
      </c>
      <c r="E64" s="18">
        <v>0.01975</v>
      </c>
      <c r="F64" s="18">
        <v>5.1509</v>
      </c>
      <c r="G64" s="859">
        <v>4.323</v>
      </c>
      <c r="H64" s="859">
        <v>3.9348</v>
      </c>
      <c r="I64" s="856">
        <v>0.35</v>
      </c>
      <c r="J64" s="18">
        <v>0.89</v>
      </c>
      <c r="K64" s="857"/>
    </row>
    <row r="65" spans="8:11" s="18" customFormat="1" ht="15" customHeight="1" hidden="1">
      <c r="H65" s="859"/>
      <c r="I65" s="860">
        <v>0.04174</v>
      </c>
      <c r="J65" s="860">
        <v>19.7581</v>
      </c>
      <c r="K65" s="857"/>
    </row>
    <row r="66" spans="8:14" ht="15" customHeight="1" hidden="1">
      <c r="H66" s="860"/>
      <c r="K66" s="861"/>
      <c r="L66" s="860"/>
      <c r="M66" s="860"/>
      <c r="N66" s="860"/>
    </row>
    <row r="67" spans="1:9" s="18" customFormat="1" ht="15" customHeight="1" hidden="1">
      <c r="A67" s="858" t="s">
        <v>78</v>
      </c>
      <c r="B67" s="721"/>
      <c r="C67" s="721"/>
      <c r="D67" s="663">
        <v>18.14</v>
      </c>
      <c r="E67" s="663">
        <v>22.84</v>
      </c>
      <c r="G67" s="663">
        <v>691.11</v>
      </c>
      <c r="H67" s="663">
        <v>2277.32</v>
      </c>
      <c r="I67" s="663">
        <v>3.74</v>
      </c>
    </row>
    <row r="68" spans="1:10" s="18" customFormat="1" ht="15" customHeight="1" hidden="1">
      <c r="A68" s="862"/>
      <c r="B68" s="863" t="s">
        <v>79</v>
      </c>
      <c r="C68" s="863"/>
      <c r="D68" s="664">
        <v>0.01683500074325812</v>
      </c>
      <c r="E68" s="664">
        <v>0.0239929227509217</v>
      </c>
      <c r="F68" s="860"/>
      <c r="G68" s="665">
        <v>4.08439097085204</v>
      </c>
      <c r="H68" s="665">
        <v>4.398386647779251</v>
      </c>
      <c r="I68" s="663">
        <v>0.37</v>
      </c>
      <c r="J68" s="663">
        <v>1.12</v>
      </c>
    </row>
    <row r="69" spans="1:10" s="18" customFormat="1" ht="15" customHeight="1" hidden="1">
      <c r="A69" s="864"/>
      <c r="B69" s="27"/>
      <c r="C69" s="27"/>
      <c r="D69" s="23"/>
      <c r="F69" s="23"/>
      <c r="G69" s="23"/>
      <c r="H69" s="856"/>
      <c r="I69" s="664">
        <v>0.06283098922563903</v>
      </c>
      <c r="J69" s="665">
        <v>31.116886265326865</v>
      </c>
    </row>
    <row r="70" spans="1:9" s="18" customFormat="1" ht="16.5" thickBot="1">
      <c r="A70" s="864"/>
      <c r="B70" s="27"/>
      <c r="C70" s="27"/>
      <c r="D70" s="865" t="s">
        <v>10</v>
      </c>
      <c r="E70" s="23"/>
      <c r="F70" s="23"/>
      <c r="G70" s="23"/>
      <c r="H70" s="856"/>
      <c r="I70" s="856"/>
    </row>
    <row r="71" spans="1:14" s="18" customFormat="1" ht="18.75">
      <c r="A71" s="866" t="s">
        <v>80</v>
      </c>
      <c r="B71" s="867" t="s">
        <v>81</v>
      </c>
      <c r="C71" s="868"/>
      <c r="D71" s="653">
        <v>154144755.53252944</v>
      </c>
      <c r="E71" s="653">
        <v>21367888.165245995</v>
      </c>
      <c r="F71" s="653">
        <v>7163581.2637652075</v>
      </c>
      <c r="G71" s="653">
        <v>3954430.7031767345</v>
      </c>
      <c r="H71" s="653">
        <v>1703753.390609176</v>
      </c>
      <c r="I71" s="653">
        <v>71403.59735460744</v>
      </c>
      <c r="J71" s="653" t="s">
        <v>10</v>
      </c>
      <c r="K71" s="653">
        <v>188405812.65268117</v>
      </c>
      <c r="L71" s="869"/>
      <c r="M71" s="869"/>
      <c r="N71" s="869"/>
    </row>
    <row r="72" spans="1:14" s="18" customFormat="1" ht="15.75">
      <c r="A72" s="870"/>
      <c r="B72" s="871" t="s">
        <v>77</v>
      </c>
      <c r="C72" s="872"/>
      <c r="D72" s="873"/>
      <c r="E72" s="873"/>
      <c r="F72" s="873"/>
      <c r="G72" s="873"/>
      <c r="H72" s="874"/>
      <c r="I72" s="874">
        <v>80942.6524965943</v>
      </c>
      <c r="J72" s="874">
        <v>2837670.425139402</v>
      </c>
      <c r="K72" s="654">
        <v>2918613.0776359965</v>
      </c>
      <c r="L72" s="873"/>
      <c r="M72" s="873"/>
      <c r="N72" s="873"/>
    </row>
    <row r="73" spans="1:14" s="18" customFormat="1" ht="15.75">
      <c r="A73" s="870">
        <v>1.0138888888888888</v>
      </c>
      <c r="B73" s="871" t="s">
        <v>82</v>
      </c>
      <c r="C73" s="872"/>
      <c r="D73" s="654">
        <v>83971147.09920213</v>
      </c>
      <c r="E73" s="654">
        <v>51038907.47300899</v>
      </c>
      <c r="F73" s="654">
        <v>166331431.7910967</v>
      </c>
      <c r="G73" s="654">
        <v>50436330.59754159</v>
      </c>
      <c r="H73" s="654">
        <v>26181904.13106724</v>
      </c>
      <c r="I73" s="654">
        <v>3461892.91367168</v>
      </c>
      <c r="J73" s="654">
        <v>10319921.439536521</v>
      </c>
      <c r="K73" s="654">
        <v>391741535.4451248</v>
      </c>
      <c r="L73" s="873"/>
      <c r="M73" s="873"/>
      <c r="N73" s="873"/>
    </row>
    <row r="74" spans="1:14" s="18" customFormat="1" ht="16.5" thickBot="1">
      <c r="A74" s="870"/>
      <c r="B74" s="871" t="s">
        <v>74</v>
      </c>
      <c r="C74" s="872"/>
      <c r="D74" s="657">
        <v>238115902.63173157</v>
      </c>
      <c r="E74" s="657">
        <v>72406795.63825499</v>
      </c>
      <c r="F74" s="657">
        <v>173495013.0548619</v>
      </c>
      <c r="G74" s="657">
        <v>54390761.30071833</v>
      </c>
      <c r="H74" s="657">
        <v>27885657.521676414</v>
      </c>
      <c r="I74" s="657">
        <v>3614239.1635228815</v>
      </c>
      <c r="J74" s="657">
        <v>13157591.864675924</v>
      </c>
      <c r="K74" s="656">
        <v>583065961.175442</v>
      </c>
      <c r="L74" s="875"/>
      <c r="M74" s="873"/>
      <c r="N74" s="873"/>
    </row>
    <row r="75" spans="1:14" ht="16.5" thickTop="1">
      <c r="A75" s="870"/>
      <c r="B75" s="871" t="s">
        <v>83</v>
      </c>
      <c r="C75" s="872"/>
      <c r="D75" s="654">
        <v>0</v>
      </c>
      <c r="E75" s="654">
        <v>0</v>
      </c>
      <c r="F75" s="654">
        <v>0</v>
      </c>
      <c r="G75" s="654">
        <v>0</v>
      </c>
      <c r="H75" s="654">
        <v>0</v>
      </c>
      <c r="I75" s="654">
        <v>0</v>
      </c>
      <c r="J75" s="654">
        <v>0</v>
      </c>
      <c r="K75" s="655">
        <v>0</v>
      </c>
      <c r="L75" s="875"/>
      <c r="M75" s="873"/>
      <c r="N75" s="873"/>
    </row>
    <row r="76" spans="1:14" ht="16.5" thickBot="1">
      <c r="A76" s="876"/>
      <c r="B76" s="877"/>
      <c r="C76" s="878"/>
      <c r="D76" s="877"/>
      <c r="E76" s="877"/>
      <c r="F76" s="877"/>
      <c r="G76" s="877"/>
      <c r="H76" s="877"/>
      <c r="I76" s="877"/>
      <c r="J76" s="877"/>
      <c r="K76" s="879">
        <v>0</v>
      </c>
      <c r="L76" s="877"/>
      <c r="M76" s="877"/>
      <c r="N76" s="877"/>
    </row>
    <row r="77" spans="4:10" ht="16.5" thickBot="1">
      <c r="D77" s="880" t="s">
        <v>14</v>
      </c>
      <c r="E77" s="880" t="s">
        <v>15</v>
      </c>
      <c r="F77" s="880" t="s">
        <v>16</v>
      </c>
      <c r="G77" s="880" t="s">
        <v>17</v>
      </c>
      <c r="H77" s="880" t="s">
        <v>18</v>
      </c>
      <c r="I77" s="880" t="s">
        <v>19</v>
      </c>
      <c r="J77" s="880" t="s">
        <v>20</v>
      </c>
    </row>
    <row r="78" spans="2:11" ht="33" thickBot="1">
      <c r="B78" s="881" t="s">
        <v>89</v>
      </c>
      <c r="C78" s="27" t="s">
        <v>68</v>
      </c>
      <c r="D78" s="882">
        <v>20.01</v>
      </c>
      <c r="E78" s="882">
        <v>26.65</v>
      </c>
      <c r="F78" s="882">
        <v>42.74</v>
      </c>
      <c r="G78" s="882">
        <v>643.61</v>
      </c>
      <c r="H78" s="882">
        <v>2800.69</v>
      </c>
      <c r="I78" s="882">
        <v>5.3</v>
      </c>
      <c r="J78" s="882">
        <v>0</v>
      </c>
      <c r="K78" s="882">
        <v>0</v>
      </c>
    </row>
    <row r="79" spans="3:10" ht="15.75">
      <c r="C79" s="27" t="s">
        <v>70</v>
      </c>
      <c r="I79" s="882">
        <v>0.54</v>
      </c>
      <c r="J79" s="882">
        <v>1.43</v>
      </c>
    </row>
    <row r="80" spans="3:10" ht="31.5">
      <c r="C80" s="27" t="s">
        <v>72</v>
      </c>
      <c r="D80" s="883">
        <v>0.01667</v>
      </c>
      <c r="E80" s="883">
        <v>0.02464</v>
      </c>
      <c r="F80" s="883">
        <v>6.0908</v>
      </c>
      <c r="G80" s="883">
        <v>4.6762</v>
      </c>
      <c r="H80" s="883">
        <v>4.9382</v>
      </c>
      <c r="I80" s="883">
        <v>0.06645</v>
      </c>
      <c r="J80" s="883">
        <v>31.5394</v>
      </c>
    </row>
    <row r="81" spans="4:5" ht="15.75">
      <c r="D81" s="880" t="s">
        <v>10</v>
      </c>
      <c r="E81" s="884"/>
    </row>
    <row r="82" ht="16.5" thickBot="1">
      <c r="E82" s="885"/>
    </row>
    <row r="83" spans="3:11" ht="31.5">
      <c r="C83" s="886" t="s">
        <v>260</v>
      </c>
      <c r="D83" s="887">
        <v>214355885</v>
      </c>
      <c r="E83" s="887">
        <v>67475771</v>
      </c>
      <c r="F83" s="887">
        <v>158389263</v>
      </c>
      <c r="G83" s="887">
        <v>52034399</v>
      </c>
      <c r="H83" s="887">
        <v>25723003</v>
      </c>
      <c r="I83" s="887">
        <v>3607047</v>
      </c>
      <c r="J83" s="887">
        <v>11938817</v>
      </c>
      <c r="K83" s="888">
        <v>533524186</v>
      </c>
    </row>
    <row r="84" spans="3:11" ht="15.75" hidden="1">
      <c r="C84" s="889"/>
      <c r="D84" s="890" t="e">
        <v>#REF!</v>
      </c>
      <c r="E84" s="890" t="e">
        <v>#REF!</v>
      </c>
      <c r="F84" s="890" t="e">
        <v>#REF!</v>
      </c>
      <c r="G84" s="890" t="e">
        <v>#REF!</v>
      </c>
      <c r="H84" s="890" t="e">
        <v>#REF!</v>
      </c>
      <c r="I84" s="890" t="e">
        <v>#REF!</v>
      </c>
      <c r="J84" s="891"/>
      <c r="K84" s="892"/>
    </row>
    <row r="85" spans="3:11" ht="15.75" hidden="1">
      <c r="C85" s="889"/>
      <c r="D85" s="891"/>
      <c r="E85" s="891"/>
      <c r="F85" s="891"/>
      <c r="G85" s="891"/>
      <c r="H85" s="891"/>
      <c r="I85" s="890" t="e">
        <v>#REF!</v>
      </c>
      <c r="J85" s="890" t="e">
        <v>#REF!</v>
      </c>
      <c r="K85" s="892"/>
    </row>
    <row r="86" spans="3:11" ht="15.75" hidden="1">
      <c r="C86" s="889"/>
      <c r="D86" s="893" t="e">
        <v>#REF!</v>
      </c>
      <c r="E86" s="893" t="e">
        <v>#REF!</v>
      </c>
      <c r="F86" s="893" t="e">
        <v>#REF!</v>
      </c>
      <c r="G86" s="893" t="e">
        <v>#REF!</v>
      </c>
      <c r="H86" s="893" t="e">
        <v>#REF!</v>
      </c>
      <c r="I86" s="893" t="e">
        <v>#REF!</v>
      </c>
      <c r="J86" s="893" t="e">
        <v>#REF!</v>
      </c>
      <c r="K86" s="892"/>
    </row>
    <row r="87" spans="3:11" ht="15.75" hidden="1">
      <c r="C87" s="894" t="e">
        <v>#REF!</v>
      </c>
      <c r="D87" s="895" t="e">
        <v>#REF!</v>
      </c>
      <c r="E87" s="895" t="e">
        <v>#REF!</v>
      </c>
      <c r="F87" s="895" t="e">
        <v>#REF!</v>
      </c>
      <c r="G87" s="895" t="e">
        <v>#REF!</v>
      </c>
      <c r="H87" s="895" t="e">
        <v>#REF!</v>
      </c>
      <c r="I87" s="895" t="e">
        <v>#REF!</v>
      </c>
      <c r="J87" s="895" t="e">
        <v>#REF!</v>
      </c>
      <c r="K87" s="892"/>
    </row>
    <row r="88" spans="3:11" ht="15.75" hidden="1">
      <c r="C88" s="889"/>
      <c r="D88" s="891"/>
      <c r="E88" s="891"/>
      <c r="F88" s="891"/>
      <c r="G88" s="891"/>
      <c r="H88" s="891"/>
      <c r="I88" s="891"/>
      <c r="J88" s="891"/>
      <c r="K88" s="892"/>
    </row>
    <row r="89" spans="3:11" ht="15.75" hidden="1">
      <c r="C89" s="889"/>
      <c r="D89" s="891"/>
      <c r="E89" s="891"/>
      <c r="F89" s="891"/>
      <c r="G89" s="891"/>
      <c r="H89" s="891"/>
      <c r="I89" s="891"/>
      <c r="J89" s="891"/>
      <c r="K89" s="892"/>
    </row>
    <row r="90" spans="3:11" ht="15.75" hidden="1">
      <c r="C90" s="889"/>
      <c r="D90" s="891"/>
      <c r="E90" s="896"/>
      <c r="F90" s="891"/>
      <c r="G90" s="891"/>
      <c r="H90" s="891"/>
      <c r="I90" s="891"/>
      <c r="J90" s="891"/>
      <c r="K90" s="892"/>
    </row>
    <row r="91" spans="3:11" ht="15.75" hidden="1">
      <c r="C91" s="889"/>
      <c r="D91" s="897">
        <v>154136473.055</v>
      </c>
      <c r="E91" s="898">
        <v>21369795.525000002</v>
      </c>
      <c r="F91" s="898">
        <v>7163565.92</v>
      </c>
      <c r="G91" s="898">
        <v>3954447.1083333334</v>
      </c>
      <c r="H91" s="898">
        <v>1703753.0833333335</v>
      </c>
      <c r="I91" s="898">
        <v>71383.05</v>
      </c>
      <c r="J91" s="898"/>
      <c r="K91" s="899">
        <v>188399417.74166667</v>
      </c>
    </row>
    <row r="92" spans="3:11" ht="15.75" hidden="1">
      <c r="C92" s="889"/>
      <c r="D92" s="900"/>
      <c r="E92" s="901"/>
      <c r="F92" s="902"/>
      <c r="G92" s="902"/>
      <c r="H92" s="902"/>
      <c r="I92" s="902">
        <v>80962.11000000002</v>
      </c>
      <c r="J92" s="902">
        <v>2838694.6683333335</v>
      </c>
      <c r="K92" s="903">
        <v>394664270.5576751</v>
      </c>
    </row>
    <row r="93" spans="3:11" ht="15.75" hidden="1">
      <c r="C93" s="889"/>
      <c r="D93" s="900">
        <v>83971717.85369165</v>
      </c>
      <c r="E93" s="902">
        <v>51042377.078555085</v>
      </c>
      <c r="F93" s="902">
        <v>166330727.73160338</v>
      </c>
      <c r="G93" s="902">
        <v>50435943.535174124</v>
      </c>
      <c r="H93" s="902">
        <v>26182060.425711825</v>
      </c>
      <c r="I93" s="902">
        <v>3461865.499814029</v>
      </c>
      <c r="J93" s="902">
        <v>10319921.654791666</v>
      </c>
      <c r="K93" s="903">
        <v>974808302.0786834</v>
      </c>
    </row>
    <row r="94" spans="3:11" ht="16.5" hidden="1" thickBot="1">
      <c r="C94" s="889"/>
      <c r="D94" s="904">
        <v>238108190.90869164</v>
      </c>
      <c r="E94" s="905">
        <v>72412172.60355508</v>
      </c>
      <c r="F94" s="905">
        <v>173494293.65160337</v>
      </c>
      <c r="G94" s="905">
        <v>54390390.64350746</v>
      </c>
      <c r="H94" s="905">
        <v>27885813.509045158</v>
      </c>
      <c r="I94" s="905">
        <v>3614210.659814029</v>
      </c>
      <c r="J94" s="905">
        <v>13158616.323125</v>
      </c>
      <c r="K94" s="906">
        <v>583063688.2993417</v>
      </c>
    </row>
    <row r="95" spans="3:11" ht="15.75" hidden="1">
      <c r="C95" s="889"/>
      <c r="D95" s="891"/>
      <c r="E95" s="694"/>
      <c r="F95" s="891"/>
      <c r="G95" s="891"/>
      <c r="H95" s="891"/>
      <c r="I95" s="891"/>
      <c r="J95" s="891"/>
      <c r="K95" s="892"/>
    </row>
    <row r="96" spans="3:11" ht="15.75" hidden="1">
      <c r="C96" s="889"/>
      <c r="D96" s="890">
        <v>-8282.47752943635</v>
      </c>
      <c r="E96" s="890">
        <v>1907.3597540073097</v>
      </c>
      <c r="F96" s="890">
        <v>-15.343765207566321</v>
      </c>
      <c r="G96" s="890">
        <v>16.405156598892063</v>
      </c>
      <c r="H96" s="890">
        <v>-0.30727584240958095</v>
      </c>
      <c r="I96" s="890">
        <v>-20.54735460743541</v>
      </c>
      <c r="J96" s="890" t="s">
        <v>10</v>
      </c>
      <c r="K96" s="892"/>
    </row>
    <row r="97" spans="3:11" ht="15.75" hidden="1">
      <c r="C97" s="889"/>
      <c r="D97" s="895">
        <v>0</v>
      </c>
      <c r="E97" s="895">
        <v>0</v>
      </c>
      <c r="F97" s="895">
        <v>0</v>
      </c>
      <c r="G97" s="895">
        <v>0</v>
      </c>
      <c r="H97" s="895">
        <v>0</v>
      </c>
      <c r="I97" s="895">
        <v>19.457503405719763</v>
      </c>
      <c r="J97" s="895">
        <v>1024.243193931412</v>
      </c>
      <c r="K97" s="892"/>
    </row>
    <row r="98" spans="3:11" ht="15.75" hidden="1">
      <c r="C98" s="889"/>
      <c r="D98" s="895">
        <v>570.7544895261526</v>
      </c>
      <c r="E98" s="895">
        <v>3469.605546094477</v>
      </c>
      <c r="F98" s="895">
        <v>-704.059493303299</v>
      </c>
      <c r="G98" s="895">
        <v>-387.06236746907234</v>
      </c>
      <c r="H98" s="895">
        <v>156.29464458674192</v>
      </c>
      <c r="I98" s="895">
        <v>-27.4138576509431</v>
      </c>
      <c r="J98" s="895">
        <v>0.21525514498353004</v>
      </c>
      <c r="K98" s="907">
        <v>-2272.876100221387</v>
      </c>
    </row>
    <row r="99" spans="3:11" ht="15.75" hidden="1">
      <c r="C99" s="889"/>
      <c r="D99" s="891"/>
      <c r="E99" s="891"/>
      <c r="F99" s="891"/>
      <c r="G99" s="891"/>
      <c r="H99" s="891"/>
      <c r="I99" s="891"/>
      <c r="J99" s="891"/>
      <c r="K99" s="892"/>
    </row>
    <row r="100" spans="3:11" ht="15.75" hidden="1">
      <c r="C100" s="889"/>
      <c r="D100" s="891"/>
      <c r="E100" s="891"/>
      <c r="F100" s="891"/>
      <c r="G100" s="891"/>
      <c r="H100" s="891"/>
      <c r="I100" s="891"/>
      <c r="J100" s="891"/>
      <c r="K100" s="892"/>
    </row>
    <row r="101" spans="3:11" ht="15.75" hidden="1">
      <c r="C101" s="889"/>
      <c r="D101" s="891"/>
      <c r="E101" s="694"/>
      <c r="F101" s="891"/>
      <c r="G101" s="891"/>
      <c r="H101" s="891"/>
      <c r="I101" s="891"/>
      <c r="J101" s="891"/>
      <c r="K101" s="892"/>
    </row>
    <row r="102" spans="3:11" ht="15.75" hidden="1">
      <c r="C102" s="889"/>
      <c r="D102" s="891"/>
      <c r="E102" s="896"/>
      <c r="F102" s="891"/>
      <c r="G102" s="891"/>
      <c r="H102" s="891"/>
      <c r="I102" s="891"/>
      <c r="J102" s="891"/>
      <c r="K102" s="892"/>
    </row>
    <row r="103" spans="3:11" ht="15.75" hidden="1">
      <c r="C103" s="889"/>
      <c r="D103" s="891"/>
      <c r="E103" s="896"/>
      <c r="F103" s="891"/>
      <c r="G103" s="891"/>
      <c r="H103" s="891"/>
      <c r="I103" s="891"/>
      <c r="J103" s="891"/>
      <c r="K103" s="892"/>
    </row>
    <row r="104" spans="3:11" ht="16.5" hidden="1" thickBot="1">
      <c r="C104" s="889"/>
      <c r="D104" s="891"/>
      <c r="E104" s="695">
        <v>-0.62</v>
      </c>
      <c r="F104" s="891"/>
      <c r="G104" s="891"/>
      <c r="H104" s="891"/>
      <c r="I104" s="891"/>
      <c r="J104" s="891"/>
      <c r="K104" s="892"/>
    </row>
    <row r="105" spans="3:11" ht="15.75" hidden="1">
      <c r="C105" s="889"/>
      <c r="D105" s="891"/>
      <c r="E105" s="891"/>
      <c r="F105" s="891"/>
      <c r="G105" s="891"/>
      <c r="H105" s="891"/>
      <c r="I105" s="891"/>
      <c r="J105" s="891"/>
      <c r="K105" s="892"/>
    </row>
    <row r="106" spans="3:11" ht="15.75" hidden="1">
      <c r="C106" s="889"/>
      <c r="D106" s="891"/>
      <c r="E106" s="891"/>
      <c r="F106" s="891"/>
      <c r="G106" s="891"/>
      <c r="H106" s="891"/>
      <c r="I106" s="891"/>
      <c r="J106" s="891"/>
      <c r="K106" s="892"/>
    </row>
    <row r="107" spans="3:11" ht="15.75" hidden="1">
      <c r="C107" s="889" t="s">
        <v>10</v>
      </c>
      <c r="D107" s="891"/>
      <c r="E107" s="891"/>
      <c r="F107" s="891"/>
      <c r="G107" s="891"/>
      <c r="H107" s="891"/>
      <c r="I107" s="891"/>
      <c r="J107" s="891"/>
      <c r="K107" s="892"/>
    </row>
    <row r="108" spans="3:11" ht="15.75" hidden="1">
      <c r="C108" s="889"/>
      <c r="D108" s="891"/>
      <c r="E108" s="891"/>
      <c r="F108" s="891"/>
      <c r="G108" s="891"/>
      <c r="H108" s="891"/>
      <c r="I108" s="891"/>
      <c r="J108" s="891"/>
      <c r="K108" s="892"/>
    </row>
    <row r="109" spans="3:11" ht="15.75" hidden="1">
      <c r="C109" s="889"/>
      <c r="D109" s="891"/>
      <c r="E109" s="891"/>
      <c r="F109" s="891"/>
      <c r="G109" s="891"/>
      <c r="H109" s="891"/>
      <c r="I109" s="891"/>
      <c r="J109" s="891"/>
      <c r="K109" s="892"/>
    </row>
    <row r="110" spans="3:11" ht="15.75" hidden="1">
      <c r="C110" s="889"/>
      <c r="D110" s="891"/>
      <c r="E110" s="891"/>
      <c r="F110" s="891"/>
      <c r="G110" s="891"/>
      <c r="H110" s="891"/>
      <c r="I110" s="891"/>
      <c r="J110" s="891"/>
      <c r="K110" s="892"/>
    </row>
    <row r="111" spans="3:11" ht="15.75" hidden="1">
      <c r="C111" s="889"/>
      <c r="D111" s="891"/>
      <c r="E111" s="891"/>
      <c r="F111" s="891"/>
      <c r="G111" s="891"/>
      <c r="H111" s="891"/>
      <c r="I111" s="891"/>
      <c r="J111" s="891"/>
      <c r="K111" s="892"/>
    </row>
    <row r="112" spans="3:11" ht="15.75" hidden="1">
      <c r="C112" s="889"/>
      <c r="D112" s="891"/>
      <c r="E112" s="891"/>
      <c r="F112" s="891"/>
      <c r="G112" s="891"/>
      <c r="H112" s="891"/>
      <c r="I112" s="891"/>
      <c r="J112" s="891"/>
      <c r="K112" s="892"/>
    </row>
    <row r="113" spans="3:11" ht="15.75" hidden="1">
      <c r="C113" s="889"/>
      <c r="D113" s="891"/>
      <c r="E113" s="891"/>
      <c r="F113" s="891"/>
      <c r="G113" s="891"/>
      <c r="H113" s="891"/>
      <c r="I113" s="891"/>
      <c r="J113" s="891"/>
      <c r="K113" s="892"/>
    </row>
    <row r="114" spans="3:11" ht="15.75" hidden="1">
      <c r="C114" s="889"/>
      <c r="D114" s="891"/>
      <c r="E114" s="891"/>
      <c r="F114" s="891"/>
      <c r="G114" s="891"/>
      <c r="H114" s="891"/>
      <c r="I114" s="891"/>
      <c r="J114" s="891"/>
      <c r="K114" s="892"/>
    </row>
    <row r="115" spans="3:11" ht="15.75" hidden="1">
      <c r="C115" s="889"/>
      <c r="D115" s="891"/>
      <c r="E115" s="891"/>
      <c r="F115" s="891"/>
      <c r="G115" s="891"/>
      <c r="H115" s="891"/>
      <c r="I115" s="891"/>
      <c r="J115" s="891"/>
      <c r="K115" s="892"/>
    </row>
    <row r="116" spans="3:11" ht="15.75" hidden="1">
      <c r="C116" s="889"/>
      <c r="D116" s="891"/>
      <c r="E116" s="891"/>
      <c r="F116" s="891"/>
      <c r="G116" s="891"/>
      <c r="H116" s="891"/>
      <c r="I116" s="891"/>
      <c r="J116" s="891"/>
      <c r="K116" s="892"/>
    </row>
    <row r="117" spans="3:11" ht="15.75" hidden="1">
      <c r="C117" s="889"/>
      <c r="D117" s="891"/>
      <c r="E117" s="891"/>
      <c r="F117" s="891"/>
      <c r="G117" s="891"/>
      <c r="H117" s="891"/>
      <c r="I117" s="891"/>
      <c r="J117" s="891"/>
      <c r="K117" s="892"/>
    </row>
    <row r="118" spans="3:11" ht="15.75" hidden="1">
      <c r="C118" s="889"/>
      <c r="D118" s="891"/>
      <c r="E118" s="891"/>
      <c r="F118" s="891"/>
      <c r="G118" s="891"/>
      <c r="H118" s="891"/>
      <c r="I118" s="891"/>
      <c r="J118" s="891"/>
      <c r="K118" s="892"/>
    </row>
    <row r="119" spans="3:11" ht="15.75" hidden="1">
      <c r="C119" s="889"/>
      <c r="D119" s="891"/>
      <c r="E119" s="891"/>
      <c r="F119" s="891"/>
      <c r="G119" s="891"/>
      <c r="H119" s="891"/>
      <c r="I119" s="891"/>
      <c r="J119" s="891"/>
      <c r="K119" s="892"/>
    </row>
    <row r="120" spans="3:11" ht="15.75" hidden="1">
      <c r="C120" s="889"/>
      <c r="D120" s="891"/>
      <c r="E120" s="891"/>
      <c r="F120" s="891"/>
      <c r="G120" s="891"/>
      <c r="H120" s="891"/>
      <c r="I120" s="891"/>
      <c r="J120" s="891"/>
      <c r="K120" s="892"/>
    </row>
    <row r="121" spans="3:11" ht="15.75" hidden="1">
      <c r="C121" s="889"/>
      <c r="D121" s="891"/>
      <c r="E121" s="891"/>
      <c r="F121" s="891"/>
      <c r="G121" s="891"/>
      <c r="H121" s="891"/>
      <c r="I121" s="891"/>
      <c r="J121" s="891"/>
      <c r="K121" s="892"/>
    </row>
    <row r="122" spans="3:11" ht="15.75" hidden="1">
      <c r="C122" s="889"/>
      <c r="D122" s="891"/>
      <c r="E122" s="891"/>
      <c r="F122" s="891"/>
      <c r="G122" s="891"/>
      <c r="H122" s="891"/>
      <c r="I122" s="891"/>
      <c r="J122" s="891"/>
      <c r="K122" s="892"/>
    </row>
    <row r="123" spans="3:11" ht="15.75" hidden="1">
      <c r="C123" s="889"/>
      <c r="D123" s="891"/>
      <c r="E123" s="891"/>
      <c r="F123" s="891"/>
      <c r="G123" s="891"/>
      <c r="H123" s="891"/>
      <c r="I123" s="891"/>
      <c r="J123" s="891"/>
      <c r="K123" s="892"/>
    </row>
    <row r="124" spans="3:11" ht="15.75" hidden="1">
      <c r="C124" s="889"/>
      <c r="D124" s="891"/>
      <c r="E124" s="891"/>
      <c r="F124" s="891"/>
      <c r="G124" s="891"/>
      <c r="H124" s="891"/>
      <c r="I124" s="891"/>
      <c r="J124" s="891"/>
      <c r="K124" s="892"/>
    </row>
    <row r="125" spans="1:11" ht="25.5" hidden="1">
      <c r="A125" s="908" t="s">
        <v>226</v>
      </c>
      <c r="C125" s="889"/>
      <c r="D125" s="891"/>
      <c r="E125" s="891"/>
      <c r="F125" s="891"/>
      <c r="G125" s="891"/>
      <c r="H125" s="891"/>
      <c r="I125" s="891"/>
      <c r="J125" s="891"/>
      <c r="K125" s="892"/>
    </row>
    <row r="126" spans="1:16" ht="15.75" hidden="1">
      <c r="A126" s="909" t="s">
        <v>227</v>
      </c>
      <c r="B126" s="910"/>
      <c r="C126" s="886"/>
      <c r="D126" s="898">
        <v>633121</v>
      </c>
      <c r="E126" s="898">
        <v>65907</v>
      </c>
      <c r="F126" s="898">
        <v>13776</v>
      </c>
      <c r="G126" s="898">
        <v>505</v>
      </c>
      <c r="H126" s="898">
        <v>50</v>
      </c>
      <c r="I126" s="898">
        <v>1107</v>
      </c>
      <c r="J126" s="898">
        <v>1</v>
      </c>
      <c r="K126" s="899">
        <v>714467</v>
      </c>
      <c r="L126" s="910"/>
      <c r="M126" s="910"/>
      <c r="N126" s="910"/>
      <c r="O126" s="910"/>
      <c r="P126" s="911">
        <v>14281</v>
      </c>
    </row>
    <row r="127" spans="1:16" ht="15.75" hidden="1">
      <c r="A127" s="912" t="s">
        <v>228</v>
      </c>
      <c r="B127" s="787"/>
      <c r="C127" s="889"/>
      <c r="D127" s="902"/>
      <c r="E127" s="902"/>
      <c r="F127" s="902"/>
      <c r="G127" s="902"/>
      <c r="H127" s="902"/>
      <c r="I127" s="902">
        <v>12323</v>
      </c>
      <c r="J127" s="902">
        <v>163159</v>
      </c>
      <c r="K127" s="903">
        <v>0</v>
      </c>
      <c r="L127" s="787"/>
      <c r="M127" s="787"/>
      <c r="N127" s="787"/>
      <c r="O127" s="787"/>
      <c r="P127" s="913"/>
    </row>
    <row r="128" spans="1:16" ht="15.75" hidden="1">
      <c r="A128" s="912" t="s">
        <v>229</v>
      </c>
      <c r="B128" s="787"/>
      <c r="C128" s="889"/>
      <c r="D128" s="902">
        <v>5037295612.099079</v>
      </c>
      <c r="E128" s="902">
        <v>2071525043.772528</v>
      </c>
      <c r="F128" s="902">
        <v>0</v>
      </c>
      <c r="G128" s="902">
        <v>0</v>
      </c>
      <c r="H128" s="902">
        <v>0</v>
      </c>
      <c r="I128" s="902">
        <v>52097298.71804408</v>
      </c>
      <c r="J128" s="902">
        <v>0</v>
      </c>
      <c r="K128" s="903">
        <v>7160917954.589651</v>
      </c>
      <c r="L128" s="787"/>
      <c r="M128" s="787"/>
      <c r="N128" s="787"/>
      <c r="O128" s="787"/>
      <c r="P128" s="913">
        <v>0</v>
      </c>
    </row>
    <row r="129" spans="1:16" ht="16.5" hidden="1" thickBot="1">
      <c r="A129" s="914" t="s">
        <v>230</v>
      </c>
      <c r="B129" s="790"/>
      <c r="C129" s="915"/>
      <c r="D129" s="916">
        <v>0</v>
      </c>
      <c r="E129" s="916">
        <v>0</v>
      </c>
      <c r="F129" s="916">
        <v>26934429.732053652</v>
      </c>
      <c r="G129" s="916">
        <v>10637919.72094347</v>
      </c>
      <c r="H129" s="916">
        <v>5229314.742966217</v>
      </c>
      <c r="I129" s="916" t="s">
        <v>33</v>
      </c>
      <c r="J129" s="916">
        <v>322725</v>
      </c>
      <c r="K129" s="917">
        <v>43124389.19596334</v>
      </c>
      <c r="L129" s="790"/>
      <c r="M129" s="790"/>
      <c r="N129" s="790"/>
      <c r="O129" s="790"/>
      <c r="P129" s="918">
        <v>37572349.45299712</v>
      </c>
    </row>
    <row r="130" spans="1:16" ht="15.75" hidden="1">
      <c r="A130" s="909"/>
      <c r="B130" s="910"/>
      <c r="C130" s="886"/>
      <c r="D130" s="919"/>
      <c r="E130" s="919"/>
      <c r="F130" s="919"/>
      <c r="G130" s="919"/>
      <c r="H130" s="919"/>
      <c r="I130" s="919"/>
      <c r="J130" s="919" t="s">
        <v>10</v>
      </c>
      <c r="K130" s="899"/>
      <c r="L130" s="910"/>
      <c r="M130" s="910"/>
      <c r="N130" s="910"/>
      <c r="O130" s="910"/>
      <c r="P130" s="787"/>
    </row>
    <row r="131" spans="1:16" ht="15.75" hidden="1">
      <c r="A131" s="912" t="s">
        <v>231</v>
      </c>
      <c r="B131" s="787"/>
      <c r="C131" s="889"/>
      <c r="D131" s="696">
        <v>633121</v>
      </c>
      <c r="E131" s="696">
        <v>65907</v>
      </c>
      <c r="F131" s="696">
        <v>13776</v>
      </c>
      <c r="G131" s="696">
        <v>505</v>
      </c>
      <c r="H131" s="696">
        <v>50</v>
      </c>
      <c r="I131" s="696">
        <v>1107</v>
      </c>
      <c r="J131" s="696">
        <v>1</v>
      </c>
      <c r="K131" s="903"/>
      <c r="L131" s="787"/>
      <c r="M131" s="787"/>
      <c r="N131" s="787"/>
      <c r="O131" s="787"/>
      <c r="P131" s="913">
        <v>14281</v>
      </c>
    </row>
    <row r="132" spans="1:16" ht="15.75" hidden="1">
      <c r="A132" s="912" t="s">
        <v>232</v>
      </c>
      <c r="B132" s="787"/>
      <c r="C132" s="889"/>
      <c r="D132" s="891"/>
      <c r="E132" s="891"/>
      <c r="F132" s="891"/>
      <c r="G132" s="891"/>
      <c r="H132" s="891"/>
      <c r="I132" s="902">
        <v>12323</v>
      </c>
      <c r="J132" s="902">
        <v>163159</v>
      </c>
      <c r="K132" s="903">
        <v>162045.87500000003</v>
      </c>
      <c r="L132" s="787"/>
      <c r="M132" s="787"/>
      <c r="N132" s="787"/>
      <c r="O132" s="787"/>
      <c r="P132" s="667" t="s">
        <v>10</v>
      </c>
    </row>
    <row r="133" spans="1:16" ht="15.75" hidden="1">
      <c r="A133" s="912" t="s">
        <v>233</v>
      </c>
      <c r="B133" s="787"/>
      <c r="C133" s="889"/>
      <c r="D133" s="696">
        <v>0</v>
      </c>
      <c r="E133" s="696">
        <v>0</v>
      </c>
      <c r="F133" s="696"/>
      <c r="G133" s="696"/>
      <c r="H133" s="696"/>
      <c r="I133" s="696">
        <v>0</v>
      </c>
      <c r="J133" s="696"/>
      <c r="K133" s="903">
        <v>0</v>
      </c>
      <c r="L133" s="667"/>
      <c r="M133" s="667"/>
      <c r="N133" s="667"/>
      <c r="O133" s="667"/>
      <c r="P133" s="913">
        <v>0</v>
      </c>
    </row>
    <row r="134" spans="1:16" ht="16.5" hidden="1" thickBot="1">
      <c r="A134" s="668" t="s">
        <v>234</v>
      </c>
      <c r="B134" s="669"/>
      <c r="C134" s="697"/>
      <c r="D134" s="698"/>
      <c r="E134" s="698"/>
      <c r="F134" s="698">
        <v>0</v>
      </c>
      <c r="G134" s="698">
        <v>0</v>
      </c>
      <c r="H134" s="698">
        <v>0</v>
      </c>
      <c r="I134" s="698"/>
      <c r="J134" s="698">
        <v>0</v>
      </c>
      <c r="K134" s="917">
        <v>0</v>
      </c>
      <c r="L134" s="669"/>
      <c r="M134" s="669"/>
      <c r="N134" s="669"/>
      <c r="O134" s="669"/>
      <c r="P134" s="918">
        <v>0</v>
      </c>
    </row>
    <row r="135" spans="1:16" ht="15.75" hidden="1">
      <c r="A135" s="912"/>
      <c r="B135" s="787"/>
      <c r="C135" s="889"/>
      <c r="D135" s="891"/>
      <c r="E135" s="891"/>
      <c r="F135" s="891"/>
      <c r="G135" s="891"/>
      <c r="H135" s="891"/>
      <c r="I135" s="891"/>
      <c r="J135" s="891"/>
      <c r="K135" s="892"/>
      <c r="L135" s="787"/>
      <c r="M135" s="787"/>
      <c r="N135" s="787"/>
      <c r="O135" s="787"/>
      <c r="P135" s="787"/>
    </row>
    <row r="136" spans="1:16" ht="15.75" hidden="1">
      <c r="A136" s="912" t="s">
        <v>235</v>
      </c>
      <c r="B136" s="787"/>
      <c r="C136" s="889"/>
      <c r="D136" s="902">
        <v>633121</v>
      </c>
      <c r="E136" s="902">
        <v>65907</v>
      </c>
      <c r="F136" s="902">
        <v>13776</v>
      </c>
      <c r="G136" s="902">
        <v>505</v>
      </c>
      <c r="H136" s="902">
        <v>50</v>
      </c>
      <c r="I136" s="902">
        <v>1107</v>
      </c>
      <c r="J136" s="902">
        <v>1</v>
      </c>
      <c r="K136" s="903">
        <v>714467</v>
      </c>
      <c r="L136" s="787"/>
      <c r="M136" s="787"/>
      <c r="N136" s="787"/>
      <c r="O136" s="787"/>
      <c r="P136" s="913">
        <v>14281</v>
      </c>
    </row>
    <row r="137" spans="1:16" ht="15.75" hidden="1">
      <c r="A137" s="912" t="s">
        <v>236</v>
      </c>
      <c r="B137" s="787"/>
      <c r="C137" s="889"/>
      <c r="D137" s="902">
        <v>0</v>
      </c>
      <c r="E137" s="902">
        <v>0</v>
      </c>
      <c r="F137" s="902">
        <v>0</v>
      </c>
      <c r="G137" s="902">
        <v>0</v>
      </c>
      <c r="H137" s="902">
        <v>0</v>
      </c>
      <c r="I137" s="902">
        <v>12323</v>
      </c>
      <c r="J137" s="902">
        <v>163159</v>
      </c>
      <c r="K137" s="903" t="s">
        <v>10</v>
      </c>
      <c r="L137" s="787"/>
      <c r="M137" s="787"/>
      <c r="N137" s="787"/>
      <c r="O137" s="787"/>
      <c r="P137" s="913" t="s">
        <v>10</v>
      </c>
    </row>
    <row r="138" spans="1:16" ht="15.75" hidden="1">
      <c r="A138" s="912" t="s">
        <v>237</v>
      </c>
      <c r="B138" s="787"/>
      <c r="C138" s="889"/>
      <c r="D138" s="902">
        <v>5037295612.099079</v>
      </c>
      <c r="E138" s="902">
        <v>2071525043.772528</v>
      </c>
      <c r="F138" s="902" t="s">
        <v>10</v>
      </c>
      <c r="G138" s="902" t="s">
        <v>10</v>
      </c>
      <c r="H138" s="902" t="s">
        <v>10</v>
      </c>
      <c r="I138" s="902">
        <v>52097298.71804408</v>
      </c>
      <c r="J138" s="902" t="s">
        <v>10</v>
      </c>
      <c r="K138" s="903">
        <v>7160917954.589651</v>
      </c>
      <c r="L138" s="787"/>
      <c r="M138" s="787"/>
      <c r="N138" s="787"/>
      <c r="O138" s="787"/>
      <c r="P138" s="913" t="s">
        <v>32</v>
      </c>
    </row>
    <row r="139" spans="1:16" ht="15.75" hidden="1">
      <c r="A139" s="912" t="s">
        <v>238</v>
      </c>
      <c r="B139" s="787"/>
      <c r="C139" s="889"/>
      <c r="D139" s="902">
        <v>0</v>
      </c>
      <c r="E139" s="902">
        <v>0</v>
      </c>
      <c r="F139" s="902">
        <v>26934429.732053652</v>
      </c>
      <c r="G139" s="902">
        <v>10637919.72094347</v>
      </c>
      <c r="H139" s="902">
        <v>5229314.742966217</v>
      </c>
      <c r="I139" s="902" t="s">
        <v>10</v>
      </c>
      <c r="J139" s="902">
        <v>322725</v>
      </c>
      <c r="K139" s="903">
        <v>43124389.19596334</v>
      </c>
      <c r="L139" s="787"/>
      <c r="M139" s="787"/>
      <c r="N139" s="787"/>
      <c r="O139" s="787"/>
      <c r="P139" s="913">
        <v>37572349.45299712</v>
      </c>
    </row>
    <row r="140" spans="1:16" ht="16.5" hidden="1" thickBot="1">
      <c r="A140" s="914"/>
      <c r="B140" s="790"/>
      <c r="C140" s="915"/>
      <c r="D140" s="920"/>
      <c r="E140" s="920"/>
      <c r="F140" s="920"/>
      <c r="G140" s="920"/>
      <c r="H140" s="920"/>
      <c r="I140" s="920"/>
      <c r="J140" s="920"/>
      <c r="K140" s="921"/>
      <c r="L140" s="790"/>
      <c r="M140" s="790"/>
      <c r="N140" s="790"/>
      <c r="O140" s="790"/>
      <c r="P140" s="790"/>
    </row>
    <row r="141" spans="3:17" ht="15.75" hidden="1">
      <c r="C141" s="889"/>
      <c r="D141" s="922">
        <v>1</v>
      </c>
      <c r="E141" s="922">
        <v>1</v>
      </c>
      <c r="F141" s="922">
        <v>1</v>
      </c>
      <c r="G141" s="922">
        <v>1</v>
      </c>
      <c r="H141" s="922">
        <v>1</v>
      </c>
      <c r="I141" s="922">
        <v>1</v>
      </c>
      <c r="J141" s="922">
        <v>1</v>
      </c>
      <c r="K141" s="923">
        <v>1</v>
      </c>
      <c r="Q141" s="880">
        <v>1</v>
      </c>
    </row>
    <row r="142" spans="1:16" ht="15.75" hidden="1">
      <c r="A142" s="924"/>
      <c r="B142" s="925"/>
      <c r="C142" s="886"/>
      <c r="D142" s="919"/>
      <c r="E142" s="919"/>
      <c r="F142" s="919"/>
      <c r="G142" s="919"/>
      <c r="H142" s="919"/>
      <c r="I142" s="919"/>
      <c r="J142" s="919"/>
      <c r="K142" s="926"/>
      <c r="L142" s="925"/>
      <c r="M142" s="925"/>
      <c r="N142" s="925"/>
      <c r="O142" s="925"/>
      <c r="P142" s="925"/>
    </row>
    <row r="143" spans="1:16" ht="15.75" hidden="1">
      <c r="A143" s="927" t="s">
        <v>239</v>
      </c>
      <c r="B143" s="768"/>
      <c r="C143" s="889"/>
      <c r="D143" s="699" t="e">
        <v>#REF!</v>
      </c>
      <c r="E143" s="699" t="e">
        <v>#REF!</v>
      </c>
      <c r="F143" s="699" t="e">
        <v>#REF!</v>
      </c>
      <c r="G143" s="699" t="e">
        <v>#REF!</v>
      </c>
      <c r="H143" s="699" t="e">
        <v>#REF!</v>
      </c>
      <c r="I143" s="699" t="e">
        <v>#REF!</v>
      </c>
      <c r="J143" s="700" t="s">
        <v>10</v>
      </c>
      <c r="K143" s="701" t="e">
        <v>#REF!</v>
      </c>
      <c r="L143" s="617"/>
      <c r="M143" s="768"/>
      <c r="N143" s="768"/>
      <c r="O143" s="768"/>
      <c r="P143" s="617" t="e">
        <v>#REF!</v>
      </c>
    </row>
    <row r="144" spans="1:16" ht="15.75" hidden="1">
      <c r="A144" s="927" t="s">
        <v>240</v>
      </c>
      <c r="B144" s="768"/>
      <c r="C144" s="889"/>
      <c r="D144" s="699"/>
      <c r="E144" s="699"/>
      <c r="F144" s="699"/>
      <c r="G144" s="699"/>
      <c r="H144" s="699"/>
      <c r="I144" s="699" t="e">
        <v>#REF!</v>
      </c>
      <c r="J144" s="699" t="e">
        <v>#REF!</v>
      </c>
      <c r="K144" s="701" t="e">
        <v>#REF!</v>
      </c>
      <c r="L144" s="617"/>
      <c r="M144" s="768"/>
      <c r="N144" s="768"/>
      <c r="O144" s="768"/>
      <c r="P144" s="617">
        <v>0</v>
      </c>
    </row>
    <row r="145" spans="1:16" ht="15.75" hidden="1">
      <c r="A145" s="927" t="s">
        <v>241</v>
      </c>
      <c r="B145" s="768"/>
      <c r="C145" s="889"/>
      <c r="D145" s="699" t="e">
        <v>#REF!</v>
      </c>
      <c r="E145" s="699" t="e">
        <v>#REF!</v>
      </c>
      <c r="F145" s="699"/>
      <c r="G145" s="699"/>
      <c r="H145" s="699"/>
      <c r="I145" s="699" t="e">
        <v>#REF!</v>
      </c>
      <c r="J145" s="699" t="s">
        <v>10</v>
      </c>
      <c r="K145" s="701" t="e">
        <v>#REF!</v>
      </c>
      <c r="L145" s="617"/>
      <c r="M145" s="768"/>
      <c r="N145" s="768"/>
      <c r="O145" s="768"/>
      <c r="P145" s="617">
        <v>0</v>
      </c>
    </row>
    <row r="146" spans="1:16" ht="16.5" hidden="1" thickBot="1">
      <c r="A146" s="928" t="s">
        <v>242</v>
      </c>
      <c r="B146" s="778"/>
      <c r="C146" s="915"/>
      <c r="D146" s="702"/>
      <c r="E146" s="702"/>
      <c r="F146" s="702" t="e">
        <v>#REF!</v>
      </c>
      <c r="G146" s="702" t="e">
        <v>#REF!</v>
      </c>
      <c r="H146" s="702" t="e">
        <v>#REF!</v>
      </c>
      <c r="I146" s="702" t="s">
        <v>10</v>
      </c>
      <c r="J146" s="702" t="e">
        <v>#REF!</v>
      </c>
      <c r="K146" s="703" t="e">
        <v>#REF!</v>
      </c>
      <c r="L146" s="670" t="e">
        <v>#REF!</v>
      </c>
      <c r="M146" s="778"/>
      <c r="N146" s="778"/>
      <c r="O146" s="778"/>
      <c r="P146" s="624">
        <v>0</v>
      </c>
    </row>
    <row r="147" spans="1:16" ht="15.75" hidden="1">
      <c r="A147" s="924"/>
      <c r="B147" s="925"/>
      <c r="C147" s="886"/>
      <c r="D147" s="704"/>
      <c r="E147" s="704"/>
      <c r="F147" s="704"/>
      <c r="G147" s="704"/>
      <c r="H147" s="704"/>
      <c r="I147" s="704"/>
      <c r="J147" s="704"/>
      <c r="K147" s="705"/>
      <c r="L147" s="672"/>
      <c r="M147" s="925"/>
      <c r="N147" s="925"/>
      <c r="O147" s="925"/>
      <c r="P147" s="671"/>
    </row>
    <row r="148" spans="1:16" ht="15.75" hidden="1">
      <c r="A148" s="927" t="s">
        <v>243</v>
      </c>
      <c r="B148" s="768"/>
      <c r="C148" s="889"/>
      <c r="D148" s="699">
        <v>38006253.63</v>
      </c>
      <c r="E148" s="699">
        <v>5269264.649999999</v>
      </c>
      <c r="F148" s="699">
        <v>1766358.72</v>
      </c>
      <c r="G148" s="699">
        <v>975069.15</v>
      </c>
      <c r="H148" s="699">
        <v>420103.5</v>
      </c>
      <c r="I148" s="699">
        <v>17601.3</v>
      </c>
      <c r="J148" s="700" t="s">
        <v>10</v>
      </c>
      <c r="K148" s="701">
        <v>46454650.949999996</v>
      </c>
      <c r="L148" s="673"/>
      <c r="M148" s="768"/>
      <c r="N148" s="768"/>
      <c r="O148" s="768"/>
      <c r="P148" s="617">
        <v>2741427.87</v>
      </c>
    </row>
    <row r="149" spans="1:16" ht="15.75" hidden="1">
      <c r="A149" s="927" t="s">
        <v>244</v>
      </c>
      <c r="B149" s="768"/>
      <c r="C149" s="889"/>
      <c r="D149" s="699"/>
      <c r="E149" s="699"/>
      <c r="F149" s="699"/>
      <c r="G149" s="699"/>
      <c r="H149" s="699"/>
      <c r="I149" s="699">
        <v>19963.260000000002</v>
      </c>
      <c r="J149" s="699">
        <v>699952.11</v>
      </c>
      <c r="K149" s="701">
        <v>719915.37</v>
      </c>
      <c r="L149" s="673"/>
      <c r="M149" s="768"/>
      <c r="N149" s="768"/>
      <c r="O149" s="768"/>
      <c r="P149" s="617">
        <v>0</v>
      </c>
    </row>
    <row r="150" spans="1:16" ht="15.75" hidden="1">
      <c r="A150" s="927" t="s">
        <v>245</v>
      </c>
      <c r="B150" s="768"/>
      <c r="C150" s="889"/>
      <c r="D150" s="699">
        <v>0</v>
      </c>
      <c r="E150" s="699">
        <v>0</v>
      </c>
      <c r="F150" s="699"/>
      <c r="G150" s="699"/>
      <c r="H150" s="699"/>
      <c r="I150" s="699">
        <v>0</v>
      </c>
      <c r="J150" s="699">
        <v>0</v>
      </c>
      <c r="K150" s="701">
        <v>0</v>
      </c>
      <c r="L150" s="673"/>
      <c r="M150" s="768"/>
      <c r="N150" s="768"/>
      <c r="O150" s="768"/>
      <c r="P150" s="617">
        <v>0</v>
      </c>
    </row>
    <row r="151" spans="1:16" ht="16.5" hidden="1" thickBot="1">
      <c r="A151" s="928" t="s">
        <v>246</v>
      </c>
      <c r="B151" s="778"/>
      <c r="C151" s="915"/>
      <c r="D151" s="702"/>
      <c r="E151" s="702"/>
      <c r="F151" s="702">
        <v>0</v>
      </c>
      <c r="G151" s="702">
        <v>0</v>
      </c>
      <c r="H151" s="702">
        <v>0</v>
      </c>
      <c r="I151" s="702">
        <v>0</v>
      </c>
      <c r="J151" s="702">
        <v>0</v>
      </c>
      <c r="K151" s="703">
        <v>0</v>
      </c>
      <c r="L151" s="670">
        <v>94349132.64</v>
      </c>
      <c r="M151" s="778"/>
      <c r="N151" s="778"/>
      <c r="O151" s="778"/>
      <c r="P151" s="624">
        <v>0</v>
      </c>
    </row>
    <row r="152" spans="1:16" ht="15.75" hidden="1">
      <c r="A152" s="929"/>
      <c r="B152" s="930"/>
      <c r="C152" s="889"/>
      <c r="D152" s="699"/>
      <c r="E152" s="699"/>
      <c r="F152" s="699"/>
      <c r="G152" s="699"/>
      <c r="H152" s="699"/>
      <c r="I152" s="699"/>
      <c r="J152" s="699"/>
      <c r="K152" s="701"/>
      <c r="L152" s="617"/>
      <c r="M152" s="768"/>
      <c r="N152" s="768"/>
      <c r="O152" s="768"/>
      <c r="P152" s="617"/>
    </row>
    <row r="153" spans="1:16" ht="15.75" hidden="1">
      <c r="A153" s="929" t="s">
        <v>247</v>
      </c>
      <c r="B153" s="930"/>
      <c r="C153" s="889"/>
      <c r="D153" s="699" t="e">
        <v>#REF!</v>
      </c>
      <c r="E153" s="699" t="e">
        <v>#REF!</v>
      </c>
      <c r="F153" s="699" t="e">
        <v>#REF!</v>
      </c>
      <c r="G153" s="699" t="e">
        <v>#REF!</v>
      </c>
      <c r="H153" s="699" t="e">
        <v>#REF!</v>
      </c>
      <c r="I153" s="699" t="e">
        <v>#REF!</v>
      </c>
      <c r="J153" s="699">
        <v>0</v>
      </c>
      <c r="K153" s="701" t="e">
        <v>#REF!</v>
      </c>
      <c r="L153" s="617"/>
      <c r="M153" s="768"/>
      <c r="N153" s="768"/>
      <c r="O153" s="768"/>
      <c r="P153" s="617" t="e">
        <v>#REF!</v>
      </c>
    </row>
    <row r="154" spans="1:16" ht="15.75" hidden="1">
      <c r="A154" s="929" t="s">
        <v>248</v>
      </c>
      <c r="B154" s="930"/>
      <c r="C154" s="889"/>
      <c r="D154" s="699">
        <v>0</v>
      </c>
      <c r="E154" s="699">
        <v>0</v>
      </c>
      <c r="F154" s="699">
        <v>0</v>
      </c>
      <c r="G154" s="699">
        <v>0</v>
      </c>
      <c r="H154" s="699">
        <v>0</v>
      </c>
      <c r="I154" s="699" t="e">
        <v>#REF!</v>
      </c>
      <c r="J154" s="699" t="e">
        <v>#REF!</v>
      </c>
      <c r="K154" s="701" t="e">
        <v>#REF!</v>
      </c>
      <c r="L154" s="617"/>
      <c r="M154" s="768"/>
      <c r="N154" s="768"/>
      <c r="O154" s="768"/>
      <c r="P154" s="617">
        <v>0</v>
      </c>
    </row>
    <row r="155" spans="1:16" ht="15.75" hidden="1">
      <c r="A155" s="929" t="s">
        <v>249</v>
      </c>
      <c r="B155" s="930"/>
      <c r="C155" s="889"/>
      <c r="D155" s="699" t="e">
        <v>#REF!</v>
      </c>
      <c r="E155" s="699" t="e">
        <v>#REF!</v>
      </c>
      <c r="F155" s="699">
        <v>0</v>
      </c>
      <c r="G155" s="699">
        <v>0</v>
      </c>
      <c r="H155" s="699">
        <v>0</v>
      </c>
      <c r="I155" s="699" t="e">
        <v>#REF!</v>
      </c>
      <c r="J155" s="699">
        <v>0</v>
      </c>
      <c r="K155" s="701" t="e">
        <v>#REF!</v>
      </c>
      <c r="L155" s="617"/>
      <c r="M155" s="768"/>
      <c r="N155" s="768"/>
      <c r="O155" s="768"/>
      <c r="P155" s="617">
        <v>0</v>
      </c>
    </row>
    <row r="156" spans="1:16" ht="18.75" hidden="1">
      <c r="A156" s="929" t="s">
        <v>250</v>
      </c>
      <c r="B156" s="931"/>
      <c r="C156" s="932"/>
      <c r="D156" s="699">
        <v>0</v>
      </c>
      <c r="E156" s="699">
        <v>0</v>
      </c>
      <c r="F156" s="699" t="e">
        <v>#REF!</v>
      </c>
      <c r="G156" s="699" t="e">
        <v>#REF!</v>
      </c>
      <c r="H156" s="699" t="e">
        <v>#REF!</v>
      </c>
      <c r="I156" s="699">
        <v>0</v>
      </c>
      <c r="J156" s="699" t="e">
        <v>#REF!</v>
      </c>
      <c r="K156" s="701" t="e">
        <v>#REF!</v>
      </c>
      <c r="L156" s="674"/>
      <c r="M156" s="933"/>
      <c r="N156" s="933"/>
      <c r="O156" s="933"/>
      <c r="P156" s="617">
        <v>0</v>
      </c>
    </row>
    <row r="157" spans="1:16" ht="19.5" hidden="1" thickBot="1">
      <c r="A157" s="934"/>
      <c r="B157" s="935" t="s">
        <v>74</v>
      </c>
      <c r="C157" s="936"/>
      <c r="D157" s="706" t="e">
        <v>#REF!</v>
      </c>
      <c r="E157" s="706" t="e">
        <v>#REF!</v>
      </c>
      <c r="F157" s="706" t="e">
        <v>#REF!</v>
      </c>
      <c r="G157" s="706" t="e">
        <v>#REF!</v>
      </c>
      <c r="H157" s="706" t="e">
        <v>#REF!</v>
      </c>
      <c r="I157" s="706" t="e">
        <v>#REF!</v>
      </c>
      <c r="J157" s="706" t="e">
        <v>#REF!</v>
      </c>
      <c r="K157" s="707" t="e">
        <v>#REF!</v>
      </c>
      <c r="L157" s="675" t="e">
        <v>#REF!</v>
      </c>
      <c r="M157" s="937"/>
      <c r="N157" s="937"/>
      <c r="O157" s="937"/>
      <c r="P157" s="675" t="e">
        <v>#REF!</v>
      </c>
    </row>
    <row r="158" spans="3:12" ht="15.75" hidden="1">
      <c r="C158" s="889"/>
      <c r="D158" s="891"/>
      <c r="E158" s="891"/>
      <c r="F158" s="891"/>
      <c r="G158" s="891"/>
      <c r="H158" s="891"/>
      <c r="I158" s="891"/>
      <c r="J158" s="891"/>
      <c r="K158" s="892"/>
      <c r="L158" s="676" t="s">
        <v>10</v>
      </c>
    </row>
    <row r="159" spans="1:16" ht="37.5" hidden="1">
      <c r="A159" s="938" t="s">
        <v>219</v>
      </c>
      <c r="B159" s="939"/>
      <c r="C159" s="889"/>
      <c r="D159" s="940" t="s">
        <v>14</v>
      </c>
      <c r="E159" s="940" t="s">
        <v>15</v>
      </c>
      <c r="F159" s="940" t="s">
        <v>16</v>
      </c>
      <c r="G159" s="940" t="s">
        <v>17</v>
      </c>
      <c r="H159" s="940" t="s">
        <v>18</v>
      </c>
      <c r="I159" s="940" t="s">
        <v>19</v>
      </c>
      <c r="J159" s="940" t="s">
        <v>20</v>
      </c>
      <c r="K159" s="941" t="s">
        <v>21</v>
      </c>
      <c r="L159" s="677" t="s">
        <v>10</v>
      </c>
      <c r="M159" s="939"/>
      <c r="N159" s="939"/>
      <c r="O159" s="939"/>
      <c r="P159" s="939"/>
    </row>
    <row r="160" spans="1:16" ht="18.75" hidden="1">
      <c r="A160" s="678" t="s">
        <v>220</v>
      </c>
      <c r="B160" s="679"/>
      <c r="C160" s="708"/>
      <c r="D160" s="709" t="e">
        <v>#REF!</v>
      </c>
      <c r="E160" s="710" t="e">
        <v>#REF!</v>
      </c>
      <c r="F160" s="710" t="e">
        <v>#REF!</v>
      </c>
      <c r="G160" s="710" t="e">
        <v>#REF!</v>
      </c>
      <c r="H160" s="710" t="e">
        <v>#REF!</v>
      </c>
      <c r="I160" s="710" t="e">
        <v>#REF!</v>
      </c>
      <c r="J160" s="710">
        <v>0</v>
      </c>
      <c r="K160" s="711" t="s">
        <v>10</v>
      </c>
      <c r="L160" s="680"/>
      <c r="M160" s="680"/>
      <c r="N160" s="680"/>
      <c r="O160" s="680"/>
      <c r="P160" s="680" t="e">
        <v>#REF!</v>
      </c>
    </row>
    <row r="161" spans="1:16" ht="18.75" hidden="1">
      <c r="A161" s="683" t="s">
        <v>221</v>
      </c>
      <c r="B161" s="942"/>
      <c r="C161" s="943"/>
      <c r="D161" s="944"/>
      <c r="E161" s="944"/>
      <c r="F161" s="944"/>
      <c r="G161" s="944"/>
      <c r="H161" s="944"/>
      <c r="I161" s="712" t="e">
        <v>#REF!</v>
      </c>
      <c r="J161" s="713" t="e">
        <v>#REF!</v>
      </c>
      <c r="K161" s="714" t="s">
        <v>10</v>
      </c>
      <c r="L161" s="945"/>
      <c r="M161" s="945"/>
      <c r="N161" s="945"/>
      <c r="O161" s="945"/>
      <c r="P161" s="945"/>
    </row>
    <row r="162" spans="1:16" ht="18.75" hidden="1">
      <c r="A162" s="683" t="s">
        <v>222</v>
      </c>
      <c r="B162" s="942"/>
      <c r="C162" s="715"/>
      <c r="D162" s="716" t="e">
        <v>#REF!</v>
      </c>
      <c r="E162" s="716" t="e">
        <v>#REF!</v>
      </c>
      <c r="F162" s="717"/>
      <c r="G162" s="717"/>
      <c r="H162" s="717"/>
      <c r="I162" s="716" t="e">
        <v>#REF!</v>
      </c>
      <c r="J162" s="717">
        <v>0</v>
      </c>
      <c r="K162" s="714" t="s">
        <v>10</v>
      </c>
      <c r="L162" s="945"/>
      <c r="M162" s="945"/>
      <c r="N162" s="945"/>
      <c r="O162" s="945"/>
      <c r="P162" s="681"/>
    </row>
    <row r="163" spans="1:16" ht="18.75" hidden="1">
      <c r="A163" s="683" t="s">
        <v>223</v>
      </c>
      <c r="B163" s="942"/>
      <c r="C163" s="715"/>
      <c r="D163" s="717"/>
      <c r="E163" s="717"/>
      <c r="F163" s="717" t="e">
        <v>#REF!</v>
      </c>
      <c r="G163" s="717" t="e">
        <v>#REF!</v>
      </c>
      <c r="H163" s="717" t="e">
        <v>#REF!</v>
      </c>
      <c r="I163" s="718">
        <v>0</v>
      </c>
      <c r="J163" s="717" t="e">
        <v>#REF!</v>
      </c>
      <c r="K163" s="714" t="s">
        <v>10</v>
      </c>
      <c r="L163" s="945"/>
      <c r="M163" s="945"/>
      <c r="N163" s="945"/>
      <c r="O163" s="945"/>
      <c r="P163" s="682">
        <v>0</v>
      </c>
    </row>
    <row r="164" spans="1:16" ht="19.5" hidden="1" thickBot="1">
      <c r="A164" s="946"/>
      <c r="B164" s="947"/>
      <c r="C164" s="948"/>
      <c r="D164" s="949"/>
      <c r="E164" s="949"/>
      <c r="F164" s="949"/>
      <c r="G164" s="949"/>
      <c r="H164" s="949"/>
      <c r="I164" s="949"/>
      <c r="J164" s="949"/>
      <c r="K164" s="950"/>
      <c r="L164" s="951"/>
      <c r="M164" s="951"/>
      <c r="N164" s="951"/>
      <c r="O164" s="951"/>
      <c r="P164" s="952"/>
    </row>
    <row r="165" spans="3:11" ht="15.75" hidden="1">
      <c r="C165" s="889"/>
      <c r="D165" s="891"/>
      <c r="E165" s="891"/>
      <c r="F165" s="891"/>
      <c r="G165" s="891"/>
      <c r="H165" s="891"/>
      <c r="I165" s="953"/>
      <c r="J165" s="891"/>
      <c r="K165" s="892"/>
    </row>
    <row r="166" spans="3:11" ht="15.75">
      <c r="C166" s="889"/>
      <c r="D166" s="890">
        <v>23760017.63173154</v>
      </c>
      <c r="E166" s="890">
        <v>4931024.638254985</v>
      </c>
      <c r="F166" s="890">
        <v>15105750.054861903</v>
      </c>
      <c r="G166" s="890">
        <v>2356362.3007183224</v>
      </c>
      <c r="H166" s="890">
        <v>2162654.5216764137</v>
      </c>
      <c r="I166" s="890">
        <v>7192.163522881921</v>
      </c>
      <c r="J166" s="890">
        <v>1218774.8646759242</v>
      </c>
      <c r="K166" s="954">
        <v>49541775.17544198</v>
      </c>
    </row>
    <row r="167" spans="3:11" ht="16.5" thickBot="1">
      <c r="C167" s="915"/>
      <c r="D167" s="955">
        <v>0.11084378500609647</v>
      </c>
      <c r="E167" s="955">
        <v>0.07307844823670093</v>
      </c>
      <c r="F167" s="955">
        <v>0.09537104831949311</v>
      </c>
      <c r="G167" s="955">
        <v>0.04528470292735239</v>
      </c>
      <c r="H167" s="955">
        <v>0.0840747295981116</v>
      </c>
      <c r="I167" s="955">
        <v>0.001993920102200476</v>
      </c>
      <c r="J167" s="955">
        <v>0.10208506124818935</v>
      </c>
      <c r="K167" s="956">
        <v>0.09285759947805249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0">
      <selection activeCell="D80" sqref="D80"/>
    </sheetView>
  </sheetViews>
  <sheetFormatPr defaultColWidth="9.140625" defaultRowHeight="15"/>
  <cols>
    <col min="4" max="4" width="13.28125" style="0" customWidth="1"/>
    <col min="5" max="5" width="15.28125" style="0" customWidth="1"/>
    <col min="6" max="6" width="18.0039062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2.28125" style="0" customWidth="1"/>
    <col min="11" max="11" width="12.8515625" style="0" customWidth="1"/>
  </cols>
  <sheetData>
    <row r="1" spans="1:12" ht="15.75" thickBot="1">
      <c r="A1" s="346"/>
      <c r="B1" s="390" t="s">
        <v>96</v>
      </c>
      <c r="C1" s="390" t="s">
        <v>97</v>
      </c>
      <c r="D1" s="390" t="s">
        <v>98</v>
      </c>
      <c r="E1" s="390" t="s">
        <v>99</v>
      </c>
      <c r="F1" s="390" t="s">
        <v>100</v>
      </c>
      <c r="G1" s="390" t="s">
        <v>101</v>
      </c>
      <c r="H1" s="390" t="s">
        <v>123</v>
      </c>
      <c r="I1" s="390" t="s">
        <v>124</v>
      </c>
      <c r="J1" s="390" t="s">
        <v>125</v>
      </c>
      <c r="K1" s="390" t="s">
        <v>126</v>
      </c>
      <c r="L1" s="390" t="s">
        <v>127</v>
      </c>
    </row>
    <row r="2" spans="1:12" ht="39.75" thickBot="1">
      <c r="A2" s="388">
        <v>1</v>
      </c>
      <c r="B2" s="395" t="s">
        <v>283</v>
      </c>
      <c r="C2" s="365"/>
      <c r="D2" s="365"/>
      <c r="E2" s="365" t="s">
        <v>14</v>
      </c>
      <c r="F2" s="365" t="s">
        <v>15</v>
      </c>
      <c r="G2" s="365" t="s">
        <v>131</v>
      </c>
      <c r="H2" s="365" t="s">
        <v>169</v>
      </c>
      <c r="I2" s="365" t="s">
        <v>170</v>
      </c>
      <c r="J2" s="365" t="s">
        <v>284</v>
      </c>
      <c r="K2" s="365" t="s">
        <v>203</v>
      </c>
      <c r="L2" s="366" t="s">
        <v>21</v>
      </c>
    </row>
    <row r="3" spans="1:12" ht="15">
      <c r="A3" s="388">
        <v>2</v>
      </c>
      <c r="B3" s="375" t="s">
        <v>10</v>
      </c>
      <c r="C3" s="345"/>
      <c r="D3" s="349"/>
      <c r="E3" s="345" t="s">
        <v>10</v>
      </c>
      <c r="F3" s="345" t="s">
        <v>32</v>
      </c>
      <c r="G3" s="345"/>
      <c r="H3" s="345"/>
      <c r="I3" s="345"/>
      <c r="J3" s="345"/>
      <c r="K3" s="350" t="s">
        <v>10</v>
      </c>
      <c r="L3" s="351"/>
    </row>
    <row r="4" spans="1:12" ht="15">
      <c r="A4" s="388">
        <v>3</v>
      </c>
      <c r="B4" s="392" t="s">
        <v>285</v>
      </c>
      <c r="C4" s="346"/>
      <c r="D4" s="347"/>
      <c r="E4" s="393">
        <v>633121</v>
      </c>
      <c r="F4" s="393">
        <v>65907</v>
      </c>
      <c r="G4" s="393">
        <v>13776</v>
      </c>
      <c r="H4" s="393">
        <v>505</v>
      </c>
      <c r="I4" s="393">
        <v>50</v>
      </c>
      <c r="J4" s="354" t="s">
        <v>10</v>
      </c>
      <c r="K4" s="354" t="s">
        <v>10</v>
      </c>
      <c r="L4" s="353">
        <v>713359</v>
      </c>
    </row>
    <row r="5" spans="1:12" ht="15">
      <c r="A5" s="388">
        <v>4</v>
      </c>
      <c r="B5" s="392" t="s">
        <v>286</v>
      </c>
      <c r="C5" s="346"/>
      <c r="D5" s="347"/>
      <c r="E5" s="377">
        <v>0.9060599786247362</v>
      </c>
      <c r="F5" s="377">
        <v>0.07453785888063041</v>
      </c>
      <c r="G5" s="377">
        <v>0.01940216249463335</v>
      </c>
      <c r="H5" s="377">
        <v>0</v>
      </c>
      <c r="I5" s="400">
        <v>0</v>
      </c>
      <c r="J5" s="354"/>
      <c r="K5" s="354"/>
      <c r="L5" s="391">
        <v>0.9999999999999999</v>
      </c>
    </row>
    <row r="6" spans="1:12" ht="15.75" thickBot="1">
      <c r="A6" s="388">
        <v>5</v>
      </c>
      <c r="B6" s="355"/>
      <c r="C6" s="356"/>
      <c r="D6" s="349"/>
      <c r="E6" s="357" t="s">
        <v>10</v>
      </c>
      <c r="F6" s="357" t="s">
        <v>10</v>
      </c>
      <c r="G6" s="357"/>
      <c r="H6" s="357"/>
      <c r="I6" s="357"/>
      <c r="J6" s="357"/>
      <c r="K6" s="357"/>
      <c r="L6" s="358"/>
    </row>
    <row r="7" spans="1:12" ht="52.5" thickBot="1">
      <c r="A7" s="388">
        <v>6</v>
      </c>
      <c r="B7" s="367"/>
      <c r="C7" s="365" t="s">
        <v>204</v>
      </c>
      <c r="D7" s="365" t="s">
        <v>168</v>
      </c>
      <c r="E7" s="365" t="s">
        <v>14</v>
      </c>
      <c r="F7" s="365" t="s">
        <v>15</v>
      </c>
      <c r="G7" s="365" t="s">
        <v>131</v>
      </c>
      <c r="H7" s="365" t="s">
        <v>169</v>
      </c>
      <c r="I7" s="365" t="s">
        <v>170</v>
      </c>
      <c r="J7" s="365" t="s">
        <v>284</v>
      </c>
      <c r="K7" s="365" t="s">
        <v>203</v>
      </c>
      <c r="L7" s="366" t="s">
        <v>21</v>
      </c>
    </row>
    <row r="8" spans="1:12" ht="15">
      <c r="A8" s="388">
        <v>7</v>
      </c>
      <c r="B8" s="348"/>
      <c r="C8" s="359"/>
      <c r="D8" s="368"/>
      <c r="E8" s="359"/>
      <c r="F8" s="360" t="s">
        <v>10</v>
      </c>
      <c r="G8" s="359"/>
      <c r="H8" s="359"/>
      <c r="I8" s="359"/>
      <c r="J8" s="359"/>
      <c r="K8" s="359"/>
      <c r="L8" s="361"/>
    </row>
    <row r="9" spans="1:12" ht="51.75">
      <c r="A9" s="388">
        <v>8</v>
      </c>
      <c r="B9" s="352" t="s">
        <v>287</v>
      </c>
      <c r="C9" s="403">
        <v>20017687.929999992</v>
      </c>
      <c r="D9" s="347" t="s">
        <v>286</v>
      </c>
      <c r="E9" s="359">
        <v>18137225.89797243</v>
      </c>
      <c r="F9" s="359">
        <v>1492075.5980428383</v>
      </c>
      <c r="G9" s="359">
        <v>388386.4339847205</v>
      </c>
      <c r="H9" s="359">
        <v>0</v>
      </c>
      <c r="I9" s="359">
        <v>0</v>
      </c>
      <c r="J9" s="359">
        <v>0</v>
      </c>
      <c r="K9" s="359">
        <v>0</v>
      </c>
      <c r="L9" s="394">
        <v>20017687.92999999</v>
      </c>
    </row>
    <row r="10" spans="1:12" ht="51.75">
      <c r="A10" s="388">
        <v>9</v>
      </c>
      <c r="B10" s="352" t="s">
        <v>288</v>
      </c>
      <c r="C10" s="403">
        <v>12634761</v>
      </c>
      <c r="D10" s="347" t="s">
        <v>286</v>
      </c>
      <c r="E10" s="374">
        <v>11447851.281588651</v>
      </c>
      <c r="F10" s="374">
        <v>941768.0324084928</v>
      </c>
      <c r="G10" s="374">
        <v>245141.68600285615</v>
      </c>
      <c r="H10" s="374">
        <v>0</v>
      </c>
      <c r="I10" s="374">
        <v>0</v>
      </c>
      <c r="J10" s="374">
        <v>0</v>
      </c>
      <c r="K10" s="374">
        <v>0</v>
      </c>
      <c r="L10" s="394">
        <v>12634761</v>
      </c>
    </row>
    <row r="11" spans="1:12" ht="15.75" thickBot="1">
      <c r="A11" s="388">
        <v>10</v>
      </c>
      <c r="B11" s="385"/>
      <c r="C11" s="396"/>
      <c r="D11" s="397"/>
      <c r="E11" s="398"/>
      <c r="F11" s="398"/>
      <c r="G11" s="398"/>
      <c r="H11" s="398"/>
      <c r="I11" s="398"/>
      <c r="J11" s="398"/>
      <c r="K11" s="398"/>
      <c r="L11" s="399"/>
    </row>
    <row r="12" spans="1:12" ht="15">
      <c r="A12" s="346"/>
      <c r="B12" s="345"/>
      <c r="C12" s="378"/>
      <c r="D12" s="379"/>
      <c r="E12" s="380" t="s">
        <v>10</v>
      </c>
      <c r="F12" s="380"/>
      <c r="G12" s="380"/>
      <c r="H12" s="380"/>
      <c r="I12" s="380"/>
      <c r="J12" s="380"/>
      <c r="K12" s="380"/>
      <c r="L12" s="380"/>
    </row>
    <row r="13" spans="1:12" ht="15.75" thickBot="1">
      <c r="A13" s="344"/>
      <c r="B13" s="344"/>
      <c r="C13" s="344"/>
      <c r="D13" s="362"/>
      <c r="E13" s="401" t="s">
        <v>10</v>
      </c>
      <c r="F13" s="402" t="s">
        <v>10</v>
      </c>
      <c r="G13" s="363"/>
      <c r="H13" s="363"/>
      <c r="I13" s="363"/>
      <c r="J13" s="363"/>
      <c r="K13" s="363"/>
      <c r="L13" s="364"/>
    </row>
    <row r="14" spans="1:12" ht="90.75" thickBot="1">
      <c r="A14" s="389">
        <v>11</v>
      </c>
      <c r="B14" s="376" t="s">
        <v>289</v>
      </c>
      <c r="C14" s="365" t="s">
        <v>10</v>
      </c>
      <c r="D14" s="365" t="s">
        <v>179</v>
      </c>
      <c r="E14" s="365" t="s">
        <v>14</v>
      </c>
      <c r="F14" s="365" t="s">
        <v>15</v>
      </c>
      <c r="G14" s="365" t="s">
        <v>131</v>
      </c>
      <c r="H14" s="365" t="s">
        <v>169</v>
      </c>
      <c r="I14" s="365" t="s">
        <v>170</v>
      </c>
      <c r="J14" s="365" t="s">
        <v>284</v>
      </c>
      <c r="K14" s="365" t="s">
        <v>203</v>
      </c>
      <c r="L14" s="366"/>
    </row>
    <row r="15" spans="1:12" ht="15">
      <c r="A15" s="389">
        <v>12</v>
      </c>
      <c r="B15" s="369" t="s">
        <v>10</v>
      </c>
      <c r="C15" s="370"/>
      <c r="D15" s="371"/>
      <c r="E15" s="372" t="s">
        <v>10</v>
      </c>
      <c r="F15" s="372" t="s">
        <v>10</v>
      </c>
      <c r="G15" s="372" t="s">
        <v>10</v>
      </c>
      <c r="H15" s="372" t="s">
        <v>10</v>
      </c>
      <c r="I15" s="372" t="s">
        <v>10</v>
      </c>
      <c r="J15" s="372" t="s">
        <v>10</v>
      </c>
      <c r="K15" s="372" t="s">
        <v>10</v>
      </c>
      <c r="L15" s="373"/>
    </row>
    <row r="16" spans="1:12" ht="39">
      <c r="A16" s="389">
        <v>13</v>
      </c>
      <c r="B16" s="348" t="s">
        <v>287</v>
      </c>
      <c r="C16" s="345"/>
      <c r="D16" s="347" t="s">
        <v>290</v>
      </c>
      <c r="E16" s="404">
        <v>0.78</v>
      </c>
      <c r="F16" s="404">
        <v>0.62</v>
      </c>
      <c r="G16" s="404">
        <v>0.77</v>
      </c>
      <c r="H16" s="404">
        <v>0</v>
      </c>
      <c r="I16" s="404">
        <v>0</v>
      </c>
      <c r="J16" s="404">
        <v>0</v>
      </c>
      <c r="K16" s="404">
        <v>0</v>
      </c>
      <c r="L16" s="351"/>
    </row>
    <row r="17" spans="1:12" ht="39">
      <c r="A17" s="389">
        <v>14</v>
      </c>
      <c r="B17" s="348" t="s">
        <v>288</v>
      </c>
      <c r="C17" s="345" t="s">
        <v>10</v>
      </c>
      <c r="D17" s="347" t="s">
        <v>290</v>
      </c>
      <c r="E17" s="404">
        <v>0.5</v>
      </c>
      <c r="F17" s="404">
        <v>0.39</v>
      </c>
      <c r="G17" s="404">
        <v>0.49</v>
      </c>
      <c r="H17" s="404">
        <v>0</v>
      </c>
      <c r="I17" s="404">
        <v>0</v>
      </c>
      <c r="J17" s="404">
        <v>0</v>
      </c>
      <c r="K17" s="404">
        <v>0</v>
      </c>
      <c r="L17" s="351"/>
    </row>
    <row r="18" spans="1:12" ht="15">
      <c r="A18" s="389">
        <v>15</v>
      </c>
      <c r="B18" s="348"/>
      <c r="C18" s="345"/>
      <c r="D18" s="347"/>
      <c r="E18" s="405">
        <v>1.28</v>
      </c>
      <c r="F18" s="405">
        <v>1.01</v>
      </c>
      <c r="G18" s="405">
        <v>1.26</v>
      </c>
      <c r="H18" s="405">
        <v>0</v>
      </c>
      <c r="I18" s="405">
        <v>0</v>
      </c>
      <c r="J18" s="405">
        <v>0</v>
      </c>
      <c r="K18" s="405">
        <v>0</v>
      </c>
      <c r="L18" s="351"/>
    </row>
    <row r="19" spans="1:12" ht="15.75" thickBot="1">
      <c r="A19" s="389" t="s">
        <v>10</v>
      </c>
      <c r="B19" s="381" t="s">
        <v>10</v>
      </c>
      <c r="C19" s="382" t="s">
        <v>10</v>
      </c>
      <c r="D19" s="383" t="s">
        <v>10</v>
      </c>
      <c r="E19" s="386" t="s">
        <v>10</v>
      </c>
      <c r="F19" s="386" t="s">
        <v>10</v>
      </c>
      <c r="G19" s="387" t="s">
        <v>10</v>
      </c>
      <c r="H19" s="387" t="s">
        <v>10</v>
      </c>
      <c r="I19" s="387" t="s">
        <v>10</v>
      </c>
      <c r="J19" s="386" t="s">
        <v>10</v>
      </c>
      <c r="K19" s="387" t="s">
        <v>10</v>
      </c>
      <c r="L19" s="38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I126"/>
  <sheetViews>
    <sheetView zoomScale="70" zoomScaleNormal="70" zoomScalePageLayoutView="0" workbookViewId="0" topLeftCell="A1">
      <selection activeCell="D80" sqref="D80"/>
    </sheetView>
  </sheetViews>
  <sheetFormatPr defaultColWidth="9.140625" defaultRowHeight="15"/>
  <cols>
    <col min="1" max="1" width="4.140625" style="72" customWidth="1"/>
    <col min="2" max="2" width="72.8515625" style="72" customWidth="1"/>
    <col min="3" max="3" width="5.8515625" style="71" customWidth="1"/>
    <col min="4" max="4" width="21.421875" style="77" customWidth="1"/>
    <col min="5" max="5" width="22.7109375" style="77" customWidth="1"/>
    <col min="6" max="6" width="17.57421875" style="77" customWidth="1"/>
    <col min="7" max="7" width="22.7109375" style="77" customWidth="1"/>
    <col min="8" max="8" width="4.140625" style="77" hidden="1" customWidth="1"/>
    <col min="9" max="9" width="22.57421875" style="77" customWidth="1"/>
    <col min="10" max="10" width="25.57421875" style="73" hidden="1" customWidth="1"/>
    <col min="11" max="113" width="9.140625" style="73" customWidth="1"/>
    <col min="114" max="16384" width="9.140625" style="72" customWidth="1"/>
  </cols>
  <sheetData>
    <row r="1" spans="1:9" ht="15">
      <c r="A1" s="254"/>
      <c r="B1" s="264"/>
      <c r="C1" s="260"/>
      <c r="D1" s="255"/>
      <c r="E1" s="255"/>
      <c r="F1" s="255"/>
      <c r="G1" s="255"/>
      <c r="H1" s="255"/>
      <c r="I1" s="255"/>
    </row>
    <row r="2" spans="1:9" ht="23.25">
      <c r="A2" s="254"/>
      <c r="B2" s="328" t="s">
        <v>261</v>
      </c>
      <c r="C2" s="260"/>
      <c r="D2" s="255"/>
      <c r="E2" s="255"/>
      <c r="F2" s="255"/>
      <c r="G2" s="255"/>
      <c r="H2" s="255"/>
      <c r="I2" s="255"/>
    </row>
    <row r="3" spans="1:113" s="68" customFormat="1" ht="12" thickBot="1">
      <c r="A3" s="303"/>
      <c r="B3" s="304" t="s">
        <v>96</v>
      </c>
      <c r="C3" s="305"/>
      <c r="D3" s="306" t="s">
        <v>97</v>
      </c>
      <c r="E3" s="306" t="s">
        <v>98</v>
      </c>
      <c r="F3" s="306" t="s">
        <v>99</v>
      </c>
      <c r="G3" s="306" t="s">
        <v>100</v>
      </c>
      <c r="H3" s="306"/>
      <c r="I3" s="306" t="s">
        <v>101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</row>
    <row r="4" spans="1:9" ht="45" customHeight="1" thickBot="1">
      <c r="A4" s="254">
        <v>1</v>
      </c>
      <c r="B4" s="295" t="s">
        <v>10</v>
      </c>
      <c r="C4" s="296"/>
      <c r="D4" s="296"/>
      <c r="E4" s="297" t="s">
        <v>102</v>
      </c>
      <c r="F4" s="297"/>
      <c r="G4" s="297" t="s">
        <v>103</v>
      </c>
      <c r="H4" s="297" t="s">
        <v>104</v>
      </c>
      <c r="I4" s="298" t="s">
        <v>105</v>
      </c>
    </row>
    <row r="5" spans="1:9" ht="15.75" customHeight="1" hidden="1" thickBot="1">
      <c r="A5" s="254"/>
      <c r="B5" s="278" t="e">
        <v>#REF!</v>
      </c>
      <c r="C5" s="255"/>
      <c r="D5" s="255"/>
      <c r="E5" s="255" t="e">
        <v>#REF!</v>
      </c>
      <c r="F5" s="255"/>
      <c r="G5" s="255" t="e">
        <v>#REF!</v>
      </c>
      <c r="H5" s="255" t="e">
        <v>#REF!</v>
      </c>
      <c r="I5" s="256" t="e">
        <v>#REF!</v>
      </c>
    </row>
    <row r="6" spans="1:9" ht="15.75" customHeight="1" hidden="1" thickBot="1">
      <c r="A6" s="254"/>
      <c r="B6" s="278" t="e">
        <v>#REF!</v>
      </c>
      <c r="C6" s="255"/>
      <c r="D6" s="255"/>
      <c r="E6" s="255" t="e">
        <v>#REF!</v>
      </c>
      <c r="F6" s="255"/>
      <c r="G6" s="255" t="e">
        <v>#REF!</v>
      </c>
      <c r="H6" s="255" t="e">
        <v>#REF!</v>
      </c>
      <c r="I6" s="256" t="e">
        <v>#REF!</v>
      </c>
    </row>
    <row r="7" spans="1:9" ht="15.75" customHeight="1" hidden="1" thickBot="1">
      <c r="A7" s="254"/>
      <c r="B7" s="278" t="e">
        <v>#REF!</v>
      </c>
      <c r="C7" s="255"/>
      <c r="D7" s="255"/>
      <c r="E7" s="255" t="e">
        <v>#REF!</v>
      </c>
      <c r="F7" s="255"/>
      <c r="G7" s="255" t="e">
        <v>#REF!</v>
      </c>
      <c r="H7" s="255" t="e">
        <v>#REF!</v>
      </c>
      <c r="I7" s="256" t="e">
        <v>#REF!</v>
      </c>
    </row>
    <row r="8" spans="1:9" ht="15.75" customHeight="1" hidden="1" thickBot="1">
      <c r="A8" s="254"/>
      <c r="B8" s="278" t="e">
        <v>#REF!</v>
      </c>
      <c r="C8" s="255"/>
      <c r="D8" s="255"/>
      <c r="E8" s="255" t="e">
        <v>#REF!</v>
      </c>
      <c r="F8" s="255"/>
      <c r="G8" s="255" t="e">
        <v>#REF!</v>
      </c>
      <c r="H8" s="255" t="e">
        <v>#REF!</v>
      </c>
      <c r="I8" s="256" t="e">
        <v>#REF!</v>
      </c>
    </row>
    <row r="9" spans="1:9" ht="15.75" customHeight="1" hidden="1" thickBot="1">
      <c r="A9" s="254"/>
      <c r="B9" s="278" t="e">
        <v>#REF!</v>
      </c>
      <c r="C9" s="255"/>
      <c r="D9" s="255"/>
      <c r="E9" s="255" t="e">
        <v>#REF!</v>
      </c>
      <c r="F9" s="255"/>
      <c r="G9" s="255" t="e">
        <v>#REF!</v>
      </c>
      <c r="H9" s="255" t="e">
        <v>#REF!</v>
      </c>
      <c r="I9" s="256" t="e">
        <v>#REF!</v>
      </c>
    </row>
    <row r="10" spans="1:9" ht="15.75" customHeight="1" hidden="1" thickBot="1">
      <c r="A10" s="254"/>
      <c r="B10" s="278" t="e">
        <v>#REF!</v>
      </c>
      <c r="C10" s="255"/>
      <c r="D10" s="255"/>
      <c r="E10" s="255" t="e">
        <v>#REF!</v>
      </c>
      <c r="F10" s="255"/>
      <c r="G10" s="255" t="e">
        <v>#REF!</v>
      </c>
      <c r="H10" s="255" t="e">
        <v>#REF!</v>
      </c>
      <c r="I10" s="256" t="e">
        <v>#REF!</v>
      </c>
    </row>
    <row r="11" spans="1:9" ht="15.75" customHeight="1" hidden="1" thickBot="1">
      <c r="A11" s="254"/>
      <c r="B11" s="278" t="e">
        <v>#REF!</v>
      </c>
      <c r="C11" s="255"/>
      <c r="D11" s="255"/>
      <c r="E11" s="255" t="e">
        <v>#REF!</v>
      </c>
      <c r="F11" s="255"/>
      <c r="G11" s="255" t="e">
        <v>#REF!</v>
      </c>
      <c r="H11" s="255" t="e">
        <v>#REF!</v>
      </c>
      <c r="I11" s="256" t="e">
        <v>#REF!</v>
      </c>
    </row>
    <row r="12" spans="1:9" ht="15.75" customHeight="1" hidden="1" thickBot="1">
      <c r="A12" s="254"/>
      <c r="B12" s="278" t="e">
        <v>#REF!</v>
      </c>
      <c r="C12" s="255"/>
      <c r="D12" s="255"/>
      <c r="E12" s="255" t="e">
        <v>#REF!</v>
      </c>
      <c r="F12" s="255"/>
      <c r="G12" s="255" t="e">
        <v>#REF!</v>
      </c>
      <c r="H12" s="255" t="e">
        <v>#REF!</v>
      </c>
      <c r="I12" s="256" t="e">
        <v>#REF!</v>
      </c>
    </row>
    <row r="13" spans="1:9" ht="15.75" customHeight="1" hidden="1" thickBot="1">
      <c r="A13" s="254"/>
      <c r="B13" s="278" t="e">
        <v>#REF!</v>
      </c>
      <c r="C13" s="255"/>
      <c r="D13" s="255"/>
      <c r="E13" s="255" t="e">
        <v>#REF!</v>
      </c>
      <c r="F13" s="255"/>
      <c r="G13" s="255" t="e">
        <v>#REF!</v>
      </c>
      <c r="H13" s="255" t="e">
        <v>#REF!</v>
      </c>
      <c r="I13" s="256" t="e">
        <v>#REF!</v>
      </c>
    </row>
    <row r="14" spans="1:9" ht="15.75" customHeight="1" hidden="1" thickBot="1">
      <c r="A14" s="254"/>
      <c r="B14" s="278" t="e">
        <v>#REF!</v>
      </c>
      <c r="C14" s="255"/>
      <c r="D14" s="255"/>
      <c r="E14" s="255" t="e">
        <v>#REF!</v>
      </c>
      <c r="F14" s="255"/>
      <c r="G14" s="255" t="e">
        <v>#REF!</v>
      </c>
      <c r="H14" s="255" t="e">
        <v>#REF!</v>
      </c>
      <c r="I14" s="256" t="e">
        <v>#REF!</v>
      </c>
    </row>
    <row r="15" spans="1:9" ht="15.75" customHeight="1" hidden="1" thickBot="1">
      <c r="A15" s="254"/>
      <c r="B15" s="278" t="e">
        <v>#REF!</v>
      </c>
      <c r="C15" s="255"/>
      <c r="D15" s="255"/>
      <c r="E15" s="255" t="e">
        <v>#REF!</v>
      </c>
      <c r="F15" s="255"/>
      <c r="G15" s="255" t="e">
        <v>#REF!</v>
      </c>
      <c r="H15" s="255" t="e">
        <v>#REF!</v>
      </c>
      <c r="I15" s="256" t="e">
        <v>#REF!</v>
      </c>
    </row>
    <row r="16" spans="1:9" ht="15.75" customHeight="1" hidden="1" thickBot="1">
      <c r="A16" s="254"/>
      <c r="B16" s="278" t="e">
        <v>#REF!</v>
      </c>
      <c r="C16" s="255"/>
      <c r="D16" s="255"/>
      <c r="E16" s="255" t="e">
        <v>#REF!</v>
      </c>
      <c r="F16" s="255"/>
      <c r="G16" s="255" t="e">
        <v>#REF!</v>
      </c>
      <c r="H16" s="255" t="e">
        <v>#REF!</v>
      </c>
      <c r="I16" s="256" t="e">
        <v>#REF!</v>
      </c>
    </row>
    <row r="17" spans="1:9" ht="15.75">
      <c r="A17" s="254">
        <v>2</v>
      </c>
      <c r="B17" s="301" t="s">
        <v>253</v>
      </c>
      <c r="C17" s="299"/>
      <c r="D17" s="300"/>
      <c r="E17" s="311">
        <v>46561819.94610132</v>
      </c>
      <c r="F17" s="310"/>
      <c r="G17" s="311">
        <v>45944718.15172207</v>
      </c>
      <c r="H17" s="310"/>
      <c r="I17" s="312">
        <v>46960526.50091091</v>
      </c>
    </row>
    <row r="18" spans="1:9" ht="15.75">
      <c r="A18" s="254">
        <v>3</v>
      </c>
      <c r="B18" s="265" t="s">
        <v>262</v>
      </c>
      <c r="C18" s="271"/>
      <c r="D18" s="272"/>
      <c r="E18" s="329">
        <v>3.22</v>
      </c>
      <c r="F18" s="330"/>
      <c r="G18" s="329">
        <v>0.79</v>
      </c>
      <c r="H18" s="330"/>
      <c r="I18" s="331">
        <v>1.77</v>
      </c>
    </row>
    <row r="19" spans="1:9" ht="16.5" thickBot="1">
      <c r="A19" s="254">
        <v>4</v>
      </c>
      <c r="B19" s="281" t="s">
        <v>106</v>
      </c>
      <c r="C19" s="279"/>
      <c r="D19" s="280"/>
      <c r="E19" s="321">
        <v>149929060.22644627</v>
      </c>
      <c r="F19" s="294"/>
      <c r="G19" s="321">
        <v>36296327.33986044</v>
      </c>
      <c r="H19" s="294"/>
      <c r="I19" s="324">
        <v>83120131.9066123</v>
      </c>
    </row>
    <row r="20" spans="1:9" ht="31.5" customHeight="1" thickBot="1">
      <c r="A20" s="254"/>
      <c r="B20" s="264"/>
      <c r="C20" s="260"/>
      <c r="D20" s="255"/>
      <c r="E20" s="264"/>
      <c r="F20" s="264"/>
      <c r="G20" s="264"/>
      <c r="H20" s="264"/>
      <c r="I20" s="264"/>
    </row>
    <row r="21" spans="1:9" ht="36.75" thickBot="1">
      <c r="A21" s="254">
        <v>5</v>
      </c>
      <c r="B21" s="1107" t="s">
        <v>264</v>
      </c>
      <c r="C21" s="1108"/>
      <c r="D21" s="307" t="s">
        <v>107</v>
      </c>
      <c r="E21" s="287" t="s">
        <v>108</v>
      </c>
      <c r="F21" s="307" t="s">
        <v>109</v>
      </c>
      <c r="G21" s="288" t="s">
        <v>110</v>
      </c>
      <c r="H21" s="288"/>
      <c r="I21" s="289" t="s">
        <v>111</v>
      </c>
    </row>
    <row r="22" spans="1:9" ht="15">
      <c r="A22" s="254">
        <v>6</v>
      </c>
      <c r="B22" s="261" t="s">
        <v>112</v>
      </c>
      <c r="C22" s="262"/>
      <c r="D22" s="313">
        <v>0.23993245136080008</v>
      </c>
      <c r="E22" s="319">
        <v>35972846.95035228</v>
      </c>
      <c r="F22" s="313">
        <v>0.24478186596550458</v>
      </c>
      <c r="G22" s="319">
        <v>8884682.733945798</v>
      </c>
      <c r="H22" s="263"/>
      <c r="I22" s="322">
        <v>20346300.987399433</v>
      </c>
    </row>
    <row r="23" spans="1:9" ht="15">
      <c r="A23" s="254">
        <v>7</v>
      </c>
      <c r="B23" s="261" t="s">
        <v>113</v>
      </c>
      <c r="C23" s="262"/>
      <c r="D23" s="313">
        <v>0.09959506199808951</v>
      </c>
      <c r="E23" s="319">
        <v>14932194.048568213</v>
      </c>
      <c r="F23" s="313">
        <v>0.09479955200269605</v>
      </c>
      <c r="G23" s="319">
        <v>3440875.571161978</v>
      </c>
      <c r="H23" s="263"/>
      <c r="I23" s="322">
        <v>7879751.267151848</v>
      </c>
    </row>
    <row r="24" spans="1:9" ht="15">
      <c r="A24" s="254">
        <v>8</v>
      </c>
      <c r="B24" s="261" t="s">
        <v>114</v>
      </c>
      <c r="C24" s="262"/>
      <c r="D24" s="313">
        <v>0.41434798950687063</v>
      </c>
      <c r="E24" s="319">
        <v>62122804.67348254</v>
      </c>
      <c r="F24" s="313">
        <v>0.4077662668367827</v>
      </c>
      <c r="G24" s="319">
        <v>14800417.899260743</v>
      </c>
      <c r="H24" s="263"/>
      <c r="I24" s="322">
        <v>33893585.88654025</v>
      </c>
    </row>
    <row r="25" spans="1:9" ht="15">
      <c r="A25" s="254">
        <v>9</v>
      </c>
      <c r="B25" s="261" t="s">
        <v>115</v>
      </c>
      <c r="C25" s="262"/>
      <c r="D25" s="313">
        <v>0.1571336245278552</v>
      </c>
      <c r="E25" s="319">
        <v>23558896.655436598</v>
      </c>
      <c r="F25" s="313">
        <v>0.16020354809830223</v>
      </c>
      <c r="G25" s="319">
        <v>5814800.422783054</v>
      </c>
      <c r="H25" s="263"/>
      <c r="I25" s="322">
        <v>13316140.04983819</v>
      </c>
    </row>
    <row r="26" spans="1:9" ht="15">
      <c r="A26" s="254">
        <v>10</v>
      </c>
      <c r="B26" s="261" t="s">
        <v>116</v>
      </c>
      <c r="C26" s="262"/>
      <c r="D26" s="313">
        <v>0.08405467562190204</v>
      </c>
      <c r="E26" s="319">
        <v>12602238.523630556</v>
      </c>
      <c r="F26" s="313">
        <v>0.08437294824845759</v>
      </c>
      <c r="G26" s="319">
        <v>3062428.1482551214</v>
      </c>
      <c r="H26" s="263"/>
      <c r="I26" s="322">
        <v>7013090.587761569</v>
      </c>
    </row>
    <row r="27" spans="1:9" ht="15">
      <c r="A27" s="254">
        <v>11</v>
      </c>
      <c r="B27" s="261" t="s">
        <v>117</v>
      </c>
      <c r="C27" s="262"/>
      <c r="D27" s="313">
        <v>0.0032277436408683254</v>
      </c>
      <c r="E27" s="319">
        <v>483932.5707272761</v>
      </c>
      <c r="F27" s="313">
        <v>0.006329829851817447</v>
      </c>
      <c r="G27" s="319">
        <v>229749.57630718633</v>
      </c>
      <c r="H27" s="263"/>
      <c r="I27" s="322">
        <v>526136.2922294784</v>
      </c>
    </row>
    <row r="28" spans="1:9" ht="15">
      <c r="A28" s="254">
        <v>12</v>
      </c>
      <c r="B28" s="261" t="s">
        <v>118</v>
      </c>
      <c r="C28" s="262"/>
      <c r="D28" s="313">
        <v>0.0017084533436142063</v>
      </c>
      <c r="E28" s="320">
        <v>256146.80424880784</v>
      </c>
      <c r="F28" s="313">
        <v>0.0017459889964394544</v>
      </c>
      <c r="G28" s="320">
        <v>63372.988146560856</v>
      </c>
      <c r="H28" s="263"/>
      <c r="I28" s="323">
        <v>145126.83569154108</v>
      </c>
    </row>
    <row r="29" spans="1:9" ht="16.5" thickBot="1">
      <c r="A29" s="254">
        <v>13</v>
      </c>
      <c r="B29" s="286"/>
      <c r="C29" s="285"/>
      <c r="D29" s="314">
        <v>1</v>
      </c>
      <c r="E29" s="321">
        <v>149929060.2264463</v>
      </c>
      <c r="F29" s="314">
        <v>1</v>
      </c>
      <c r="G29" s="321">
        <v>36296327.33986044</v>
      </c>
      <c r="H29" s="294"/>
      <c r="I29" s="324">
        <v>83120131.90661229</v>
      </c>
    </row>
    <row r="30" spans="1:9" ht="15.75">
      <c r="A30" s="254"/>
      <c r="B30" s="276"/>
      <c r="C30" s="271"/>
      <c r="D30" s="277"/>
      <c r="E30" s="274"/>
      <c r="F30" s="277"/>
      <c r="G30" s="274"/>
      <c r="H30" s="275"/>
      <c r="I30" s="274"/>
    </row>
    <row r="31" spans="1:9" ht="15.75">
      <c r="A31" s="254"/>
      <c r="B31" s="276"/>
      <c r="C31" s="271"/>
      <c r="D31" s="277"/>
      <c r="E31" s="274"/>
      <c r="F31" s="277"/>
      <c r="G31" s="274"/>
      <c r="H31" s="275"/>
      <c r="I31" s="274"/>
    </row>
    <row r="32" spans="1:9" ht="15.75">
      <c r="A32" s="254"/>
      <c r="B32" s="276"/>
      <c r="C32" s="271"/>
      <c r="D32" s="277"/>
      <c r="E32" s="273"/>
      <c r="F32" s="277"/>
      <c r="G32" s="274"/>
      <c r="H32" s="275"/>
      <c r="I32" s="274"/>
    </row>
    <row r="33" spans="1:9" ht="23.25">
      <c r="A33" s="254"/>
      <c r="B33" s="328" t="s">
        <v>263</v>
      </c>
      <c r="C33" s="260"/>
      <c r="D33" s="255"/>
      <c r="E33" s="255"/>
      <c r="F33" s="255"/>
      <c r="G33" s="255"/>
      <c r="H33" s="255"/>
      <c r="I33" s="255"/>
    </row>
    <row r="34" spans="1:113" s="68" customFormat="1" ht="12" thickBot="1">
      <c r="A34" s="303"/>
      <c r="B34" s="304" t="s">
        <v>96</v>
      </c>
      <c r="C34" s="305"/>
      <c r="D34" s="306" t="s">
        <v>97</v>
      </c>
      <c r="E34" s="306" t="s">
        <v>98</v>
      </c>
      <c r="F34" s="306" t="s">
        <v>99</v>
      </c>
      <c r="G34" s="306" t="s">
        <v>100</v>
      </c>
      <c r="H34" s="306"/>
      <c r="I34" s="306" t="s">
        <v>101</v>
      </c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</row>
    <row r="35" spans="1:9" ht="36.75" thickBot="1">
      <c r="A35" s="254">
        <v>14</v>
      </c>
      <c r="B35" s="1109" t="s">
        <v>119</v>
      </c>
      <c r="C35" s="1110"/>
      <c r="D35" s="308" t="s">
        <v>120</v>
      </c>
      <c r="E35" s="287" t="s">
        <v>108</v>
      </c>
      <c r="F35" s="308" t="s">
        <v>120</v>
      </c>
      <c r="G35" s="288" t="s">
        <v>110</v>
      </c>
      <c r="H35" s="288"/>
      <c r="I35" s="289" t="s">
        <v>111</v>
      </c>
    </row>
    <row r="36" spans="1:9" ht="15">
      <c r="A36" s="254">
        <v>15</v>
      </c>
      <c r="B36" s="261" t="s">
        <v>112</v>
      </c>
      <c r="C36" s="302"/>
      <c r="D36" s="315">
        <v>5226697927.114006</v>
      </c>
      <c r="E36" s="332">
        <v>0.006882518839234926</v>
      </c>
      <c r="F36" s="315">
        <v>5226697927.114006</v>
      </c>
      <c r="G36" s="332">
        <v>0.001699865356261673</v>
      </c>
      <c r="H36" s="333"/>
      <c r="I36" s="334">
        <v>0.003892763896273976</v>
      </c>
    </row>
    <row r="37" spans="1:9" ht="15">
      <c r="A37" s="254">
        <v>16</v>
      </c>
      <c r="B37" s="261" t="s">
        <v>113</v>
      </c>
      <c r="C37" s="262"/>
      <c r="D37" s="316">
        <v>2149414385.4183755</v>
      </c>
      <c r="E37" s="332">
        <v>0.006947098777168423</v>
      </c>
      <c r="F37" s="316">
        <v>2149414385.4183755</v>
      </c>
      <c r="G37" s="332">
        <v>0.0016008432782923913</v>
      </c>
      <c r="H37" s="333"/>
      <c r="I37" s="334">
        <v>0.003665999130092397</v>
      </c>
    </row>
    <row r="38" spans="1:9" ht="15">
      <c r="A38" s="254">
        <v>17</v>
      </c>
      <c r="B38" s="261" t="s">
        <v>114</v>
      </c>
      <c r="C38" s="262"/>
      <c r="D38" s="316">
        <v>24423650.828091964</v>
      </c>
      <c r="E38" s="325">
        <v>2.5435511304489005</v>
      </c>
      <c r="F38" s="316">
        <v>24677088.360599495</v>
      </c>
      <c r="G38" s="325">
        <v>0.5997635411028365</v>
      </c>
      <c r="H38" s="335"/>
      <c r="I38" s="326">
        <v>1.3734839941918031</v>
      </c>
    </row>
    <row r="39" spans="1:9" ht="15">
      <c r="A39" s="254">
        <v>18</v>
      </c>
      <c r="B39" s="261" t="s">
        <v>115</v>
      </c>
      <c r="C39" s="262"/>
      <c r="D39" s="316">
        <v>9591990.555615608</v>
      </c>
      <c r="E39" s="325">
        <v>2.4561009019805695</v>
      </c>
      <c r="F39" s="316">
        <v>9699124.386155307</v>
      </c>
      <c r="G39" s="325">
        <v>0.5995180792900437</v>
      </c>
      <c r="H39" s="335"/>
      <c r="I39" s="326">
        <v>1.3729218762103796</v>
      </c>
    </row>
    <row r="40" spans="1:9" ht="15">
      <c r="A40" s="254">
        <v>19</v>
      </c>
      <c r="B40" s="261" t="s">
        <v>116</v>
      </c>
      <c r="C40" s="262"/>
      <c r="D40" s="316">
        <v>4733759.220641438</v>
      </c>
      <c r="E40" s="325">
        <v>2.6622052234255627</v>
      </c>
      <c r="F40" s="316">
        <v>4823958.44217044</v>
      </c>
      <c r="G40" s="325">
        <v>0.6348371746911744</v>
      </c>
      <c r="H40" s="335"/>
      <c r="I40" s="326">
        <v>1.4538041054529014</v>
      </c>
    </row>
    <row r="41" spans="1:9" ht="15">
      <c r="A41" s="254">
        <v>20</v>
      </c>
      <c r="B41" s="261" t="s">
        <v>117</v>
      </c>
      <c r="C41" s="262"/>
      <c r="D41" s="316">
        <v>215143</v>
      </c>
      <c r="E41" s="325">
        <v>2.249353084819288</v>
      </c>
      <c r="F41" s="316">
        <v>322725</v>
      </c>
      <c r="G41" s="325">
        <v>0.711905109015993</v>
      </c>
      <c r="H41" s="335"/>
      <c r="I41" s="326">
        <v>1.63029294981634</v>
      </c>
    </row>
    <row r="42" spans="1:9" ht="15.75" thickBot="1">
      <c r="A42" s="254">
        <v>21</v>
      </c>
      <c r="B42" s="292" t="s">
        <v>118</v>
      </c>
      <c r="C42" s="293"/>
      <c r="D42" s="317">
        <v>54056157.14984257</v>
      </c>
      <c r="E42" s="336">
        <v>0.004738531515267985</v>
      </c>
      <c r="F42" s="317">
        <v>54056157.14984257</v>
      </c>
      <c r="G42" s="336">
        <v>0.0011723546675893408</v>
      </c>
      <c r="H42" s="337"/>
      <c r="I42" s="338">
        <v>0.0026847420043058638</v>
      </c>
    </row>
    <row r="43" spans="1:9" ht="19.5" customHeight="1" thickBot="1">
      <c r="A43" s="254"/>
      <c r="B43" s="309"/>
      <c r="C43" s="262"/>
      <c r="D43" s="266" t="s">
        <v>10</v>
      </c>
      <c r="E43" s="268"/>
      <c r="F43" s="266" t="s">
        <v>10</v>
      </c>
      <c r="G43" s="268"/>
      <c r="H43" s="263"/>
      <c r="I43" s="268"/>
    </row>
    <row r="44" spans="1:9" ht="36.75" thickBot="1">
      <c r="A44" s="254">
        <v>22</v>
      </c>
      <c r="B44" s="1111" t="s">
        <v>265</v>
      </c>
      <c r="C44" s="1112"/>
      <c r="D44" s="327" t="s">
        <v>10</v>
      </c>
      <c r="E44" s="287" t="s">
        <v>10</v>
      </c>
      <c r="F44" s="307" t="s">
        <v>120</v>
      </c>
      <c r="G44" s="288" t="s">
        <v>110</v>
      </c>
      <c r="H44" s="288"/>
      <c r="I44" s="289" t="s">
        <v>111</v>
      </c>
    </row>
    <row r="45" spans="1:9" ht="15">
      <c r="A45" s="254">
        <v>23</v>
      </c>
      <c r="B45" s="261" t="s">
        <v>112</v>
      </c>
      <c r="C45" s="262"/>
      <c r="D45" s="319">
        <v>-2058864.1911457144</v>
      </c>
      <c r="E45" s="267"/>
      <c r="F45" s="316">
        <v>5226697927.114006</v>
      </c>
      <c r="G45" s="325">
        <v>-0.0003939129867186614</v>
      </c>
      <c r="H45" s="263"/>
      <c r="I45" s="290"/>
    </row>
    <row r="46" spans="1:9" ht="15">
      <c r="A46" s="254">
        <v>24</v>
      </c>
      <c r="B46" s="261" t="s">
        <v>113</v>
      </c>
      <c r="C46" s="262"/>
      <c r="D46" s="319">
        <v>-797360.5486875084</v>
      </c>
      <c r="E46" s="267"/>
      <c r="F46" s="316">
        <v>2149414385.4183755</v>
      </c>
      <c r="G46" s="325">
        <v>-0.00037096641489737923</v>
      </c>
      <c r="H46" s="263"/>
      <c r="I46" s="290"/>
    </row>
    <row r="47" spans="1:9" ht="15">
      <c r="A47" s="254">
        <v>25</v>
      </c>
      <c r="B47" s="261" t="s">
        <v>114</v>
      </c>
      <c r="C47" s="262"/>
      <c r="D47" s="319">
        <v>-3429728.5946244486</v>
      </c>
      <c r="E47" s="269"/>
      <c r="F47" s="316">
        <v>24677088.360599495</v>
      </c>
      <c r="G47" s="325">
        <v>-0.13898433010032502</v>
      </c>
      <c r="H47" s="270"/>
      <c r="I47" s="291"/>
    </row>
    <row r="48" spans="1:9" ht="15">
      <c r="A48" s="254">
        <v>26</v>
      </c>
      <c r="B48" s="261" t="s">
        <v>115</v>
      </c>
      <c r="C48" s="262"/>
      <c r="D48" s="319">
        <v>-1347474.6063115897</v>
      </c>
      <c r="E48" s="269"/>
      <c r="F48" s="316">
        <v>9699124.386155307</v>
      </c>
      <c r="G48" s="325">
        <v>-0.13892744877413857</v>
      </c>
      <c r="H48" s="270"/>
      <c r="I48" s="291"/>
    </row>
    <row r="49" spans="1:9" ht="15">
      <c r="A49" s="254">
        <v>27</v>
      </c>
      <c r="B49" s="261" t="s">
        <v>116</v>
      </c>
      <c r="C49" s="262"/>
      <c r="D49" s="319">
        <v>-709662.2176849488</v>
      </c>
      <c r="E49" s="269"/>
      <c r="F49" s="316">
        <v>4823958.44217044</v>
      </c>
      <c r="G49" s="325">
        <v>-0.14711200898439974</v>
      </c>
      <c r="H49" s="270"/>
      <c r="I49" s="291"/>
    </row>
    <row r="50" spans="1:9" ht="15">
      <c r="A50" s="254">
        <v>28</v>
      </c>
      <c r="B50" s="261" t="s">
        <v>117</v>
      </c>
      <c r="C50" s="262"/>
      <c r="D50" s="319">
        <v>-53240.30016091417</v>
      </c>
      <c r="E50" s="269"/>
      <c r="F50" s="316">
        <v>322725</v>
      </c>
      <c r="G50" s="325">
        <v>-0.16497110592893074</v>
      </c>
      <c r="H50" s="270"/>
      <c r="I50" s="291"/>
    </row>
    <row r="51" spans="1:9" ht="15">
      <c r="A51" s="254">
        <v>29</v>
      </c>
      <c r="B51" s="261" t="s">
        <v>118</v>
      </c>
      <c r="C51" s="262"/>
      <c r="D51" s="319">
        <v>-14685.541384876193</v>
      </c>
      <c r="E51" s="267"/>
      <c r="F51" s="316">
        <v>54056157.14984257</v>
      </c>
      <c r="G51" s="325">
        <v>-0.00027167194560590333</v>
      </c>
      <c r="H51" s="263"/>
      <c r="I51" s="290"/>
    </row>
    <row r="52" spans="1:10" ht="16.5" thickBot="1">
      <c r="A52" s="254">
        <v>30</v>
      </c>
      <c r="B52" s="286"/>
      <c r="C52" s="285"/>
      <c r="D52" s="321">
        <v>-8411016</v>
      </c>
      <c r="E52" s="318" t="s">
        <v>10</v>
      </c>
      <c r="F52" s="317" t="s">
        <v>10</v>
      </c>
      <c r="G52" s="282" t="s">
        <v>10</v>
      </c>
      <c r="H52" s="283"/>
      <c r="I52" s="284" t="s">
        <v>10</v>
      </c>
      <c r="J52" s="74">
        <v>-8151721.966799999</v>
      </c>
    </row>
    <row r="53" spans="1:9" ht="24" customHeight="1" thickBot="1">
      <c r="A53" s="254"/>
      <c r="B53" s="257"/>
      <c r="C53" s="258"/>
      <c r="D53" s="321" t="s">
        <v>10</v>
      </c>
      <c r="E53" s="259"/>
      <c r="F53" s="259"/>
      <c r="G53" s="259"/>
      <c r="H53" s="259"/>
      <c r="I53" s="259"/>
    </row>
    <row r="54" spans="1:9" ht="51.75" customHeight="1" thickBot="1">
      <c r="A54" s="254">
        <v>31</v>
      </c>
      <c r="B54" s="1111" t="s">
        <v>266</v>
      </c>
      <c r="C54" s="1112"/>
      <c r="D54" s="307" t="s">
        <v>10</v>
      </c>
      <c r="E54" s="287" t="s">
        <v>108</v>
      </c>
      <c r="F54" s="307" t="s">
        <v>10</v>
      </c>
      <c r="G54" s="288" t="s">
        <v>110</v>
      </c>
      <c r="H54" s="288"/>
      <c r="I54" s="289" t="s">
        <v>111</v>
      </c>
    </row>
    <row r="55" spans="1:10" ht="15">
      <c r="A55" s="254">
        <v>32</v>
      </c>
      <c r="B55" s="339" t="s">
        <v>112</v>
      </c>
      <c r="C55" s="302"/>
      <c r="D55" s="315" t="s">
        <v>121</v>
      </c>
      <c r="E55" s="340">
        <v>0.00688</v>
      </c>
      <c r="F55" s="315"/>
      <c r="G55" s="340">
        <v>0.00131</v>
      </c>
      <c r="H55" s="341"/>
      <c r="I55" s="342">
        <v>0.00389</v>
      </c>
      <c r="J55" s="76">
        <v>0.00487</v>
      </c>
    </row>
    <row r="56" spans="1:10" ht="15">
      <c r="A56" s="254">
        <v>33</v>
      </c>
      <c r="B56" s="261" t="s">
        <v>113</v>
      </c>
      <c r="C56" s="262"/>
      <c r="D56" s="316" t="s">
        <v>121</v>
      </c>
      <c r="E56" s="332">
        <v>0.00695</v>
      </c>
      <c r="F56" s="316"/>
      <c r="G56" s="332">
        <v>0.00123</v>
      </c>
      <c r="H56" s="333"/>
      <c r="I56" s="334">
        <v>0.00367</v>
      </c>
      <c r="J56" s="76">
        <v>0.0044</v>
      </c>
    </row>
    <row r="57" spans="1:10" ht="15">
      <c r="A57" s="254">
        <v>34</v>
      </c>
      <c r="B57" s="261" t="s">
        <v>114</v>
      </c>
      <c r="C57" s="262"/>
      <c r="D57" s="316" t="s">
        <v>122</v>
      </c>
      <c r="E57" s="325">
        <v>2.5087</v>
      </c>
      <c r="F57" s="316"/>
      <c r="G57" s="325">
        <v>0.4545</v>
      </c>
      <c r="H57" s="335"/>
      <c r="I57" s="326">
        <v>1.3547</v>
      </c>
      <c r="J57" s="76">
        <v>1.6747</v>
      </c>
    </row>
    <row r="58" spans="1:10" ht="15">
      <c r="A58" s="254">
        <v>35</v>
      </c>
      <c r="B58" s="261" t="s">
        <v>115</v>
      </c>
      <c r="C58" s="262"/>
      <c r="D58" s="316" t="s">
        <v>122</v>
      </c>
      <c r="E58" s="325">
        <v>2.4225</v>
      </c>
      <c r="F58" s="316"/>
      <c r="G58" s="325">
        <v>0.4543</v>
      </c>
      <c r="H58" s="335"/>
      <c r="I58" s="326">
        <v>1.3541</v>
      </c>
      <c r="J58" s="76">
        <v>1.6728999999999998</v>
      </c>
    </row>
    <row r="59" spans="1:10" ht="15">
      <c r="A59" s="254">
        <v>36</v>
      </c>
      <c r="B59" s="261" t="s">
        <v>116</v>
      </c>
      <c r="C59" s="262"/>
      <c r="D59" s="316" t="s">
        <v>122</v>
      </c>
      <c r="E59" s="325">
        <v>2.6257</v>
      </c>
      <c r="F59" s="316"/>
      <c r="G59" s="325">
        <v>0.481</v>
      </c>
      <c r="H59" s="335"/>
      <c r="I59" s="326">
        <v>1.4339</v>
      </c>
      <c r="J59" s="76">
        <v>1.8586</v>
      </c>
    </row>
    <row r="60" spans="1:10" ht="15">
      <c r="A60" s="254">
        <v>37</v>
      </c>
      <c r="B60" s="261" t="s">
        <v>117</v>
      </c>
      <c r="C60" s="262"/>
      <c r="D60" s="316" t="s">
        <v>122</v>
      </c>
      <c r="E60" s="325">
        <v>2.2185</v>
      </c>
      <c r="F60" s="316"/>
      <c r="G60" s="325">
        <v>0.5394</v>
      </c>
      <c r="H60" s="335"/>
      <c r="I60" s="326">
        <v>1.608</v>
      </c>
      <c r="J60" s="76">
        <v>1.9968000000000001</v>
      </c>
    </row>
    <row r="61" spans="1:10" ht="15.75" thickBot="1">
      <c r="A61" s="254">
        <v>38</v>
      </c>
      <c r="B61" s="292" t="s">
        <v>118</v>
      </c>
      <c r="C61" s="293"/>
      <c r="D61" s="317" t="s">
        <v>121</v>
      </c>
      <c r="E61" s="336">
        <v>0.00474</v>
      </c>
      <c r="F61" s="317"/>
      <c r="G61" s="336">
        <v>0.0009</v>
      </c>
      <c r="H61" s="337"/>
      <c r="I61" s="338">
        <v>0.00268</v>
      </c>
      <c r="J61" s="76">
        <v>0.0030800000000000003</v>
      </c>
    </row>
    <row r="62" spans="3:9" s="73" customFormat="1" ht="15">
      <c r="C62" s="70"/>
      <c r="D62" s="75"/>
      <c r="E62" s="75"/>
      <c r="F62" s="75"/>
      <c r="G62" s="75"/>
      <c r="H62" s="75"/>
      <c r="I62" s="75"/>
    </row>
    <row r="63" spans="3:9" s="73" customFormat="1" ht="15">
      <c r="C63" s="70"/>
      <c r="D63" s="75"/>
      <c r="E63" s="75"/>
      <c r="F63" s="75"/>
      <c r="G63" s="75"/>
      <c r="H63" s="75"/>
      <c r="I63" s="75"/>
    </row>
    <row r="64" spans="3:9" s="73" customFormat="1" ht="15">
      <c r="C64" s="70"/>
      <c r="D64" s="75"/>
      <c r="E64" s="75"/>
      <c r="F64" s="75"/>
      <c r="G64" s="75"/>
      <c r="H64" s="75"/>
      <c r="I64" s="75"/>
    </row>
    <row r="65" spans="3:9" s="73" customFormat="1" ht="15">
      <c r="C65" s="70"/>
      <c r="D65" s="75"/>
      <c r="E65" s="75"/>
      <c r="F65" s="75"/>
      <c r="G65" s="75"/>
      <c r="H65" s="75"/>
      <c r="I65" s="75"/>
    </row>
    <row r="66" spans="3:9" s="73" customFormat="1" ht="15">
      <c r="C66" s="70"/>
      <c r="D66" s="75"/>
      <c r="E66" s="75"/>
      <c r="F66" s="75"/>
      <c r="G66" s="75"/>
      <c r="H66" s="75"/>
      <c r="I66" s="75"/>
    </row>
    <row r="67" spans="3:9" s="73" customFormat="1" ht="15">
      <c r="C67" s="70"/>
      <c r="D67" s="75"/>
      <c r="E67" s="75"/>
      <c r="F67" s="75"/>
      <c r="G67" s="75"/>
      <c r="H67" s="75"/>
      <c r="I67" s="75"/>
    </row>
    <row r="68" spans="3:9" s="73" customFormat="1" ht="15">
      <c r="C68" s="70"/>
      <c r="D68" s="75"/>
      <c r="E68" s="75"/>
      <c r="F68" s="75"/>
      <c r="G68" s="75"/>
      <c r="H68" s="75"/>
      <c r="I68" s="75"/>
    </row>
    <row r="69" spans="3:9" s="73" customFormat="1" ht="15">
      <c r="C69" s="70"/>
      <c r="D69" s="75"/>
      <c r="E69" s="75"/>
      <c r="F69" s="75"/>
      <c r="G69" s="75"/>
      <c r="H69" s="75"/>
      <c r="I69" s="75"/>
    </row>
    <row r="70" spans="3:9" s="73" customFormat="1" ht="15">
      <c r="C70" s="70"/>
      <c r="D70" s="75"/>
      <c r="E70" s="75"/>
      <c r="F70" s="75"/>
      <c r="G70" s="75"/>
      <c r="H70" s="75"/>
      <c r="I70" s="75"/>
    </row>
    <row r="71" spans="3:9" s="73" customFormat="1" ht="15">
      <c r="C71" s="70"/>
      <c r="D71" s="75"/>
      <c r="E71" s="75"/>
      <c r="F71" s="75"/>
      <c r="G71" s="75"/>
      <c r="H71" s="75"/>
      <c r="I71" s="75"/>
    </row>
    <row r="72" spans="3:9" s="73" customFormat="1" ht="15">
      <c r="C72" s="70"/>
      <c r="D72" s="75"/>
      <c r="E72" s="75"/>
      <c r="F72" s="75"/>
      <c r="G72" s="75"/>
      <c r="H72" s="75"/>
      <c r="I72" s="75"/>
    </row>
    <row r="73" spans="3:9" s="73" customFormat="1" ht="15">
      <c r="C73" s="70"/>
      <c r="D73" s="75"/>
      <c r="E73" s="75"/>
      <c r="F73" s="75"/>
      <c r="G73" s="75"/>
      <c r="H73" s="75"/>
      <c r="I73" s="75"/>
    </row>
    <row r="74" spans="3:9" s="73" customFormat="1" ht="15">
      <c r="C74" s="70"/>
      <c r="D74" s="75"/>
      <c r="E74" s="75"/>
      <c r="F74" s="75"/>
      <c r="G74" s="75"/>
      <c r="H74" s="75"/>
      <c r="I74" s="75"/>
    </row>
    <row r="75" spans="3:9" s="73" customFormat="1" ht="15">
      <c r="C75" s="70"/>
      <c r="D75" s="75"/>
      <c r="E75" s="75"/>
      <c r="F75" s="75"/>
      <c r="G75" s="75"/>
      <c r="H75" s="75"/>
      <c r="I75" s="75"/>
    </row>
    <row r="76" spans="3:9" s="73" customFormat="1" ht="15">
      <c r="C76" s="70"/>
      <c r="D76" s="75"/>
      <c r="E76" s="75"/>
      <c r="F76" s="75"/>
      <c r="G76" s="75"/>
      <c r="H76" s="75"/>
      <c r="I76" s="75"/>
    </row>
    <row r="77" spans="3:9" s="73" customFormat="1" ht="15">
      <c r="C77" s="70"/>
      <c r="D77" s="75"/>
      <c r="E77" s="75"/>
      <c r="F77" s="75"/>
      <c r="G77" s="75"/>
      <c r="H77" s="75"/>
      <c r="I77" s="75"/>
    </row>
    <row r="78" spans="3:9" s="73" customFormat="1" ht="15">
      <c r="C78" s="70"/>
      <c r="D78" s="75"/>
      <c r="E78" s="75"/>
      <c r="F78" s="75"/>
      <c r="G78" s="75"/>
      <c r="H78" s="75"/>
      <c r="I78" s="75"/>
    </row>
    <row r="79" spans="3:9" s="73" customFormat="1" ht="15">
      <c r="C79" s="70"/>
      <c r="D79" s="75"/>
      <c r="E79" s="75"/>
      <c r="F79" s="75"/>
      <c r="G79" s="75"/>
      <c r="H79" s="75"/>
      <c r="I79" s="75"/>
    </row>
    <row r="80" spans="3:9" s="73" customFormat="1" ht="15">
      <c r="C80" s="70"/>
      <c r="D80" s="75"/>
      <c r="E80" s="75"/>
      <c r="F80" s="75"/>
      <c r="G80" s="75"/>
      <c r="H80" s="75"/>
      <c r="I80" s="75"/>
    </row>
    <row r="81" spans="3:9" s="73" customFormat="1" ht="15">
      <c r="C81" s="70"/>
      <c r="D81" s="75"/>
      <c r="E81" s="75"/>
      <c r="F81" s="75"/>
      <c r="G81" s="75"/>
      <c r="H81" s="75"/>
      <c r="I81" s="75"/>
    </row>
    <row r="82" spans="3:9" s="73" customFormat="1" ht="15">
      <c r="C82" s="70"/>
      <c r="D82" s="75"/>
      <c r="E82" s="75"/>
      <c r="F82" s="75"/>
      <c r="G82" s="75"/>
      <c r="H82" s="75"/>
      <c r="I82" s="75"/>
    </row>
    <row r="83" spans="3:9" s="73" customFormat="1" ht="15">
      <c r="C83" s="70"/>
      <c r="D83" s="75"/>
      <c r="E83" s="75"/>
      <c r="F83" s="75"/>
      <c r="G83" s="75"/>
      <c r="H83" s="75"/>
      <c r="I83" s="75"/>
    </row>
    <row r="84" spans="3:9" s="73" customFormat="1" ht="15">
      <c r="C84" s="70"/>
      <c r="D84" s="75"/>
      <c r="E84" s="75"/>
      <c r="F84" s="75"/>
      <c r="G84" s="75"/>
      <c r="H84" s="75"/>
      <c r="I84" s="75"/>
    </row>
    <row r="85" spans="3:9" s="73" customFormat="1" ht="15">
      <c r="C85" s="70"/>
      <c r="D85" s="75"/>
      <c r="E85" s="75"/>
      <c r="F85" s="75"/>
      <c r="G85" s="75"/>
      <c r="H85" s="75"/>
      <c r="I85" s="75"/>
    </row>
    <row r="86" spans="3:9" s="73" customFormat="1" ht="15">
      <c r="C86" s="70"/>
      <c r="D86" s="75"/>
      <c r="E86" s="75"/>
      <c r="F86" s="75"/>
      <c r="G86" s="75"/>
      <c r="H86" s="75"/>
      <c r="I86" s="75"/>
    </row>
    <row r="87" spans="3:9" s="73" customFormat="1" ht="15">
      <c r="C87" s="70"/>
      <c r="D87" s="75"/>
      <c r="E87" s="75"/>
      <c r="F87" s="75"/>
      <c r="G87" s="75"/>
      <c r="H87" s="75"/>
      <c r="I87" s="75"/>
    </row>
    <row r="88" spans="3:9" s="73" customFormat="1" ht="15">
      <c r="C88" s="70"/>
      <c r="D88" s="75"/>
      <c r="E88" s="75"/>
      <c r="F88" s="75"/>
      <c r="G88" s="75"/>
      <c r="H88" s="75"/>
      <c r="I88" s="75"/>
    </row>
    <row r="89" spans="3:9" s="73" customFormat="1" ht="15">
      <c r="C89" s="70"/>
      <c r="D89" s="75"/>
      <c r="E89" s="75"/>
      <c r="F89" s="75"/>
      <c r="G89" s="75"/>
      <c r="H89" s="75"/>
      <c r="I89" s="75"/>
    </row>
    <row r="90" spans="3:9" s="73" customFormat="1" ht="15">
      <c r="C90" s="70"/>
      <c r="D90" s="75"/>
      <c r="E90" s="75"/>
      <c r="F90" s="75"/>
      <c r="G90" s="75"/>
      <c r="H90" s="75"/>
      <c r="I90" s="75"/>
    </row>
    <row r="91" spans="3:9" s="73" customFormat="1" ht="15">
      <c r="C91" s="70"/>
      <c r="D91" s="75"/>
      <c r="E91" s="75"/>
      <c r="F91" s="75"/>
      <c r="G91" s="75"/>
      <c r="H91" s="75"/>
      <c r="I91" s="75"/>
    </row>
    <row r="92" spans="3:9" s="73" customFormat="1" ht="15">
      <c r="C92" s="70"/>
      <c r="D92" s="75"/>
      <c r="E92" s="75"/>
      <c r="F92" s="75"/>
      <c r="G92" s="75"/>
      <c r="H92" s="75"/>
      <c r="I92" s="75"/>
    </row>
    <row r="93" spans="3:9" s="73" customFormat="1" ht="15">
      <c r="C93" s="70"/>
      <c r="D93" s="75"/>
      <c r="E93" s="75"/>
      <c r="F93" s="75"/>
      <c r="G93" s="75"/>
      <c r="H93" s="75"/>
      <c r="I93" s="75"/>
    </row>
    <row r="94" spans="3:9" s="73" customFormat="1" ht="15">
      <c r="C94" s="70"/>
      <c r="D94" s="75"/>
      <c r="E94" s="75"/>
      <c r="F94" s="75"/>
      <c r="G94" s="75"/>
      <c r="H94" s="75"/>
      <c r="I94" s="75"/>
    </row>
    <row r="95" spans="3:9" s="73" customFormat="1" ht="15">
      <c r="C95" s="70"/>
      <c r="D95" s="75"/>
      <c r="E95" s="75"/>
      <c r="F95" s="75"/>
      <c r="G95" s="75"/>
      <c r="H95" s="75"/>
      <c r="I95" s="75"/>
    </row>
    <row r="96" spans="3:9" s="73" customFormat="1" ht="15">
      <c r="C96" s="70"/>
      <c r="D96" s="75"/>
      <c r="E96" s="75"/>
      <c r="F96" s="75"/>
      <c r="G96" s="75"/>
      <c r="H96" s="75"/>
      <c r="I96" s="75"/>
    </row>
    <row r="97" spans="3:9" s="73" customFormat="1" ht="15">
      <c r="C97" s="70"/>
      <c r="D97" s="75"/>
      <c r="E97" s="75"/>
      <c r="F97" s="75"/>
      <c r="G97" s="75"/>
      <c r="H97" s="75"/>
      <c r="I97" s="75"/>
    </row>
    <row r="98" spans="3:9" s="73" customFormat="1" ht="15">
      <c r="C98" s="70"/>
      <c r="D98" s="75"/>
      <c r="E98" s="75"/>
      <c r="F98" s="75"/>
      <c r="G98" s="75"/>
      <c r="H98" s="75"/>
      <c r="I98" s="75"/>
    </row>
    <row r="99" spans="3:9" s="73" customFormat="1" ht="15">
      <c r="C99" s="70"/>
      <c r="D99" s="75"/>
      <c r="E99" s="75"/>
      <c r="F99" s="75"/>
      <c r="G99" s="75"/>
      <c r="H99" s="75"/>
      <c r="I99" s="75"/>
    </row>
    <row r="100" spans="3:9" s="73" customFormat="1" ht="15">
      <c r="C100" s="70"/>
      <c r="D100" s="75"/>
      <c r="E100" s="75"/>
      <c r="F100" s="75"/>
      <c r="G100" s="75"/>
      <c r="H100" s="75"/>
      <c r="I100" s="75"/>
    </row>
    <row r="101" spans="3:9" s="73" customFormat="1" ht="15">
      <c r="C101" s="70"/>
      <c r="D101" s="75"/>
      <c r="E101" s="75"/>
      <c r="F101" s="75"/>
      <c r="G101" s="75"/>
      <c r="H101" s="75"/>
      <c r="I101" s="75"/>
    </row>
    <row r="102" spans="3:9" s="73" customFormat="1" ht="15">
      <c r="C102" s="70"/>
      <c r="D102" s="75"/>
      <c r="E102" s="75"/>
      <c r="F102" s="75"/>
      <c r="G102" s="75"/>
      <c r="H102" s="75"/>
      <c r="I102" s="75"/>
    </row>
    <row r="103" spans="3:9" s="73" customFormat="1" ht="15">
      <c r="C103" s="70"/>
      <c r="D103" s="75"/>
      <c r="E103" s="75"/>
      <c r="F103" s="75"/>
      <c r="G103" s="75"/>
      <c r="H103" s="75"/>
      <c r="I103" s="75"/>
    </row>
    <row r="104" spans="3:9" s="73" customFormat="1" ht="15">
      <c r="C104" s="70"/>
      <c r="D104" s="75"/>
      <c r="E104" s="75"/>
      <c r="F104" s="75"/>
      <c r="G104" s="75"/>
      <c r="H104" s="75"/>
      <c r="I104" s="75"/>
    </row>
    <row r="105" spans="3:9" s="73" customFormat="1" ht="15">
      <c r="C105" s="70"/>
      <c r="D105" s="75"/>
      <c r="E105" s="75"/>
      <c r="F105" s="75"/>
      <c r="G105" s="75"/>
      <c r="H105" s="75"/>
      <c r="I105" s="75"/>
    </row>
    <row r="106" spans="3:9" s="73" customFormat="1" ht="15">
      <c r="C106" s="70"/>
      <c r="D106" s="75"/>
      <c r="E106" s="75"/>
      <c r="F106" s="75"/>
      <c r="G106" s="75"/>
      <c r="H106" s="75"/>
      <c r="I106" s="75"/>
    </row>
    <row r="107" spans="3:9" s="73" customFormat="1" ht="15">
      <c r="C107" s="70"/>
      <c r="D107" s="75"/>
      <c r="E107" s="75"/>
      <c r="F107" s="75"/>
      <c r="G107" s="75"/>
      <c r="H107" s="75"/>
      <c r="I107" s="75"/>
    </row>
    <row r="108" spans="3:9" s="73" customFormat="1" ht="15">
      <c r="C108" s="70"/>
      <c r="D108" s="75"/>
      <c r="E108" s="75"/>
      <c r="F108" s="75"/>
      <c r="G108" s="75"/>
      <c r="H108" s="75"/>
      <c r="I108" s="75"/>
    </row>
    <row r="109" spans="3:9" s="73" customFormat="1" ht="15">
      <c r="C109" s="70"/>
      <c r="D109" s="75"/>
      <c r="E109" s="75"/>
      <c r="F109" s="75"/>
      <c r="G109" s="75"/>
      <c r="H109" s="75"/>
      <c r="I109" s="75"/>
    </row>
    <row r="110" spans="3:9" s="73" customFormat="1" ht="15">
      <c r="C110" s="70"/>
      <c r="D110" s="75"/>
      <c r="E110" s="75"/>
      <c r="F110" s="75"/>
      <c r="G110" s="75"/>
      <c r="H110" s="75"/>
      <c r="I110" s="75"/>
    </row>
    <row r="111" spans="3:9" s="73" customFormat="1" ht="15">
      <c r="C111" s="70"/>
      <c r="D111" s="75"/>
      <c r="E111" s="75"/>
      <c r="F111" s="75"/>
      <c r="G111" s="75"/>
      <c r="H111" s="75"/>
      <c r="I111" s="75"/>
    </row>
    <row r="112" spans="3:9" s="73" customFormat="1" ht="15">
      <c r="C112" s="70"/>
      <c r="D112" s="75"/>
      <c r="E112" s="75"/>
      <c r="F112" s="75"/>
      <c r="G112" s="75"/>
      <c r="H112" s="75"/>
      <c r="I112" s="75"/>
    </row>
    <row r="113" spans="3:9" s="73" customFormat="1" ht="15">
      <c r="C113" s="70"/>
      <c r="D113" s="75"/>
      <c r="E113" s="75"/>
      <c r="F113" s="75"/>
      <c r="G113" s="75"/>
      <c r="H113" s="75"/>
      <c r="I113" s="75"/>
    </row>
    <row r="114" spans="3:9" s="73" customFormat="1" ht="15">
      <c r="C114" s="70"/>
      <c r="D114" s="75"/>
      <c r="E114" s="75"/>
      <c r="F114" s="75"/>
      <c r="G114" s="75"/>
      <c r="H114" s="75"/>
      <c r="I114" s="75"/>
    </row>
    <row r="115" spans="3:9" s="73" customFormat="1" ht="15">
      <c r="C115" s="70"/>
      <c r="D115" s="75"/>
      <c r="E115" s="75"/>
      <c r="F115" s="75"/>
      <c r="G115" s="75"/>
      <c r="H115" s="75"/>
      <c r="I115" s="75"/>
    </row>
    <row r="116" spans="3:9" s="73" customFormat="1" ht="15">
      <c r="C116" s="70"/>
      <c r="D116" s="75"/>
      <c r="E116" s="75"/>
      <c r="F116" s="75"/>
      <c r="G116" s="75"/>
      <c r="H116" s="75"/>
      <c r="I116" s="75"/>
    </row>
    <row r="117" spans="3:9" s="73" customFormat="1" ht="15">
      <c r="C117" s="70"/>
      <c r="D117" s="75"/>
      <c r="E117" s="75"/>
      <c r="F117" s="75"/>
      <c r="G117" s="75"/>
      <c r="H117" s="75"/>
      <c r="I117" s="75"/>
    </row>
    <row r="118" spans="3:9" s="73" customFormat="1" ht="15">
      <c r="C118" s="70"/>
      <c r="D118" s="75"/>
      <c r="E118" s="75"/>
      <c r="F118" s="75"/>
      <c r="G118" s="75"/>
      <c r="H118" s="75"/>
      <c r="I118" s="75"/>
    </row>
    <row r="119" spans="3:9" s="73" customFormat="1" ht="15">
      <c r="C119" s="70"/>
      <c r="D119" s="75"/>
      <c r="E119" s="75"/>
      <c r="F119" s="75"/>
      <c r="G119" s="75"/>
      <c r="H119" s="75"/>
      <c r="I119" s="75"/>
    </row>
    <row r="120" spans="3:9" s="73" customFormat="1" ht="15">
      <c r="C120" s="70"/>
      <c r="D120" s="75"/>
      <c r="E120" s="75"/>
      <c r="F120" s="75"/>
      <c r="G120" s="75"/>
      <c r="H120" s="75"/>
      <c r="I120" s="75"/>
    </row>
    <row r="121" spans="3:9" s="73" customFormat="1" ht="15">
      <c r="C121" s="70"/>
      <c r="D121" s="75"/>
      <c r="E121" s="75"/>
      <c r="F121" s="75"/>
      <c r="G121" s="75"/>
      <c r="H121" s="75"/>
      <c r="I121" s="75"/>
    </row>
    <row r="122" spans="3:9" s="73" customFormat="1" ht="15">
      <c r="C122" s="70"/>
      <c r="D122" s="75"/>
      <c r="E122" s="75"/>
      <c r="F122" s="75"/>
      <c r="G122" s="75"/>
      <c r="H122" s="75"/>
      <c r="I122" s="75"/>
    </row>
    <row r="123" spans="3:9" s="73" customFormat="1" ht="15">
      <c r="C123" s="70"/>
      <c r="D123" s="75"/>
      <c r="E123" s="75"/>
      <c r="F123" s="75"/>
      <c r="G123" s="75"/>
      <c r="H123" s="75"/>
      <c r="I123" s="75"/>
    </row>
    <row r="124" spans="3:9" s="73" customFormat="1" ht="15">
      <c r="C124" s="70"/>
      <c r="D124" s="75"/>
      <c r="E124" s="75"/>
      <c r="F124" s="75"/>
      <c r="G124" s="75"/>
      <c r="H124" s="75"/>
      <c r="I124" s="75"/>
    </row>
    <row r="125" spans="3:9" s="73" customFormat="1" ht="15">
      <c r="C125" s="70"/>
      <c r="D125" s="75"/>
      <c r="E125" s="75"/>
      <c r="F125" s="75"/>
      <c r="G125" s="75"/>
      <c r="H125" s="75"/>
      <c r="I125" s="75"/>
    </row>
    <row r="126" spans="3:9" s="73" customFormat="1" ht="15">
      <c r="C126" s="70"/>
      <c r="D126" s="75"/>
      <c r="E126" s="75"/>
      <c r="F126" s="75"/>
      <c r="G126" s="75"/>
      <c r="H126" s="75"/>
      <c r="I126" s="75"/>
    </row>
  </sheetData>
  <sheetProtection/>
  <mergeCells count="4">
    <mergeCell ref="B21:C21"/>
    <mergeCell ref="B35:C35"/>
    <mergeCell ref="B44:C44"/>
    <mergeCell ref="B54:C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2"/>
  <sheetViews>
    <sheetView zoomScale="90" zoomScaleNormal="90" zoomScalePageLayoutView="0" workbookViewId="0" topLeftCell="D13">
      <selection activeCell="A1" sqref="A1:L42"/>
    </sheetView>
  </sheetViews>
  <sheetFormatPr defaultColWidth="9.140625" defaultRowHeight="15"/>
  <cols>
    <col min="1" max="1" width="2.28125" style="23" bestFit="1" customWidth="1"/>
    <col min="2" max="2" width="43.140625" style="23" bestFit="1" customWidth="1"/>
    <col min="3" max="3" width="18.421875" style="23" customWidth="1"/>
    <col min="4" max="4" width="21.8515625" style="27" customWidth="1"/>
    <col min="5" max="12" width="18.140625" style="23" customWidth="1"/>
    <col min="13" max="13" width="14.28125" style="23" hidden="1" customWidth="1"/>
    <col min="14" max="16384" width="9.140625" style="23" customWidth="1"/>
  </cols>
  <sheetData>
    <row r="1" spans="1:12" ht="16.5" thickBot="1">
      <c r="A1" s="518"/>
      <c r="B1" s="566" t="s">
        <v>96</v>
      </c>
      <c r="C1" s="566" t="s">
        <v>96</v>
      </c>
      <c r="D1" s="566" t="s">
        <v>96</v>
      </c>
      <c r="E1" s="566" t="s">
        <v>96</v>
      </c>
      <c r="F1" s="566" t="s">
        <v>96</v>
      </c>
      <c r="G1" s="566" t="s">
        <v>96</v>
      </c>
      <c r="H1" s="566" t="s">
        <v>96</v>
      </c>
      <c r="I1" s="566" t="s">
        <v>96</v>
      </c>
      <c r="J1" s="566" t="s">
        <v>96</v>
      </c>
      <c r="K1" s="566" t="s">
        <v>96</v>
      </c>
      <c r="L1" s="566" t="s">
        <v>96</v>
      </c>
    </row>
    <row r="2" spans="1:12" s="18" customFormat="1" ht="27" thickBot="1">
      <c r="A2" s="564">
        <v>1</v>
      </c>
      <c r="B2" s="582" t="s">
        <v>267</v>
      </c>
      <c r="C2" s="541"/>
      <c r="D2" s="541"/>
      <c r="E2" s="541" t="s">
        <v>14</v>
      </c>
      <c r="F2" s="541" t="s">
        <v>15</v>
      </c>
      <c r="G2" s="541" t="s">
        <v>131</v>
      </c>
      <c r="H2" s="541" t="s">
        <v>169</v>
      </c>
      <c r="I2" s="541" t="s">
        <v>170</v>
      </c>
      <c r="J2" s="541" t="s">
        <v>268</v>
      </c>
      <c r="K2" s="541" t="s">
        <v>203</v>
      </c>
      <c r="L2" s="542" t="s">
        <v>21</v>
      </c>
    </row>
    <row r="3" spans="1:13" s="20" customFormat="1" ht="15.75">
      <c r="A3" s="564">
        <v>2</v>
      </c>
      <c r="B3" s="583" t="s">
        <v>269</v>
      </c>
      <c r="C3" s="517"/>
      <c r="D3" s="521"/>
      <c r="E3" s="517" t="s">
        <v>10</v>
      </c>
      <c r="F3" s="517" t="s">
        <v>32</v>
      </c>
      <c r="G3" s="517"/>
      <c r="H3" s="517"/>
      <c r="I3" s="517"/>
      <c r="J3" s="517"/>
      <c r="K3" s="522" t="s">
        <v>10</v>
      </c>
      <c r="L3" s="523"/>
      <c r="M3" s="19" t="s">
        <v>22</v>
      </c>
    </row>
    <row r="4" spans="1:13" s="21" customFormat="1" ht="15.75">
      <c r="A4" s="564">
        <v>3</v>
      </c>
      <c r="B4" s="584" t="s">
        <v>171</v>
      </c>
      <c r="C4" s="517"/>
      <c r="D4" s="524" t="s">
        <v>10</v>
      </c>
      <c r="E4" s="552" t="s">
        <v>33</v>
      </c>
      <c r="F4" s="552" t="s">
        <v>33</v>
      </c>
      <c r="G4" s="525">
        <v>26934429.732053652</v>
      </c>
      <c r="H4" s="525">
        <v>10637919.72094347</v>
      </c>
      <c r="I4" s="525">
        <v>5229314.742966217</v>
      </c>
      <c r="J4" s="552" t="s">
        <v>33</v>
      </c>
      <c r="K4" s="525">
        <v>322725</v>
      </c>
      <c r="L4" s="526">
        <v>43124389.19596334</v>
      </c>
      <c r="M4" s="155"/>
    </row>
    <row r="5" spans="1:13" s="21" customFormat="1" ht="15.75">
      <c r="A5" s="564">
        <v>4</v>
      </c>
      <c r="B5" s="584" t="s">
        <v>172</v>
      </c>
      <c r="C5" s="517"/>
      <c r="D5" s="521"/>
      <c r="E5" s="525">
        <v>5037295612.099079</v>
      </c>
      <c r="F5" s="525">
        <v>2071525043.772528</v>
      </c>
      <c r="G5" s="525">
        <v>10268957200.243916</v>
      </c>
      <c r="H5" s="525">
        <v>4685622966.083459</v>
      </c>
      <c r="I5" s="525">
        <v>2236665845.1326065</v>
      </c>
      <c r="J5" s="525">
        <v>52097298.71804408</v>
      </c>
      <c r="K5" s="525">
        <v>111260969.55848952</v>
      </c>
      <c r="L5" s="526">
        <v>24463424935.608124</v>
      </c>
      <c r="M5" s="22">
        <v>309550</v>
      </c>
    </row>
    <row r="6" spans="1:13" s="21" customFormat="1" ht="15.75">
      <c r="A6" s="564">
        <v>5</v>
      </c>
      <c r="B6" s="584" t="s">
        <v>270</v>
      </c>
      <c r="C6" s="518"/>
      <c r="D6" s="519"/>
      <c r="E6" s="527">
        <v>214201807.96374705</v>
      </c>
      <c r="F6" s="527">
        <v>67517973.17356712</v>
      </c>
      <c r="G6" s="527">
        <v>155422803.2829214</v>
      </c>
      <c r="H6" s="527">
        <v>46715661.29730239</v>
      </c>
      <c r="I6" s="527">
        <v>22627757.310828283</v>
      </c>
      <c r="J6" s="527">
        <v>3609676.2884375765</v>
      </c>
      <c r="K6" s="527">
        <v>11948664.184572298</v>
      </c>
      <c r="L6" s="528">
        <v>522044343.50137615</v>
      </c>
      <c r="M6" s="22">
        <v>0.1571044921875</v>
      </c>
    </row>
    <row r="7" spans="1:12" ht="15.75">
      <c r="A7" s="564">
        <v>6</v>
      </c>
      <c r="B7" s="583" t="s">
        <v>148</v>
      </c>
      <c r="C7" s="518"/>
      <c r="D7" s="519"/>
      <c r="E7" s="525" t="s">
        <v>10</v>
      </c>
      <c r="F7" s="525" t="s">
        <v>10</v>
      </c>
      <c r="G7" s="525" t="s">
        <v>10</v>
      </c>
      <c r="H7" s="525" t="s">
        <v>10</v>
      </c>
      <c r="I7" s="525" t="s">
        <v>10</v>
      </c>
      <c r="J7" s="525" t="s">
        <v>10</v>
      </c>
      <c r="K7" s="525" t="s">
        <v>10</v>
      </c>
      <c r="L7" s="526" t="s">
        <v>10</v>
      </c>
    </row>
    <row r="8" spans="1:12" ht="15.75">
      <c r="A8" s="564">
        <v>7</v>
      </c>
      <c r="B8" s="584" t="s">
        <v>271</v>
      </c>
      <c r="C8" s="518"/>
      <c r="D8" s="519" t="s">
        <v>10</v>
      </c>
      <c r="E8" s="557">
        <v>0.20591129922969062</v>
      </c>
      <c r="F8" s="557">
        <v>0.08467845566289808</v>
      </c>
      <c r="G8" s="557">
        <v>0.41976776462304644</v>
      </c>
      <c r="H8" s="557">
        <v>0.191535853152893</v>
      </c>
      <c r="I8" s="557">
        <v>0.09142897411216498</v>
      </c>
      <c r="J8" s="557">
        <v>0.0021295995493342814</v>
      </c>
      <c r="K8" s="557">
        <v>0.004548053669972509</v>
      </c>
      <c r="L8" s="529">
        <v>0.9999999999999998</v>
      </c>
    </row>
    <row r="9" spans="1:12" ht="15.75">
      <c r="A9" s="564">
        <v>8</v>
      </c>
      <c r="B9" s="584" t="s">
        <v>270</v>
      </c>
      <c r="C9" s="518"/>
      <c r="D9" s="519"/>
      <c r="E9" s="557">
        <v>0.41552012037807</v>
      </c>
      <c r="F9" s="557">
        <v>0.13207838068084307</v>
      </c>
      <c r="G9" s="557">
        <v>0.2931571096324712</v>
      </c>
      <c r="H9" s="557">
        <v>0.08713443722684559</v>
      </c>
      <c r="I9" s="557">
        <v>0.04258822566156681</v>
      </c>
      <c r="J9" s="557">
        <v>0.0069641681199567205</v>
      </c>
      <c r="K9" s="557">
        <v>0.022557558300246673</v>
      </c>
      <c r="L9" s="529">
        <v>1</v>
      </c>
    </row>
    <row r="10" spans="1:12" ht="15.75">
      <c r="A10" s="564">
        <v>9</v>
      </c>
      <c r="B10" s="584" t="s">
        <v>173</v>
      </c>
      <c r="C10" s="518"/>
      <c r="D10" s="519" t="s">
        <v>10</v>
      </c>
      <c r="E10" s="557">
        <v>0.4135417132875563</v>
      </c>
      <c r="F10" s="557">
        <v>0.1347272802859598</v>
      </c>
      <c r="G10" s="557">
        <v>0.28897249513324086</v>
      </c>
      <c r="H10" s="557">
        <v>0.09137343753272985</v>
      </c>
      <c r="I10" s="557">
        <v>0.042440108399382455</v>
      </c>
      <c r="J10" s="557">
        <v>0.0063025124352309525</v>
      </c>
      <c r="K10" s="557">
        <v>0.022642452925899885</v>
      </c>
      <c r="L10" s="529">
        <v>1.0000000000000002</v>
      </c>
    </row>
    <row r="11" spans="1:12" ht="15.75">
      <c r="A11" s="564">
        <v>10</v>
      </c>
      <c r="B11" s="584" t="s">
        <v>272</v>
      </c>
      <c r="C11" s="518"/>
      <c r="D11" s="519"/>
      <c r="E11" s="585">
        <v>0.040549619050274356</v>
      </c>
      <c r="F11" s="585">
        <v>0.031902764694227294</v>
      </c>
      <c r="G11" s="585">
        <v>0.4636681411352539</v>
      </c>
      <c r="H11" s="585">
        <v>0.303913244442789</v>
      </c>
      <c r="I11" s="585">
        <v>0.15248513039326728</v>
      </c>
      <c r="J11" s="585">
        <v>0</v>
      </c>
      <c r="K11" s="585">
        <v>0.007481100284187987</v>
      </c>
      <c r="L11" s="529">
        <v>0.9999999999999999</v>
      </c>
    </row>
    <row r="12" spans="1:12" ht="15.75">
      <c r="A12" s="564">
        <v>11</v>
      </c>
      <c r="B12" s="584" t="s">
        <v>273</v>
      </c>
      <c r="C12" s="518"/>
      <c r="D12" s="519"/>
      <c r="E12" s="585">
        <v>0.525586418287099</v>
      </c>
      <c r="F12" s="585">
        <v>0.188763211340602</v>
      </c>
      <c r="G12" s="585">
        <v>0.20460336278780686</v>
      </c>
      <c r="H12" s="585">
        <v>0.04079695207201141</v>
      </c>
      <c r="I12" s="585">
        <v>0.015886221145977434</v>
      </c>
      <c r="J12" s="585">
        <v>0.008061647388557908</v>
      </c>
      <c r="K12" s="585">
        <v>0.016302186977945658</v>
      </c>
      <c r="L12" s="529">
        <v>1.0000000000000002</v>
      </c>
    </row>
    <row r="13" spans="1:13" s="18" customFormat="1" ht="15.75">
      <c r="A13" s="564">
        <v>12</v>
      </c>
      <c r="B13" s="584" t="s">
        <v>274</v>
      </c>
      <c r="C13" s="518"/>
      <c r="D13" s="519"/>
      <c r="E13" s="557">
        <v>0.45156248197800786</v>
      </c>
      <c r="F13" s="557">
        <v>0.1291255014279486</v>
      </c>
      <c r="G13" s="557">
        <v>0.22910415626083527</v>
      </c>
      <c r="H13" s="557">
        <v>0.1163287123044584</v>
      </c>
      <c r="I13" s="557">
        <v>0.06656915254480558</v>
      </c>
      <c r="J13" s="557">
        <v>0.0029587592843314135</v>
      </c>
      <c r="K13" s="557">
        <v>0.00435123619961277</v>
      </c>
      <c r="L13" s="529">
        <v>0.9999999999999998</v>
      </c>
      <c r="M13" s="24"/>
    </row>
    <row r="14" spans="1:13" s="18" customFormat="1" ht="16.5" thickBot="1">
      <c r="A14" s="564">
        <v>13</v>
      </c>
      <c r="B14" s="530"/>
      <c r="C14" s="531"/>
      <c r="D14" s="521"/>
      <c r="E14" s="532" t="s">
        <v>10</v>
      </c>
      <c r="F14" s="532" t="s">
        <v>10</v>
      </c>
      <c r="G14" s="532"/>
      <c r="H14" s="532"/>
      <c r="I14" s="532"/>
      <c r="J14" s="532"/>
      <c r="K14" s="532"/>
      <c r="L14" s="533"/>
      <c r="M14" s="19" t="s">
        <v>22</v>
      </c>
    </row>
    <row r="15" spans="1:13" s="18" customFormat="1" ht="27" thickBot="1">
      <c r="A15" s="564">
        <v>13</v>
      </c>
      <c r="B15" s="543"/>
      <c r="C15" s="541" t="s">
        <v>204</v>
      </c>
      <c r="D15" s="541" t="s">
        <v>168</v>
      </c>
      <c r="E15" s="541" t="s">
        <v>14</v>
      </c>
      <c r="F15" s="541" t="s">
        <v>15</v>
      </c>
      <c r="G15" s="541" t="s">
        <v>131</v>
      </c>
      <c r="H15" s="541" t="s">
        <v>169</v>
      </c>
      <c r="I15" s="541" t="s">
        <v>170</v>
      </c>
      <c r="J15" s="541" t="s">
        <v>268</v>
      </c>
      <c r="K15" s="541" t="s">
        <v>203</v>
      </c>
      <c r="L15" s="542" t="s">
        <v>21</v>
      </c>
      <c r="M15" s="152"/>
    </row>
    <row r="16" spans="1:12" ht="15.75">
      <c r="A16" s="564">
        <v>14</v>
      </c>
      <c r="B16" s="520"/>
      <c r="C16" s="534"/>
      <c r="D16" s="544"/>
      <c r="E16" s="570"/>
      <c r="F16" s="571" t="s">
        <v>10</v>
      </c>
      <c r="G16" s="570"/>
      <c r="H16" s="570"/>
      <c r="I16" s="570"/>
      <c r="J16" s="570"/>
      <c r="K16" s="570"/>
      <c r="L16" s="572"/>
    </row>
    <row r="17" spans="1:12" ht="15.75">
      <c r="A17" s="564">
        <v>15</v>
      </c>
      <c r="B17" s="555" t="s">
        <v>174</v>
      </c>
      <c r="C17" s="567">
        <v>-26811270.040564727</v>
      </c>
      <c r="D17" s="519" t="s">
        <v>275</v>
      </c>
      <c r="E17" s="573">
        <v>-5520743.4480507625</v>
      </c>
      <c r="F17" s="573">
        <v>-2270336.9413959477</v>
      </c>
      <c r="G17" s="573">
        <v>-11254506.891632712</v>
      </c>
      <c r="H17" s="573">
        <v>-5135319.481332165</v>
      </c>
      <c r="I17" s="573">
        <v>-2451326.914453057</v>
      </c>
      <c r="J17" s="573">
        <v>-57097.26859546636</v>
      </c>
      <c r="K17" s="573">
        <v>-121939.09510461437</v>
      </c>
      <c r="L17" s="574">
        <v>-26811270.040564723</v>
      </c>
    </row>
    <row r="18" spans="1:12" ht="15.75">
      <c r="A18" s="564">
        <v>16</v>
      </c>
      <c r="B18" s="555" t="s">
        <v>175</v>
      </c>
      <c r="C18" s="567">
        <v>7964379.307822591</v>
      </c>
      <c r="D18" s="519" t="s">
        <v>275</v>
      </c>
      <c r="E18" s="573">
        <v>1639955.6908318137</v>
      </c>
      <c r="F18" s="573">
        <v>674411.3400999581</v>
      </c>
      <c r="G18" s="573">
        <v>3343189.6986547345</v>
      </c>
      <c r="H18" s="573">
        <v>1525464.1855570474</v>
      </c>
      <c r="I18" s="573">
        <v>728175.029554374</v>
      </c>
      <c r="J18" s="573">
        <v>16960.938584666266</v>
      </c>
      <c r="K18" s="573">
        <v>36222.42453999564</v>
      </c>
      <c r="L18" s="574">
        <v>7964379.30782259</v>
      </c>
    </row>
    <row r="19" spans="1:12" ht="15.75">
      <c r="A19" s="564">
        <v>17</v>
      </c>
      <c r="B19" s="555" t="s">
        <v>176</v>
      </c>
      <c r="C19" s="567">
        <v>3180671.6744143395</v>
      </c>
      <c r="D19" s="519" t="s">
        <v>275</v>
      </c>
      <c r="E19" s="573">
        <v>654936.2369017322</v>
      </c>
      <c r="F19" s="573">
        <v>269334.36536013044</v>
      </c>
      <c r="G19" s="573">
        <v>1335143.4387687494</v>
      </c>
      <c r="H19" s="573">
        <v>609212.6627581912</v>
      </c>
      <c r="I19" s="573">
        <v>290805.54817932507</v>
      </c>
      <c r="J19" s="573">
        <v>6773.556964413092</v>
      </c>
      <c r="K19" s="573">
        <v>14465.86548179774</v>
      </c>
      <c r="L19" s="574">
        <v>3180671.674414339</v>
      </c>
    </row>
    <row r="20" spans="1:12" ht="15.75">
      <c r="A20" s="564">
        <v>18</v>
      </c>
      <c r="B20" s="555" t="s">
        <v>177</v>
      </c>
      <c r="C20" s="567">
        <v>190878.49035441666</v>
      </c>
      <c r="D20" s="519" t="s">
        <v>275</v>
      </c>
      <c r="E20" s="573">
        <v>39304.03794387991</v>
      </c>
      <c r="F20" s="573">
        <v>16163.295782477391</v>
      </c>
      <c r="G20" s="573">
        <v>80124.63721069522</v>
      </c>
      <c r="H20" s="573">
        <v>36560.074498569455</v>
      </c>
      <c r="I20" s="573">
        <v>17451.824553183094</v>
      </c>
      <c r="J20" s="573">
        <v>406.4947470363737</v>
      </c>
      <c r="K20" s="573">
        <v>868.1256185752168</v>
      </c>
      <c r="L20" s="574">
        <v>190878.49035441666</v>
      </c>
    </row>
    <row r="21" spans="1:12" ht="26.25">
      <c r="A21" s="564">
        <v>19</v>
      </c>
      <c r="B21" s="555" t="s">
        <v>178</v>
      </c>
      <c r="C21" s="567">
        <v>-6297225.56925098</v>
      </c>
      <c r="D21" s="519" t="s">
        <v>270</v>
      </c>
      <c r="E21" s="573">
        <v>-2616623.926583028</v>
      </c>
      <c r="F21" s="573">
        <v>-831727.3559686698</v>
      </c>
      <c r="G21" s="573">
        <v>-1846076.4465853106</v>
      </c>
      <c r="H21" s="573">
        <v>-548705.2060671865</v>
      </c>
      <c r="I21" s="573">
        <v>-268187.6635850493</v>
      </c>
      <c r="J21" s="573">
        <v>-43854.93755355399</v>
      </c>
      <c r="K21" s="573">
        <v>-142050.03290818303</v>
      </c>
      <c r="L21" s="574">
        <v>-6297225.56925098</v>
      </c>
    </row>
    <row r="22" spans="1:12" ht="15.75">
      <c r="A22" s="564">
        <v>20</v>
      </c>
      <c r="B22" s="555" t="s">
        <v>276</v>
      </c>
      <c r="C22" s="568">
        <v>5596.98</v>
      </c>
      <c r="D22" s="519" t="s">
        <v>275</v>
      </c>
      <c r="E22" s="573">
        <v>1152.4814235625938</v>
      </c>
      <c r="F22" s="573">
        <v>473.94362277612726</v>
      </c>
      <c r="G22" s="573">
        <v>2349.4317832398983</v>
      </c>
      <c r="H22" s="573">
        <v>1072.0223393796791</v>
      </c>
      <c r="I22" s="573">
        <v>511.72613952630513</v>
      </c>
      <c r="J22" s="573">
        <v>11.919326085632985</v>
      </c>
      <c r="K22" s="573">
        <v>25.45536542976273</v>
      </c>
      <c r="L22" s="574">
        <v>5596.979999999999</v>
      </c>
    </row>
    <row r="23" spans="1:13" s="18" customFormat="1" ht="26.25">
      <c r="A23" s="564">
        <v>21</v>
      </c>
      <c r="B23" s="555" t="s">
        <v>277</v>
      </c>
      <c r="C23" s="569">
        <v>535009.6403584672</v>
      </c>
      <c r="D23" s="519" t="s">
        <v>173</v>
      </c>
      <c r="E23" s="575">
        <v>221248.80329919985</v>
      </c>
      <c r="F23" s="575">
        <v>72080.39377226576</v>
      </c>
      <c r="G23" s="575">
        <v>154603.07069472413</v>
      </c>
      <c r="H23" s="575">
        <v>48885.669952702665</v>
      </c>
      <c r="I23" s="575">
        <v>22705.86713152797</v>
      </c>
      <c r="J23" s="575">
        <v>3371.9049113276797</v>
      </c>
      <c r="K23" s="575">
        <v>12113.930596719221</v>
      </c>
      <c r="L23" s="574">
        <v>535009.6403584674</v>
      </c>
      <c r="M23" s="152">
        <v>0</v>
      </c>
    </row>
    <row r="24" spans="1:13" s="18" customFormat="1" ht="26.25">
      <c r="A24" s="564">
        <v>22</v>
      </c>
      <c r="B24" s="555" t="s">
        <v>278</v>
      </c>
      <c r="C24" s="569">
        <v>6374751.467975</v>
      </c>
      <c r="D24" s="519" t="s">
        <v>273</v>
      </c>
      <c r="E24" s="575">
        <v>3350482.7915234063</v>
      </c>
      <c r="F24" s="575">
        <v>1203318.5585931777</v>
      </c>
      <c r="G24" s="575">
        <v>1304295.5872841931</v>
      </c>
      <c r="H24" s="575">
        <v>260070.43010996043</v>
      </c>
      <c r="I24" s="575">
        <v>101270.71157089513</v>
      </c>
      <c r="J24" s="575">
        <v>51390.99852450635</v>
      </c>
      <c r="K24" s="575">
        <v>103922.39036886202</v>
      </c>
      <c r="L24" s="574">
        <v>6374751.467975002</v>
      </c>
      <c r="M24" s="152"/>
    </row>
    <row r="25" spans="1:13" s="18" customFormat="1" ht="26.25">
      <c r="A25" s="564">
        <v>23</v>
      </c>
      <c r="B25" s="555" t="s">
        <v>279</v>
      </c>
      <c r="C25" s="567">
        <v>-521235.49256254</v>
      </c>
      <c r="D25" s="519" t="s">
        <v>274</v>
      </c>
      <c r="E25" s="573">
        <v>-235370.39271657</v>
      </c>
      <c r="F25" s="573">
        <v>-67304.79433918175</v>
      </c>
      <c r="G25" s="573">
        <v>-119417.2177367416</v>
      </c>
      <c r="H25" s="573">
        <v>-60634.65365718038</v>
      </c>
      <c r="I25" s="573">
        <v>-34698.2050161626</v>
      </c>
      <c r="J25" s="573">
        <v>-1542.2103529424726</v>
      </c>
      <c r="K25" s="573">
        <v>-2268.018743761117</v>
      </c>
      <c r="L25" s="574">
        <v>-521235.4925625399</v>
      </c>
      <c r="M25" s="152"/>
    </row>
    <row r="26" spans="1:13" s="18" customFormat="1" ht="16.5" thickBot="1">
      <c r="A26" s="564">
        <v>24</v>
      </c>
      <c r="B26" s="545" t="s">
        <v>74</v>
      </c>
      <c r="C26" s="553">
        <v>-15378443.541453434</v>
      </c>
      <c r="D26" s="546" t="s">
        <v>10</v>
      </c>
      <c r="E26" s="554">
        <v>-2465657.725426765</v>
      </c>
      <c r="F26" s="554">
        <v>-933587.1944730132</v>
      </c>
      <c r="G26" s="554">
        <v>-7000294.691558427</v>
      </c>
      <c r="H26" s="554">
        <v>-3263394.2958406806</v>
      </c>
      <c r="I26" s="554">
        <v>-1593292.0759254375</v>
      </c>
      <c r="J26" s="554">
        <v>-23578.603443927437</v>
      </c>
      <c r="K26" s="554">
        <v>-98638.95478517891</v>
      </c>
      <c r="L26" s="558">
        <v>-15378443.541453432</v>
      </c>
      <c r="M26" s="152"/>
    </row>
    <row r="27" spans="1:13" s="18" customFormat="1" ht="15.75">
      <c r="A27" s="518"/>
      <c r="B27" s="517"/>
      <c r="C27" s="559"/>
      <c r="D27" s="560"/>
      <c r="E27" s="561"/>
      <c r="F27" s="561"/>
      <c r="G27" s="561"/>
      <c r="H27" s="561"/>
      <c r="I27" s="561"/>
      <c r="J27" s="561"/>
      <c r="K27" s="561"/>
      <c r="L27" s="561"/>
      <c r="M27" s="152"/>
    </row>
    <row r="28" spans="1:13" s="18" customFormat="1" ht="15.75">
      <c r="A28" s="518"/>
      <c r="B28" s="517"/>
      <c r="C28" s="559"/>
      <c r="D28" s="560"/>
      <c r="E28" s="561"/>
      <c r="F28" s="561"/>
      <c r="G28" s="561"/>
      <c r="H28" s="561"/>
      <c r="I28" s="561"/>
      <c r="J28" s="561"/>
      <c r="K28" s="561"/>
      <c r="L28" s="561"/>
      <c r="M28" s="152"/>
    </row>
    <row r="29" spans="1:13" s="18" customFormat="1" ht="16.5" thickBot="1">
      <c r="A29" s="516"/>
      <c r="B29" s="516"/>
      <c r="C29" s="516"/>
      <c r="D29" s="535"/>
      <c r="E29" s="536"/>
      <c r="F29" s="536"/>
      <c r="G29" s="536"/>
      <c r="H29" s="536"/>
      <c r="I29" s="536"/>
      <c r="J29" s="536"/>
      <c r="K29" s="536"/>
      <c r="L29" s="537"/>
      <c r="M29" s="152"/>
    </row>
    <row r="30" spans="1:13" ht="27" thickBot="1">
      <c r="A30" s="565">
        <v>25</v>
      </c>
      <c r="B30" s="556" t="s">
        <v>280</v>
      </c>
      <c r="C30" s="541" t="s">
        <v>10</v>
      </c>
      <c r="D30" s="541" t="s">
        <v>179</v>
      </c>
      <c r="E30" s="541" t="s">
        <v>14</v>
      </c>
      <c r="F30" s="541" t="s">
        <v>15</v>
      </c>
      <c r="G30" s="541" t="s">
        <v>131</v>
      </c>
      <c r="H30" s="541" t="s">
        <v>169</v>
      </c>
      <c r="I30" s="541" t="s">
        <v>170</v>
      </c>
      <c r="J30" s="541" t="s">
        <v>268</v>
      </c>
      <c r="K30" s="541" t="s">
        <v>203</v>
      </c>
      <c r="L30" s="542"/>
      <c r="M30" s="154"/>
    </row>
    <row r="31" spans="1:13" s="153" customFormat="1" ht="15.75">
      <c r="A31" s="565">
        <v>26</v>
      </c>
      <c r="B31" s="547" t="s">
        <v>10</v>
      </c>
      <c r="C31" s="548"/>
      <c r="D31" s="549"/>
      <c r="E31" s="550" t="s">
        <v>10</v>
      </c>
      <c r="F31" s="550" t="s">
        <v>10</v>
      </c>
      <c r="G31" s="550" t="s">
        <v>10</v>
      </c>
      <c r="H31" s="550" t="s">
        <v>10</v>
      </c>
      <c r="I31" s="550" t="s">
        <v>10</v>
      </c>
      <c r="J31" s="550" t="s">
        <v>10</v>
      </c>
      <c r="K31" s="550" t="s">
        <v>10</v>
      </c>
      <c r="L31" s="551"/>
      <c r="M31"/>
    </row>
    <row r="32" spans="1:12" s="153" customFormat="1" ht="15.75">
      <c r="A32" s="565">
        <v>27</v>
      </c>
      <c r="B32" s="520" t="s">
        <v>174</v>
      </c>
      <c r="C32" s="517" t="s">
        <v>10</v>
      </c>
      <c r="D32" s="519" t="s">
        <v>281</v>
      </c>
      <c r="E32" s="563">
        <v>-0.0010959736877046663</v>
      </c>
      <c r="F32" s="563">
        <v>-0.0010959736877046663</v>
      </c>
      <c r="G32" s="562">
        <v>-0.4121243952360343</v>
      </c>
      <c r="H32" s="562">
        <v>-0.47612435250384905</v>
      </c>
      <c r="I32" s="562">
        <v>-0.4623449175552416</v>
      </c>
      <c r="J32" s="563">
        <v>-0.0010959736877046665</v>
      </c>
      <c r="K32" s="562">
        <v>-0.37266619115822286</v>
      </c>
      <c r="L32" s="523"/>
    </row>
    <row r="33" spans="1:12" s="153" customFormat="1" ht="15.75">
      <c r="A33" s="565">
        <v>28</v>
      </c>
      <c r="B33" s="520" t="s">
        <v>175</v>
      </c>
      <c r="C33" s="517" t="s">
        <v>10</v>
      </c>
      <c r="D33" s="519" t="s">
        <v>281</v>
      </c>
      <c r="E33" s="563">
        <v>0.0003255627259382603</v>
      </c>
      <c r="F33" s="563">
        <v>0.0003255627259382603</v>
      </c>
      <c r="G33" s="562">
        <v>0.12242295872969525</v>
      </c>
      <c r="H33" s="562">
        <v>0.14143436455247504</v>
      </c>
      <c r="I33" s="562">
        <v>0.13734113635358197</v>
      </c>
      <c r="J33" s="563">
        <v>0.00032556272593826035</v>
      </c>
      <c r="K33" s="562">
        <v>0.11070176448542055</v>
      </c>
      <c r="L33" s="523"/>
    </row>
    <row r="34" spans="1:12" s="153" customFormat="1" ht="15.75">
      <c r="A34" s="565">
        <v>29</v>
      </c>
      <c r="B34" s="520" t="s">
        <v>176</v>
      </c>
      <c r="C34" s="517" t="s">
        <v>10</v>
      </c>
      <c r="D34" s="519" t="s">
        <v>281</v>
      </c>
      <c r="E34" s="563">
        <v>0.00013001743144250676</v>
      </c>
      <c r="F34" s="563">
        <v>0.00013001743144250676</v>
      </c>
      <c r="G34" s="562">
        <v>0.048891096478426425</v>
      </c>
      <c r="H34" s="562">
        <v>0.05648353245544212</v>
      </c>
      <c r="I34" s="562">
        <v>0.054848852025751155</v>
      </c>
      <c r="J34" s="563">
        <v>0.00013001743144250676</v>
      </c>
      <c r="K34" s="562">
        <v>0.04421009509939173</v>
      </c>
      <c r="L34" s="523"/>
    </row>
    <row r="35" spans="1:12" s="153" customFormat="1" ht="15.75">
      <c r="A35" s="565">
        <v>30</v>
      </c>
      <c r="B35" s="520" t="s">
        <v>177</v>
      </c>
      <c r="C35" s="517" t="s">
        <v>10</v>
      </c>
      <c r="D35" s="519" t="s">
        <v>281</v>
      </c>
      <c r="E35" s="563">
        <v>7.802606988058344E-06</v>
      </c>
      <c r="F35" s="563">
        <v>7.802606988058343E-06</v>
      </c>
      <c r="G35" s="562">
        <v>0.002934052817410817</v>
      </c>
      <c r="H35" s="562">
        <v>0.0033896901373715966</v>
      </c>
      <c r="I35" s="562">
        <v>0.0032915896842059065</v>
      </c>
      <c r="J35" s="563">
        <v>7.802606988058343E-06</v>
      </c>
      <c r="K35" s="562">
        <v>0.002653136530525718</v>
      </c>
      <c r="L35" s="523"/>
    </row>
    <row r="36" spans="1:12" s="153" customFormat="1" ht="15.75">
      <c r="A36" s="565">
        <v>31</v>
      </c>
      <c r="B36" s="520" t="s">
        <v>178</v>
      </c>
      <c r="C36" s="517"/>
      <c r="D36" s="519" t="s">
        <v>281</v>
      </c>
      <c r="E36" s="563">
        <v>-0.0005194501431081709</v>
      </c>
      <c r="F36" s="563">
        <v>-0.0004015048519297558</v>
      </c>
      <c r="G36" s="562">
        <v>-0.06760075287475219</v>
      </c>
      <c r="H36" s="562">
        <v>-0.05087354582396074</v>
      </c>
      <c r="I36" s="562">
        <v>-0.05058289144482731</v>
      </c>
      <c r="J36" s="563">
        <v>-0.0008417890875859304</v>
      </c>
      <c r="K36" s="562">
        <v>-0.4341285678098291</v>
      </c>
      <c r="L36" s="523"/>
    </row>
    <row r="37" spans="1:12" s="153" customFormat="1" ht="15.75">
      <c r="A37" s="565">
        <v>32</v>
      </c>
      <c r="B37" s="520" t="s">
        <v>276</v>
      </c>
      <c r="C37" s="517" t="s">
        <v>10</v>
      </c>
      <c r="D37" s="519" t="s">
        <v>281</v>
      </c>
      <c r="E37" s="563">
        <v>2.2878971422571448E-07</v>
      </c>
      <c r="F37" s="563">
        <v>2.2878971422571445E-07</v>
      </c>
      <c r="G37" s="562">
        <v>8.603292548835905E-05</v>
      </c>
      <c r="H37" s="562">
        <v>9.939322062868091E-05</v>
      </c>
      <c r="I37" s="562">
        <v>9.651669811773788E-05</v>
      </c>
      <c r="J37" s="563">
        <v>2.2878971422571445E-07</v>
      </c>
      <c r="K37" s="562">
        <v>7.7795837923119E-05</v>
      </c>
      <c r="L37" s="523"/>
    </row>
    <row r="38" spans="1:12" s="153" customFormat="1" ht="15.75">
      <c r="A38" s="565">
        <v>33</v>
      </c>
      <c r="B38" s="520" t="s">
        <v>277</v>
      </c>
      <c r="C38" s="517"/>
      <c r="D38" s="519" t="s">
        <v>281</v>
      </c>
      <c r="E38" s="563">
        <v>4.3922140040338786E-05</v>
      </c>
      <c r="F38" s="563">
        <v>3.4795810935984435E-05</v>
      </c>
      <c r="G38" s="562">
        <v>0.005661349504265457</v>
      </c>
      <c r="H38" s="562">
        <v>0.004532465416720174</v>
      </c>
      <c r="I38" s="562">
        <v>0.004282554972594866</v>
      </c>
      <c r="J38" s="563">
        <v>6.472321971196193E-05</v>
      </c>
      <c r="K38" s="562">
        <v>0.03702219022997798</v>
      </c>
      <c r="L38" s="523"/>
    </row>
    <row r="39" spans="1:12" s="153" customFormat="1" ht="15.75">
      <c r="A39" s="565">
        <v>34</v>
      </c>
      <c r="B39" s="520" t="s">
        <v>278</v>
      </c>
      <c r="C39" s="517"/>
      <c r="D39" s="519" t="s">
        <v>281</v>
      </c>
      <c r="E39" s="563">
        <v>0.0006651352331746985</v>
      </c>
      <c r="F39" s="563">
        <v>0.0005808853541069296</v>
      </c>
      <c r="G39" s="562">
        <v>0.047761491044815155</v>
      </c>
      <c r="H39" s="562">
        <v>0.024112592330746377</v>
      </c>
      <c r="I39" s="562">
        <v>0.01910067503275186</v>
      </c>
      <c r="J39" s="563">
        <v>0.0009864426714835965</v>
      </c>
      <c r="K39" s="562">
        <v>0.31760413968625756</v>
      </c>
      <c r="L39" s="523"/>
    </row>
    <row r="40" spans="1:12" s="153" customFormat="1" ht="16.5" thickBot="1">
      <c r="A40" s="565">
        <v>35</v>
      </c>
      <c r="B40" s="520" t="s">
        <v>279</v>
      </c>
      <c r="C40" s="517" t="s">
        <v>10</v>
      </c>
      <c r="D40" s="519" t="s">
        <v>281</v>
      </c>
      <c r="E40" s="563">
        <v>-4.6725546968344265E-05</v>
      </c>
      <c r="F40" s="563">
        <v>-3.2490456507641634E-05</v>
      </c>
      <c r="G40" s="562">
        <v>-0.004372892487818698</v>
      </c>
      <c r="H40" s="562">
        <v>-0.005621779777629534</v>
      </c>
      <c r="I40" s="562">
        <v>-0.006544430546136274</v>
      </c>
      <c r="J40" s="563">
        <v>-2.960250129837006E-05</v>
      </c>
      <c r="K40" s="562">
        <v>-0.006931443160110253</v>
      </c>
      <c r="L40" s="576"/>
    </row>
    <row r="41" spans="1:12" ht="16.5" thickBot="1">
      <c r="A41" s="565">
        <v>36</v>
      </c>
      <c r="B41" s="577" t="s">
        <v>282</v>
      </c>
      <c r="C41" s="578" t="s">
        <v>180</v>
      </c>
      <c r="D41" s="579" t="s">
        <v>281</v>
      </c>
      <c r="E41" s="580">
        <v>-0.00049</v>
      </c>
      <c r="F41" s="580">
        <v>-0.00045</v>
      </c>
      <c r="G41" s="580">
        <v>-0.2563</v>
      </c>
      <c r="H41" s="580">
        <v>-0.3026</v>
      </c>
      <c r="I41" s="580">
        <v>-0.3005</v>
      </c>
      <c r="J41" s="580">
        <v>-0.0005</v>
      </c>
      <c r="K41" s="580">
        <v>-0.3015</v>
      </c>
      <c r="L41" s="581"/>
    </row>
    <row r="42" spans="1:12" ht="15.75">
      <c r="A42" s="516"/>
      <c r="B42" s="517"/>
      <c r="C42" s="517"/>
      <c r="D42" s="521"/>
      <c r="E42" s="538" t="s">
        <v>10</v>
      </c>
      <c r="F42" s="539" t="s">
        <v>10</v>
      </c>
      <c r="G42" s="540"/>
      <c r="H42" s="540" t="s">
        <v>10</v>
      </c>
      <c r="I42" s="540" t="s">
        <v>10</v>
      </c>
      <c r="J42" s="539" t="s">
        <v>10</v>
      </c>
      <c r="K42" s="540" t="s">
        <v>10</v>
      </c>
      <c r="L42" s="5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zoomScalePageLayoutView="0" workbookViewId="0" topLeftCell="A1">
      <selection activeCell="A1" sqref="A1:L42"/>
    </sheetView>
  </sheetViews>
  <sheetFormatPr defaultColWidth="9.140625" defaultRowHeight="15"/>
  <cols>
    <col min="4" max="4" width="19.7109375" style="0" customWidth="1"/>
    <col min="5" max="5" width="18.57421875" style="0" customWidth="1"/>
    <col min="6" max="6" width="20.140625" style="0" customWidth="1"/>
    <col min="7" max="7" width="17.421875" style="0" customWidth="1"/>
    <col min="8" max="8" width="21.8515625" style="0" customWidth="1"/>
    <col min="9" max="10" width="14.7109375" style="0" customWidth="1"/>
    <col min="11" max="11" width="16.8515625" style="0" customWidth="1"/>
  </cols>
  <sheetData>
    <row r="1" spans="1:11" ht="16.5" thickBot="1">
      <c r="A1" s="406"/>
      <c r="B1" s="407" t="s">
        <v>10</v>
      </c>
      <c r="C1" s="431" t="s">
        <v>10</v>
      </c>
      <c r="D1" s="407" t="s">
        <v>10</v>
      </c>
      <c r="E1" s="407"/>
      <c r="F1" s="407"/>
      <c r="G1" s="407"/>
      <c r="H1" s="407"/>
      <c r="I1" s="407"/>
      <c r="J1" s="407"/>
      <c r="K1" s="407"/>
    </row>
    <row r="2" spans="1:11" ht="48" thickBot="1">
      <c r="A2" s="452" t="s">
        <v>291</v>
      </c>
      <c r="B2" s="416"/>
      <c r="C2" s="416"/>
      <c r="D2" s="416" t="s">
        <v>14</v>
      </c>
      <c r="E2" s="416" t="s">
        <v>15</v>
      </c>
      <c r="F2" s="416" t="s">
        <v>292</v>
      </c>
      <c r="G2" s="416" t="s">
        <v>17</v>
      </c>
      <c r="H2" s="416" t="s">
        <v>18</v>
      </c>
      <c r="I2" s="416" t="s">
        <v>19</v>
      </c>
      <c r="J2" s="416" t="s">
        <v>20</v>
      </c>
      <c r="K2" s="417" t="s">
        <v>21</v>
      </c>
    </row>
    <row r="3" spans="1:11" ht="15.75">
      <c r="A3" s="439"/>
      <c r="B3" s="406"/>
      <c r="C3" s="432"/>
      <c r="D3" s="415" t="s">
        <v>25</v>
      </c>
      <c r="E3" s="415" t="s">
        <v>26</v>
      </c>
      <c r="F3" s="415"/>
      <c r="G3" s="415" t="s">
        <v>28</v>
      </c>
      <c r="H3" s="415" t="s">
        <v>29</v>
      </c>
      <c r="I3" s="415"/>
      <c r="J3" s="415" t="s">
        <v>30</v>
      </c>
      <c r="K3" s="441" t="s">
        <v>31</v>
      </c>
    </row>
    <row r="4" spans="1:11" ht="15.75">
      <c r="A4" s="442" t="s">
        <v>293</v>
      </c>
      <c r="B4" s="406"/>
      <c r="C4" s="432"/>
      <c r="D4" s="406"/>
      <c r="E4" s="406" t="s">
        <v>32</v>
      </c>
      <c r="F4" s="406"/>
      <c r="G4" s="406"/>
      <c r="H4" s="406"/>
      <c r="I4" s="406"/>
      <c r="J4" s="406"/>
      <c r="K4" s="443"/>
    </row>
    <row r="5" spans="1:11" ht="15.75">
      <c r="A5" s="444" t="s">
        <v>171</v>
      </c>
      <c r="B5" s="406"/>
      <c r="C5" s="433" t="s">
        <v>10</v>
      </c>
      <c r="D5" s="413" t="s">
        <v>33</v>
      </c>
      <c r="E5" s="413" t="s">
        <v>33</v>
      </c>
      <c r="F5" s="413">
        <v>26934429.732053652</v>
      </c>
      <c r="G5" s="413">
        <v>10637919.72094347</v>
      </c>
      <c r="H5" s="413">
        <v>5229314.742966217</v>
      </c>
      <c r="I5" s="413" t="s">
        <v>33</v>
      </c>
      <c r="J5" s="413">
        <v>322725</v>
      </c>
      <c r="K5" s="445">
        <v>43124389.19596334</v>
      </c>
    </row>
    <row r="6" spans="1:11" ht="15.75">
      <c r="A6" s="444" t="s">
        <v>11</v>
      </c>
      <c r="B6" s="406"/>
      <c r="C6" s="432"/>
      <c r="D6" s="413">
        <v>5037295612.099079</v>
      </c>
      <c r="E6" s="413">
        <v>2071525043.772528</v>
      </c>
      <c r="F6" s="413">
        <v>10268957200.243916</v>
      </c>
      <c r="G6" s="413">
        <v>4685622966.083459</v>
      </c>
      <c r="H6" s="413">
        <v>2236665845.1326065</v>
      </c>
      <c r="I6" s="413">
        <v>52097298.71804408</v>
      </c>
      <c r="J6" s="413">
        <v>111260969.55848952</v>
      </c>
      <c r="K6" s="445">
        <v>24463424935.608124</v>
      </c>
    </row>
    <row r="7" spans="1:11" ht="15.75">
      <c r="A7" s="444" t="s">
        <v>35</v>
      </c>
      <c r="B7" s="406"/>
      <c r="C7" s="432"/>
      <c r="D7" s="414">
        <v>633121</v>
      </c>
      <c r="E7" s="414">
        <v>65907</v>
      </c>
      <c r="F7" s="414">
        <v>13776</v>
      </c>
      <c r="G7" s="414">
        <v>505</v>
      </c>
      <c r="H7" s="413">
        <v>50</v>
      </c>
      <c r="I7" s="413">
        <v>1107</v>
      </c>
      <c r="J7" s="413">
        <v>1</v>
      </c>
      <c r="K7" s="445">
        <v>714467</v>
      </c>
    </row>
    <row r="8" spans="1:11" ht="15.75">
      <c r="A8" s="444"/>
      <c r="B8" s="406"/>
      <c r="C8" s="432"/>
      <c r="D8" s="461">
        <v>0.28081053528892047</v>
      </c>
      <c r="E8" s="461">
        <v>0.08066400883704102</v>
      </c>
      <c r="F8" s="461">
        <v>0.2857555781498597</v>
      </c>
      <c r="G8" s="461">
        <v>0.16040894966506572</v>
      </c>
      <c r="H8" s="408">
        <v>0.19236092805911306</v>
      </c>
      <c r="I8" s="408"/>
      <c r="J8" s="408"/>
      <c r="K8" s="462">
        <v>1</v>
      </c>
    </row>
    <row r="9" spans="1:11" ht="16.5" thickBot="1">
      <c r="A9" s="446"/>
      <c r="B9" s="410"/>
      <c r="C9" s="432"/>
      <c r="D9" s="409"/>
      <c r="E9" s="409"/>
      <c r="F9" s="409"/>
      <c r="G9" s="409"/>
      <c r="H9" s="409"/>
      <c r="I9" s="409"/>
      <c r="J9" s="409"/>
      <c r="K9" s="447"/>
    </row>
    <row r="10" spans="1:11" ht="48" thickBot="1">
      <c r="A10" s="418"/>
      <c r="B10" s="416" t="s">
        <v>10</v>
      </c>
      <c r="C10" s="416" t="s">
        <v>168</v>
      </c>
      <c r="D10" s="416" t="s">
        <v>14</v>
      </c>
      <c r="E10" s="416" t="s">
        <v>15</v>
      </c>
      <c r="F10" s="416" t="s">
        <v>292</v>
      </c>
      <c r="G10" s="416" t="s">
        <v>17</v>
      </c>
      <c r="H10" s="416" t="s">
        <v>18</v>
      </c>
      <c r="I10" s="416" t="s">
        <v>19</v>
      </c>
      <c r="J10" s="416" t="s">
        <v>20</v>
      </c>
      <c r="K10" s="417" t="s">
        <v>21</v>
      </c>
    </row>
    <row r="11" spans="1:11" ht="18.75">
      <c r="A11" s="453"/>
      <c r="B11" s="454"/>
      <c r="C11" s="455"/>
      <c r="D11" s="454"/>
      <c r="E11" s="456" t="s">
        <v>10</v>
      </c>
      <c r="F11" s="456"/>
      <c r="G11" s="454"/>
      <c r="H11" s="454"/>
      <c r="I11" s="454"/>
      <c r="J11" s="454"/>
      <c r="K11" s="457"/>
    </row>
    <row r="12" spans="1:11" ht="18.75">
      <c r="A12" s="437" t="s">
        <v>294</v>
      </c>
      <c r="B12" s="411">
        <v>1978603.165931834</v>
      </c>
      <c r="C12" s="438" t="s">
        <v>10</v>
      </c>
      <c r="D12" s="413">
        <v>555612.614149671</v>
      </c>
      <c r="E12" s="413">
        <v>159602.06326172277</v>
      </c>
      <c r="F12" s="413">
        <v>565396.891609994</v>
      </c>
      <c r="G12" s="413">
        <v>317385.6556510992</v>
      </c>
      <c r="H12" s="413">
        <v>380605.94125934684</v>
      </c>
      <c r="I12" s="413">
        <v>0</v>
      </c>
      <c r="J12" s="413">
        <v>0</v>
      </c>
      <c r="K12" s="436">
        <v>1978603.1659318341</v>
      </c>
    </row>
    <row r="13" spans="1:11" ht="16.5" thickBot="1">
      <c r="A13" s="458"/>
      <c r="B13" s="459"/>
      <c r="C13" s="440"/>
      <c r="D13" s="459"/>
      <c r="E13" s="459"/>
      <c r="F13" s="459"/>
      <c r="G13" s="459"/>
      <c r="H13" s="459"/>
      <c r="I13" s="459"/>
      <c r="J13" s="459"/>
      <c r="K13" s="460"/>
    </row>
    <row r="14" spans="1:11" ht="48" thickBot="1">
      <c r="A14" s="418"/>
      <c r="B14" s="416" t="s">
        <v>10</v>
      </c>
      <c r="C14" s="416" t="s">
        <v>295</v>
      </c>
      <c r="D14" s="416" t="s">
        <v>14</v>
      </c>
      <c r="E14" s="416" t="s">
        <v>15</v>
      </c>
      <c r="F14" s="416" t="s">
        <v>292</v>
      </c>
      <c r="G14" s="416" t="s">
        <v>17</v>
      </c>
      <c r="H14" s="416" t="s">
        <v>18</v>
      </c>
      <c r="I14" s="416" t="s">
        <v>19</v>
      </c>
      <c r="J14" s="416" t="s">
        <v>20</v>
      </c>
      <c r="K14" s="417" t="s">
        <v>21</v>
      </c>
    </row>
    <row r="15" spans="1:11" ht="18.75">
      <c r="A15" s="448"/>
      <c r="B15" s="419"/>
      <c r="C15" s="434"/>
      <c r="D15" s="420" t="s">
        <v>11</v>
      </c>
      <c r="E15" s="420" t="s">
        <v>11</v>
      </c>
      <c r="F15" s="420" t="s">
        <v>13</v>
      </c>
      <c r="G15" s="420" t="s">
        <v>13</v>
      </c>
      <c r="H15" s="420" t="s">
        <v>13</v>
      </c>
      <c r="I15" s="420" t="s">
        <v>11</v>
      </c>
      <c r="J15" s="420" t="s">
        <v>13</v>
      </c>
      <c r="K15" s="421"/>
    </row>
    <row r="16" spans="1:11" ht="18.75">
      <c r="A16" s="448"/>
      <c r="B16" s="449"/>
      <c r="C16" s="449"/>
      <c r="D16" s="449"/>
      <c r="E16" s="449"/>
      <c r="F16" s="449"/>
      <c r="G16" s="449"/>
      <c r="H16" s="449"/>
      <c r="I16" s="449"/>
      <c r="J16" s="449"/>
      <c r="K16" s="423"/>
    </row>
    <row r="17" spans="1:11" ht="56.25">
      <c r="A17" s="427" t="s">
        <v>282</v>
      </c>
      <c r="B17" s="412"/>
      <c r="C17" s="422" t="s">
        <v>296</v>
      </c>
      <c r="D17" s="450">
        <v>0.00011</v>
      </c>
      <c r="E17" s="450">
        <v>8E-05</v>
      </c>
      <c r="F17" s="450">
        <v>0.0207</v>
      </c>
      <c r="G17" s="450">
        <v>0.0294</v>
      </c>
      <c r="H17" s="450">
        <v>0.0718</v>
      </c>
      <c r="I17" s="450">
        <v>0</v>
      </c>
      <c r="J17" s="451">
        <v>0</v>
      </c>
      <c r="K17" s="423"/>
    </row>
    <row r="18" spans="1:11" ht="19.5" thickBot="1">
      <c r="A18" s="424"/>
      <c r="B18" s="425"/>
      <c r="C18" s="435"/>
      <c r="D18" s="430" t="s">
        <v>10</v>
      </c>
      <c r="E18" s="429" t="s">
        <v>10</v>
      </c>
      <c r="F18" s="429"/>
      <c r="G18" s="428" t="s">
        <v>10</v>
      </c>
      <c r="H18" s="428" t="s">
        <v>10</v>
      </c>
      <c r="I18" s="429" t="s">
        <v>10</v>
      </c>
      <c r="J18" s="428" t="s">
        <v>10</v>
      </c>
      <c r="K18" s="426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zoomScalePageLayoutView="0" workbookViewId="0" topLeftCell="E1">
      <selection activeCell="A1" sqref="A1:L42"/>
    </sheetView>
  </sheetViews>
  <sheetFormatPr defaultColWidth="9.140625" defaultRowHeight="15"/>
  <cols>
    <col min="1" max="1" width="2.57421875" style="0" customWidth="1"/>
    <col min="4" max="4" width="31.421875" style="0" customWidth="1"/>
    <col min="5" max="13" width="21.28125" style="0" customWidth="1"/>
  </cols>
  <sheetData>
    <row r="1" spans="1:12" ht="16.5" thickBot="1">
      <c r="A1" s="469"/>
      <c r="B1" s="470"/>
      <c r="C1" s="469" t="s">
        <v>10</v>
      </c>
      <c r="D1" s="471" t="s">
        <v>10</v>
      </c>
      <c r="E1" s="469" t="s">
        <v>10</v>
      </c>
      <c r="F1" s="469"/>
      <c r="G1" s="469"/>
      <c r="H1" s="469"/>
      <c r="I1" s="469"/>
      <c r="J1" s="469"/>
      <c r="K1" s="469"/>
      <c r="L1" s="469"/>
    </row>
    <row r="2" spans="1:12" ht="27" thickBot="1">
      <c r="A2" s="466">
        <v>1</v>
      </c>
      <c r="B2" s="468" t="s">
        <v>297</v>
      </c>
      <c r="C2" s="472"/>
      <c r="D2" s="472"/>
      <c r="E2" s="504" t="s">
        <v>14</v>
      </c>
      <c r="F2" s="504" t="s">
        <v>15</v>
      </c>
      <c r="G2" s="504" t="s">
        <v>131</v>
      </c>
      <c r="H2" s="504" t="s">
        <v>169</v>
      </c>
      <c r="I2" s="504" t="s">
        <v>170</v>
      </c>
      <c r="J2" s="504" t="s">
        <v>268</v>
      </c>
      <c r="K2" s="504" t="s">
        <v>20</v>
      </c>
      <c r="L2" s="505" t="s">
        <v>21</v>
      </c>
    </row>
    <row r="3" spans="1:12" ht="15.75">
      <c r="A3" s="466">
        <v>2</v>
      </c>
      <c r="B3" s="473"/>
      <c r="C3" s="470"/>
      <c r="D3" s="474"/>
      <c r="E3" s="475" t="s">
        <v>25</v>
      </c>
      <c r="F3" s="475" t="s">
        <v>26</v>
      </c>
      <c r="G3" s="475"/>
      <c r="H3" s="475" t="s">
        <v>28</v>
      </c>
      <c r="I3" s="475" t="s">
        <v>10</v>
      </c>
      <c r="J3" s="475"/>
      <c r="K3" s="475" t="s">
        <v>30</v>
      </c>
      <c r="L3" s="476" t="s">
        <v>31</v>
      </c>
    </row>
    <row r="4" spans="1:12" ht="15.75">
      <c r="A4" s="466">
        <v>3</v>
      </c>
      <c r="B4" s="477" t="s">
        <v>269</v>
      </c>
      <c r="C4" s="470"/>
      <c r="D4" s="474"/>
      <c r="E4" s="470" t="s">
        <v>10</v>
      </c>
      <c r="F4" s="470" t="s">
        <v>32</v>
      </c>
      <c r="G4" s="470"/>
      <c r="H4" s="470"/>
      <c r="I4" s="470"/>
      <c r="J4" s="470"/>
      <c r="K4" s="478" t="s">
        <v>10</v>
      </c>
      <c r="L4" s="479"/>
    </row>
    <row r="5" spans="1:12" ht="15.75">
      <c r="A5" s="466">
        <v>4</v>
      </c>
      <c r="B5" s="503" t="s">
        <v>172</v>
      </c>
      <c r="C5" s="470"/>
      <c r="D5" s="474"/>
      <c r="E5" s="480">
        <v>5037295612.099079</v>
      </c>
      <c r="F5" s="480">
        <v>2071525043.772528</v>
      </c>
      <c r="G5" s="480">
        <v>10268957200.243916</v>
      </c>
      <c r="H5" s="480">
        <v>4685622966.083459</v>
      </c>
      <c r="I5" s="480">
        <v>2236665845.1326065</v>
      </c>
      <c r="J5" s="480">
        <v>52097298.71804408</v>
      </c>
      <c r="K5" s="480">
        <v>111260969.55848952</v>
      </c>
      <c r="L5" s="481">
        <v>24463424935.608124</v>
      </c>
    </row>
    <row r="6" spans="1:12" ht="15.75">
      <c r="A6" s="466">
        <v>5</v>
      </c>
      <c r="B6" s="503" t="s">
        <v>298</v>
      </c>
      <c r="C6" s="470"/>
      <c r="D6" s="474"/>
      <c r="E6" s="480">
        <v>576867563.1243541</v>
      </c>
      <c r="F6" s="480">
        <v>423760583.3915916</v>
      </c>
      <c r="G6" s="480">
        <v>7004839233.577881</v>
      </c>
      <c r="H6" s="480">
        <v>4230084681.460991</v>
      </c>
      <c r="I6" s="480">
        <v>2138300703.3108418</v>
      </c>
      <c r="J6" s="480">
        <v>0</v>
      </c>
      <c r="K6" s="480">
        <v>111224157.66408922</v>
      </c>
      <c r="L6" s="481">
        <v>14485076922.529749</v>
      </c>
    </row>
    <row r="7" spans="1:12" ht="15.75">
      <c r="A7" s="466">
        <v>6</v>
      </c>
      <c r="B7" s="477" t="s">
        <v>148</v>
      </c>
      <c r="C7" s="469"/>
      <c r="D7" s="471"/>
      <c r="E7" s="480" t="s">
        <v>10</v>
      </c>
      <c r="F7" s="480" t="s">
        <v>10</v>
      </c>
      <c r="G7" s="480" t="s">
        <v>10</v>
      </c>
      <c r="H7" s="480" t="s">
        <v>10</v>
      </c>
      <c r="I7" s="480" t="s">
        <v>10</v>
      </c>
      <c r="J7" s="480" t="s">
        <v>10</v>
      </c>
      <c r="K7" s="480" t="s">
        <v>10</v>
      </c>
      <c r="L7" s="481" t="s">
        <v>10</v>
      </c>
    </row>
    <row r="8" spans="1:12" ht="15.75">
      <c r="A8" s="466">
        <v>7</v>
      </c>
      <c r="B8" s="503" t="s">
        <v>272</v>
      </c>
      <c r="C8" s="464"/>
      <c r="D8" s="464"/>
      <c r="E8" s="483">
        <v>0.040549619050274356</v>
      </c>
      <c r="F8" s="483">
        <v>0.031902764694227294</v>
      </c>
      <c r="G8" s="483">
        <v>0.4636681411352539</v>
      </c>
      <c r="H8" s="483">
        <v>0.303913244442789</v>
      </c>
      <c r="I8" s="483">
        <v>0.15248513039326728</v>
      </c>
      <c r="J8" s="483">
        <v>0</v>
      </c>
      <c r="K8" s="483">
        <v>0.007481100284187987</v>
      </c>
      <c r="L8" s="484">
        <v>0.9999999999999999</v>
      </c>
    </row>
    <row r="9" spans="1:12" ht="15.75">
      <c r="A9" s="466">
        <v>8</v>
      </c>
      <c r="B9" s="503" t="s">
        <v>299</v>
      </c>
      <c r="C9" s="464"/>
      <c r="D9" s="464"/>
      <c r="E9" s="483">
        <v>0.11451929915305666</v>
      </c>
      <c r="F9" s="483">
        <v>0.20456454758561168</v>
      </c>
      <c r="G9" s="483">
        <v>0.6821373482218328</v>
      </c>
      <c r="H9" s="483">
        <v>0.9027795689239513</v>
      </c>
      <c r="I9" s="483">
        <v>0.9560215299769408</v>
      </c>
      <c r="J9" s="483">
        <v>0</v>
      </c>
      <c r="K9" s="483">
        <v>0.9996691391909815</v>
      </c>
      <c r="L9" s="484"/>
    </row>
    <row r="10" spans="1:12" ht="16.5" thickBot="1">
      <c r="A10" s="466">
        <v>9</v>
      </c>
      <c r="B10" s="485"/>
      <c r="C10" s="486"/>
      <c r="D10" s="474"/>
      <c r="E10" s="487" t="s">
        <v>10</v>
      </c>
      <c r="F10" s="487" t="s">
        <v>10</v>
      </c>
      <c r="G10" s="487"/>
      <c r="H10" s="487"/>
      <c r="I10" s="487"/>
      <c r="J10" s="487"/>
      <c r="K10" s="487"/>
      <c r="L10" s="488"/>
    </row>
    <row r="11" spans="1:12" ht="27" thickBot="1">
      <c r="A11" s="466">
        <v>10</v>
      </c>
      <c r="B11" s="489"/>
      <c r="C11" s="472" t="s">
        <v>10</v>
      </c>
      <c r="D11" s="504" t="s">
        <v>168</v>
      </c>
      <c r="E11" s="504" t="s">
        <v>14</v>
      </c>
      <c r="F11" s="504" t="s">
        <v>15</v>
      </c>
      <c r="G11" s="504" t="s">
        <v>131</v>
      </c>
      <c r="H11" s="504" t="s">
        <v>169</v>
      </c>
      <c r="I11" s="504" t="s">
        <v>170</v>
      </c>
      <c r="J11" s="504" t="s">
        <v>268</v>
      </c>
      <c r="K11" s="504" t="s">
        <v>20</v>
      </c>
      <c r="L11" s="505" t="s">
        <v>21</v>
      </c>
    </row>
    <row r="12" spans="1:12" ht="18">
      <c r="A12" s="466">
        <v>11</v>
      </c>
      <c r="B12" s="490"/>
      <c r="C12" s="491"/>
      <c r="D12" s="492"/>
      <c r="E12" s="491"/>
      <c r="F12" s="493" t="s">
        <v>10</v>
      </c>
      <c r="G12" s="491"/>
      <c r="H12" s="491"/>
      <c r="I12" s="491"/>
      <c r="J12" s="491"/>
      <c r="K12" s="491"/>
      <c r="L12" s="494"/>
    </row>
    <row r="13" spans="1:12" ht="30.75" thickBot="1">
      <c r="A13" s="467">
        <v>12</v>
      </c>
      <c r="B13" s="506" t="s">
        <v>300</v>
      </c>
      <c r="C13" s="507">
        <v>20731172.370308373</v>
      </c>
      <c r="D13" s="508" t="s">
        <v>272</v>
      </c>
      <c r="E13" s="507">
        <v>840641.1420815778</v>
      </c>
      <c r="F13" s="507">
        <v>661381.7139654143</v>
      </c>
      <c r="G13" s="507">
        <v>9612384.156495418</v>
      </c>
      <c r="H13" s="507">
        <v>6300477.856163122</v>
      </c>
      <c r="I13" s="507">
        <v>3161195.522091772</v>
      </c>
      <c r="J13" s="507">
        <v>0</v>
      </c>
      <c r="K13" s="507">
        <v>155091.9795110641</v>
      </c>
      <c r="L13" s="509">
        <v>20731172.37030837</v>
      </c>
    </row>
    <row r="14" spans="1:12" ht="16.5" thickBot="1">
      <c r="A14" s="464"/>
      <c r="B14" s="464"/>
      <c r="C14" s="482" t="s">
        <v>10</v>
      </c>
      <c r="D14" s="495"/>
      <c r="E14" s="496"/>
      <c r="F14" s="496"/>
      <c r="G14" s="496"/>
      <c r="H14" s="496"/>
      <c r="I14" s="496"/>
      <c r="J14" s="496"/>
      <c r="K14" s="496"/>
      <c r="L14" s="497"/>
    </row>
    <row r="15" spans="1:12" ht="27" thickBot="1">
      <c r="A15" s="466">
        <v>13</v>
      </c>
      <c r="B15" s="514" t="s">
        <v>300</v>
      </c>
      <c r="C15" s="472" t="s">
        <v>10</v>
      </c>
      <c r="D15" s="504" t="s">
        <v>179</v>
      </c>
      <c r="E15" s="504" t="s">
        <v>14</v>
      </c>
      <c r="F15" s="504" t="s">
        <v>15</v>
      </c>
      <c r="G15" s="504" t="s">
        <v>131</v>
      </c>
      <c r="H15" s="504" t="s">
        <v>169</v>
      </c>
      <c r="I15" s="504" t="s">
        <v>170</v>
      </c>
      <c r="J15" s="504" t="s">
        <v>268</v>
      </c>
      <c r="K15" s="504" t="s">
        <v>20</v>
      </c>
      <c r="L15" s="505" t="s">
        <v>21</v>
      </c>
    </row>
    <row r="16" spans="1:12" ht="18">
      <c r="A16" s="466">
        <v>14</v>
      </c>
      <c r="B16" s="498" t="s">
        <v>10</v>
      </c>
      <c r="C16" s="499"/>
      <c r="D16" s="500"/>
      <c r="E16" s="501" t="s">
        <v>10</v>
      </c>
      <c r="F16" s="501" t="s">
        <v>10</v>
      </c>
      <c r="G16" s="501" t="s">
        <v>10</v>
      </c>
      <c r="H16" s="501" t="s">
        <v>10</v>
      </c>
      <c r="I16" s="501" t="s">
        <v>10</v>
      </c>
      <c r="J16" s="501" t="s">
        <v>10</v>
      </c>
      <c r="K16" s="501" t="s">
        <v>10</v>
      </c>
      <c r="L16" s="502"/>
    </row>
    <row r="17" spans="1:12" ht="18.75" thickBot="1">
      <c r="A17" s="467">
        <v>15</v>
      </c>
      <c r="B17" s="465" t="s">
        <v>282</v>
      </c>
      <c r="C17" s="510"/>
      <c r="D17" s="511" t="s">
        <v>121</v>
      </c>
      <c r="E17" s="512">
        <v>0.00146</v>
      </c>
      <c r="F17" s="512">
        <v>0.00156</v>
      </c>
      <c r="G17" s="512">
        <v>0.00137</v>
      </c>
      <c r="H17" s="512">
        <v>0.00149</v>
      </c>
      <c r="I17" s="512">
        <v>0.00148</v>
      </c>
      <c r="J17" s="512">
        <v>0</v>
      </c>
      <c r="K17" s="512">
        <v>0.00139</v>
      </c>
      <c r="L17" s="51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zoomScalePageLayoutView="0" workbookViewId="0" topLeftCell="A10">
      <selection activeCell="A1" sqref="A1:L42"/>
    </sheetView>
  </sheetViews>
  <sheetFormatPr defaultColWidth="9.140625" defaultRowHeight="15"/>
  <cols>
    <col min="1" max="1" width="9.140625" style="78" customWidth="1"/>
    <col min="2" max="2" width="35.57421875" style="78" customWidth="1"/>
    <col min="3" max="3" width="20.00390625" style="78" customWidth="1"/>
    <col min="4" max="4" width="18.8515625" style="79" customWidth="1"/>
    <col min="5" max="5" width="14.00390625" style="78" customWidth="1"/>
    <col min="6" max="6" width="15.7109375" style="78" customWidth="1"/>
    <col min="7" max="8" width="15.7109375" style="78" hidden="1" customWidth="1"/>
    <col min="9" max="11" width="15.7109375" style="78" customWidth="1"/>
    <col min="12" max="13" width="14.57421875" style="78" customWidth="1"/>
    <col min="14" max="14" width="15.140625" style="78" customWidth="1"/>
    <col min="15" max="15" width="12.7109375" style="78" hidden="1" customWidth="1"/>
    <col min="16" max="16" width="14.28125" style="78" customWidth="1"/>
    <col min="17" max="17" width="14.7109375" style="78" customWidth="1"/>
    <col min="18" max="16384" width="9.140625" style="78" customWidth="1"/>
  </cols>
  <sheetData>
    <row r="1" ht="12.75">
      <c r="A1" s="78" t="s">
        <v>10</v>
      </c>
    </row>
    <row r="2" spans="2:14" s="80" customFormat="1" ht="13.5" thickBot="1">
      <c r="B2" s="80" t="s">
        <v>96</v>
      </c>
      <c r="C2" s="80" t="s">
        <v>97</v>
      </c>
      <c r="D2" s="80" t="s">
        <v>98</v>
      </c>
      <c r="E2" s="80" t="s">
        <v>99</v>
      </c>
      <c r="F2" s="80" t="s">
        <v>100</v>
      </c>
      <c r="G2" s="80" t="s">
        <v>101</v>
      </c>
      <c r="H2" s="80" t="s">
        <v>123</v>
      </c>
      <c r="I2" s="80" t="s">
        <v>101</v>
      </c>
      <c r="J2" s="80" t="s">
        <v>123</v>
      </c>
      <c r="K2" s="80" t="s">
        <v>124</v>
      </c>
      <c r="L2" s="80" t="s">
        <v>125</v>
      </c>
      <c r="M2" s="80" t="s">
        <v>126</v>
      </c>
      <c r="N2" s="80" t="s">
        <v>127</v>
      </c>
    </row>
    <row r="3" spans="1:15" s="86" customFormat="1" ht="51.75" thickBot="1">
      <c r="A3" s="81" t="s">
        <v>128</v>
      </c>
      <c r="B3" s="82" t="s">
        <v>129</v>
      </c>
      <c r="C3" s="83"/>
      <c r="D3" s="83"/>
      <c r="E3" s="84" t="s">
        <v>112</v>
      </c>
      <c r="F3" s="84" t="s">
        <v>15</v>
      </c>
      <c r="G3" s="84" t="s">
        <v>130</v>
      </c>
      <c r="H3" s="84" t="s">
        <v>16</v>
      </c>
      <c r="I3" s="84" t="s">
        <v>131</v>
      </c>
      <c r="J3" s="84" t="s">
        <v>132</v>
      </c>
      <c r="K3" s="84" t="s">
        <v>116</v>
      </c>
      <c r="L3" s="84" t="s">
        <v>118</v>
      </c>
      <c r="M3" s="84" t="s">
        <v>133</v>
      </c>
      <c r="N3" s="85" t="s">
        <v>21</v>
      </c>
      <c r="O3" s="80" t="s">
        <v>22</v>
      </c>
    </row>
    <row r="4" spans="1:15" s="93" customFormat="1" ht="12.75">
      <c r="A4" s="81" t="s">
        <v>134</v>
      </c>
      <c r="B4" s="87"/>
      <c r="C4" s="88"/>
      <c r="D4" s="89"/>
      <c r="E4" s="90"/>
      <c r="F4" s="90"/>
      <c r="G4" s="90"/>
      <c r="H4" s="90"/>
      <c r="I4" s="90"/>
      <c r="J4" s="90"/>
      <c r="K4" s="90"/>
      <c r="L4" s="90"/>
      <c r="M4" s="90"/>
      <c r="N4" s="91"/>
      <c r="O4" s="92"/>
    </row>
    <row r="5" spans="1:15" s="93" customFormat="1" ht="12.75">
      <c r="A5" s="81" t="s">
        <v>135</v>
      </c>
      <c r="B5" s="94" t="s">
        <v>136</v>
      </c>
      <c r="C5" s="88"/>
      <c r="D5" s="89"/>
      <c r="E5" s="88"/>
      <c r="F5" s="88" t="s">
        <v>32</v>
      </c>
      <c r="G5" s="88"/>
      <c r="H5" s="88"/>
      <c r="I5" s="88"/>
      <c r="J5" s="88"/>
      <c r="K5" s="88"/>
      <c r="L5" s="88"/>
      <c r="M5" s="88" t="s">
        <v>10</v>
      </c>
      <c r="N5" s="95"/>
      <c r="O5" s="92"/>
    </row>
    <row r="6" spans="1:15" s="93" customFormat="1" ht="12.75">
      <c r="A6" s="81" t="s">
        <v>137</v>
      </c>
      <c r="B6" s="96" t="s">
        <v>35</v>
      </c>
      <c r="C6" s="88"/>
      <c r="D6" s="89"/>
      <c r="E6" s="97">
        <v>611808.1977482657</v>
      </c>
      <c r="F6" s="97">
        <v>66190.8584954506</v>
      </c>
      <c r="G6" s="97">
        <v>1924.6180242971368</v>
      </c>
      <c r="H6" s="97">
        <v>9794.190977008611</v>
      </c>
      <c r="I6" s="97">
        <v>11718.809001305748</v>
      </c>
      <c r="J6" s="97">
        <v>530.2074618866328</v>
      </c>
      <c r="K6" s="98">
        <v>49</v>
      </c>
      <c r="L6" s="98">
        <v>24</v>
      </c>
      <c r="M6" s="98">
        <v>1</v>
      </c>
      <c r="N6" s="99">
        <v>690322.0727069087</v>
      </c>
      <c r="O6" s="92"/>
    </row>
    <row r="7" spans="1:15" s="93" customFormat="1" ht="12.75">
      <c r="A7" s="81" t="s">
        <v>138</v>
      </c>
      <c r="B7" s="96" t="s">
        <v>139</v>
      </c>
      <c r="C7" s="88"/>
      <c r="D7" s="89"/>
      <c r="E7" s="97"/>
      <c r="F7" s="97"/>
      <c r="G7" s="97"/>
      <c r="H7" s="97"/>
      <c r="I7" s="97"/>
      <c r="J7" s="97"/>
      <c r="K7" s="98"/>
      <c r="L7" s="98">
        <v>19907</v>
      </c>
      <c r="M7" s="98">
        <v>162449.62500000017</v>
      </c>
      <c r="N7" s="99">
        <v>182356.62500000017</v>
      </c>
      <c r="O7" s="92"/>
    </row>
    <row r="8" spans="1:15" s="93" customFormat="1" ht="12.75">
      <c r="A8" s="81" t="s">
        <v>140</v>
      </c>
      <c r="B8" s="96" t="s">
        <v>205</v>
      </c>
      <c r="C8" s="100"/>
      <c r="D8" s="101"/>
      <c r="E8" s="98">
        <v>611808.197748266</v>
      </c>
      <c r="F8" s="98">
        <v>66190.8584954506</v>
      </c>
      <c r="G8" s="98">
        <v>524.6861391028486</v>
      </c>
      <c r="H8" s="98">
        <v>2278.0974148762652</v>
      </c>
      <c r="I8" s="98">
        <v>2802.783553979114</v>
      </c>
      <c r="J8" s="98">
        <v>12.076781201171926</v>
      </c>
      <c r="K8" s="98">
        <v>0.3192</v>
      </c>
      <c r="L8" s="98">
        <v>19907</v>
      </c>
      <c r="M8" s="98">
        <v>90025.55555555555</v>
      </c>
      <c r="N8" s="99">
        <v>790746.7913344525</v>
      </c>
      <c r="O8" s="92"/>
    </row>
    <row r="9" spans="1:15" s="93" customFormat="1" ht="12.75">
      <c r="A9" s="81" t="s">
        <v>141</v>
      </c>
      <c r="B9" s="94"/>
      <c r="C9" s="88"/>
      <c r="D9" s="88"/>
      <c r="E9" s="102"/>
      <c r="F9" s="102" t="s">
        <v>32</v>
      </c>
      <c r="G9" s="102"/>
      <c r="H9" s="102"/>
      <c r="I9" s="102"/>
      <c r="J9" s="102"/>
      <c r="K9" s="102"/>
      <c r="L9" s="102"/>
      <c r="M9" s="102"/>
      <c r="N9" s="95"/>
      <c r="O9" s="103">
        <v>0</v>
      </c>
    </row>
    <row r="10" spans="1:15" s="93" customFormat="1" ht="12.75">
      <c r="A10" s="81" t="s">
        <v>142</v>
      </c>
      <c r="B10" s="94" t="s">
        <v>143</v>
      </c>
      <c r="C10" s="88"/>
      <c r="D10" s="89"/>
      <c r="E10" s="102" t="s">
        <v>10</v>
      </c>
      <c r="F10" s="102" t="s">
        <v>10</v>
      </c>
      <c r="G10" s="102" t="s">
        <v>10</v>
      </c>
      <c r="H10" s="102" t="s">
        <v>10</v>
      </c>
      <c r="I10" s="102" t="s">
        <v>10</v>
      </c>
      <c r="J10" s="102" t="s">
        <v>10</v>
      </c>
      <c r="K10" s="102" t="s">
        <v>10</v>
      </c>
      <c r="L10" s="102" t="s">
        <v>10</v>
      </c>
      <c r="M10" s="102" t="s">
        <v>10</v>
      </c>
      <c r="N10" s="95"/>
      <c r="O10" s="103"/>
    </row>
    <row r="11" spans="1:20" ht="12.75">
      <c r="A11" s="81" t="s">
        <v>144</v>
      </c>
      <c r="B11" s="96" t="s">
        <v>35</v>
      </c>
      <c r="C11" s="88"/>
      <c r="D11" s="89"/>
      <c r="E11" s="97">
        <v>614841.08</v>
      </c>
      <c r="F11" s="97">
        <v>65746.674</v>
      </c>
      <c r="G11" s="97">
        <v>9457.052631578941</v>
      </c>
      <c r="H11" s="97">
        <v>2818.6842105263177</v>
      </c>
      <c r="I11" s="97">
        <v>12275.73684210526</v>
      </c>
      <c r="J11" s="97">
        <v>516.896800991301</v>
      </c>
      <c r="K11" s="98">
        <v>47</v>
      </c>
      <c r="L11" s="98">
        <v>24</v>
      </c>
      <c r="M11" s="98">
        <v>1</v>
      </c>
      <c r="N11" s="99">
        <v>693452.3876430965</v>
      </c>
      <c r="S11" s="78" t="s">
        <v>10</v>
      </c>
      <c r="T11" s="78" t="s">
        <v>10</v>
      </c>
    </row>
    <row r="12" spans="1:14" ht="12.75">
      <c r="A12" s="81" t="s">
        <v>145</v>
      </c>
      <c r="B12" s="96" t="s">
        <v>139</v>
      </c>
      <c r="C12" s="88"/>
      <c r="D12" s="89"/>
      <c r="E12" s="97"/>
      <c r="F12" s="97"/>
      <c r="G12" s="97"/>
      <c r="H12" s="97"/>
      <c r="I12" s="97"/>
      <c r="J12" s="97"/>
      <c r="K12" s="98"/>
      <c r="L12" s="98">
        <v>21782.09148073022</v>
      </c>
      <c r="M12" s="98">
        <v>162353.41599122723</v>
      </c>
      <c r="N12" s="99">
        <v>184135.50747195745</v>
      </c>
    </row>
    <row r="13" spans="1:14" ht="12.75">
      <c r="A13" s="81" t="s">
        <v>146</v>
      </c>
      <c r="B13" s="96"/>
      <c r="C13" s="100"/>
      <c r="D13" s="101"/>
      <c r="E13" s="97" t="s">
        <v>10</v>
      </c>
      <c r="F13" s="97" t="s">
        <v>10</v>
      </c>
      <c r="G13" s="97">
        <v>9457.052631578941</v>
      </c>
      <c r="H13" s="97">
        <v>2818.6842105263177</v>
      </c>
      <c r="I13" s="97" t="s">
        <v>10</v>
      </c>
      <c r="J13" s="97" t="s">
        <v>10</v>
      </c>
      <c r="K13" s="98" t="s">
        <v>10</v>
      </c>
      <c r="L13" s="98" t="s">
        <v>10</v>
      </c>
      <c r="M13" s="98" t="s">
        <v>10</v>
      </c>
      <c r="N13" s="99"/>
    </row>
    <row r="14" spans="1:14" ht="12.75">
      <c r="A14" s="81" t="s">
        <v>147</v>
      </c>
      <c r="B14" s="94" t="s">
        <v>148</v>
      </c>
      <c r="C14" s="100"/>
      <c r="D14" s="101"/>
      <c r="E14" s="97"/>
      <c r="F14" s="97"/>
      <c r="G14" s="97"/>
      <c r="H14" s="97"/>
      <c r="I14" s="97"/>
      <c r="J14" s="97"/>
      <c r="K14" s="98"/>
      <c r="L14" s="98" t="s">
        <v>10</v>
      </c>
      <c r="M14" s="98" t="s">
        <v>10</v>
      </c>
      <c r="N14" s="99"/>
    </row>
    <row r="15" spans="1:14" ht="12.75">
      <c r="A15" s="81" t="s">
        <v>149</v>
      </c>
      <c r="B15" s="96" t="s">
        <v>206</v>
      </c>
      <c r="C15" s="100"/>
      <c r="D15" s="101"/>
      <c r="E15" s="104">
        <v>0.7737093649356296</v>
      </c>
      <c r="F15" s="104">
        <v>0.0837067683622818</v>
      </c>
      <c r="G15" s="104"/>
      <c r="H15" s="104"/>
      <c r="I15" s="104">
        <v>0.0035444766702741573</v>
      </c>
      <c r="J15" s="104">
        <v>1.5272627513026427E-05</v>
      </c>
      <c r="K15" s="104">
        <v>4.0366904235086787E-07</v>
      </c>
      <c r="L15" s="104">
        <v>0.025174936171925837</v>
      </c>
      <c r="M15" s="104">
        <v>0.11384877756333323</v>
      </c>
      <c r="N15" s="105">
        <v>0.9999999999999998</v>
      </c>
    </row>
    <row r="16" spans="1:14" ht="13.5" thickBot="1">
      <c r="A16" s="81" t="s">
        <v>150</v>
      </c>
      <c r="B16" s="106" t="s">
        <v>207</v>
      </c>
      <c r="C16" s="107"/>
      <c r="D16" s="108"/>
      <c r="E16" s="109"/>
      <c r="F16" s="109"/>
      <c r="G16" s="109"/>
      <c r="H16" s="109"/>
      <c r="I16" s="109"/>
      <c r="J16" s="109"/>
      <c r="K16" s="109"/>
      <c r="L16" s="109">
        <v>0.18108375539345842</v>
      </c>
      <c r="M16" s="109">
        <v>0.8189162446065416</v>
      </c>
      <c r="N16" s="110">
        <v>1</v>
      </c>
    </row>
    <row r="17" spans="2:17" s="81" customFormat="1" ht="13.5" thickBot="1">
      <c r="B17" s="111"/>
      <c r="C17" s="112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5"/>
      <c r="O17" s="116"/>
      <c r="Q17" s="112"/>
    </row>
    <row r="18" spans="1:15" s="81" customFormat="1" ht="51.75" thickBot="1">
      <c r="A18" s="81" t="s">
        <v>151</v>
      </c>
      <c r="B18" s="117" t="s">
        <v>152</v>
      </c>
      <c r="C18" s="83" t="s">
        <v>208</v>
      </c>
      <c r="D18" s="83" t="s">
        <v>154</v>
      </c>
      <c r="E18" s="84" t="s">
        <v>112</v>
      </c>
      <c r="F18" s="84" t="s">
        <v>15</v>
      </c>
      <c r="G18" s="84" t="s">
        <v>130</v>
      </c>
      <c r="H18" s="84" t="s">
        <v>16</v>
      </c>
      <c r="I18" s="84" t="s">
        <v>131</v>
      </c>
      <c r="J18" s="84" t="s">
        <v>132</v>
      </c>
      <c r="K18" s="84" t="s">
        <v>116</v>
      </c>
      <c r="L18" s="84" t="s">
        <v>118</v>
      </c>
      <c r="M18" s="84" t="s">
        <v>133</v>
      </c>
      <c r="N18" s="85" t="s">
        <v>21</v>
      </c>
      <c r="O18" s="80" t="s">
        <v>22</v>
      </c>
    </row>
    <row r="19" spans="1:16" s="81" customFormat="1" ht="38.25" customHeight="1">
      <c r="A19" s="81" t="s">
        <v>155</v>
      </c>
      <c r="B19" s="87" t="s">
        <v>156</v>
      </c>
      <c r="C19" s="118">
        <v>2342131.455508475</v>
      </c>
      <c r="D19" s="119" t="s">
        <v>209</v>
      </c>
      <c r="E19" s="118">
        <v>1812129.0410372242</v>
      </c>
      <c r="F19" s="118">
        <v>196052.25522026187</v>
      </c>
      <c r="G19" s="118">
        <v>0</v>
      </c>
      <c r="H19" s="118">
        <v>0</v>
      </c>
      <c r="I19" s="118">
        <v>8301.630302765047</v>
      </c>
      <c r="J19" s="118">
        <v>35.77050130652337</v>
      </c>
      <c r="K19" s="118">
        <v>0.9454459617049504</v>
      </c>
      <c r="L19" s="118">
        <v>58963.00989868562</v>
      </c>
      <c r="M19" s="118">
        <v>266648.8031022703</v>
      </c>
      <c r="N19" s="120">
        <v>2342131.455508475</v>
      </c>
      <c r="O19" s="121"/>
      <c r="P19" s="122" t="s">
        <v>10</v>
      </c>
    </row>
    <row r="20" spans="1:16" s="81" customFormat="1" ht="33.75" customHeight="1" thickBot="1">
      <c r="A20" s="81" t="s">
        <v>157</v>
      </c>
      <c r="B20" s="87" t="s">
        <v>158</v>
      </c>
      <c r="C20" s="118">
        <v>2985512.1444915254</v>
      </c>
      <c r="D20" s="119" t="s">
        <v>209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540627.7508973029</v>
      </c>
      <c r="M20" s="118">
        <v>2444884.3935942226</v>
      </c>
      <c r="N20" s="120">
        <v>2985512.1444915254</v>
      </c>
      <c r="O20" s="121"/>
      <c r="P20" s="122" t="s">
        <v>10</v>
      </c>
    </row>
    <row r="21" spans="1:16" s="81" customFormat="1" ht="33.75" customHeight="1" thickBot="1">
      <c r="A21" s="81" t="s">
        <v>159</v>
      </c>
      <c r="B21" s="123" t="s">
        <v>160</v>
      </c>
      <c r="C21" s="124">
        <v>5327643.600000001</v>
      </c>
      <c r="D21" s="125"/>
      <c r="E21" s="124">
        <v>1812129.0410372242</v>
      </c>
      <c r="F21" s="124">
        <v>196052.25522026187</v>
      </c>
      <c r="G21" s="124">
        <v>0</v>
      </c>
      <c r="H21" s="124">
        <v>0</v>
      </c>
      <c r="I21" s="124">
        <v>8301.630302765047</v>
      </c>
      <c r="J21" s="124">
        <v>35.77050130652337</v>
      </c>
      <c r="K21" s="124">
        <v>0.9454459617049504</v>
      </c>
      <c r="L21" s="124">
        <v>599590.7607959885</v>
      </c>
      <c r="M21" s="124">
        <v>2711533.196696493</v>
      </c>
      <c r="N21" s="126">
        <v>5327643.600000001</v>
      </c>
      <c r="O21" s="121"/>
      <c r="P21" s="122"/>
    </row>
    <row r="22" spans="2:16" s="81" customFormat="1" ht="33.75" customHeight="1" thickBot="1">
      <c r="B22" s="78"/>
      <c r="C22" s="78" t="s">
        <v>10</v>
      </c>
      <c r="D22" s="127" t="s">
        <v>10</v>
      </c>
      <c r="E22" s="78"/>
      <c r="F22" s="78"/>
      <c r="G22" s="78"/>
      <c r="H22" s="78"/>
      <c r="I22" s="78"/>
      <c r="J22" s="78"/>
      <c r="K22" s="78"/>
      <c r="L22" s="128"/>
      <c r="M22" s="129" t="s">
        <v>10</v>
      </c>
      <c r="N22" s="78"/>
      <c r="O22" s="121"/>
      <c r="P22" s="122"/>
    </row>
    <row r="23" spans="1:14" ht="51.75" thickBot="1">
      <c r="A23" s="78" t="s">
        <v>161</v>
      </c>
      <c r="B23" s="130" t="s">
        <v>210</v>
      </c>
      <c r="C23" s="131" t="s">
        <v>153</v>
      </c>
      <c r="D23" s="132" t="s">
        <v>162</v>
      </c>
      <c r="E23" s="131" t="s">
        <v>112</v>
      </c>
      <c r="F23" s="131" t="s">
        <v>15</v>
      </c>
      <c r="G23" s="131" t="s">
        <v>130</v>
      </c>
      <c r="H23" s="131" t="s">
        <v>16</v>
      </c>
      <c r="I23" s="131" t="s">
        <v>131</v>
      </c>
      <c r="J23" s="131" t="s">
        <v>132</v>
      </c>
      <c r="K23" s="131" t="s">
        <v>116</v>
      </c>
      <c r="L23" s="131" t="s">
        <v>118</v>
      </c>
      <c r="M23" s="131" t="s">
        <v>133</v>
      </c>
      <c r="N23" s="133"/>
    </row>
    <row r="24" spans="1:15" s="81" customFormat="1" ht="31.5" customHeight="1">
      <c r="A24" s="78" t="s">
        <v>163</v>
      </c>
      <c r="B24" s="134" t="s">
        <v>156</v>
      </c>
      <c r="C24" s="122">
        <v>2342131.455508475</v>
      </c>
      <c r="D24" s="135" t="s">
        <v>164</v>
      </c>
      <c r="E24" s="136">
        <v>0.16</v>
      </c>
      <c r="F24" s="136">
        <v>0.16</v>
      </c>
      <c r="G24" s="136">
        <v>0</v>
      </c>
      <c r="H24" s="136">
        <v>0</v>
      </c>
      <c r="I24" s="136">
        <v>0.04</v>
      </c>
      <c r="J24" s="136">
        <v>0</v>
      </c>
      <c r="K24" s="136">
        <v>0</v>
      </c>
      <c r="L24" s="136">
        <v>0.15</v>
      </c>
      <c r="M24" s="136">
        <v>0.09</v>
      </c>
      <c r="N24" s="137" t="s">
        <v>10</v>
      </c>
      <c r="O24" s="138">
        <v>184370.87318545172</v>
      </c>
    </row>
    <row r="25" spans="1:16" s="81" customFormat="1" ht="31.5" customHeight="1">
      <c r="A25" s="78" t="s">
        <v>165</v>
      </c>
      <c r="B25" s="139" t="s">
        <v>158</v>
      </c>
      <c r="C25" s="140">
        <v>2985512.1444915254</v>
      </c>
      <c r="D25" s="141" t="s">
        <v>164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1.36</v>
      </c>
      <c r="M25" s="142">
        <v>0.83</v>
      </c>
      <c r="N25" s="143" t="s">
        <v>10</v>
      </c>
      <c r="O25" s="121"/>
      <c r="P25" s="122" t="s">
        <v>10</v>
      </c>
    </row>
    <row r="26" spans="1:16" s="81" customFormat="1" ht="21" customHeight="1" thickBot="1">
      <c r="A26" s="78" t="s">
        <v>166</v>
      </c>
      <c r="B26" s="144" t="s">
        <v>167</v>
      </c>
      <c r="C26" s="145">
        <v>5327643.600000001</v>
      </c>
      <c r="D26" s="146"/>
      <c r="E26" s="147">
        <v>0.16</v>
      </c>
      <c r="F26" s="147">
        <v>0.16</v>
      </c>
      <c r="G26" s="148"/>
      <c r="H26" s="148"/>
      <c r="I26" s="147">
        <v>0.04</v>
      </c>
      <c r="J26" s="147">
        <v>0</v>
      </c>
      <c r="K26" s="147">
        <v>0</v>
      </c>
      <c r="L26" s="147">
        <v>1.51</v>
      </c>
      <c r="M26" s="147">
        <v>0.9199999999999999</v>
      </c>
      <c r="N26" s="149"/>
      <c r="O26" s="121"/>
      <c r="P26" s="1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6"/>
  <sheetViews>
    <sheetView zoomScale="80" zoomScaleNormal="80" zoomScalePageLayoutView="0" workbookViewId="0" topLeftCell="A1">
      <selection activeCell="I30" sqref="I30"/>
    </sheetView>
  </sheetViews>
  <sheetFormatPr defaultColWidth="9.140625" defaultRowHeight="15"/>
  <cols>
    <col min="1" max="1" width="3.00390625" style="78" bestFit="1" customWidth="1"/>
    <col min="2" max="2" width="40.28125" style="78" customWidth="1"/>
    <col min="3" max="3" width="20.00390625" style="78" customWidth="1"/>
    <col min="4" max="4" width="18.8515625" style="79" customWidth="1"/>
    <col min="5" max="5" width="14.00390625" style="78" customWidth="1"/>
    <col min="6" max="9" width="15.7109375" style="78" customWidth="1"/>
    <col min="10" max="11" width="14.57421875" style="78" customWidth="1"/>
    <col min="12" max="12" width="15.140625" style="78" customWidth="1"/>
    <col min="13" max="13" width="12.7109375" style="78" hidden="1" customWidth="1"/>
    <col min="14" max="14" width="14.28125" style="78" customWidth="1"/>
    <col min="15" max="15" width="14.7109375" style="78" customWidth="1"/>
    <col min="16" max="255" width="8.8515625" style="78" customWidth="1"/>
    <col min="256" max="16384" width="35.57421875" style="78" customWidth="1"/>
  </cols>
  <sheetData>
    <row r="1" ht="12.75">
      <c r="A1" s="78" t="s">
        <v>10</v>
      </c>
    </row>
    <row r="2" spans="2:12" s="80" customFormat="1" ht="13.5" thickBot="1">
      <c r="B2" s="80" t="s">
        <v>96</v>
      </c>
      <c r="C2" s="80" t="s">
        <v>97</v>
      </c>
      <c r="D2" s="80" t="s">
        <v>98</v>
      </c>
      <c r="E2" s="80" t="s">
        <v>99</v>
      </c>
      <c r="F2" s="80" t="s">
        <v>100</v>
      </c>
      <c r="G2" s="80" t="s">
        <v>101</v>
      </c>
      <c r="H2" s="80" t="s">
        <v>123</v>
      </c>
      <c r="I2" s="80" t="s">
        <v>124</v>
      </c>
      <c r="J2" s="80" t="s">
        <v>125</v>
      </c>
      <c r="K2" s="80" t="s">
        <v>126</v>
      </c>
      <c r="L2" s="80" t="s">
        <v>127</v>
      </c>
    </row>
    <row r="3" spans="1:13" s="86" customFormat="1" ht="39" thickBot="1">
      <c r="A3" s="81">
        <v>1</v>
      </c>
      <c r="B3" s="190" t="s">
        <v>211</v>
      </c>
      <c r="C3" s="132"/>
      <c r="D3" s="132"/>
      <c r="E3" s="131" t="s">
        <v>112</v>
      </c>
      <c r="F3" s="131" t="s">
        <v>15</v>
      </c>
      <c r="G3" s="131" t="s">
        <v>131</v>
      </c>
      <c r="H3" s="131" t="s">
        <v>132</v>
      </c>
      <c r="I3" s="131" t="s">
        <v>116</v>
      </c>
      <c r="J3" s="131" t="s">
        <v>133</v>
      </c>
      <c r="K3" s="131" t="s">
        <v>118</v>
      </c>
      <c r="L3" s="133" t="s">
        <v>21</v>
      </c>
      <c r="M3" s="80" t="s">
        <v>22</v>
      </c>
    </row>
    <row r="4" spans="1:13" s="93" customFormat="1" ht="12.75">
      <c r="A4" s="81">
        <v>2</v>
      </c>
      <c r="B4" s="191"/>
      <c r="D4" s="113"/>
      <c r="E4" s="192"/>
      <c r="F4" s="192"/>
      <c r="G4" s="192"/>
      <c r="H4" s="192"/>
      <c r="I4" s="192"/>
      <c r="J4" s="192"/>
      <c r="K4" s="192"/>
      <c r="L4" s="193"/>
      <c r="M4" s="92"/>
    </row>
    <row r="5" spans="1:13" s="93" customFormat="1" ht="12.75">
      <c r="A5" s="81">
        <v>3</v>
      </c>
      <c r="B5" s="194" t="s">
        <v>212</v>
      </c>
      <c r="D5" s="113"/>
      <c r="E5" s="195" t="s">
        <v>10</v>
      </c>
      <c r="F5" s="195" t="s">
        <v>10</v>
      </c>
      <c r="G5" s="195" t="s">
        <v>10</v>
      </c>
      <c r="H5" s="195" t="s">
        <v>10</v>
      </c>
      <c r="I5" s="195" t="s">
        <v>10</v>
      </c>
      <c r="J5" s="195" t="s">
        <v>10</v>
      </c>
      <c r="K5" s="195" t="s">
        <v>10</v>
      </c>
      <c r="L5" s="196"/>
      <c r="M5" s="103"/>
    </row>
    <row r="6" spans="1:18" ht="12.75">
      <c r="A6" s="81">
        <v>4</v>
      </c>
      <c r="B6" s="151" t="s">
        <v>35</v>
      </c>
      <c r="C6" s="93"/>
      <c r="D6" s="113"/>
      <c r="E6" s="197">
        <f>+'[1]Purchased Energy'!B13</f>
        <v>611357</v>
      </c>
      <c r="F6" s="197">
        <f>+'[1]Purchased Energy'!C13</f>
        <v>65883</v>
      </c>
      <c r="G6" s="197">
        <f>+'[1]Purchased Energy'!D13</f>
        <v>12444</v>
      </c>
      <c r="H6" s="197">
        <f>+'[1]Purchased Energy'!E13</f>
        <v>509</v>
      </c>
      <c r="I6" s="198">
        <f>+'[1]Purchased Energy'!F13</f>
        <v>47</v>
      </c>
      <c r="J6" s="198">
        <v>1</v>
      </c>
      <c r="K6" s="198">
        <f>+'[1]Purchased Energy'!H13</f>
        <v>1131</v>
      </c>
      <c r="L6" s="199">
        <f>+E6+F6+G6+H6+I6+J6+K6</f>
        <v>691372</v>
      </c>
      <c r="Q6" s="78" t="s">
        <v>10</v>
      </c>
      <c r="R6" s="78" t="s">
        <v>10</v>
      </c>
    </row>
    <row r="7" spans="1:12" ht="12.75">
      <c r="A7" s="81">
        <v>5</v>
      </c>
      <c r="B7" s="151" t="s">
        <v>139</v>
      </c>
      <c r="C7" s="93"/>
      <c r="D7" s="113"/>
      <c r="E7" s="197"/>
      <c r="F7" s="197"/>
      <c r="G7" s="197"/>
      <c r="H7" s="197"/>
      <c r="I7" s="198"/>
      <c r="J7" s="198">
        <f>+'[1]Purchased Energy'!G13</f>
        <v>162476</v>
      </c>
      <c r="K7" s="198">
        <f>+'[1]Purchased Energy'!I13</f>
        <v>21472</v>
      </c>
      <c r="L7" s="199">
        <f>+E7+F7+G7+H7+I7+J7+K7</f>
        <v>183948</v>
      </c>
    </row>
    <row r="8" spans="1:12" ht="12.75">
      <c r="A8" s="81">
        <v>6</v>
      </c>
      <c r="B8" s="151"/>
      <c r="C8" s="81"/>
      <c r="D8" s="200"/>
      <c r="E8" s="197" t="s">
        <v>10</v>
      </c>
      <c r="F8" s="197" t="s">
        <v>10</v>
      </c>
      <c r="G8" s="197" t="s">
        <v>10</v>
      </c>
      <c r="H8" s="197" t="s">
        <v>10</v>
      </c>
      <c r="I8" s="198" t="s">
        <v>10</v>
      </c>
      <c r="J8" s="198" t="s">
        <v>10</v>
      </c>
      <c r="K8" s="198" t="s">
        <v>10</v>
      </c>
      <c r="L8" s="199"/>
    </row>
    <row r="9" spans="1:12" ht="12.75">
      <c r="A9" s="81">
        <v>7</v>
      </c>
      <c r="B9" s="201" t="s">
        <v>213</v>
      </c>
      <c r="C9" s="81"/>
      <c r="D9" s="200" t="s">
        <v>10</v>
      </c>
      <c r="E9" s="202">
        <f>+'[1]2009 Rev from Vasan'!L24+'[1]2009 Rev from Vasan'!L32</f>
        <v>192505451.2517481</v>
      </c>
      <c r="F9" s="202">
        <f>+'[1]2009 Rev from Vasan'!L25+'[1]2009 Rev from Vasan'!L33</f>
        <v>60127307.9310264</v>
      </c>
      <c r="G9" s="202">
        <f>+'[1]2009 Rev from Vasan'!L27+'[1]2009 Rev from Vasan'!L28</f>
        <v>137030008.61051285</v>
      </c>
      <c r="H9" s="202">
        <f>+'[1]2009 Rev from Vasan'!L29</f>
        <v>46765659.291986585</v>
      </c>
      <c r="I9" s="202">
        <f>+'[1]2009 Rev from Vasan'!L30</f>
        <v>18843322.150540274</v>
      </c>
      <c r="J9" s="202">
        <f>+'[1]2009 Rev from Vasan'!L31</f>
        <v>7500335.596002758</v>
      </c>
      <c r="K9" s="202">
        <f>+'[1]2009 Rev from Vasan'!L26</f>
        <v>2427253.476487298</v>
      </c>
      <c r="L9" s="203">
        <f>+E9+F9+G9+H9+I9+J9+K9</f>
        <v>465199338.3083043</v>
      </c>
    </row>
    <row r="10" spans="1:12" ht="13.5" thickBot="1">
      <c r="A10" s="81">
        <v>8</v>
      </c>
      <c r="B10" s="204"/>
      <c r="C10" s="205"/>
      <c r="D10" s="206"/>
      <c r="E10" s="207">
        <f aca="true" t="shared" si="0" ref="E10:K10">+E9/$L$9</f>
        <v>0.4138128225886853</v>
      </c>
      <c r="F10" s="207">
        <f t="shared" si="0"/>
        <v>0.1292506308149086</v>
      </c>
      <c r="G10" s="207">
        <f t="shared" si="0"/>
        <v>0.2945619164223706</v>
      </c>
      <c r="H10" s="207">
        <f t="shared" si="0"/>
        <v>0.10052821541417005</v>
      </c>
      <c r="I10" s="207">
        <f t="shared" si="0"/>
        <v>0.04050590918521928</v>
      </c>
      <c r="J10" s="207">
        <f t="shared" si="0"/>
        <v>0.01612284235673615</v>
      </c>
      <c r="K10" s="207">
        <f t="shared" si="0"/>
        <v>0.005217663217909975</v>
      </c>
      <c r="L10" s="208" t="s">
        <v>10</v>
      </c>
    </row>
    <row r="11" spans="2:15" s="81" customFormat="1" ht="21.75" customHeight="1" thickBot="1">
      <c r="B11" s="209"/>
      <c r="C11" s="210"/>
      <c r="D11" s="113"/>
      <c r="E11" s="114"/>
      <c r="F11" s="114"/>
      <c r="G11" s="114"/>
      <c r="H11" s="114"/>
      <c r="I11" s="114"/>
      <c r="J11" s="114"/>
      <c r="K11" s="114"/>
      <c r="L11" s="211"/>
      <c r="M11" s="116"/>
      <c r="O11" s="210"/>
    </row>
    <row r="12" spans="1:13" s="81" customFormat="1" ht="39.75" thickBot="1">
      <c r="A12" s="81">
        <v>9</v>
      </c>
      <c r="B12" s="130" t="s">
        <v>152</v>
      </c>
      <c r="C12" s="132" t="s">
        <v>153</v>
      </c>
      <c r="D12" s="132" t="s">
        <v>154</v>
      </c>
      <c r="E12" s="131" t="s">
        <v>112</v>
      </c>
      <c r="F12" s="131" t="s">
        <v>15</v>
      </c>
      <c r="G12" s="131" t="s">
        <v>131</v>
      </c>
      <c r="H12" s="131" t="s">
        <v>132</v>
      </c>
      <c r="I12" s="131" t="s">
        <v>116</v>
      </c>
      <c r="J12" s="131" t="s">
        <v>133</v>
      </c>
      <c r="K12" s="131" t="s">
        <v>118</v>
      </c>
      <c r="L12" s="133" t="s">
        <v>21</v>
      </c>
      <c r="M12" s="80" t="s">
        <v>22</v>
      </c>
    </row>
    <row r="13" spans="1:14" s="81" customFormat="1" ht="30" customHeight="1" thickBot="1">
      <c r="A13" s="81">
        <v>10</v>
      </c>
      <c r="B13" s="212" t="s">
        <v>214</v>
      </c>
      <c r="C13" s="213">
        <v>7525588.82</v>
      </c>
      <c r="D13" s="214" t="s">
        <v>215</v>
      </c>
      <c r="E13" s="213">
        <f aca="true" t="shared" si="1" ref="E13:K13">E10*$C$13</f>
        <v>3114185.1512460536</v>
      </c>
      <c r="F13" s="213">
        <f t="shared" si="1"/>
        <v>972687.1022386237</v>
      </c>
      <c r="G13" s="213">
        <f t="shared" si="1"/>
        <v>2216751.865025967</v>
      </c>
      <c r="H13" s="213">
        <f t="shared" si="1"/>
        <v>756534.0140154298</v>
      </c>
      <c r="I13" s="213">
        <f t="shared" si="1"/>
        <v>304830.81730822154</v>
      </c>
      <c r="J13" s="213">
        <f t="shared" si="1"/>
        <v>121333.88218647602</v>
      </c>
      <c r="K13" s="213">
        <f t="shared" si="1"/>
        <v>39265.98797922853</v>
      </c>
      <c r="L13" s="215">
        <f>+E13+F13+G13+H13+I13+J13+K13</f>
        <v>7525588.820000001</v>
      </c>
      <c r="M13" s="121"/>
      <c r="N13" s="122"/>
    </row>
    <row r="14" spans="2:14" s="81" customFormat="1" ht="33.75" customHeight="1" thickBot="1">
      <c r="B14" s="78"/>
      <c r="C14" s="78" t="s">
        <v>10</v>
      </c>
      <c r="D14" s="127" t="s">
        <v>10</v>
      </c>
      <c r="E14" s="78"/>
      <c r="F14" s="78"/>
      <c r="G14" s="78"/>
      <c r="H14" s="78"/>
      <c r="I14" s="78"/>
      <c r="J14" s="128"/>
      <c r="K14" s="129" t="s">
        <v>10</v>
      </c>
      <c r="L14" s="78"/>
      <c r="M14" s="121"/>
      <c r="N14" s="122"/>
    </row>
    <row r="15" spans="1:12" ht="39.75" thickBot="1">
      <c r="A15" s="78">
        <v>11</v>
      </c>
      <c r="B15" s="130" t="s">
        <v>216</v>
      </c>
      <c r="C15" s="131" t="s">
        <v>10</v>
      </c>
      <c r="D15" s="132" t="s">
        <v>162</v>
      </c>
      <c r="E15" s="131" t="s">
        <v>112</v>
      </c>
      <c r="F15" s="131" t="s">
        <v>15</v>
      </c>
      <c r="G15" s="131" t="s">
        <v>131</v>
      </c>
      <c r="H15" s="131" t="s">
        <v>132</v>
      </c>
      <c r="I15" s="131" t="s">
        <v>116</v>
      </c>
      <c r="J15" s="131" t="s">
        <v>133</v>
      </c>
      <c r="K15" s="131" t="s">
        <v>118</v>
      </c>
      <c r="L15" s="133"/>
    </row>
    <row r="16" spans="1:13" s="81" customFormat="1" ht="31.5" customHeight="1" thickBot="1">
      <c r="A16" s="78">
        <v>12</v>
      </c>
      <c r="B16" s="212"/>
      <c r="C16" s="145" t="s">
        <v>10</v>
      </c>
      <c r="D16" s="216" t="s">
        <v>217</v>
      </c>
      <c r="E16" s="147">
        <f>ROUND(E13/(E6*21)*(360/365),2)</f>
        <v>0.24</v>
      </c>
      <c r="F16" s="147">
        <f>ROUND(F13/(F6*21)*(360/365),2)</f>
        <v>0.69</v>
      </c>
      <c r="G16" s="147">
        <f>ROUND(G13/(G6*21)*(360/365),2)</f>
        <v>8.37</v>
      </c>
      <c r="H16" s="147">
        <f>ROUND(H13/(H6*21)*(360/365),2)</f>
        <v>69.81</v>
      </c>
      <c r="I16" s="147">
        <f>ROUND(I13/(I6*21)*(360/365),2)</f>
        <v>304.62</v>
      </c>
      <c r="J16" s="147">
        <f>ROUND(J13/(J7*21)*(360/365),2)</f>
        <v>0.04</v>
      </c>
      <c r="K16" s="147">
        <f>ROUND(K13/(K7*21)*(360/365),2)</f>
        <v>0.09</v>
      </c>
      <c r="L16" s="217" t="s">
        <v>10</v>
      </c>
      <c r="M16" s="138" t="e">
        <f>(+#REF!+#REF!)/3</f>
        <v>#REF!</v>
      </c>
    </row>
    <row r="17" spans="3:5" ht="12.75">
      <c r="C17" s="150" t="s">
        <v>10</v>
      </c>
      <c r="E17" s="218" t="s">
        <v>10</v>
      </c>
    </row>
    <row r="18" spans="5:10" ht="12.75">
      <c r="E18" s="218" t="s">
        <v>10</v>
      </c>
      <c r="J18" s="128" t="s">
        <v>10</v>
      </c>
    </row>
    <row r="19" spans="2:12" ht="14.25">
      <c r="B19" s="219" t="s">
        <v>218</v>
      </c>
      <c r="C19" s="219"/>
      <c r="D19" s="220"/>
      <c r="E19" s="221"/>
      <c r="F19" s="221"/>
      <c r="G19" s="221"/>
      <c r="H19" s="218"/>
      <c r="I19" s="218"/>
      <c r="J19" s="218"/>
      <c r="K19" s="218"/>
      <c r="L19" s="218"/>
    </row>
    <row r="20" spans="2:12" ht="32.25" customHeight="1">
      <c r="B20" s="1113" t="s">
        <v>224</v>
      </c>
      <c r="C20" s="1113"/>
      <c r="D20" s="1113"/>
      <c r="E20" s="1113"/>
      <c r="F20" s="1113"/>
      <c r="G20" s="1113"/>
      <c r="H20" s="218"/>
      <c r="I20" s="218"/>
      <c r="J20" s="218"/>
      <c r="K20" s="218"/>
      <c r="L20" s="218"/>
    </row>
    <row r="21" spans="5:12" ht="12.75">
      <c r="E21" s="218"/>
      <c r="F21" s="218"/>
      <c r="G21" s="218"/>
      <c r="H21" s="218"/>
      <c r="I21" s="218"/>
      <c r="J21" s="218"/>
      <c r="K21" s="218"/>
      <c r="L21" s="218"/>
    </row>
    <row r="22" ht="12.75">
      <c r="H22" s="218"/>
    </row>
    <row r="23" ht="12.75">
      <c r="H23" s="218"/>
    </row>
    <row r="24" ht="12.75">
      <c r="H24" s="218"/>
    </row>
    <row r="25" ht="12.75">
      <c r="H25" s="218" t="s">
        <v>10</v>
      </c>
    </row>
    <row r="26" ht="12.75">
      <c r="H26" s="218"/>
    </row>
  </sheetData>
  <sheetProtection/>
  <mergeCells count="1">
    <mergeCell ref="B20:G20"/>
  </mergeCells>
  <printOptions/>
  <pageMargins left="0.7086614173228347" right="0.7086614173228347" top="1.3385826771653544" bottom="0.7480314960629921" header="0.31496062992125984" footer="0.31496062992125984"/>
  <pageSetup fitToHeight="1" fitToWidth="1" horizontalDpi="1200" verticalDpi="1200" orientation="landscape" scale="60" r:id="rId3"/>
  <headerFooter>
    <oddHeader>&amp;RToronto Hydro-Electric System Limited
EB-2010-0142
Exhibit J1
Tab 2
Schedule 9
Filed: XXXXXXXXXXXX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PageLayoutView="0" workbookViewId="0" topLeftCell="A1">
      <selection activeCell="A16" sqref="A16"/>
    </sheetView>
  </sheetViews>
  <sheetFormatPr defaultColWidth="9.140625" defaultRowHeight="15"/>
  <cols>
    <col min="1" max="1" width="34.28125" style="0" customWidth="1"/>
    <col min="2" max="2" width="29.00390625" style="0" customWidth="1"/>
    <col min="3" max="3" width="12.140625" style="0" customWidth="1"/>
    <col min="4" max="5" width="16.8515625" style="0" customWidth="1"/>
  </cols>
  <sheetData>
    <row r="1" spans="1:2" ht="19.5" thickBot="1">
      <c r="A1" s="343" t="s">
        <v>419</v>
      </c>
      <c r="B1" s="343"/>
    </row>
    <row r="2" spans="1:5" ht="15">
      <c r="A2" s="165"/>
      <c r="B2" s="166"/>
      <c r="C2" s="1104"/>
      <c r="D2" s="1105"/>
      <c r="E2" s="1106"/>
    </row>
    <row r="3" spans="1:9" ht="30">
      <c r="A3" s="167" t="s">
        <v>182</v>
      </c>
      <c r="B3" s="168" t="s">
        <v>183</v>
      </c>
      <c r="C3" s="178" t="s">
        <v>0</v>
      </c>
      <c r="D3" s="179" t="s">
        <v>184</v>
      </c>
      <c r="E3" s="180" t="s">
        <v>185</v>
      </c>
      <c r="G3" s="996"/>
      <c r="H3" s="996"/>
      <c r="I3" s="996"/>
    </row>
    <row r="4" spans="1:9" ht="15">
      <c r="A4" s="169" t="s">
        <v>112</v>
      </c>
      <c r="B4" s="170" t="s">
        <v>186</v>
      </c>
      <c r="C4" s="181">
        <f>+'Residential '!J4</f>
        <v>0.0026799137198509947</v>
      </c>
      <c r="D4" s="182">
        <f>+'Residential '!I17</f>
        <v>0.049936057487363766</v>
      </c>
      <c r="E4" s="183">
        <f>+'Residential '!I28</f>
        <v>0.007580903690120757</v>
      </c>
      <c r="G4" s="996"/>
      <c r="H4" s="996"/>
      <c r="I4" s="996"/>
    </row>
    <row r="5" spans="1:9" ht="15">
      <c r="A5" s="169" t="s">
        <v>347</v>
      </c>
      <c r="B5" s="170" t="s">
        <v>357</v>
      </c>
      <c r="C5" s="184">
        <f>+'Multi Res'!J4</f>
        <v>0.002843385930935791</v>
      </c>
      <c r="D5" s="185">
        <f>+'Multi Res'!I17</f>
        <v>0.04321359288246713</v>
      </c>
      <c r="E5" s="186">
        <f>+'Multi Res'!I28</f>
        <v>0.013894272718656652</v>
      </c>
      <c r="G5" s="996"/>
      <c r="H5" s="996"/>
      <c r="I5" s="996"/>
    </row>
    <row r="6" spans="1:9" ht="15">
      <c r="A6" s="169" t="s">
        <v>187</v>
      </c>
      <c r="B6" s="170" t="s">
        <v>188</v>
      </c>
      <c r="C6" s="184">
        <f>+'GS &lt; 50 kWh'!J4</f>
        <v>0.0027185577335813098</v>
      </c>
      <c r="D6" s="185">
        <f>+'GS &lt; 50 kWh'!I17</f>
        <v>0.048384898459860944</v>
      </c>
      <c r="E6" s="186">
        <f>'GS &lt; 50 kWh'!I28</f>
        <v>0.006296937816439558</v>
      </c>
      <c r="G6" s="996"/>
      <c r="H6" s="996"/>
      <c r="I6" s="996"/>
    </row>
    <row r="7" spans="1:9" ht="15">
      <c r="A7" s="169" t="s">
        <v>189</v>
      </c>
      <c r="B7" s="170" t="s">
        <v>190</v>
      </c>
      <c r="C7" s="184">
        <f>+'GS &gt; 50 &lt; 1000'!J4</f>
        <v>0.0027965273220683503</v>
      </c>
      <c r="D7" s="185">
        <f>'GS &gt; 50 &lt; 1000'!I16</f>
        <v>0.049707639616687525</v>
      </c>
      <c r="E7" s="186">
        <f>'GS &gt; 50 &lt; 1000'!I26</f>
        <v>0.0005792321621913587</v>
      </c>
      <c r="G7" s="996"/>
      <c r="H7" s="996"/>
      <c r="I7" s="996"/>
    </row>
    <row r="8" spans="1:9" ht="15">
      <c r="A8" s="169" t="s">
        <v>191</v>
      </c>
      <c r="B8" s="170" t="s">
        <v>192</v>
      </c>
      <c r="C8" s="184">
        <f>+'GS &gt; 1000 &lt; 5000'!J4</f>
        <v>0.0028042358213168613</v>
      </c>
      <c r="D8" s="185">
        <f>'GS &gt; 1000 &lt; 5000'!I16</f>
        <v>0.04887825081778426</v>
      </c>
      <c r="E8" s="186">
        <f>'GS &gt; 1000 &lt; 5000'!I26</f>
        <v>-0.00021616307740569176</v>
      </c>
      <c r="G8" s="996"/>
      <c r="H8" s="996"/>
      <c r="I8" s="996"/>
    </row>
    <row r="9" spans="1:9" ht="15">
      <c r="A9" s="169" t="s">
        <v>116</v>
      </c>
      <c r="B9" s="170" t="s">
        <v>193</v>
      </c>
      <c r="C9" s="184">
        <f>+LU!J4</f>
        <v>0.002799805560619507</v>
      </c>
      <c r="D9" s="185">
        <f>LU!I16</f>
        <v>0.04878552946224886</v>
      </c>
      <c r="E9" s="186">
        <f>LU!I26</f>
        <v>-0.000579076159324225</v>
      </c>
      <c r="G9" s="996"/>
      <c r="H9" s="996"/>
      <c r="I9" s="996"/>
    </row>
    <row r="10" spans="1:9" ht="15">
      <c r="A10" s="169" t="s">
        <v>194</v>
      </c>
      <c r="B10" s="170" t="s">
        <v>195</v>
      </c>
      <c r="C10" s="184">
        <f>+'St Lights'!J4</f>
        <v>0.002179337493017548</v>
      </c>
      <c r="D10" s="185">
        <f>'St Lights'!I15</f>
        <v>0.04947117123776298</v>
      </c>
      <c r="E10" s="186">
        <f>'St Lights'!I25</f>
        <v>0.019590725173493192</v>
      </c>
      <c r="G10" s="996"/>
      <c r="H10" s="996"/>
      <c r="I10" s="996"/>
    </row>
    <row r="11" spans="1:9" ht="15.75" thickBot="1">
      <c r="A11" s="171" t="s">
        <v>196</v>
      </c>
      <c r="B11" s="172" t="s">
        <v>197</v>
      </c>
      <c r="C11" s="187">
        <f>+USL!J5</f>
        <v>0.0025966584015684447</v>
      </c>
      <c r="D11" s="188">
        <f>USL!I20</f>
        <v>0.05280780250609131</v>
      </c>
      <c r="E11" s="189">
        <f>USL!I30</f>
        <v>0.019750936568950304</v>
      </c>
      <c r="G11" s="996"/>
      <c r="H11" s="996"/>
      <c r="I11" s="996"/>
    </row>
    <row r="12" spans="7:9" ht="15">
      <c r="G12" s="996"/>
      <c r="H12" s="996"/>
      <c r="I12" s="996"/>
    </row>
  </sheetData>
  <sheetProtection/>
  <mergeCells count="1">
    <mergeCell ref="C2:E2"/>
  </mergeCells>
  <printOptions horizontalCentered="1"/>
  <pageMargins left="0.1968503937007874" right="0.1968503937007874" top="1.299212598425197" bottom="0.7480314960629921" header="0.31496062992125984" footer="0.31496062992125984"/>
  <pageSetup fitToHeight="1" fitToWidth="1" horizontalDpi="1200" verticalDpi="1200" orientation="landscape" r:id="rId1"/>
  <headerFooter>
    <oddHeader>&amp;RToronto Hydro-Electric System Limited
EB-2012-0064
Tab 9
Schedule 2-3
Filed:  2013 Aug 16
page &amp;P of &amp;N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K5"/>
  <sheetViews>
    <sheetView zoomScale="70" zoomScaleNormal="70" zoomScalePageLayoutView="0" workbookViewId="0" topLeftCell="B1">
      <selection activeCell="E16" sqref="E16"/>
    </sheetView>
  </sheetViews>
  <sheetFormatPr defaultColWidth="9.140625" defaultRowHeight="15"/>
  <cols>
    <col min="1" max="1" width="88.28125" style="0" bestFit="1" customWidth="1"/>
    <col min="4" max="11" width="17.28125" style="0" customWidth="1"/>
  </cols>
  <sheetData>
    <row r="1" spans="1:11" s="175" customFormat="1" ht="32.25" thickBot="1">
      <c r="A1" s="223" t="s">
        <v>219</v>
      </c>
      <c r="B1" s="224"/>
      <c r="C1" s="224"/>
      <c r="D1" s="225" t="s">
        <v>14</v>
      </c>
      <c r="E1" s="224" t="s">
        <v>15</v>
      </c>
      <c r="F1" s="224" t="s">
        <v>16</v>
      </c>
      <c r="G1" s="224" t="s">
        <v>17</v>
      </c>
      <c r="H1" s="224" t="s">
        <v>18</v>
      </c>
      <c r="I1" s="224" t="s">
        <v>19</v>
      </c>
      <c r="J1" s="224" t="s">
        <v>20</v>
      </c>
      <c r="K1" s="226" t="s">
        <v>21</v>
      </c>
    </row>
    <row r="2" spans="1:11" ht="15">
      <c r="A2" s="227" t="s">
        <v>220</v>
      </c>
      <c r="B2" s="228"/>
      <c r="C2" s="228"/>
      <c r="D2" s="229">
        <v>0</v>
      </c>
      <c r="E2" s="228">
        <v>0</v>
      </c>
      <c r="F2" s="228">
        <v>0.02</v>
      </c>
      <c r="G2" s="228">
        <v>8.98</v>
      </c>
      <c r="H2" s="228">
        <v>45.52</v>
      </c>
      <c r="I2" s="228">
        <v>-0.03</v>
      </c>
      <c r="J2" s="228">
        <v>0</v>
      </c>
      <c r="K2" s="230" t="s">
        <v>10</v>
      </c>
    </row>
    <row r="3" spans="1:11" ht="15">
      <c r="A3" s="231" t="s">
        <v>221</v>
      </c>
      <c r="B3" s="232"/>
      <c r="C3" s="232"/>
      <c r="D3" s="169"/>
      <c r="E3" s="232"/>
      <c r="F3" s="232"/>
      <c r="G3" s="232"/>
      <c r="H3" s="232"/>
      <c r="I3" s="232">
        <v>0</v>
      </c>
      <c r="J3" s="232">
        <v>-0.01</v>
      </c>
      <c r="K3" s="233" t="s">
        <v>10</v>
      </c>
    </row>
    <row r="4" spans="1:11" ht="15">
      <c r="A4" s="231" t="s">
        <v>222</v>
      </c>
      <c r="B4" s="232"/>
      <c r="C4" s="232"/>
      <c r="D4" s="169">
        <v>-0.00017</v>
      </c>
      <c r="E4" s="232">
        <v>-8E-05</v>
      </c>
      <c r="F4" s="232"/>
      <c r="G4" s="232"/>
      <c r="H4" s="232"/>
      <c r="I4" s="232">
        <v>-7E-05</v>
      </c>
      <c r="J4" s="232">
        <v>0</v>
      </c>
      <c r="K4" s="233" t="s">
        <v>10</v>
      </c>
    </row>
    <row r="5" spans="1:11" ht="15.75" thickBot="1">
      <c r="A5" s="234" t="s">
        <v>223</v>
      </c>
      <c r="B5" s="235"/>
      <c r="C5" s="235"/>
      <c r="D5" s="171"/>
      <c r="E5" s="235"/>
      <c r="F5" s="235">
        <v>0.0042</v>
      </c>
      <c r="G5" s="235">
        <v>0.1492</v>
      </c>
      <c r="H5" s="235">
        <v>0.1609</v>
      </c>
      <c r="I5" s="235">
        <v>0</v>
      </c>
      <c r="J5" s="235">
        <v>-0.1658</v>
      </c>
      <c r="K5" s="23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L44"/>
  <sheetViews>
    <sheetView zoomScalePageLayoutView="0" workbookViewId="0" topLeftCell="A10">
      <selection activeCell="J13" sqref="J12:J13"/>
    </sheetView>
  </sheetViews>
  <sheetFormatPr defaultColWidth="9.140625" defaultRowHeight="15"/>
  <cols>
    <col min="3" max="12" width="15.7109375" style="0" customWidth="1"/>
  </cols>
  <sheetData>
    <row r="4" spans="2:12" ht="16.5" thickBot="1"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</row>
    <row r="5" spans="2:12" ht="16.5" thickBot="1">
      <c r="B5" s="979" t="s">
        <v>318</v>
      </c>
      <c r="C5" s="980"/>
      <c r="D5" s="981"/>
      <c r="E5" s="957"/>
      <c r="F5" s="957"/>
      <c r="G5" s="957"/>
      <c r="H5" s="957"/>
      <c r="I5" s="957"/>
      <c r="J5" s="957"/>
      <c r="K5" s="957"/>
      <c r="L5" s="957"/>
    </row>
    <row r="6" spans="2:12" ht="16.5" thickBot="1"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</row>
    <row r="7" spans="2:12" ht="16.5" thickBot="1">
      <c r="B7" s="957"/>
      <c r="C7" s="994">
        <v>2012</v>
      </c>
      <c r="D7" s="995"/>
      <c r="E7" s="994">
        <v>2013</v>
      </c>
      <c r="F7" s="995"/>
      <c r="G7" s="994">
        <v>2014</v>
      </c>
      <c r="H7" s="995"/>
      <c r="I7" s="994">
        <v>2015</v>
      </c>
      <c r="J7" s="995"/>
      <c r="K7" s="994">
        <v>2016</v>
      </c>
      <c r="L7" s="995"/>
    </row>
    <row r="8" spans="2:12" ht="15.75">
      <c r="B8" s="957" t="s">
        <v>319</v>
      </c>
      <c r="C8" s="963"/>
      <c r="D8" s="959">
        <v>13705660</v>
      </c>
      <c r="E8" s="963"/>
      <c r="F8" s="959">
        <v>43917652</v>
      </c>
      <c r="G8" s="963"/>
      <c r="H8" s="959">
        <v>75391348</v>
      </c>
      <c r="I8" s="963"/>
      <c r="J8" s="959">
        <v>98018357</v>
      </c>
      <c r="K8" s="963"/>
      <c r="L8" s="959">
        <v>112300310</v>
      </c>
    </row>
    <row r="9" spans="2:12" ht="15.75">
      <c r="B9" s="957" t="s">
        <v>320</v>
      </c>
      <c r="C9" s="973">
        <v>800000</v>
      </c>
      <c r="D9" s="957"/>
      <c r="E9" s="973">
        <v>1050000</v>
      </c>
      <c r="F9" s="957"/>
      <c r="G9" s="973">
        <v>1050000</v>
      </c>
      <c r="H9" s="957"/>
      <c r="I9" s="973">
        <v>1050000</v>
      </c>
      <c r="J9" s="957"/>
      <c r="K9" s="973">
        <v>1050000</v>
      </c>
      <c r="L9" s="957"/>
    </row>
    <row r="10" spans="2:12" ht="15.75">
      <c r="B10" s="957" t="s">
        <v>321</v>
      </c>
      <c r="C10" s="992">
        <v>0.127</v>
      </c>
      <c r="D10" s="968">
        <v>101760</v>
      </c>
      <c r="E10" s="982">
        <v>0.127</v>
      </c>
      <c r="F10" s="968">
        <v>133560</v>
      </c>
      <c r="G10" s="982">
        <v>0.127</v>
      </c>
      <c r="H10" s="968">
        <v>133560</v>
      </c>
      <c r="I10" s="982">
        <v>0.127</v>
      </c>
      <c r="J10" s="968">
        <v>133560</v>
      </c>
      <c r="K10" s="982">
        <v>0.127</v>
      </c>
      <c r="L10" s="968">
        <v>133560</v>
      </c>
    </row>
    <row r="11" spans="2:12" ht="15.75">
      <c r="B11" s="957" t="s">
        <v>322</v>
      </c>
      <c r="C11" s="957"/>
      <c r="D11" s="960">
        <v>13807420</v>
      </c>
      <c r="E11" s="957"/>
      <c r="F11" s="960">
        <v>44051212</v>
      </c>
      <c r="G11" s="957"/>
      <c r="H11" s="960">
        <v>75524908</v>
      </c>
      <c r="I11" s="957"/>
      <c r="J11" s="960">
        <v>98151917</v>
      </c>
      <c r="K11" s="957"/>
      <c r="L11" s="960">
        <v>112433870</v>
      </c>
    </row>
    <row r="14" spans="2:12" ht="15.75">
      <c r="B14" s="957" t="s">
        <v>323</v>
      </c>
      <c r="C14" s="974">
        <v>0.04</v>
      </c>
      <c r="D14" s="960">
        <v>552297</v>
      </c>
      <c r="E14" s="963">
        <v>0.04</v>
      </c>
      <c r="F14" s="960">
        <v>1762048</v>
      </c>
      <c r="G14" s="963">
        <v>0.04</v>
      </c>
      <c r="H14" s="960">
        <v>3020996</v>
      </c>
      <c r="I14" s="963">
        <v>0.04</v>
      </c>
      <c r="J14" s="960">
        <v>3926077</v>
      </c>
      <c r="K14" s="963">
        <v>0.04</v>
      </c>
      <c r="L14" s="960">
        <v>4497355</v>
      </c>
    </row>
    <row r="15" spans="2:12" ht="15.75">
      <c r="B15" s="957" t="s">
        <v>324</v>
      </c>
      <c r="C15" s="975">
        <v>0.56</v>
      </c>
      <c r="D15" s="960">
        <v>7732155</v>
      </c>
      <c r="E15" s="964">
        <v>0.56</v>
      </c>
      <c r="F15" s="960">
        <v>24668679</v>
      </c>
      <c r="G15" s="964">
        <v>0.56</v>
      </c>
      <c r="H15" s="960">
        <v>42293948</v>
      </c>
      <c r="I15" s="964">
        <v>0.56</v>
      </c>
      <c r="J15" s="960">
        <v>54965073</v>
      </c>
      <c r="K15" s="964">
        <v>0.56</v>
      </c>
      <c r="L15" s="960">
        <v>62962967</v>
      </c>
    </row>
    <row r="16" spans="2:12" ht="15.75">
      <c r="B16" s="957" t="s">
        <v>325</v>
      </c>
      <c r="C16" s="976">
        <v>0.4</v>
      </c>
      <c r="D16" s="960">
        <v>5522968</v>
      </c>
      <c r="E16" s="965">
        <v>0.4</v>
      </c>
      <c r="F16" s="960">
        <v>17620485</v>
      </c>
      <c r="G16" s="965">
        <v>0.4</v>
      </c>
      <c r="H16" s="960">
        <v>30209963</v>
      </c>
      <c r="I16" s="965">
        <v>0.4</v>
      </c>
      <c r="J16" s="960">
        <v>39260767</v>
      </c>
      <c r="K16" s="965">
        <v>0.4</v>
      </c>
      <c r="L16" s="960">
        <v>44973548</v>
      </c>
    </row>
    <row r="17" spans="2:12" ht="15.75">
      <c r="B17" s="957"/>
      <c r="C17" s="957"/>
      <c r="D17" s="958"/>
      <c r="E17" s="957"/>
      <c r="F17" s="958"/>
      <c r="G17" s="957"/>
      <c r="H17" s="958"/>
      <c r="I17" s="957"/>
      <c r="J17" s="958"/>
      <c r="K17" s="957"/>
      <c r="L17" s="958"/>
    </row>
    <row r="18" spans="2:12" ht="15.75">
      <c r="B18" s="957" t="s">
        <v>326</v>
      </c>
      <c r="C18" s="977">
        <v>0.0246</v>
      </c>
      <c r="D18" s="960">
        <v>13587</v>
      </c>
      <c r="E18" s="966">
        <v>0.0246</v>
      </c>
      <c r="F18" s="960">
        <v>43346</v>
      </c>
      <c r="G18" s="966">
        <v>0.0246</v>
      </c>
      <c r="H18" s="960">
        <v>74317</v>
      </c>
      <c r="I18" s="966">
        <v>0.0246</v>
      </c>
      <c r="J18" s="960">
        <v>96581</v>
      </c>
      <c r="K18" s="966">
        <v>0.0246</v>
      </c>
      <c r="L18" s="960">
        <v>110635</v>
      </c>
    </row>
    <row r="19" spans="2:12" ht="15.75">
      <c r="B19" s="957" t="s">
        <v>327</v>
      </c>
      <c r="C19" s="977">
        <v>0.051</v>
      </c>
      <c r="D19" s="960">
        <v>394340</v>
      </c>
      <c r="E19" s="966">
        <v>0.051</v>
      </c>
      <c r="F19" s="960">
        <v>1258103</v>
      </c>
      <c r="G19" s="966">
        <v>0.051</v>
      </c>
      <c r="H19" s="960">
        <v>2156991</v>
      </c>
      <c r="I19" s="966">
        <v>0.051</v>
      </c>
      <c r="J19" s="960">
        <v>2803219</v>
      </c>
      <c r="K19" s="966">
        <v>0.051</v>
      </c>
      <c r="L19" s="960">
        <v>3211111</v>
      </c>
    </row>
    <row r="20" spans="2:12" ht="15.75">
      <c r="B20" s="957" t="s">
        <v>328</v>
      </c>
      <c r="C20" s="977">
        <v>0.0958</v>
      </c>
      <c r="D20" s="960">
        <v>529100</v>
      </c>
      <c r="E20" s="966">
        <v>0.0958</v>
      </c>
      <c r="F20" s="960">
        <v>1688042</v>
      </c>
      <c r="G20" s="966">
        <v>0.0958</v>
      </c>
      <c r="H20" s="960">
        <v>2894114</v>
      </c>
      <c r="I20" s="966">
        <v>0.0958</v>
      </c>
      <c r="J20" s="960">
        <v>3761181</v>
      </c>
      <c r="K20" s="966">
        <v>0.0958</v>
      </c>
      <c r="L20" s="960">
        <v>4308466</v>
      </c>
    </row>
    <row r="21" spans="2:12" ht="15.75">
      <c r="B21" s="957"/>
      <c r="C21" s="957"/>
      <c r="D21" s="967">
        <v>937027</v>
      </c>
      <c r="E21" s="957"/>
      <c r="F21" s="967">
        <v>2989491</v>
      </c>
      <c r="G21" s="957"/>
      <c r="H21" s="967">
        <v>5125422</v>
      </c>
      <c r="I21" s="957"/>
      <c r="J21" s="967">
        <v>6660982</v>
      </c>
      <c r="K21" s="957"/>
      <c r="L21" s="967">
        <v>7630212</v>
      </c>
    </row>
    <row r="23" spans="2:12" ht="15.75">
      <c r="B23" s="957" t="s">
        <v>320</v>
      </c>
      <c r="C23" s="957"/>
      <c r="D23" s="972">
        <v>800000</v>
      </c>
      <c r="E23" s="957"/>
      <c r="F23" s="972">
        <v>1050000</v>
      </c>
      <c r="G23" s="957"/>
      <c r="H23" s="972">
        <v>1050000</v>
      </c>
      <c r="I23" s="957"/>
      <c r="J23" s="972">
        <v>1050000</v>
      </c>
      <c r="K23" s="957"/>
      <c r="L23" s="972">
        <v>1050000</v>
      </c>
    </row>
    <row r="24" spans="2:12" ht="15.75">
      <c r="B24" s="957" t="s">
        <v>329</v>
      </c>
      <c r="C24" s="957"/>
      <c r="D24" s="970">
        <v>1191797</v>
      </c>
      <c r="E24" s="957"/>
      <c r="F24" s="970">
        <v>3922561</v>
      </c>
      <c r="G24" s="957"/>
      <c r="H24" s="970">
        <v>7000496</v>
      </c>
      <c r="I24" s="957"/>
      <c r="J24" s="970">
        <v>9576801</v>
      </c>
      <c r="K24" s="957"/>
      <c r="L24" s="970">
        <v>11651475</v>
      </c>
    </row>
    <row r="25" spans="2:12" ht="15.75">
      <c r="B25" s="957" t="s">
        <v>330</v>
      </c>
      <c r="C25" s="957"/>
      <c r="D25" s="959">
        <v>205292</v>
      </c>
      <c r="E25" s="957"/>
      <c r="F25" s="959">
        <v>662820</v>
      </c>
      <c r="G25" s="957"/>
      <c r="H25" s="959">
        <v>1218385</v>
      </c>
      <c r="I25" s="957"/>
      <c r="J25" s="959">
        <v>1723908</v>
      </c>
      <c r="K25" s="957"/>
      <c r="L25" s="959">
        <v>2166954</v>
      </c>
    </row>
    <row r="27" spans="2:12" ht="16.5" thickBot="1">
      <c r="B27" s="957" t="s">
        <v>331</v>
      </c>
      <c r="C27" s="957"/>
      <c r="D27" s="961">
        <v>3134115</v>
      </c>
      <c r="E27" s="957"/>
      <c r="F27" s="961">
        <v>8624872</v>
      </c>
      <c r="G27" s="957"/>
      <c r="H27" s="961">
        <v>14394303</v>
      </c>
      <c r="I27" s="957"/>
      <c r="J27" s="961">
        <v>19011690</v>
      </c>
      <c r="K27" s="957"/>
      <c r="L27" s="961">
        <v>22498641</v>
      </c>
    </row>
    <row r="29" spans="2:12" ht="15.75">
      <c r="B29" s="984" t="s">
        <v>332</v>
      </c>
      <c r="C29" s="957"/>
      <c r="D29" s="960"/>
      <c r="E29" s="960"/>
      <c r="F29" s="960"/>
      <c r="G29" s="960"/>
      <c r="H29" s="960"/>
      <c r="I29" s="960"/>
      <c r="J29" s="960"/>
      <c r="K29" s="960"/>
      <c r="L29" s="960"/>
    </row>
    <row r="30" spans="2:12" ht="15.75">
      <c r="B30" s="984" t="s">
        <v>320</v>
      </c>
      <c r="C30" s="957"/>
      <c r="D30" s="960">
        <v>800000</v>
      </c>
      <c r="E30" s="960"/>
      <c r="F30" s="960">
        <v>1050000</v>
      </c>
      <c r="G30" s="960"/>
      <c r="H30" s="960">
        <v>1050000</v>
      </c>
      <c r="I30" s="960"/>
      <c r="J30" s="960">
        <v>1050000</v>
      </c>
      <c r="K30" s="960"/>
      <c r="L30" s="960">
        <v>1050000</v>
      </c>
    </row>
    <row r="31" spans="2:12" ht="15.75">
      <c r="B31" s="984" t="s">
        <v>333</v>
      </c>
      <c r="C31" s="957"/>
      <c r="D31" s="960">
        <v>2334115</v>
      </c>
      <c r="E31" s="957"/>
      <c r="F31" s="960">
        <v>7574872</v>
      </c>
      <c r="G31" s="957"/>
      <c r="H31" s="960">
        <v>13344303</v>
      </c>
      <c r="I31" s="957"/>
      <c r="J31" s="960">
        <v>17961690</v>
      </c>
      <c r="K31" s="957"/>
      <c r="L31" s="960">
        <v>21448641</v>
      </c>
    </row>
    <row r="32" spans="2:12" ht="15.75">
      <c r="B32" s="984" t="s">
        <v>334</v>
      </c>
      <c r="C32" s="957"/>
      <c r="D32" s="962">
        <v>0.2306</v>
      </c>
      <c r="E32" s="962"/>
      <c r="F32" s="962">
        <v>0.2314</v>
      </c>
      <c r="G32" s="962"/>
      <c r="H32" s="962">
        <v>0.2321</v>
      </c>
      <c r="I32" s="962"/>
      <c r="J32" s="962">
        <v>0.2399</v>
      </c>
      <c r="K32" s="962"/>
      <c r="L32" s="962">
        <v>0.2516</v>
      </c>
    </row>
    <row r="33" spans="2:12" ht="15.75">
      <c r="B33" s="984" t="s">
        <v>335</v>
      </c>
      <c r="C33" s="957"/>
      <c r="D33" s="960">
        <v>538255</v>
      </c>
      <c r="E33" s="960"/>
      <c r="F33" s="960">
        <v>1753121</v>
      </c>
      <c r="G33" s="960"/>
      <c r="H33" s="960">
        <v>3096890</v>
      </c>
      <c r="I33" s="960"/>
      <c r="J33" s="960">
        <v>4308754</v>
      </c>
      <c r="K33" s="960"/>
      <c r="L33" s="960">
        <v>5396730</v>
      </c>
    </row>
    <row r="34" spans="2:12" ht="15.75">
      <c r="B34" s="985" t="s">
        <v>336</v>
      </c>
      <c r="C34" s="986"/>
      <c r="D34" s="987">
        <v>1338255</v>
      </c>
      <c r="E34" s="987"/>
      <c r="F34" s="987">
        <v>2803121</v>
      </c>
      <c r="G34" s="987"/>
      <c r="H34" s="987">
        <v>4146890</v>
      </c>
      <c r="I34" s="987"/>
      <c r="J34" s="987">
        <v>5358754</v>
      </c>
      <c r="K34" s="987"/>
      <c r="L34" s="987">
        <v>6446730</v>
      </c>
    </row>
    <row r="35" spans="2:12" ht="15.75">
      <c r="B35" s="984"/>
      <c r="C35" s="957"/>
      <c r="D35" s="960"/>
      <c r="E35" s="957"/>
      <c r="F35" s="960"/>
      <c r="G35" s="957"/>
      <c r="H35" s="960"/>
      <c r="I35" s="957"/>
      <c r="J35" s="960"/>
      <c r="K35" s="957"/>
      <c r="L35" s="960"/>
    </row>
    <row r="36" spans="2:12" ht="15.75">
      <c r="B36" s="957" t="s">
        <v>337</v>
      </c>
      <c r="C36" s="959"/>
      <c r="D36" s="991">
        <v>714467</v>
      </c>
      <c r="E36" s="957"/>
      <c r="F36" s="991">
        <v>714467</v>
      </c>
      <c r="G36" s="957"/>
      <c r="H36" s="991">
        <v>714467</v>
      </c>
      <c r="I36" s="957"/>
      <c r="J36" s="991">
        <v>714467</v>
      </c>
      <c r="K36" s="957"/>
      <c r="L36" s="991">
        <v>714467</v>
      </c>
    </row>
    <row r="37" spans="2:12" ht="15.75">
      <c r="B37" s="957"/>
      <c r="C37" s="969"/>
      <c r="D37" s="962"/>
      <c r="E37" s="957"/>
      <c r="F37" s="957"/>
      <c r="G37" s="957"/>
      <c r="H37" s="957"/>
      <c r="I37" s="957"/>
      <c r="J37" s="957"/>
      <c r="K37" s="957"/>
      <c r="L37" s="957"/>
    </row>
    <row r="38" spans="2:12" ht="15.75">
      <c r="B38" s="985" t="s">
        <v>338</v>
      </c>
      <c r="C38" s="988"/>
      <c r="D38" s="993">
        <v>0.15</v>
      </c>
      <c r="E38" s="990"/>
      <c r="F38" s="993">
        <v>0.32</v>
      </c>
      <c r="G38" s="989"/>
      <c r="H38" s="993">
        <v>0.48</v>
      </c>
      <c r="I38" s="989"/>
      <c r="J38" s="993">
        <v>0.62</v>
      </c>
      <c r="K38" s="989"/>
      <c r="L38" s="993">
        <v>0.74</v>
      </c>
    </row>
    <row r="39" spans="2:12" ht="15.75">
      <c r="B39" s="957"/>
      <c r="C39" s="959"/>
      <c r="D39" s="958"/>
      <c r="E39" s="957"/>
      <c r="F39" s="983"/>
      <c r="G39" s="983"/>
      <c r="H39" s="983"/>
      <c r="I39" s="983"/>
      <c r="J39" s="983"/>
      <c r="K39" s="983"/>
      <c r="L39" s="983"/>
    </row>
    <row r="40" spans="2:12" ht="15.75">
      <c r="B40" s="957"/>
      <c r="C40" s="957"/>
      <c r="D40" s="960"/>
      <c r="E40" s="957"/>
      <c r="F40" s="960"/>
      <c r="G40" s="957"/>
      <c r="H40" s="960"/>
      <c r="I40" s="957"/>
      <c r="J40" s="960"/>
      <c r="K40" s="957"/>
      <c r="L40" s="960"/>
    </row>
    <row r="41" spans="2:12" ht="15.75">
      <c r="B41" s="957"/>
      <c r="C41" s="957"/>
      <c r="D41" s="957"/>
      <c r="E41" s="957"/>
      <c r="F41" s="957"/>
      <c r="G41" s="957"/>
      <c r="H41" s="957"/>
      <c r="I41" s="957"/>
      <c r="J41" s="957"/>
      <c r="K41" s="957"/>
      <c r="L41" s="957"/>
    </row>
    <row r="42" spans="2:12" ht="15.75">
      <c r="B42" s="971" t="s">
        <v>339</v>
      </c>
      <c r="C42" s="957"/>
      <c r="D42" s="959">
        <v>149655.01737049114</v>
      </c>
      <c r="E42" s="959"/>
      <c r="F42" s="959">
        <v>485145.9728818131</v>
      </c>
      <c r="G42" s="959"/>
      <c r="H42" s="959">
        <v>853951.1021566371</v>
      </c>
      <c r="I42" s="959"/>
      <c r="J42" s="959">
        <v>1137744.669340186</v>
      </c>
      <c r="K42" s="959"/>
      <c r="L42" s="959">
        <v>1337659.2789662266</v>
      </c>
    </row>
    <row r="44" spans="2:12" ht="15.75">
      <c r="B44" s="978"/>
      <c r="C44" s="957"/>
      <c r="D44" s="957"/>
      <c r="E44" s="957"/>
      <c r="F44" s="957"/>
      <c r="G44" s="957"/>
      <c r="H44" s="957"/>
      <c r="I44" s="957"/>
      <c r="J44" s="957"/>
      <c r="K44" s="957"/>
      <c r="L44" s="9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64.00390625" style="1" customWidth="1"/>
    <col min="2" max="2" width="10.7109375" style="0" customWidth="1"/>
    <col min="3" max="3" width="11.00390625" style="0" customWidth="1"/>
    <col min="4" max="4" width="12.140625" style="0" customWidth="1"/>
    <col min="5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0" width="6.28125" style="0" hidden="1" customWidth="1"/>
    <col min="11" max="11" width="8.8515625" style="0" hidden="1" customWidth="1"/>
    <col min="12" max="14" width="13.28125" style="0" hidden="1" customWidth="1"/>
    <col min="15" max="16" width="9.140625" style="0" hidden="1" customWidth="1"/>
    <col min="17" max="17" width="8.8515625" style="0" hidden="1" customWidth="1"/>
  </cols>
  <sheetData>
    <row r="1" spans="1:16" ht="15" customHeight="1" thickBot="1">
      <c r="A1" s="8" t="s">
        <v>112</v>
      </c>
      <c r="B1" s="5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" customHeight="1" thickBot="1">
      <c r="A2" s="9"/>
      <c r="B2" s="11" t="s">
        <v>5</v>
      </c>
      <c r="C2" s="12" t="s">
        <v>6</v>
      </c>
      <c r="D2" s="12" t="s">
        <v>7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 customHeight="1">
      <c r="A3" s="10" t="s">
        <v>95</v>
      </c>
      <c r="B3" s="47">
        <v>1</v>
      </c>
      <c r="C3" s="49">
        <v>18.43</v>
      </c>
      <c r="D3" s="28">
        <f aca="true" t="shared" si="0" ref="D3:D16">+B3*C3</f>
        <v>18.43</v>
      </c>
      <c r="E3" s="47">
        <v>1</v>
      </c>
      <c r="F3" s="49">
        <f>+'2014 Proposed Rates'!S4</f>
        <v>18.48</v>
      </c>
      <c r="G3" s="28">
        <f>+E3*F3</f>
        <v>18.48</v>
      </c>
      <c r="H3" s="50">
        <f>+G3-D3</f>
        <v>0.05000000000000071</v>
      </c>
      <c r="I3" s="14">
        <f>IF(D3=0,"n/a",H3/D3)</f>
        <v>0.002712967986977792</v>
      </c>
      <c r="L3" s="47">
        <f>E3</f>
        <v>1</v>
      </c>
      <c r="M3" s="49">
        <f>F3</f>
        <v>18.48</v>
      </c>
      <c r="N3" s="28">
        <f>L3*M3</f>
        <v>18.48</v>
      </c>
      <c r="O3" s="50">
        <f>N3-D3</f>
        <v>0.05000000000000071</v>
      </c>
      <c r="P3" s="14">
        <f>IF(D3=0,"n/a",O3/D3)</f>
        <v>0.002712967986977792</v>
      </c>
    </row>
    <row r="4" spans="1:17" ht="15" customHeight="1">
      <c r="A4" s="10" t="s">
        <v>396</v>
      </c>
      <c r="B4" s="47">
        <v>800</v>
      </c>
      <c r="C4" s="30">
        <v>0.01521</v>
      </c>
      <c r="D4" s="28">
        <f t="shared" si="0"/>
        <v>12.168</v>
      </c>
      <c r="E4" s="47">
        <f>+B30</f>
        <v>800</v>
      </c>
      <c r="F4" s="30">
        <f>+'2014 Proposed Rates'!T4</f>
        <v>0.01525</v>
      </c>
      <c r="G4" s="28">
        <f aca="true" t="shared" si="1" ref="G4:G27">+E4*F4</f>
        <v>12.2</v>
      </c>
      <c r="H4" s="50">
        <f>+G4-D4</f>
        <v>0.03200000000000003</v>
      </c>
      <c r="I4" s="14">
        <f>IF(D4=0,"n/a",H4/D4)</f>
        <v>0.00262984878369494</v>
      </c>
      <c r="J4" s="173">
        <f>SUM(H3:H4)/SUM(D3:D4)</f>
        <v>0.0026799137198509947</v>
      </c>
      <c r="L4" s="47">
        <f aca="true" t="shared" si="2" ref="L4:L27">E4</f>
        <v>800</v>
      </c>
      <c r="M4" s="30">
        <f>F4</f>
        <v>0.01525</v>
      </c>
      <c r="N4" s="28">
        <f>L4*M4</f>
        <v>12.2</v>
      </c>
      <c r="O4" s="50">
        <f aca="true" t="shared" si="3" ref="O4:O28">N4-D4</f>
        <v>0.03200000000000003</v>
      </c>
      <c r="P4" s="14">
        <f>IF(D4=0,"n/a",O4/D4)</f>
        <v>0.00262984878369494</v>
      </c>
      <c r="Q4" s="173">
        <f>SUM(O3:O4)/SUM(D3:D4)</f>
        <v>0.0026799137198509947</v>
      </c>
    </row>
    <row r="5" spans="1:16" ht="15" customHeight="1">
      <c r="A5" s="10" t="s">
        <v>397</v>
      </c>
      <c r="B5" s="47">
        <v>1</v>
      </c>
      <c r="C5" s="49">
        <v>0.68</v>
      </c>
      <c r="D5" s="28">
        <f t="shared" si="0"/>
        <v>0.68</v>
      </c>
      <c r="E5" s="47">
        <v>1</v>
      </c>
      <c r="F5" s="49">
        <f>+C5</f>
        <v>0.68</v>
      </c>
      <c r="G5" s="28">
        <f t="shared" si="1"/>
        <v>0.68</v>
      </c>
      <c r="H5" s="50">
        <f>+G5-D5</f>
        <v>0</v>
      </c>
      <c r="I5" s="14">
        <f>IF(D5=0,"n/a",H5/D5)</f>
        <v>0</v>
      </c>
      <c r="L5" s="47">
        <f t="shared" si="2"/>
        <v>1</v>
      </c>
      <c r="M5" s="49">
        <f>F5</f>
        <v>0.68</v>
      </c>
      <c r="N5" s="28">
        <f>L5*M5</f>
        <v>0.68</v>
      </c>
      <c r="O5" s="50">
        <f t="shared" si="3"/>
        <v>0</v>
      </c>
      <c r="P5" s="14">
        <f>IF(D5=0,"n/a",O5/D5)</f>
        <v>0</v>
      </c>
    </row>
    <row r="6" spans="1:16" s="996" customFormat="1" ht="15" customHeight="1">
      <c r="A6" s="10" t="s">
        <v>398</v>
      </c>
      <c r="B6" s="47">
        <v>1</v>
      </c>
      <c r="C6" s="50">
        <v>0.78</v>
      </c>
      <c r="D6" s="28">
        <f t="shared" si="0"/>
        <v>0.78</v>
      </c>
      <c r="E6" s="47">
        <v>1</v>
      </c>
      <c r="F6" s="50">
        <v>0.78</v>
      </c>
      <c r="G6" s="28">
        <f>+E6*F6</f>
        <v>0.78</v>
      </c>
      <c r="H6" s="50">
        <f>+G6-D6</f>
        <v>0</v>
      </c>
      <c r="I6" s="14">
        <f>IF(D6=0,"n/a",H6/D6)</f>
        <v>0</v>
      </c>
      <c r="L6" s="47"/>
      <c r="M6" s="49"/>
      <c r="N6" s="28"/>
      <c r="O6" s="50"/>
      <c r="P6" s="14"/>
    </row>
    <row r="7" spans="1:16" ht="15" customHeight="1">
      <c r="A7" s="10" t="s">
        <v>399</v>
      </c>
      <c r="B7" s="47">
        <v>800</v>
      </c>
      <c r="C7" s="30">
        <v>-0.0001</v>
      </c>
      <c r="D7" s="28">
        <f t="shared" si="0"/>
        <v>-0.08</v>
      </c>
      <c r="E7" s="47">
        <v>800</v>
      </c>
      <c r="F7" s="30">
        <f>+'2014 Proposed Rates'!U4</f>
        <v>-4E-05</v>
      </c>
      <c r="G7" s="28">
        <f t="shared" si="1"/>
        <v>-0.032</v>
      </c>
      <c r="H7" s="50">
        <f>+G7-D7</f>
        <v>0.048</v>
      </c>
      <c r="I7" s="14">
        <f>IF(D7=0,"n/a",H7/D7)</f>
        <v>-0.6</v>
      </c>
      <c r="L7" s="47"/>
      <c r="M7" s="30"/>
      <c r="N7" s="28"/>
      <c r="O7" s="50"/>
      <c r="P7" s="14"/>
    </row>
    <row r="8" spans="1:16" ht="15" customHeight="1">
      <c r="A8" s="10" t="s">
        <v>400</v>
      </c>
      <c r="B8" s="47">
        <v>1</v>
      </c>
      <c r="C8" s="30">
        <v>0.73</v>
      </c>
      <c r="D8" s="28">
        <f t="shared" si="0"/>
        <v>0.73</v>
      </c>
      <c r="E8" s="47">
        <v>1</v>
      </c>
      <c r="F8" s="49">
        <f>+'2014 Proposed Rates'!AA4</f>
        <v>0.73</v>
      </c>
      <c r="G8" s="28">
        <f t="shared" si="1"/>
        <v>0.73</v>
      </c>
      <c r="H8" s="50">
        <f>+G8-D8</f>
        <v>0</v>
      </c>
      <c r="I8" s="14">
        <f>IF(D8=0,"n/a",H8/D8)</f>
        <v>0</v>
      </c>
      <c r="L8" s="47"/>
      <c r="M8" s="30"/>
      <c r="N8" s="28"/>
      <c r="O8" s="50"/>
      <c r="P8" s="14"/>
    </row>
    <row r="9" spans="1:16" ht="15" customHeight="1">
      <c r="A9" s="10" t="s">
        <v>400</v>
      </c>
      <c r="B9" s="47">
        <v>800</v>
      </c>
      <c r="C9" s="30">
        <v>0.00061</v>
      </c>
      <c r="D9" s="28">
        <f t="shared" si="0"/>
        <v>0.488</v>
      </c>
      <c r="E9" s="47">
        <v>800</v>
      </c>
      <c r="F9" s="30">
        <f>+'2014 Proposed Rates'!AB4</f>
        <v>0.00061</v>
      </c>
      <c r="G9" s="28">
        <f t="shared" si="1"/>
        <v>0.488</v>
      </c>
      <c r="H9" s="50">
        <f>+G9-D9</f>
        <v>0</v>
      </c>
      <c r="I9" s="14">
        <f>IF(D9=0,"n/a",H9/D9)</f>
        <v>0</v>
      </c>
      <c r="L9" s="47"/>
      <c r="M9" s="30"/>
      <c r="N9" s="28"/>
      <c r="O9" s="50"/>
      <c r="P9" s="14"/>
    </row>
    <row r="10" spans="1:16" ht="15" customHeight="1">
      <c r="A10" s="10" t="s">
        <v>403</v>
      </c>
      <c r="B10" s="47">
        <v>1</v>
      </c>
      <c r="C10" s="30">
        <v>0.07</v>
      </c>
      <c r="D10" s="28">
        <f t="shared" si="0"/>
        <v>0.07</v>
      </c>
      <c r="E10" s="47">
        <v>1</v>
      </c>
      <c r="F10" s="49">
        <f>+'2014 Proposed Rates'!Y4</f>
        <v>0.07</v>
      </c>
      <c r="G10" s="28">
        <f t="shared" si="1"/>
        <v>0.07</v>
      </c>
      <c r="H10" s="50">
        <f>+G10-D10</f>
        <v>0</v>
      </c>
      <c r="I10" s="14">
        <f>IF(D10=0,"n/a",H10/D10)</f>
        <v>0</v>
      </c>
      <c r="L10" s="47"/>
      <c r="M10" s="30"/>
      <c r="N10" s="28"/>
      <c r="O10" s="50"/>
      <c r="P10" s="14"/>
    </row>
    <row r="11" spans="1:16" ht="15" customHeight="1">
      <c r="A11" s="10" t="s">
        <v>403</v>
      </c>
      <c r="B11" s="47">
        <v>800</v>
      </c>
      <c r="C11" s="30">
        <v>5E-05</v>
      </c>
      <c r="D11" s="28">
        <f t="shared" si="0"/>
        <v>0.04</v>
      </c>
      <c r="E11" s="47">
        <v>800</v>
      </c>
      <c r="F11" s="30">
        <f>+'2014 Proposed Rates'!Z4</f>
        <v>5E-05</v>
      </c>
      <c r="G11" s="28">
        <f t="shared" si="1"/>
        <v>0.04</v>
      </c>
      <c r="H11" s="50">
        <f>+G11-D11</f>
        <v>0</v>
      </c>
      <c r="I11" s="14">
        <f>IF(D11=0,"n/a",H11/D11)</f>
        <v>0</v>
      </c>
      <c r="L11" s="47"/>
      <c r="M11" s="30"/>
      <c r="N11" s="28"/>
      <c r="O11" s="50"/>
      <c r="P11" s="14"/>
    </row>
    <row r="12" spans="1:16" s="996" customFormat="1" ht="15" customHeight="1">
      <c r="A12" s="1061" t="s">
        <v>401</v>
      </c>
      <c r="B12" s="47">
        <v>0</v>
      </c>
      <c r="C12" s="30">
        <v>0</v>
      </c>
      <c r="D12" s="28">
        <f t="shared" si="0"/>
        <v>0</v>
      </c>
      <c r="E12" s="1062">
        <f>+E3</f>
        <v>1</v>
      </c>
      <c r="F12" s="1067">
        <f>+'2014 Proposed Rates'!AC4</f>
        <v>0.3</v>
      </c>
      <c r="G12" s="1064">
        <f t="shared" si="1"/>
        <v>0.3</v>
      </c>
      <c r="H12" s="1065">
        <f>+G12-D12</f>
        <v>0.3</v>
      </c>
      <c r="I12" s="1066" t="str">
        <f>IF(D12=0,"n/a",H12/D12)</f>
        <v>n/a</v>
      </c>
      <c r="L12" s="47"/>
      <c r="M12" s="30"/>
      <c r="N12" s="28"/>
      <c r="O12" s="50"/>
      <c r="P12" s="14"/>
    </row>
    <row r="13" spans="1:16" s="996" customFormat="1" ht="15" customHeight="1">
      <c r="A13" s="1061" t="s">
        <v>401</v>
      </c>
      <c r="B13" s="47">
        <v>0</v>
      </c>
      <c r="C13" s="30">
        <v>0</v>
      </c>
      <c r="D13" s="28">
        <f t="shared" si="0"/>
        <v>0</v>
      </c>
      <c r="E13" s="1062">
        <f>+E4</f>
        <v>800</v>
      </c>
      <c r="F13" s="1063">
        <f>+'2014 Proposed Rates'!AD4</f>
        <v>0.00025</v>
      </c>
      <c r="G13" s="1064">
        <f t="shared" si="1"/>
        <v>0.2</v>
      </c>
      <c r="H13" s="1065">
        <f>+G13-D13</f>
        <v>0.2</v>
      </c>
      <c r="I13" s="1066" t="str">
        <f>IF(D13=0,"n/a",H13/D13)</f>
        <v>n/a</v>
      </c>
      <c r="L13" s="47"/>
      <c r="M13" s="30"/>
      <c r="N13" s="28"/>
      <c r="O13" s="50"/>
      <c r="P13" s="14"/>
    </row>
    <row r="14" spans="1:16" s="996" customFormat="1" ht="15" customHeight="1">
      <c r="A14" s="1061" t="s">
        <v>402</v>
      </c>
      <c r="B14" s="47">
        <v>0</v>
      </c>
      <c r="C14" s="30">
        <v>0</v>
      </c>
      <c r="D14" s="28">
        <f t="shared" si="0"/>
        <v>0</v>
      </c>
      <c r="E14" s="1062">
        <f>+E3</f>
        <v>1</v>
      </c>
      <c r="F14" s="1067">
        <f>+'2014 Proposed Rates'!AE4</f>
        <v>0.33</v>
      </c>
      <c r="G14" s="1064">
        <f t="shared" si="1"/>
        <v>0.33</v>
      </c>
      <c r="H14" s="1065">
        <f>+G14-D14</f>
        <v>0.33</v>
      </c>
      <c r="I14" s="1066" t="str">
        <f>IF(D14=0,"n/a",H14/D14)</f>
        <v>n/a</v>
      </c>
      <c r="L14" s="47"/>
      <c r="M14" s="30"/>
      <c r="N14" s="28"/>
      <c r="O14" s="50"/>
      <c r="P14" s="14"/>
    </row>
    <row r="15" spans="1:16" s="996" customFormat="1" ht="15" customHeight="1">
      <c r="A15" s="1061" t="s">
        <v>402</v>
      </c>
      <c r="B15" s="47">
        <v>0</v>
      </c>
      <c r="C15" s="30">
        <v>0</v>
      </c>
      <c r="D15" s="28">
        <f t="shared" si="0"/>
        <v>0</v>
      </c>
      <c r="E15" s="1062">
        <f>+E4</f>
        <v>800</v>
      </c>
      <c r="F15" s="1063">
        <f>+'2014 Proposed Rates'!AF4</f>
        <v>0.00027</v>
      </c>
      <c r="G15" s="1064">
        <f t="shared" si="1"/>
        <v>0.216</v>
      </c>
      <c r="H15" s="1065">
        <f>+G15-D15</f>
        <v>0.216</v>
      </c>
      <c r="I15" s="1066" t="str">
        <f>IF(D15=0,"n/a",H15/D15)</f>
        <v>n/a</v>
      </c>
      <c r="L15" s="47"/>
      <c r="M15" s="30"/>
      <c r="N15" s="28"/>
      <c r="O15" s="50"/>
      <c r="P15" s="14"/>
    </row>
    <row r="16" spans="1:16" ht="15" customHeight="1">
      <c r="A16" s="1082" t="s">
        <v>415</v>
      </c>
      <c r="B16" s="47">
        <v>800</v>
      </c>
      <c r="C16" s="30">
        <v>-0.00058</v>
      </c>
      <c r="D16" s="28">
        <f t="shared" si="0"/>
        <v>-0.464</v>
      </c>
      <c r="E16" s="47">
        <v>800</v>
      </c>
      <c r="F16" s="30">
        <f>+'2014 Proposed Rates'!X4</f>
        <v>0</v>
      </c>
      <c r="G16" s="28">
        <f t="shared" si="1"/>
        <v>0</v>
      </c>
      <c r="H16" s="50">
        <f>+G16-D16</f>
        <v>0.464</v>
      </c>
      <c r="I16" s="14">
        <f>IF(D16=0,"n/a",H16/D16)</f>
        <v>-1</v>
      </c>
      <c r="L16" s="47"/>
      <c r="M16" s="30"/>
      <c r="N16" s="28"/>
      <c r="O16" s="50"/>
      <c r="P16" s="14"/>
    </row>
    <row r="17" spans="1:18" ht="15" customHeight="1">
      <c r="A17" s="6" t="s">
        <v>1</v>
      </c>
      <c r="B17" s="45"/>
      <c r="C17" s="43"/>
      <c r="D17" s="53">
        <f>SUM(D3:D16)</f>
        <v>32.842</v>
      </c>
      <c r="E17" s="48"/>
      <c r="F17" s="43"/>
      <c r="G17" s="53">
        <f>SUM(G3:G16)</f>
        <v>34.482</v>
      </c>
      <c r="H17" s="56">
        <f>SUM(H3:H16)</f>
        <v>1.6400000000000008</v>
      </c>
      <c r="I17" s="15">
        <f>+H17/D17</f>
        <v>0.049936057487363766</v>
      </c>
      <c r="J17" t="s">
        <v>10</v>
      </c>
      <c r="L17" s="48">
        <f t="shared" si="2"/>
        <v>0</v>
      </c>
      <c r="M17" s="43"/>
      <c r="N17" s="53">
        <f>SUM(N3:N6)</f>
        <v>31.36</v>
      </c>
      <c r="O17" s="56">
        <f t="shared" si="3"/>
        <v>-1.4819999999999993</v>
      </c>
      <c r="P17" s="237">
        <f>O17/D17</f>
        <v>-0.0451251446318738</v>
      </c>
      <c r="R17" s="156" t="s">
        <v>10</v>
      </c>
    </row>
    <row r="18" spans="1:16" ht="15" customHeight="1">
      <c r="A18" s="10" t="s">
        <v>404</v>
      </c>
      <c r="B18" s="47">
        <v>830.08</v>
      </c>
      <c r="C18" s="42">
        <v>0.0082</v>
      </c>
      <c r="D18" s="28">
        <f>+B18*C18</f>
        <v>6.806656000000001</v>
      </c>
      <c r="E18" s="47">
        <f>+B18</f>
        <v>830.08</v>
      </c>
      <c r="F18" s="42">
        <f>+'2014 Proposed Rates'!V4</f>
        <v>0.00766</v>
      </c>
      <c r="G18" s="28">
        <f t="shared" si="1"/>
        <v>6.358412800000001</v>
      </c>
      <c r="H18" s="50">
        <f>+G18-D18</f>
        <v>-0.4482432000000003</v>
      </c>
      <c r="I18" s="13">
        <f>+H18/D18</f>
        <v>-0.0658536585365854</v>
      </c>
      <c r="L18" s="47">
        <f t="shared" si="2"/>
        <v>830.08</v>
      </c>
      <c r="M18" s="42">
        <f>F18</f>
        <v>0.00766</v>
      </c>
      <c r="N18" s="28">
        <f>L18*M18</f>
        <v>6.358412800000001</v>
      </c>
      <c r="O18" s="50">
        <f t="shared" si="3"/>
        <v>-0.4482432000000003</v>
      </c>
      <c r="P18" s="14">
        <f>O18/D18</f>
        <v>-0.0658536585365854</v>
      </c>
    </row>
    <row r="19" spans="1:16" ht="15" customHeight="1">
      <c r="A19" s="1082" t="s">
        <v>415</v>
      </c>
      <c r="B19" s="47">
        <v>830.08</v>
      </c>
      <c r="C19" s="42">
        <v>0.00548</v>
      </c>
      <c r="D19" s="28">
        <f>+B19*C19</f>
        <v>4.5488384</v>
      </c>
      <c r="E19" s="47">
        <f>+B19</f>
        <v>830.08</v>
      </c>
      <c r="F19" s="42">
        <f>+'2014 Proposed Rates'!W4</f>
        <v>0.00518</v>
      </c>
      <c r="G19" s="28">
        <f t="shared" si="1"/>
        <v>4.2998144</v>
      </c>
      <c r="H19" s="50">
        <f>+G19-D19</f>
        <v>-0.24902400000000036</v>
      </c>
      <c r="I19" s="13">
        <f>+H19/D19</f>
        <v>-0.054744525547445334</v>
      </c>
      <c r="L19" s="47">
        <f t="shared" si="2"/>
        <v>830.08</v>
      </c>
      <c r="M19" s="42">
        <f>F19</f>
        <v>0.00518</v>
      </c>
      <c r="N19" s="28">
        <f>L19*M19</f>
        <v>4.2998144</v>
      </c>
      <c r="O19" s="50">
        <f t="shared" si="3"/>
        <v>-0.24902400000000036</v>
      </c>
      <c r="P19" s="14">
        <f>O19/D19</f>
        <v>-0.054744525547445334</v>
      </c>
    </row>
    <row r="20" spans="1:16" ht="15" customHeight="1">
      <c r="A20" s="6" t="s">
        <v>2</v>
      </c>
      <c r="B20" s="45"/>
      <c r="C20" s="43"/>
      <c r="D20" s="53">
        <f>SUM(D17:D19)</f>
        <v>44.197494400000004</v>
      </c>
      <c r="E20" s="45"/>
      <c r="F20" s="43"/>
      <c r="G20" s="53">
        <f>SUM(G17:G19)</f>
        <v>45.140227200000005</v>
      </c>
      <c r="H20" s="56">
        <f>+G20-D20</f>
        <v>0.9427328000000017</v>
      </c>
      <c r="I20" s="15">
        <f>+H20/D20</f>
        <v>0.021330005530811304</v>
      </c>
      <c r="L20" s="45">
        <f t="shared" si="2"/>
        <v>0</v>
      </c>
      <c r="M20" s="43"/>
      <c r="N20" s="53">
        <f>SUM(N17:N19)</f>
        <v>42.018227200000005</v>
      </c>
      <c r="O20" s="56">
        <f t="shared" si="3"/>
        <v>-2.179267199999998</v>
      </c>
      <c r="P20" s="237">
        <f>O20/D20</f>
        <v>-0.049307482914687534</v>
      </c>
    </row>
    <row r="21" spans="1:16" ht="15" customHeight="1">
      <c r="A21" s="10" t="s">
        <v>406</v>
      </c>
      <c r="B21" s="47">
        <v>830.08</v>
      </c>
      <c r="C21" s="51">
        <v>0.0044</v>
      </c>
      <c r="D21" s="28">
        <f>+B21*C21</f>
        <v>3.6523520000000005</v>
      </c>
      <c r="E21" s="47">
        <f>+B21</f>
        <v>830.08</v>
      </c>
      <c r="F21" s="51">
        <f>+C21</f>
        <v>0.0044</v>
      </c>
      <c r="G21" s="28">
        <f t="shared" si="1"/>
        <v>3.6523520000000005</v>
      </c>
      <c r="H21" s="50">
        <f aca="true" t="shared" si="4" ref="H21:H26">+G21-D21</f>
        <v>0</v>
      </c>
      <c r="I21" s="14">
        <f aca="true" t="shared" si="5" ref="I21:I26">IF(D21=0,"n/a",H21/D21)</f>
        <v>0</v>
      </c>
      <c r="L21" s="47">
        <f t="shared" si="2"/>
        <v>830.08</v>
      </c>
      <c r="M21" s="42">
        <f>F21</f>
        <v>0.0044</v>
      </c>
      <c r="N21" s="174">
        <f>L21*M21</f>
        <v>3.6523520000000005</v>
      </c>
      <c r="O21" s="50">
        <f t="shared" si="3"/>
        <v>0</v>
      </c>
      <c r="P21" s="14">
        <f aca="true" t="shared" si="6" ref="P21:P26">IF(D21=0,"n/a",O21/D21)</f>
        <v>0</v>
      </c>
    </row>
    <row r="22" spans="1:16" ht="15" customHeight="1">
      <c r="A22" s="10" t="s">
        <v>407</v>
      </c>
      <c r="B22" s="47">
        <v>830.08</v>
      </c>
      <c r="C22" s="51">
        <v>0.0012</v>
      </c>
      <c r="D22" s="28">
        <f>+B22*C22</f>
        <v>0.996096</v>
      </c>
      <c r="E22" s="47">
        <f>+B22</f>
        <v>830.08</v>
      </c>
      <c r="F22" s="51">
        <f>+C22</f>
        <v>0.0012</v>
      </c>
      <c r="G22" s="28">
        <f t="shared" si="1"/>
        <v>0.996096</v>
      </c>
      <c r="H22" s="50">
        <f t="shared" si="4"/>
        <v>0</v>
      </c>
      <c r="I22" s="14">
        <f t="shared" si="5"/>
        <v>0</v>
      </c>
      <c r="L22" s="47">
        <f t="shared" si="2"/>
        <v>830.08</v>
      </c>
      <c r="M22" s="42">
        <f>F22</f>
        <v>0.0012</v>
      </c>
      <c r="N22" s="174">
        <f>L22*M22</f>
        <v>0.996096</v>
      </c>
      <c r="O22" s="50">
        <f t="shared" si="3"/>
        <v>0</v>
      </c>
      <c r="P22" s="14">
        <f t="shared" si="6"/>
        <v>0</v>
      </c>
    </row>
    <row r="23" spans="1:16" ht="15" customHeight="1">
      <c r="A23" s="10" t="s">
        <v>409</v>
      </c>
      <c r="B23" s="47">
        <v>800</v>
      </c>
      <c r="C23" s="51">
        <v>0.007</v>
      </c>
      <c r="D23" s="28">
        <f>+B23*C23</f>
        <v>5.6000000000000005</v>
      </c>
      <c r="E23" s="47">
        <f>+B23</f>
        <v>800</v>
      </c>
      <c r="F23" s="51">
        <f>+C23</f>
        <v>0.007</v>
      </c>
      <c r="G23" s="28">
        <f t="shared" si="1"/>
        <v>5.6000000000000005</v>
      </c>
      <c r="H23" s="50">
        <f t="shared" si="4"/>
        <v>0</v>
      </c>
      <c r="I23" s="14">
        <f t="shared" si="5"/>
        <v>0</v>
      </c>
      <c r="L23" s="47">
        <f t="shared" si="2"/>
        <v>800</v>
      </c>
      <c r="M23" s="42">
        <f>F23</f>
        <v>0.007</v>
      </c>
      <c r="N23" s="174">
        <f>L23*M23</f>
        <v>5.6000000000000005</v>
      </c>
      <c r="O23" s="50">
        <f t="shared" si="3"/>
        <v>0</v>
      </c>
      <c r="P23" s="14">
        <f t="shared" si="6"/>
        <v>0</v>
      </c>
    </row>
    <row r="24" spans="1:16" ht="15" customHeight="1">
      <c r="A24" s="10" t="s">
        <v>408</v>
      </c>
      <c r="B24" s="47">
        <v>1</v>
      </c>
      <c r="C24" s="50">
        <v>0.25</v>
      </c>
      <c r="D24" s="28">
        <f>+B24*C24</f>
        <v>0.25</v>
      </c>
      <c r="E24" s="47">
        <f>+B24</f>
        <v>1</v>
      </c>
      <c r="F24" s="50">
        <f>+C24</f>
        <v>0.25</v>
      </c>
      <c r="G24" s="28">
        <f>+E24*F24</f>
        <v>0.25</v>
      </c>
      <c r="H24" s="50">
        <f>+G24-D24</f>
        <v>0</v>
      </c>
      <c r="I24" s="14">
        <f t="shared" si="5"/>
        <v>0</v>
      </c>
      <c r="L24" s="47">
        <f t="shared" si="2"/>
        <v>1</v>
      </c>
      <c r="M24" s="50">
        <f>F24</f>
        <v>0.25</v>
      </c>
      <c r="N24" s="174">
        <f>L24*M24</f>
        <v>0.25</v>
      </c>
      <c r="O24" s="50">
        <f t="shared" si="3"/>
        <v>0</v>
      </c>
      <c r="P24" s="14">
        <f t="shared" si="6"/>
        <v>0</v>
      </c>
    </row>
    <row r="25" spans="1:16" ht="15" customHeight="1">
      <c r="A25" s="10" t="s">
        <v>416</v>
      </c>
      <c r="B25" s="47">
        <f>+B21*0.64</f>
        <v>531.2512</v>
      </c>
      <c r="C25" s="238">
        <v>0.067</v>
      </c>
      <c r="D25" s="28">
        <f>+B25*C25</f>
        <v>35.5938304</v>
      </c>
      <c r="E25" s="47">
        <f>+B25</f>
        <v>531.2512</v>
      </c>
      <c r="F25" s="238">
        <f>+C25</f>
        <v>0.067</v>
      </c>
      <c r="G25" s="28">
        <f t="shared" si="1"/>
        <v>35.5938304</v>
      </c>
      <c r="H25" s="50">
        <f t="shared" si="4"/>
        <v>0</v>
      </c>
      <c r="I25" s="14">
        <f t="shared" si="5"/>
        <v>0</v>
      </c>
      <c r="L25" s="47">
        <f t="shared" si="2"/>
        <v>531.2512</v>
      </c>
      <c r="M25" s="238">
        <f>F25</f>
        <v>0.067</v>
      </c>
      <c r="N25" s="174">
        <f>L25*M25</f>
        <v>35.5938304</v>
      </c>
      <c r="O25" s="50">
        <f t="shared" si="3"/>
        <v>0</v>
      </c>
      <c r="P25" s="14">
        <f t="shared" si="6"/>
        <v>0</v>
      </c>
    </row>
    <row r="26" spans="1:16" ht="15" customHeight="1">
      <c r="A26" s="10" t="s">
        <v>417</v>
      </c>
      <c r="B26" s="47">
        <f>+B21*0.18</f>
        <v>149.4144</v>
      </c>
      <c r="C26" s="238">
        <v>0.104</v>
      </c>
      <c r="D26" s="28">
        <f>+B26*C26</f>
        <v>15.5390976</v>
      </c>
      <c r="E26" s="47">
        <f>+B26</f>
        <v>149.4144</v>
      </c>
      <c r="F26" s="238">
        <f>+C26</f>
        <v>0.104</v>
      </c>
      <c r="G26" s="28">
        <f t="shared" si="1"/>
        <v>15.5390976</v>
      </c>
      <c r="H26" s="50">
        <f t="shared" si="4"/>
        <v>0</v>
      </c>
      <c r="I26" s="14">
        <f t="shared" si="5"/>
        <v>0</v>
      </c>
      <c r="L26" s="47">
        <f t="shared" si="2"/>
        <v>149.4144</v>
      </c>
      <c r="M26" s="238">
        <f>F26</f>
        <v>0.104</v>
      </c>
      <c r="N26" s="174">
        <f>L26*M26</f>
        <v>15.5390976</v>
      </c>
      <c r="O26" s="50">
        <f t="shared" si="3"/>
        <v>0</v>
      </c>
      <c r="P26" s="14">
        <f t="shared" si="6"/>
        <v>0</v>
      </c>
    </row>
    <row r="27" spans="1:16" s="996" customFormat="1" ht="15" customHeight="1">
      <c r="A27" s="10" t="s">
        <v>418</v>
      </c>
      <c r="B27" s="47">
        <f>+B21*0.18</f>
        <v>149.4144</v>
      </c>
      <c r="C27" s="238">
        <v>0.124</v>
      </c>
      <c r="D27" s="28">
        <f>+B27*C27</f>
        <v>18.5273856</v>
      </c>
      <c r="E27" s="47">
        <f>+B27</f>
        <v>149.4144</v>
      </c>
      <c r="F27" s="238">
        <f>+C27</f>
        <v>0.124</v>
      </c>
      <c r="G27" s="28">
        <f t="shared" si="1"/>
        <v>18.5273856</v>
      </c>
      <c r="H27" s="50">
        <f>+G27-D27</f>
        <v>0</v>
      </c>
      <c r="I27" s="14">
        <f>IF(D27=0,"n/a",H27/D27)</f>
        <v>0</v>
      </c>
      <c r="L27" s="47">
        <f t="shared" si="2"/>
        <v>149.4144</v>
      </c>
      <c r="M27" s="238"/>
      <c r="N27" s="174"/>
      <c r="O27" s="50"/>
      <c r="P27" s="14"/>
    </row>
    <row r="28" spans="1:16" ht="15" customHeight="1" thickBot="1">
      <c r="A28" s="7" t="s">
        <v>3</v>
      </c>
      <c r="B28" s="46"/>
      <c r="C28" s="44"/>
      <c r="D28" s="54">
        <f>SUM(D20:D27)</f>
        <v>124.35625600000002</v>
      </c>
      <c r="E28" s="46"/>
      <c r="F28" s="55"/>
      <c r="G28" s="54">
        <f>SUM(G20:G27)</f>
        <v>125.29898880000002</v>
      </c>
      <c r="H28" s="46">
        <f>+G28-D28</f>
        <v>0.9427328000000017</v>
      </c>
      <c r="I28" s="16">
        <f>+H28/D28</f>
        <v>0.007580903690120757</v>
      </c>
      <c r="L28" s="46"/>
      <c r="M28" s="55"/>
      <c r="N28" s="54">
        <f>SUM(N20:N26)</f>
        <v>103.64960320000002</v>
      </c>
      <c r="O28" s="46">
        <f t="shared" si="3"/>
        <v>-20.7066528</v>
      </c>
      <c r="P28" s="16">
        <f>O28/D28</f>
        <v>-0.16651074474291022</v>
      </c>
    </row>
    <row r="29" ht="15" customHeight="1" thickBot="1">
      <c r="B29" s="38" t="s">
        <v>11</v>
      </c>
    </row>
    <row r="30" spans="1:4" ht="15" customHeight="1" thickBot="1" thickTop="1">
      <c r="A30" s="31" t="s">
        <v>93</v>
      </c>
      <c r="B30" s="36">
        <v>800</v>
      </c>
      <c r="D30" s="156" t="s">
        <v>10</v>
      </c>
    </row>
    <row r="31" spans="1:2" ht="15" customHeight="1" thickBot="1" thickTop="1">
      <c r="A31" s="40" t="s">
        <v>94</v>
      </c>
      <c r="B31" s="41">
        <f>1.0376</f>
        <v>1.0376</v>
      </c>
    </row>
    <row r="32" spans="1:5" ht="15" customHeight="1" thickTop="1">
      <c r="A32" s="175"/>
      <c r="B32" s="176"/>
      <c r="C32" s="176"/>
      <c r="D32" s="176"/>
      <c r="E32" s="176"/>
    </row>
    <row r="33" spans="1:5" ht="15" customHeight="1">
      <c r="A33" s="177"/>
      <c r="B33" s="176"/>
      <c r="C33" s="176"/>
      <c r="D33" s="176"/>
      <c r="E33" s="176"/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88" r:id="rId1"/>
  <headerFooter>
    <oddHeader>&amp;RToronto Hydro-Electric System Limited
EB-2012-0064
Tab 9
Schedule 2-3
Filed:  2013 Aug 19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64.00390625" style="1" customWidth="1"/>
    <col min="2" max="2" width="10.7109375" style="0" customWidth="1"/>
    <col min="3" max="3" width="11.00390625" style="0" customWidth="1"/>
    <col min="4" max="4" width="12.140625" style="0" customWidth="1"/>
    <col min="5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0" width="6.28125" style="0" hidden="1" customWidth="1"/>
    <col min="11" max="11" width="8.8515625" style="0" hidden="1" customWidth="1"/>
    <col min="12" max="14" width="13.28125" style="0" hidden="1" customWidth="1"/>
    <col min="15" max="16" width="9.140625" style="0" hidden="1" customWidth="1"/>
    <col min="17" max="17" width="8.8515625" style="0" hidden="1" customWidth="1"/>
  </cols>
  <sheetData>
    <row r="1" spans="1:16" ht="15" customHeight="1" thickBot="1">
      <c r="A1" s="8" t="s">
        <v>366</v>
      </c>
      <c r="B1" s="5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" customHeight="1" thickBot="1">
      <c r="A2" s="9"/>
      <c r="B2" s="11" t="s">
        <v>5</v>
      </c>
      <c r="C2" s="12" t="s">
        <v>6</v>
      </c>
      <c r="D2" s="12" t="s">
        <v>7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 customHeight="1">
      <c r="A3" s="10" t="s">
        <v>95</v>
      </c>
      <c r="B3" s="47">
        <v>1</v>
      </c>
      <c r="C3" s="49">
        <v>17.16</v>
      </c>
      <c r="D3" s="28">
        <f>+B3*C3</f>
        <v>17.16</v>
      </c>
      <c r="E3" s="47">
        <v>1</v>
      </c>
      <c r="F3" s="49">
        <f>+'2014 Proposed Rates'!S5</f>
        <v>17.21</v>
      </c>
      <c r="G3" s="28">
        <f>+E3*F3</f>
        <v>17.21</v>
      </c>
      <c r="H3" s="50">
        <f>+G3-D3</f>
        <v>0.05000000000000071</v>
      </c>
      <c r="I3" s="14">
        <f>IF(D3=0,"n/a",H3/D3)</f>
        <v>0.002913752913752955</v>
      </c>
      <c r="L3" s="47">
        <f>E3</f>
        <v>1</v>
      </c>
      <c r="M3" s="49">
        <f>F3</f>
        <v>17.21</v>
      </c>
      <c r="N3" s="28">
        <f>L3*M3</f>
        <v>17.21</v>
      </c>
      <c r="O3" s="50">
        <f>N3-D3</f>
        <v>0.05000000000000071</v>
      </c>
      <c r="P3" s="14">
        <f>IF(D3=0,"n/a",O3/D3)</f>
        <v>0.002913752913752955</v>
      </c>
    </row>
    <row r="4" spans="1:17" ht="15" customHeight="1">
      <c r="A4" s="10" t="s">
        <v>396</v>
      </c>
      <c r="B4" s="47">
        <v>334</v>
      </c>
      <c r="C4" s="30">
        <v>0.02589</v>
      </c>
      <c r="D4" s="28">
        <f aca="true" t="shared" si="0" ref="D4:D24">+B4*C4</f>
        <v>8.64726</v>
      </c>
      <c r="E4" s="47">
        <f>+B30</f>
        <v>334</v>
      </c>
      <c r="F4" s="30">
        <f>+'2014 Proposed Rates'!T5</f>
        <v>0.02596</v>
      </c>
      <c r="G4" s="28">
        <f aca="true" t="shared" si="1" ref="G4:G26">+E4*F4</f>
        <v>8.67064</v>
      </c>
      <c r="H4" s="50">
        <f>+G4-D4</f>
        <v>0.02338000000000129</v>
      </c>
      <c r="I4" s="14">
        <f>IF(D4=0,"n/a",H4/D4)</f>
        <v>0.0027037466203168737</v>
      </c>
      <c r="J4" s="173">
        <f>SUM(H3:H4)/SUM(D3:D4)</f>
        <v>0.002843385930935791</v>
      </c>
      <c r="L4" s="47">
        <f aca="true" t="shared" si="2" ref="L4:L27">E4</f>
        <v>334</v>
      </c>
      <c r="M4" s="30">
        <f>F4</f>
        <v>0.02596</v>
      </c>
      <c r="N4" s="28">
        <f>L4*M4</f>
        <v>8.67064</v>
      </c>
      <c r="O4" s="50">
        <f aca="true" t="shared" si="3" ref="O4:O28">N4-D4</f>
        <v>0.02338000000000129</v>
      </c>
      <c r="P4" s="14">
        <f>IF(D4=0,"n/a",O4/D4)</f>
        <v>0.0027037466203168737</v>
      </c>
      <c r="Q4" s="173">
        <f>SUM(O3:O4)/SUM(D3:D4)</f>
        <v>0.002843385930935791</v>
      </c>
    </row>
    <row r="5" spans="1:16" ht="15" customHeight="1">
      <c r="A5" s="10" t="s">
        <v>397</v>
      </c>
      <c r="B5" s="47">
        <v>1</v>
      </c>
      <c r="C5" s="49">
        <v>0.68</v>
      </c>
      <c r="D5" s="28">
        <f t="shared" si="0"/>
        <v>0.68</v>
      </c>
      <c r="E5" s="47">
        <v>1</v>
      </c>
      <c r="F5" s="49">
        <f>+C5</f>
        <v>0.68</v>
      </c>
      <c r="G5" s="28">
        <f t="shared" si="1"/>
        <v>0.68</v>
      </c>
      <c r="H5" s="50">
        <f>+G5-D5</f>
        <v>0</v>
      </c>
      <c r="I5" s="14">
        <f>IF(D5=0,"n/a",H5/D5)</f>
        <v>0</v>
      </c>
      <c r="L5" s="47">
        <f t="shared" si="2"/>
        <v>1</v>
      </c>
      <c r="M5" s="49">
        <f>F5</f>
        <v>0.68</v>
      </c>
      <c r="N5" s="28">
        <f>L5*M5</f>
        <v>0.68</v>
      </c>
      <c r="O5" s="50">
        <f t="shared" si="3"/>
        <v>0</v>
      </c>
      <c r="P5" s="14">
        <f>IF(D5=0,"n/a",O5/D5)</f>
        <v>0</v>
      </c>
    </row>
    <row r="6" spans="1:16" s="996" customFormat="1" ht="15" customHeight="1">
      <c r="A6" s="10" t="s">
        <v>398</v>
      </c>
      <c r="B6" s="47">
        <v>1</v>
      </c>
      <c r="C6" s="50">
        <v>0.78</v>
      </c>
      <c r="D6" s="28">
        <f>+B6*C6</f>
        <v>0.78</v>
      </c>
      <c r="E6" s="47">
        <v>1</v>
      </c>
      <c r="F6" s="50">
        <v>0.78</v>
      </c>
      <c r="G6" s="28">
        <f>+E6*F6</f>
        <v>0.78</v>
      </c>
      <c r="H6" s="50">
        <f>+G6-D6</f>
        <v>0</v>
      </c>
      <c r="I6" s="14">
        <f>IF(D6=0,"n/a",H6/D6)</f>
        <v>0</v>
      </c>
      <c r="L6" s="47"/>
      <c r="M6" s="49"/>
      <c r="N6" s="28"/>
      <c r="O6" s="50"/>
      <c r="P6" s="14"/>
    </row>
    <row r="7" spans="1:16" ht="15" customHeight="1">
      <c r="A7" s="10" t="s">
        <v>399</v>
      </c>
      <c r="B7" s="47">
        <v>334</v>
      </c>
      <c r="C7" s="30">
        <v>-0.00018</v>
      </c>
      <c r="D7" s="28">
        <f t="shared" si="0"/>
        <v>-0.06012000000000001</v>
      </c>
      <c r="E7" s="47">
        <f>+E4</f>
        <v>334</v>
      </c>
      <c r="F7" s="30">
        <f>+'2014 Proposed Rates'!U5</f>
        <v>-7E-05</v>
      </c>
      <c r="G7" s="28">
        <f t="shared" si="1"/>
        <v>-0.023379999999999998</v>
      </c>
      <c r="H7" s="50">
        <f>+G7-D7</f>
        <v>0.03674000000000001</v>
      </c>
      <c r="I7" s="14">
        <f>IF(D7=0,"n/a",H7/D7)</f>
        <v>-0.6111111111111112</v>
      </c>
      <c r="L7" s="47"/>
      <c r="M7" s="30"/>
      <c r="N7" s="28"/>
      <c r="O7" s="50"/>
      <c r="P7" s="14"/>
    </row>
    <row r="8" spans="1:16" ht="15" customHeight="1">
      <c r="A8" s="10" t="s">
        <v>400</v>
      </c>
      <c r="B8" s="47">
        <v>1</v>
      </c>
      <c r="C8" s="30">
        <v>0.68</v>
      </c>
      <c r="D8" s="28">
        <f t="shared" si="0"/>
        <v>0.68</v>
      </c>
      <c r="E8" s="47">
        <v>1</v>
      </c>
      <c r="F8" s="49">
        <f>+'2014 Proposed Rates'!AA5</f>
        <v>0.68</v>
      </c>
      <c r="G8" s="28">
        <f t="shared" si="1"/>
        <v>0.68</v>
      </c>
      <c r="H8" s="50">
        <f>+G8-D8</f>
        <v>0</v>
      </c>
      <c r="I8" s="14">
        <f>IF(D8=0,"n/a",H8/D8)</f>
        <v>0</v>
      </c>
      <c r="L8" s="47"/>
      <c r="M8" s="30"/>
      <c r="N8" s="28"/>
      <c r="O8" s="50"/>
      <c r="P8" s="14"/>
    </row>
    <row r="9" spans="1:16" ht="15" customHeight="1">
      <c r="A9" s="10" t="s">
        <v>400</v>
      </c>
      <c r="B9" s="47">
        <v>334</v>
      </c>
      <c r="C9" s="30">
        <v>0.00103</v>
      </c>
      <c r="D9" s="28">
        <f t="shared" si="0"/>
        <v>0.34402000000000005</v>
      </c>
      <c r="E9" s="47">
        <f>+$B$30</f>
        <v>334</v>
      </c>
      <c r="F9" s="30">
        <f>+'2014 Proposed Rates'!AB5</f>
        <v>0.00103</v>
      </c>
      <c r="G9" s="28">
        <f t="shared" si="1"/>
        <v>0.34402000000000005</v>
      </c>
      <c r="H9" s="50">
        <f>+G9-D9</f>
        <v>0</v>
      </c>
      <c r="I9" s="14">
        <f>IF(D9=0,"n/a",H9/D9)</f>
        <v>0</v>
      </c>
      <c r="L9" s="47"/>
      <c r="M9" s="30"/>
      <c r="N9" s="28"/>
      <c r="O9" s="50"/>
      <c r="P9" s="14"/>
    </row>
    <row r="10" spans="1:16" ht="15" customHeight="1">
      <c r="A10" s="10" t="s">
        <v>403</v>
      </c>
      <c r="B10" s="47">
        <v>1</v>
      </c>
      <c r="C10" s="30">
        <v>0.06</v>
      </c>
      <c r="D10" s="28">
        <f t="shared" si="0"/>
        <v>0.06</v>
      </c>
      <c r="E10" s="47">
        <v>1</v>
      </c>
      <c r="F10" s="49">
        <f>+'2014 Proposed Rates'!Y5</f>
        <v>0.06</v>
      </c>
      <c r="G10" s="28">
        <f t="shared" si="1"/>
        <v>0.06</v>
      </c>
      <c r="H10" s="50">
        <f>+G10-D10</f>
        <v>0</v>
      </c>
      <c r="I10" s="14">
        <f>IF(D10=0,"n/a",H10/D10)</f>
        <v>0</v>
      </c>
      <c r="L10" s="47"/>
      <c r="M10" s="30"/>
      <c r="N10" s="28"/>
      <c r="O10" s="50"/>
      <c r="P10" s="14"/>
    </row>
    <row r="11" spans="1:16" ht="15" customHeight="1">
      <c r="A11" s="10" t="s">
        <v>403</v>
      </c>
      <c r="B11" s="47">
        <v>334</v>
      </c>
      <c r="C11" s="30">
        <v>9E-05</v>
      </c>
      <c r="D11" s="28">
        <f t="shared" si="0"/>
        <v>0.030060000000000003</v>
      </c>
      <c r="E11" s="47">
        <f>+$B$30</f>
        <v>334</v>
      </c>
      <c r="F11" s="30">
        <f>+'2014 Proposed Rates'!Z5</f>
        <v>9E-05</v>
      </c>
      <c r="G11" s="28">
        <f t="shared" si="1"/>
        <v>0.030060000000000003</v>
      </c>
      <c r="H11" s="50">
        <f>+G11-D11</f>
        <v>0</v>
      </c>
      <c r="I11" s="14">
        <f>IF(D11=0,"n/a",H11/D11)</f>
        <v>0</v>
      </c>
      <c r="L11" s="47"/>
      <c r="M11" s="30"/>
      <c r="N11" s="28"/>
      <c r="O11" s="50"/>
      <c r="P11" s="14"/>
    </row>
    <row r="12" spans="1:16" s="996" customFormat="1" ht="15" customHeight="1">
      <c r="A12" s="1061" t="s">
        <v>401</v>
      </c>
      <c r="B12" s="1062">
        <v>0</v>
      </c>
      <c r="C12" s="1063">
        <v>0</v>
      </c>
      <c r="D12" s="1064">
        <f t="shared" si="0"/>
        <v>0</v>
      </c>
      <c r="E12" s="1062">
        <f>+E3</f>
        <v>1</v>
      </c>
      <c r="F12" s="1063">
        <f>+'2014 Proposed Rates'!AC5</f>
        <v>0.28</v>
      </c>
      <c r="G12" s="1064">
        <f t="shared" si="1"/>
        <v>0.28</v>
      </c>
      <c r="H12" s="1065">
        <f>+G12-D12</f>
        <v>0.28</v>
      </c>
      <c r="I12" s="1066" t="str">
        <f>IF(D12=0,"n/a",H12/D12)</f>
        <v>n/a</v>
      </c>
      <c r="L12" s="47"/>
      <c r="M12" s="30"/>
      <c r="N12" s="28"/>
      <c r="O12" s="50"/>
      <c r="P12" s="14"/>
    </row>
    <row r="13" spans="1:16" s="996" customFormat="1" ht="15" customHeight="1">
      <c r="A13" s="1061" t="s">
        <v>401</v>
      </c>
      <c r="B13" s="1062">
        <v>0</v>
      </c>
      <c r="C13" s="1063">
        <v>0</v>
      </c>
      <c r="D13" s="1064">
        <f t="shared" si="0"/>
        <v>0</v>
      </c>
      <c r="E13" s="1062">
        <f>+E4</f>
        <v>334</v>
      </c>
      <c r="F13" s="1063">
        <f>+'2014 Proposed Rates'!AD5</f>
        <v>0.00043</v>
      </c>
      <c r="G13" s="1064">
        <f t="shared" si="1"/>
        <v>0.14362</v>
      </c>
      <c r="H13" s="1065">
        <f>+G13-D13</f>
        <v>0.14362</v>
      </c>
      <c r="I13" s="1066" t="str">
        <f>IF(D13=0,"n/a",H13/D13)</f>
        <v>n/a</v>
      </c>
      <c r="L13" s="47"/>
      <c r="M13" s="30"/>
      <c r="N13" s="28"/>
      <c r="O13" s="50"/>
      <c r="P13" s="14"/>
    </row>
    <row r="14" spans="1:16" s="996" customFormat="1" ht="15" customHeight="1">
      <c r="A14" s="1061" t="s">
        <v>402</v>
      </c>
      <c r="B14" s="1062">
        <v>0</v>
      </c>
      <c r="C14" s="1063">
        <v>0</v>
      </c>
      <c r="D14" s="1064">
        <f t="shared" si="0"/>
        <v>0</v>
      </c>
      <c r="E14" s="1062">
        <f>+E3</f>
        <v>1</v>
      </c>
      <c r="F14" s="1063">
        <f>+'2014 Proposed Rates'!AE5</f>
        <v>0.31</v>
      </c>
      <c r="G14" s="1064">
        <f t="shared" si="1"/>
        <v>0.31</v>
      </c>
      <c r="H14" s="1065">
        <f>+G14-D14</f>
        <v>0.31</v>
      </c>
      <c r="I14" s="1066" t="str">
        <f>IF(D14=0,"n/a",H14/D14)</f>
        <v>n/a</v>
      </c>
      <c r="L14" s="47"/>
      <c r="M14" s="30"/>
      <c r="N14" s="28"/>
      <c r="O14" s="50"/>
      <c r="P14" s="14"/>
    </row>
    <row r="15" spans="1:16" s="996" customFormat="1" ht="15" customHeight="1">
      <c r="A15" s="1061" t="s">
        <v>402</v>
      </c>
      <c r="B15" s="1062">
        <v>0</v>
      </c>
      <c r="C15" s="1063">
        <v>0</v>
      </c>
      <c r="D15" s="1064">
        <f t="shared" si="0"/>
        <v>0</v>
      </c>
      <c r="E15" s="1062">
        <f>+E4</f>
        <v>334</v>
      </c>
      <c r="F15" s="1063">
        <f>+'2014 Proposed Rates'!AF5</f>
        <v>0.00046</v>
      </c>
      <c r="G15" s="1064">
        <f t="shared" si="1"/>
        <v>0.15364</v>
      </c>
      <c r="H15" s="1065">
        <f>+G15-D15</f>
        <v>0.15364</v>
      </c>
      <c r="I15" s="1066" t="str">
        <f>IF(D15=0,"n/a",H15/D15)</f>
        <v>n/a</v>
      </c>
      <c r="L15" s="47"/>
      <c r="M15" s="30"/>
      <c r="N15" s="28"/>
      <c r="O15" s="50"/>
      <c r="P15" s="14"/>
    </row>
    <row r="16" spans="1:16" ht="15" customHeight="1">
      <c r="A16" s="1082" t="s">
        <v>415</v>
      </c>
      <c r="B16" s="47">
        <v>334</v>
      </c>
      <c r="C16" s="30">
        <v>-0.00065</v>
      </c>
      <c r="D16" s="28">
        <f t="shared" si="0"/>
        <v>-0.2171</v>
      </c>
      <c r="E16" s="47">
        <f>+$B$30</f>
        <v>334</v>
      </c>
      <c r="F16" s="30">
        <f>+'2014 Proposed Rates'!X5</f>
        <v>0</v>
      </c>
      <c r="G16" s="28">
        <f t="shared" si="1"/>
        <v>0</v>
      </c>
      <c r="H16" s="50">
        <f>+G16-D16</f>
        <v>0.2171</v>
      </c>
      <c r="I16" s="14">
        <f>IF(D16=0,"n/a",H16/D16)</f>
        <v>-1</v>
      </c>
      <c r="L16" s="47"/>
      <c r="M16" s="30"/>
      <c r="N16" s="28"/>
      <c r="O16" s="50"/>
      <c r="P16" s="14"/>
    </row>
    <row r="17" spans="1:18" ht="15" customHeight="1">
      <c r="A17" s="6" t="s">
        <v>1</v>
      </c>
      <c r="B17" s="45"/>
      <c r="C17" s="43"/>
      <c r="D17" s="53">
        <f>SUM(D3:D16)</f>
        <v>28.104119999999998</v>
      </c>
      <c r="E17" s="48"/>
      <c r="F17" s="43"/>
      <c r="G17" s="53">
        <f>SUM(G3:G16)</f>
        <v>29.318599999999996</v>
      </c>
      <c r="H17" s="56">
        <f>SUM(H3:H16)</f>
        <v>1.214480000000002</v>
      </c>
      <c r="I17" s="15">
        <f>+H17/D17</f>
        <v>0.04321359288246713</v>
      </c>
      <c r="J17" t="s">
        <v>10</v>
      </c>
      <c r="L17" s="48">
        <f t="shared" si="2"/>
        <v>0</v>
      </c>
      <c r="M17" s="43"/>
      <c r="N17" s="53">
        <f>SUM(N3:N6)</f>
        <v>26.56064</v>
      </c>
      <c r="O17" s="56">
        <f t="shared" si="3"/>
        <v>-1.5434799999999989</v>
      </c>
      <c r="P17" s="237">
        <f>O17/D17</f>
        <v>-0.054920061542578065</v>
      </c>
      <c r="R17" s="156" t="s">
        <v>10</v>
      </c>
    </row>
    <row r="18" spans="1:16" ht="15" customHeight="1">
      <c r="A18" s="10" t="s">
        <v>404</v>
      </c>
      <c r="B18" s="47">
        <v>346.5584</v>
      </c>
      <c r="C18" s="42">
        <v>0.0082</v>
      </c>
      <c r="D18" s="28">
        <f t="shared" si="0"/>
        <v>2.84177888</v>
      </c>
      <c r="E18" s="47">
        <f>+B18</f>
        <v>346.5584</v>
      </c>
      <c r="F18" s="42">
        <f>+'2014 Proposed Rates'!V5</f>
        <v>0.00766</v>
      </c>
      <c r="G18" s="28">
        <f t="shared" si="1"/>
        <v>2.654637344</v>
      </c>
      <c r="H18" s="50">
        <f>+G18-D18</f>
        <v>-0.18714153599999994</v>
      </c>
      <c r="I18" s="13">
        <f>+H18/D18</f>
        <v>-0.06585365853658534</v>
      </c>
      <c r="L18" s="47">
        <f t="shared" si="2"/>
        <v>346.5584</v>
      </c>
      <c r="M18" s="42">
        <f>F18</f>
        <v>0.00766</v>
      </c>
      <c r="N18" s="28">
        <f>L18*M18</f>
        <v>2.654637344</v>
      </c>
      <c r="O18" s="50">
        <f t="shared" si="3"/>
        <v>-0.18714153599999994</v>
      </c>
      <c r="P18" s="14">
        <f>O18/D18</f>
        <v>-0.06585365853658534</v>
      </c>
    </row>
    <row r="19" spans="1:16" ht="15" customHeight="1">
      <c r="A19" s="1082" t="s">
        <v>415</v>
      </c>
      <c r="B19" s="47">
        <v>346.5584</v>
      </c>
      <c r="C19" s="42">
        <v>0.00548</v>
      </c>
      <c r="D19" s="28">
        <f t="shared" si="0"/>
        <v>1.8991400319999998</v>
      </c>
      <c r="E19" s="47">
        <f>+B19</f>
        <v>346.5584</v>
      </c>
      <c r="F19" s="42">
        <f>+'2014 Proposed Rates'!W5</f>
        <v>0.00518</v>
      </c>
      <c r="G19" s="28">
        <f t="shared" si="1"/>
        <v>1.795172512</v>
      </c>
      <c r="H19" s="50">
        <f>+G19-D19</f>
        <v>-0.10396751999999987</v>
      </c>
      <c r="I19" s="13">
        <f>+H19/D19</f>
        <v>-0.05474452554744519</v>
      </c>
      <c r="L19" s="47">
        <f t="shared" si="2"/>
        <v>346.5584</v>
      </c>
      <c r="M19" s="42">
        <f>F19</f>
        <v>0.00518</v>
      </c>
      <c r="N19" s="28">
        <f>L19*M19</f>
        <v>1.795172512</v>
      </c>
      <c r="O19" s="50">
        <f t="shared" si="3"/>
        <v>-0.10396751999999987</v>
      </c>
      <c r="P19" s="14">
        <f>O19/D19</f>
        <v>-0.05474452554744519</v>
      </c>
    </row>
    <row r="20" spans="1:16" ht="15" customHeight="1">
      <c r="A20" s="6" t="s">
        <v>2</v>
      </c>
      <c r="B20" s="45"/>
      <c r="C20" s="43"/>
      <c r="D20" s="53">
        <f>SUM(D17:D19)</f>
        <v>32.845038912</v>
      </c>
      <c r="E20" s="45"/>
      <c r="F20" s="43"/>
      <c r="G20" s="53">
        <f>SUM(G17:G19)</f>
        <v>33.768409856</v>
      </c>
      <c r="H20" s="56">
        <f>+G20-D20</f>
        <v>0.9233709439999984</v>
      </c>
      <c r="I20" s="15">
        <f>+H20/D20</f>
        <v>0.028112950222830852</v>
      </c>
      <c r="L20" s="45">
        <f t="shared" si="2"/>
        <v>0</v>
      </c>
      <c r="M20" s="43"/>
      <c r="N20" s="53">
        <f>SUM(N17:N19)</f>
        <v>31.010449856</v>
      </c>
      <c r="O20" s="56">
        <f t="shared" si="3"/>
        <v>-1.8345890559999987</v>
      </c>
      <c r="P20" s="237">
        <f>O20/D20</f>
        <v>-0.0558558953428345</v>
      </c>
    </row>
    <row r="21" spans="1:16" ht="15" customHeight="1">
      <c r="A21" s="10" t="s">
        <v>406</v>
      </c>
      <c r="B21" s="47">
        <v>346.5584</v>
      </c>
      <c r="C21" s="51">
        <v>0.0044</v>
      </c>
      <c r="D21" s="28">
        <f t="shared" si="0"/>
        <v>1.5248569600000002</v>
      </c>
      <c r="E21" s="47">
        <f>+B21</f>
        <v>346.5584</v>
      </c>
      <c r="F21" s="51">
        <f>+C21</f>
        <v>0.0044</v>
      </c>
      <c r="G21" s="28">
        <f t="shared" si="1"/>
        <v>1.5248569600000002</v>
      </c>
      <c r="H21" s="50">
        <f aca="true" t="shared" si="4" ref="H21:H26">+G21-D21</f>
        <v>0</v>
      </c>
      <c r="I21" s="14">
        <f aca="true" t="shared" si="5" ref="I21:I26">IF(D21=0,"n/a",H21/D21)</f>
        <v>0</v>
      </c>
      <c r="L21" s="47">
        <f t="shared" si="2"/>
        <v>346.5584</v>
      </c>
      <c r="M21" s="42">
        <f>F21</f>
        <v>0.0044</v>
      </c>
      <c r="N21" s="174">
        <f>L21*M21</f>
        <v>1.5248569600000002</v>
      </c>
      <c r="O21" s="50">
        <f t="shared" si="3"/>
        <v>0</v>
      </c>
      <c r="P21" s="14">
        <f aca="true" t="shared" si="6" ref="P21:P26">IF(D21=0,"n/a",O21/D21)</f>
        <v>0</v>
      </c>
    </row>
    <row r="22" spans="1:16" ht="15" customHeight="1">
      <c r="A22" s="10" t="s">
        <v>407</v>
      </c>
      <c r="B22" s="47">
        <v>346.5584</v>
      </c>
      <c r="C22" s="51">
        <v>0.0012</v>
      </c>
      <c r="D22" s="28">
        <f t="shared" si="0"/>
        <v>0.41587008</v>
      </c>
      <c r="E22" s="47">
        <f>+B22</f>
        <v>346.5584</v>
      </c>
      <c r="F22" s="51">
        <f>+C22</f>
        <v>0.0012</v>
      </c>
      <c r="G22" s="28">
        <f t="shared" si="1"/>
        <v>0.41587008</v>
      </c>
      <c r="H22" s="50">
        <f t="shared" si="4"/>
        <v>0</v>
      </c>
      <c r="I22" s="14">
        <f t="shared" si="5"/>
        <v>0</v>
      </c>
      <c r="L22" s="47">
        <f t="shared" si="2"/>
        <v>346.5584</v>
      </c>
      <c r="M22" s="42">
        <f>F22</f>
        <v>0.0012</v>
      </c>
      <c r="N22" s="174">
        <f>L22*M22</f>
        <v>0.41587008</v>
      </c>
      <c r="O22" s="50">
        <f t="shared" si="3"/>
        <v>0</v>
      </c>
      <c r="P22" s="14">
        <f t="shared" si="6"/>
        <v>0</v>
      </c>
    </row>
    <row r="23" spans="1:16" ht="15" customHeight="1">
      <c r="A23" s="10" t="s">
        <v>409</v>
      </c>
      <c r="B23" s="47">
        <v>334</v>
      </c>
      <c r="C23" s="51">
        <v>0.007</v>
      </c>
      <c r="D23" s="28">
        <f t="shared" si="0"/>
        <v>2.338</v>
      </c>
      <c r="E23" s="47">
        <f>+B23</f>
        <v>334</v>
      </c>
      <c r="F23" s="51">
        <f>+C23</f>
        <v>0.007</v>
      </c>
      <c r="G23" s="28">
        <f t="shared" si="1"/>
        <v>2.338</v>
      </c>
      <c r="H23" s="50">
        <f t="shared" si="4"/>
        <v>0</v>
      </c>
      <c r="I23" s="14">
        <f t="shared" si="5"/>
        <v>0</v>
      </c>
      <c r="L23" s="47">
        <f t="shared" si="2"/>
        <v>334</v>
      </c>
      <c r="M23" s="42">
        <f>F23</f>
        <v>0.007</v>
      </c>
      <c r="N23" s="174">
        <f>L23*M23</f>
        <v>2.338</v>
      </c>
      <c r="O23" s="50">
        <f t="shared" si="3"/>
        <v>0</v>
      </c>
      <c r="P23" s="14">
        <f t="shared" si="6"/>
        <v>0</v>
      </c>
    </row>
    <row r="24" spans="1:16" ht="15" customHeight="1">
      <c r="A24" s="10" t="s">
        <v>408</v>
      </c>
      <c r="B24" s="47">
        <v>1</v>
      </c>
      <c r="C24" s="50">
        <v>0.25</v>
      </c>
      <c r="D24" s="28">
        <f t="shared" si="0"/>
        <v>0.25</v>
      </c>
      <c r="E24" s="47">
        <f>+B24</f>
        <v>1</v>
      </c>
      <c r="F24" s="50">
        <f>+C24</f>
        <v>0.25</v>
      </c>
      <c r="G24" s="28">
        <f t="shared" si="1"/>
        <v>0.25</v>
      </c>
      <c r="H24" s="50">
        <f t="shared" si="4"/>
        <v>0</v>
      </c>
      <c r="I24" s="14">
        <f t="shared" si="5"/>
        <v>0</v>
      </c>
      <c r="L24" s="47">
        <f t="shared" si="2"/>
        <v>1</v>
      </c>
      <c r="M24" s="50">
        <f>F24</f>
        <v>0.25</v>
      </c>
      <c r="N24" s="174">
        <f>L24*M24</f>
        <v>0.25</v>
      </c>
      <c r="O24" s="50">
        <f t="shared" si="3"/>
        <v>0</v>
      </c>
      <c r="P24" s="14">
        <f t="shared" si="6"/>
        <v>0</v>
      </c>
    </row>
    <row r="25" spans="1:16" ht="15" customHeight="1">
      <c r="A25" s="10" t="s">
        <v>416</v>
      </c>
      <c r="B25" s="47">
        <f>+B21*0.64</f>
        <v>221.797376</v>
      </c>
      <c r="C25" s="238">
        <v>0.067</v>
      </c>
      <c r="D25" s="28">
        <f>+B25*C25</f>
        <v>14.860424192000002</v>
      </c>
      <c r="E25" s="47">
        <f aca="true" t="shared" si="7" ref="E25:F27">+B25</f>
        <v>221.797376</v>
      </c>
      <c r="F25" s="238">
        <f t="shared" si="7"/>
        <v>0.067</v>
      </c>
      <c r="G25" s="28">
        <f t="shared" si="1"/>
        <v>14.860424192000002</v>
      </c>
      <c r="H25" s="50">
        <f t="shared" si="4"/>
        <v>0</v>
      </c>
      <c r="I25" s="14">
        <f t="shared" si="5"/>
        <v>0</v>
      </c>
      <c r="L25" s="47">
        <f t="shared" si="2"/>
        <v>221.797376</v>
      </c>
      <c r="M25" s="238">
        <f>F25</f>
        <v>0.067</v>
      </c>
      <c r="N25" s="174">
        <f>L25*M25</f>
        <v>14.860424192000002</v>
      </c>
      <c r="O25" s="50">
        <f t="shared" si="3"/>
        <v>0</v>
      </c>
      <c r="P25" s="14">
        <f t="shared" si="6"/>
        <v>0</v>
      </c>
    </row>
    <row r="26" spans="1:16" ht="15" customHeight="1">
      <c r="A26" s="10" t="s">
        <v>417</v>
      </c>
      <c r="B26" s="47">
        <f>+B21*0.18</f>
        <v>62.380511999999996</v>
      </c>
      <c r="C26" s="238">
        <v>0.104</v>
      </c>
      <c r="D26" s="28">
        <f>+B26*C26</f>
        <v>6.4875732479999995</v>
      </c>
      <c r="E26" s="47">
        <f t="shared" si="7"/>
        <v>62.380511999999996</v>
      </c>
      <c r="F26" s="238">
        <f t="shared" si="7"/>
        <v>0.104</v>
      </c>
      <c r="G26" s="28">
        <f t="shared" si="1"/>
        <v>6.4875732479999995</v>
      </c>
      <c r="H26" s="50">
        <f t="shared" si="4"/>
        <v>0</v>
      </c>
      <c r="I26" s="14">
        <f t="shared" si="5"/>
        <v>0</v>
      </c>
      <c r="L26" s="47">
        <f t="shared" si="2"/>
        <v>62.380511999999996</v>
      </c>
      <c r="M26" s="238">
        <f>F26</f>
        <v>0.104</v>
      </c>
      <c r="N26" s="174">
        <f>L26*M26</f>
        <v>6.4875732479999995</v>
      </c>
      <c r="O26" s="50">
        <f t="shared" si="3"/>
        <v>0</v>
      </c>
      <c r="P26" s="14">
        <f t="shared" si="6"/>
        <v>0</v>
      </c>
    </row>
    <row r="27" spans="1:16" s="996" customFormat="1" ht="15" customHeight="1">
      <c r="A27" s="10" t="s">
        <v>418</v>
      </c>
      <c r="B27" s="47">
        <f>+B21*0.18</f>
        <v>62.380511999999996</v>
      </c>
      <c r="C27" s="238">
        <v>0.124</v>
      </c>
      <c r="D27" s="28">
        <f>+B27*C27</f>
        <v>7.735183488</v>
      </c>
      <c r="E27" s="47">
        <f t="shared" si="7"/>
        <v>62.380511999999996</v>
      </c>
      <c r="F27" s="238">
        <f t="shared" si="7"/>
        <v>0.124</v>
      </c>
      <c r="G27" s="28">
        <f>+E27*F27</f>
        <v>7.735183488</v>
      </c>
      <c r="H27" s="50">
        <f>+G27-D27</f>
        <v>0</v>
      </c>
      <c r="I27" s="14">
        <f>IF(D27=0,"n/a",H27/D27)</f>
        <v>0</v>
      </c>
      <c r="L27" s="47">
        <f t="shared" si="2"/>
        <v>62.380511999999996</v>
      </c>
      <c r="M27" s="238"/>
      <c r="N27" s="174"/>
      <c r="O27" s="50"/>
      <c r="P27" s="14"/>
    </row>
    <row r="28" spans="1:16" ht="15" customHeight="1" thickBot="1">
      <c r="A28" s="7" t="s">
        <v>3</v>
      </c>
      <c r="B28" s="46"/>
      <c r="C28" s="44"/>
      <c r="D28" s="54">
        <f>SUM(D20:D27)</f>
        <v>66.45694688</v>
      </c>
      <c r="E28" s="46"/>
      <c r="F28" s="55"/>
      <c r="G28" s="54">
        <f>SUM(G20:G27)</f>
        <v>67.380317824</v>
      </c>
      <c r="H28" s="46">
        <f>+G28-D28</f>
        <v>0.9233709439999984</v>
      </c>
      <c r="I28" s="16">
        <f>+H28/D28</f>
        <v>0.013894272718656652</v>
      </c>
      <c r="L28" s="46"/>
      <c r="M28" s="55"/>
      <c r="N28" s="54">
        <f>SUM(N20:N26)</f>
        <v>56.887174336</v>
      </c>
      <c r="O28" s="46">
        <f t="shared" si="3"/>
        <v>-9.569772544000003</v>
      </c>
      <c r="P28" s="16">
        <f>O28/D28</f>
        <v>-0.143999581582945</v>
      </c>
    </row>
    <row r="29" ht="15.75" thickBot="1">
      <c r="B29" s="38" t="s">
        <v>11</v>
      </c>
    </row>
    <row r="30" spans="1:4" ht="16.5" thickBot="1" thickTop="1">
      <c r="A30" s="31" t="s">
        <v>93</v>
      </c>
      <c r="B30" s="36">
        <v>334</v>
      </c>
      <c r="D30" s="156" t="s">
        <v>10</v>
      </c>
    </row>
    <row r="31" spans="1:2" ht="16.5" thickBot="1" thickTop="1">
      <c r="A31" s="40" t="s">
        <v>94</v>
      </c>
      <c r="B31" s="41">
        <f>1.0376</f>
        <v>1.0376</v>
      </c>
    </row>
    <row r="32" spans="1:5" ht="15.75" thickTop="1">
      <c r="A32" s="175"/>
      <c r="B32" s="176"/>
      <c r="C32" s="176"/>
      <c r="D32" s="176"/>
      <c r="E32" s="176"/>
    </row>
    <row r="33" spans="1:5" ht="15">
      <c r="A33" s="177"/>
      <c r="B33" s="176"/>
      <c r="C33" s="176"/>
      <c r="D33" s="176"/>
      <c r="E33" s="176"/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88" r:id="rId1"/>
  <headerFooter>
    <oddHeader>&amp;RToronto Hydro-Electric System Limited
EB-2012-0064
Tab 9
Schedule 2-3
Filed:  2013 Aug 19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64.421875" style="1" customWidth="1"/>
    <col min="2" max="2" width="10.7109375" style="65" customWidth="1"/>
    <col min="3" max="3" width="11.140625" style="0" customWidth="1"/>
    <col min="4" max="4" width="10.421875" style="0" customWidth="1"/>
    <col min="5" max="5" width="10.7109375" style="65" customWidth="1"/>
    <col min="6" max="6" width="11.421875" style="0" customWidth="1"/>
    <col min="7" max="9" width="10.7109375" style="0" customWidth="1"/>
    <col min="10" max="10" width="9.140625" style="0" hidden="1" customWidth="1"/>
    <col min="11" max="11" width="8.8515625" style="0" hidden="1" customWidth="1"/>
    <col min="12" max="14" width="12.7109375" style="0" hidden="1" customWidth="1"/>
    <col min="15" max="16" width="9.140625" style="0" hidden="1" customWidth="1"/>
    <col min="17" max="17" width="0" style="0" hidden="1" customWidth="1"/>
    <col min="18" max="18" width="6.28125" style="0" hidden="1" customWidth="1"/>
  </cols>
  <sheetData>
    <row r="1" spans="1:16" ht="15" customHeight="1" thickBot="1">
      <c r="A1" s="8" t="s">
        <v>360</v>
      </c>
      <c r="B1" s="2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" customHeight="1" thickBot="1">
      <c r="A2" s="9"/>
      <c r="B2" s="61" t="s">
        <v>5</v>
      </c>
      <c r="C2" s="12" t="s">
        <v>6</v>
      </c>
      <c r="D2" s="12" t="s">
        <v>7</v>
      </c>
      <c r="E2" s="6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 customHeight="1">
      <c r="A3" s="10" t="s">
        <v>95</v>
      </c>
      <c r="B3" s="59">
        <v>1</v>
      </c>
      <c r="C3" s="49">
        <v>24.53</v>
      </c>
      <c r="D3" s="28">
        <f>+B3*C3</f>
        <v>24.53</v>
      </c>
      <c r="E3" s="59">
        <v>1</v>
      </c>
      <c r="F3" s="49">
        <f>+'2014 Proposed Rates'!S6</f>
        <v>24.6</v>
      </c>
      <c r="G3" s="28">
        <f>+E3*F3</f>
        <v>24.6</v>
      </c>
      <c r="H3" s="50">
        <f>+G3-D3</f>
        <v>0.07000000000000028</v>
      </c>
      <c r="I3" s="14">
        <f>IF(D3=0,"n/a",H3/D3)</f>
        <v>0.002853648593558919</v>
      </c>
      <c r="J3" s="156" t="s">
        <v>10</v>
      </c>
      <c r="L3" s="47">
        <f>E3</f>
        <v>1</v>
      </c>
      <c r="M3" s="49">
        <f>F3</f>
        <v>24.6</v>
      </c>
      <c r="N3" s="28">
        <f>L3*M3</f>
        <v>24.6</v>
      </c>
      <c r="O3" s="50">
        <f>N3-D3</f>
        <v>0.07000000000000028</v>
      </c>
      <c r="P3" s="14">
        <f>IF(D3=0,"n/a",O3/D3)</f>
        <v>0.002853648593558919</v>
      </c>
    </row>
    <row r="4" spans="1:16" ht="15" customHeight="1">
      <c r="A4" s="10" t="s">
        <v>396</v>
      </c>
      <c r="B4" s="59">
        <v>2000</v>
      </c>
      <c r="C4" s="30">
        <v>0.02268</v>
      </c>
      <c r="D4" s="28">
        <f>+B4*C4</f>
        <v>45.36</v>
      </c>
      <c r="E4" s="59">
        <f>+B30</f>
        <v>2000</v>
      </c>
      <c r="F4" s="30">
        <f>+'2014 Proposed Rates'!T6</f>
        <v>0.02274</v>
      </c>
      <c r="G4" s="28">
        <f>+E4*F4</f>
        <v>45.48</v>
      </c>
      <c r="H4" s="50">
        <f>+G4-D4</f>
        <v>0.11999999999999744</v>
      </c>
      <c r="I4" s="14">
        <f>IF(D4=0,"n/a",H4/D4)</f>
        <v>0.002645502645502589</v>
      </c>
      <c r="J4" s="173">
        <f>SUM(H3:H4)/SUM(D3:D4)</f>
        <v>0.0027185577335813098</v>
      </c>
      <c r="L4" s="47">
        <f aca="true" t="shared" si="0" ref="L4:L26">E4</f>
        <v>2000</v>
      </c>
      <c r="M4" s="30">
        <f>F4</f>
        <v>0.02274</v>
      </c>
      <c r="N4" s="28">
        <f>L4*M4</f>
        <v>45.48</v>
      </c>
      <c r="O4" s="50">
        <f aca="true" t="shared" si="1" ref="O4:O28">N4-D4</f>
        <v>0.11999999999999744</v>
      </c>
      <c r="P4" s="14">
        <f>IF(D4=0,"n/a",O4/D4)</f>
        <v>0.002645502645502589</v>
      </c>
    </row>
    <row r="5" spans="1:16" ht="15" customHeight="1">
      <c r="A5" s="10" t="s">
        <v>397</v>
      </c>
      <c r="B5" s="59">
        <v>1</v>
      </c>
      <c r="C5" s="49">
        <v>0.68</v>
      </c>
      <c r="D5" s="28">
        <f>+B5*C5</f>
        <v>0.68</v>
      </c>
      <c r="E5" s="59">
        <v>1</v>
      </c>
      <c r="F5" s="49">
        <f>+C5</f>
        <v>0.68</v>
      </c>
      <c r="G5" s="28">
        <f>+E5*F5</f>
        <v>0.68</v>
      </c>
      <c r="H5" s="50">
        <f>+G5-D5</f>
        <v>0</v>
      </c>
      <c r="I5" s="14">
        <f>IF(D5=0,"n/a",H5/D5)</f>
        <v>0</v>
      </c>
      <c r="L5" s="47">
        <f t="shared" si="0"/>
        <v>1</v>
      </c>
      <c r="M5" s="463">
        <f>+'2012 - 2014 SM'!F18</f>
        <v>1.01</v>
      </c>
      <c r="N5" s="28">
        <f>L5*M5</f>
        <v>1.01</v>
      </c>
      <c r="O5" s="50">
        <f t="shared" si="1"/>
        <v>0.32999999999999996</v>
      </c>
      <c r="P5" s="14">
        <f>IF(D5=0,"n/a",O5/D5)</f>
        <v>0.4852941176470587</v>
      </c>
    </row>
    <row r="6" spans="1:16" s="996" customFormat="1" ht="15" customHeight="1">
      <c r="A6" s="10" t="s">
        <v>398</v>
      </c>
      <c r="B6" s="47">
        <v>1</v>
      </c>
      <c r="C6" s="50">
        <v>0.78</v>
      </c>
      <c r="D6" s="28">
        <f>+B6*C6</f>
        <v>0.78</v>
      </c>
      <c r="E6" s="47">
        <v>1</v>
      </c>
      <c r="F6" s="50">
        <v>0.78</v>
      </c>
      <c r="G6" s="28">
        <f>+E6*F6</f>
        <v>0.78</v>
      </c>
      <c r="H6" s="50">
        <f>+G6-D6</f>
        <v>0</v>
      </c>
      <c r="I6" s="14">
        <f>IF(D6=0,"n/a",H6/D6)</f>
        <v>0</v>
      </c>
      <c r="L6" s="47"/>
      <c r="M6" s="463"/>
      <c r="N6" s="28"/>
      <c r="O6" s="50"/>
      <c r="P6" s="14"/>
    </row>
    <row r="7" spans="1:16" ht="15" customHeight="1">
      <c r="A7" s="10" t="s">
        <v>399</v>
      </c>
      <c r="B7" s="59">
        <f>+B4</f>
        <v>2000</v>
      </c>
      <c r="C7" s="30">
        <v>-7E-05</v>
      </c>
      <c r="D7" s="28">
        <f aca="true" t="shared" si="2" ref="D7:D16">+B7*C7</f>
        <v>-0.13999999999999999</v>
      </c>
      <c r="E7" s="47">
        <f>+E4</f>
        <v>2000</v>
      </c>
      <c r="F7" s="30">
        <f>+'2014 Proposed Rates'!U6</f>
        <v>-3E-05</v>
      </c>
      <c r="G7" s="28">
        <f aca="true" t="shared" si="3" ref="G7:G16">+E7*F7</f>
        <v>-0.060000000000000005</v>
      </c>
      <c r="H7" s="50">
        <f>+G7-D7</f>
        <v>0.07999999999999999</v>
      </c>
      <c r="I7" s="14">
        <f>IF(D7=0,"n/a",H7/D7)</f>
        <v>-0.5714285714285714</v>
      </c>
      <c r="L7" s="47"/>
      <c r="M7" s="30"/>
      <c r="N7" s="28"/>
      <c r="O7" s="50"/>
      <c r="P7" s="14"/>
    </row>
    <row r="8" spans="1:16" ht="15" customHeight="1">
      <c r="A8" s="10" t="s">
        <v>400</v>
      </c>
      <c r="B8" s="47">
        <v>1</v>
      </c>
      <c r="C8" s="30">
        <v>0.97</v>
      </c>
      <c r="D8" s="28">
        <f t="shared" si="2"/>
        <v>0.97</v>
      </c>
      <c r="E8" s="47">
        <v>1</v>
      </c>
      <c r="F8" s="49">
        <f>+'2014 Proposed Rates'!AA6</f>
        <v>0.97</v>
      </c>
      <c r="G8" s="28">
        <f t="shared" si="3"/>
        <v>0.97</v>
      </c>
      <c r="H8" s="50">
        <f>+G8-D8</f>
        <v>0</v>
      </c>
      <c r="I8" s="14">
        <f>IF(D8=0,"n/a",H8/D8)</f>
        <v>0</v>
      </c>
      <c r="L8" s="47"/>
      <c r="M8" s="30"/>
      <c r="N8" s="28"/>
      <c r="O8" s="50"/>
      <c r="P8" s="14"/>
    </row>
    <row r="9" spans="1:16" ht="15" customHeight="1">
      <c r="A9" s="10" t="s">
        <v>400</v>
      </c>
      <c r="B9" s="47">
        <v>2000</v>
      </c>
      <c r="C9" s="30">
        <v>0.0009</v>
      </c>
      <c r="D9" s="28">
        <f t="shared" si="2"/>
        <v>1.8</v>
      </c>
      <c r="E9" s="47">
        <v>2000</v>
      </c>
      <c r="F9" s="30">
        <f>+'2014 Proposed Rates'!AB6</f>
        <v>0.0009</v>
      </c>
      <c r="G9" s="28">
        <f t="shared" si="3"/>
        <v>1.8</v>
      </c>
      <c r="H9" s="50">
        <f>+G9-D9</f>
        <v>0</v>
      </c>
      <c r="I9" s="14">
        <f>IF(D9=0,"n/a",H9/D9)</f>
        <v>0</v>
      </c>
      <c r="L9" s="47"/>
      <c r="M9" s="30"/>
      <c r="N9" s="28"/>
      <c r="O9" s="50"/>
      <c r="P9" s="14"/>
    </row>
    <row r="10" spans="1:16" ht="15" customHeight="1">
      <c r="A10" s="10" t="s">
        <v>403</v>
      </c>
      <c r="B10" s="57">
        <v>1</v>
      </c>
      <c r="C10" s="30">
        <v>0.09</v>
      </c>
      <c r="D10" s="28">
        <f t="shared" si="2"/>
        <v>0.09</v>
      </c>
      <c r="E10" s="47">
        <v>1</v>
      </c>
      <c r="F10" s="49">
        <f>+'2014 Proposed Rates'!Y6</f>
        <v>0.09</v>
      </c>
      <c r="G10" s="28">
        <f t="shared" si="3"/>
        <v>0.09</v>
      </c>
      <c r="H10" s="50">
        <f aca="true" t="shared" si="4" ref="H10:H15">+G10-D10</f>
        <v>0</v>
      </c>
      <c r="I10" s="14">
        <f aca="true" t="shared" si="5" ref="I10:I15">IF(D10=0,"n/a",H10/D10)</f>
        <v>0</v>
      </c>
      <c r="L10" s="47"/>
      <c r="M10" s="30"/>
      <c r="N10" s="28"/>
      <c r="O10" s="50"/>
      <c r="P10" s="14"/>
    </row>
    <row r="11" spans="1:16" ht="15" customHeight="1">
      <c r="A11" s="10" t="s">
        <v>403</v>
      </c>
      <c r="B11" s="57">
        <v>2000</v>
      </c>
      <c r="C11" s="30">
        <v>8E-05</v>
      </c>
      <c r="D11" s="28">
        <f t="shared" si="2"/>
        <v>0.16</v>
      </c>
      <c r="E11" s="47">
        <v>2000</v>
      </c>
      <c r="F11" s="30">
        <f>+'2014 Proposed Rates'!Z6</f>
        <v>8E-05</v>
      </c>
      <c r="G11" s="28">
        <f t="shared" si="3"/>
        <v>0.16</v>
      </c>
      <c r="H11" s="50">
        <f t="shared" si="4"/>
        <v>0</v>
      </c>
      <c r="I11" s="14">
        <f t="shared" si="5"/>
        <v>0</v>
      </c>
      <c r="L11" s="47"/>
      <c r="M11" s="30"/>
      <c r="N11" s="28"/>
      <c r="O11" s="50"/>
      <c r="P11" s="14"/>
    </row>
    <row r="12" spans="1:16" s="996" customFormat="1" ht="15" customHeight="1">
      <c r="A12" s="1061" t="s">
        <v>401</v>
      </c>
      <c r="B12" s="47">
        <v>0</v>
      </c>
      <c r="C12" s="30">
        <v>0</v>
      </c>
      <c r="D12" s="1064">
        <f t="shared" si="2"/>
        <v>0</v>
      </c>
      <c r="E12" s="1062">
        <f>+E3</f>
        <v>1</v>
      </c>
      <c r="F12" s="1067">
        <f>+'2014 Proposed Rates'!AC6</f>
        <v>0.4</v>
      </c>
      <c r="G12" s="1064">
        <f t="shared" si="3"/>
        <v>0.4</v>
      </c>
      <c r="H12" s="50">
        <f t="shared" si="4"/>
        <v>0.4</v>
      </c>
      <c r="I12" s="14" t="str">
        <f t="shared" si="5"/>
        <v>n/a</v>
      </c>
      <c r="L12" s="47"/>
      <c r="M12" s="30"/>
      <c r="N12" s="28"/>
      <c r="O12" s="50"/>
      <c r="P12" s="14"/>
    </row>
    <row r="13" spans="1:16" s="996" customFormat="1" ht="15" customHeight="1">
      <c r="A13" s="1061" t="s">
        <v>401</v>
      </c>
      <c r="B13" s="47">
        <v>0</v>
      </c>
      <c r="C13" s="30">
        <v>0</v>
      </c>
      <c r="D13" s="1064">
        <f t="shared" si="2"/>
        <v>0</v>
      </c>
      <c r="E13" s="1062">
        <f>+E4</f>
        <v>2000</v>
      </c>
      <c r="F13" s="1063">
        <f>+'2014 Proposed Rates'!AD6</f>
        <v>0.00038</v>
      </c>
      <c r="G13" s="1064">
        <f t="shared" si="3"/>
        <v>0.76</v>
      </c>
      <c r="H13" s="50">
        <f t="shared" si="4"/>
        <v>0.76</v>
      </c>
      <c r="I13" s="14" t="str">
        <f t="shared" si="5"/>
        <v>n/a</v>
      </c>
      <c r="L13" s="47"/>
      <c r="M13" s="30"/>
      <c r="N13" s="28"/>
      <c r="O13" s="50"/>
      <c r="P13" s="14"/>
    </row>
    <row r="14" spans="1:16" s="996" customFormat="1" ht="15" customHeight="1">
      <c r="A14" s="1061" t="s">
        <v>402</v>
      </c>
      <c r="B14" s="47">
        <v>0</v>
      </c>
      <c r="C14" s="30">
        <v>0</v>
      </c>
      <c r="D14" s="1064">
        <f t="shared" si="2"/>
        <v>0</v>
      </c>
      <c r="E14" s="1062">
        <f>+E3</f>
        <v>1</v>
      </c>
      <c r="F14" s="1067">
        <f>+'2014 Proposed Rates'!AE6</f>
        <v>0.44</v>
      </c>
      <c r="G14" s="1064">
        <f t="shared" si="3"/>
        <v>0.44</v>
      </c>
      <c r="H14" s="50">
        <f t="shared" si="4"/>
        <v>0.44</v>
      </c>
      <c r="I14" s="14" t="str">
        <f t="shared" si="5"/>
        <v>n/a</v>
      </c>
      <c r="L14" s="47"/>
      <c r="M14" s="30"/>
      <c r="N14" s="28"/>
      <c r="O14" s="50"/>
      <c r="P14" s="14"/>
    </row>
    <row r="15" spans="1:16" s="996" customFormat="1" ht="15" customHeight="1">
      <c r="A15" s="1061" t="s">
        <v>402</v>
      </c>
      <c r="B15" s="47">
        <v>0</v>
      </c>
      <c r="C15" s="30">
        <v>0</v>
      </c>
      <c r="D15" s="1064">
        <f t="shared" si="2"/>
        <v>0</v>
      </c>
      <c r="E15" s="1062">
        <f>+E4</f>
        <v>2000</v>
      </c>
      <c r="F15" s="1063">
        <f>+'2014 Proposed Rates'!AF6</f>
        <v>0.00041</v>
      </c>
      <c r="G15" s="1064">
        <f t="shared" si="3"/>
        <v>0.82</v>
      </c>
      <c r="H15" s="50">
        <f t="shared" si="4"/>
        <v>0.82</v>
      </c>
      <c r="I15" s="14" t="str">
        <f t="shared" si="5"/>
        <v>n/a</v>
      </c>
      <c r="L15" s="47"/>
      <c r="M15" s="30"/>
      <c r="N15" s="28"/>
      <c r="O15" s="50"/>
      <c r="P15" s="14"/>
    </row>
    <row r="16" spans="1:16" ht="15" customHeight="1">
      <c r="A16" s="1082" t="s">
        <v>415</v>
      </c>
      <c r="B16" s="57">
        <v>2000</v>
      </c>
      <c r="C16" s="30">
        <v>-0.00043</v>
      </c>
      <c r="D16" s="28">
        <f t="shared" si="2"/>
        <v>-0.86</v>
      </c>
      <c r="E16" s="47">
        <v>2000</v>
      </c>
      <c r="F16" s="30">
        <f>+'2014 Proposed Rates'!X6</f>
        <v>0</v>
      </c>
      <c r="G16" s="28">
        <f t="shared" si="3"/>
        <v>0</v>
      </c>
      <c r="H16" s="50">
        <f>+G16-D16</f>
        <v>0.86</v>
      </c>
      <c r="I16" s="14">
        <f>IF(D16=0,"n/a",H16/D16)</f>
        <v>-1</v>
      </c>
      <c r="L16" s="47"/>
      <c r="M16" s="30"/>
      <c r="N16" s="28"/>
      <c r="O16" s="50"/>
      <c r="P16" s="14"/>
    </row>
    <row r="17" spans="1:18" ht="15" customHeight="1">
      <c r="A17" s="6" t="s">
        <v>1</v>
      </c>
      <c r="B17" s="58"/>
      <c r="C17" s="43"/>
      <c r="D17" s="53">
        <f>SUM(D3:D16)</f>
        <v>73.37</v>
      </c>
      <c r="E17" s="58"/>
      <c r="F17" s="43"/>
      <c r="G17" s="53">
        <f>SUM(G3:G16)</f>
        <v>76.92</v>
      </c>
      <c r="H17" s="56">
        <f>SUM(H3:H16)</f>
        <v>3.5499999999999976</v>
      </c>
      <c r="I17" s="237">
        <f>+H17/D17</f>
        <v>0.048384898459860944</v>
      </c>
      <c r="J17" s="156" t="s">
        <v>10</v>
      </c>
      <c r="L17" s="48">
        <f t="shared" si="0"/>
        <v>0</v>
      </c>
      <c r="M17" s="43"/>
      <c r="N17" s="53">
        <f>SUM(N3:N6)</f>
        <v>71.09</v>
      </c>
      <c r="O17" s="56">
        <f>SUM(O3:O6)</f>
        <v>0.5199999999999977</v>
      </c>
      <c r="P17" s="15">
        <f>O17/D17</f>
        <v>0.007087365408204957</v>
      </c>
      <c r="R17">
        <v>3.3600000000000003</v>
      </c>
    </row>
    <row r="18" spans="1:16" ht="15" customHeight="1">
      <c r="A18" s="10" t="s">
        <v>404</v>
      </c>
      <c r="B18" s="59">
        <v>2075.2000000000003</v>
      </c>
      <c r="C18" s="42">
        <v>0.00794</v>
      </c>
      <c r="D18" s="28">
        <f>+B18*C18</f>
        <v>16.477088000000002</v>
      </c>
      <c r="E18" s="59">
        <f>+B18</f>
        <v>2075.2000000000003</v>
      </c>
      <c r="F18" s="42">
        <f>+'2014 Proposed Rates'!V6</f>
        <v>0.00741</v>
      </c>
      <c r="G18" s="28">
        <f>+E18*F18</f>
        <v>15.377232000000001</v>
      </c>
      <c r="H18" s="50">
        <f>+G18-D18</f>
        <v>-1.0998560000000008</v>
      </c>
      <c r="I18" s="14">
        <f>+H18/D18</f>
        <v>-0.06675062972292195</v>
      </c>
      <c r="L18" s="59">
        <f t="shared" si="0"/>
        <v>2075.2000000000003</v>
      </c>
      <c r="M18" s="42">
        <f>F18</f>
        <v>0.00741</v>
      </c>
      <c r="N18" s="28">
        <f>L18*M18</f>
        <v>15.377232000000001</v>
      </c>
      <c r="O18" s="50">
        <f t="shared" si="1"/>
        <v>-1.0998560000000008</v>
      </c>
      <c r="P18" s="13">
        <f>O18/D18</f>
        <v>-0.06675062972292195</v>
      </c>
    </row>
    <row r="19" spans="1:16" ht="15" customHeight="1">
      <c r="A19" s="1082" t="s">
        <v>415</v>
      </c>
      <c r="B19" s="59">
        <v>2075.2000000000003</v>
      </c>
      <c r="C19" s="42">
        <v>0.00494</v>
      </c>
      <c r="D19" s="28">
        <f>+B19*C19</f>
        <v>10.251488000000002</v>
      </c>
      <c r="E19" s="59">
        <f>+B19</f>
        <v>2075.2000000000003</v>
      </c>
      <c r="F19" s="42">
        <f>+'2014 Proposed Rates'!W6</f>
        <v>0.00467</v>
      </c>
      <c r="G19" s="28">
        <f>+E19*F19</f>
        <v>9.691184</v>
      </c>
      <c r="H19" s="50">
        <f>+G19-D19</f>
        <v>-0.5603040000000021</v>
      </c>
      <c r="I19" s="14">
        <f>+H19/D19</f>
        <v>-0.054655870445344326</v>
      </c>
      <c r="L19" s="59">
        <f t="shared" si="0"/>
        <v>2075.2000000000003</v>
      </c>
      <c r="M19" s="42">
        <f>F19</f>
        <v>0.00467</v>
      </c>
      <c r="N19" s="28">
        <f>L19*M19</f>
        <v>9.691184</v>
      </c>
      <c r="O19" s="50">
        <f t="shared" si="1"/>
        <v>-0.5603040000000021</v>
      </c>
      <c r="P19" s="13">
        <f>O19/D19</f>
        <v>-0.054655870445344326</v>
      </c>
    </row>
    <row r="20" spans="1:16" ht="15" customHeight="1">
      <c r="A20" s="6" t="s">
        <v>2</v>
      </c>
      <c r="B20" s="58"/>
      <c r="C20" s="43"/>
      <c r="D20" s="53">
        <f>SUM(D17:D19)</f>
        <v>100.09857600000001</v>
      </c>
      <c r="E20" s="58"/>
      <c r="F20" s="43"/>
      <c r="G20" s="53">
        <f>SUM(G17:G19)</f>
        <v>101.988416</v>
      </c>
      <c r="H20" s="56">
        <f>+G20-D20</f>
        <v>1.8898399999999924</v>
      </c>
      <c r="I20" s="237">
        <f>+H20/D20</f>
        <v>0.018879789059136988</v>
      </c>
      <c r="L20" s="58">
        <f t="shared" si="0"/>
        <v>0</v>
      </c>
      <c r="M20" s="43"/>
      <c r="N20" s="53">
        <f>SUM(N17:N19)</f>
        <v>96.15841600000002</v>
      </c>
      <c r="O20" s="56">
        <f t="shared" si="1"/>
        <v>-3.9401599999999917</v>
      </c>
      <c r="P20" s="15">
        <f>O20/D20</f>
        <v>-0.039362797728511055</v>
      </c>
    </row>
    <row r="21" spans="1:16" ht="15" customHeight="1">
      <c r="A21" s="10" t="s">
        <v>406</v>
      </c>
      <c r="B21" s="59">
        <v>2075.2000000000003</v>
      </c>
      <c r="C21" s="51">
        <v>0.0044</v>
      </c>
      <c r="D21" s="28">
        <f>+B21*C21</f>
        <v>9.130880000000001</v>
      </c>
      <c r="E21" s="59">
        <f>+B21</f>
        <v>2075.2000000000003</v>
      </c>
      <c r="F21" s="51">
        <f>+C21</f>
        <v>0.0044</v>
      </c>
      <c r="G21" s="28">
        <f>+E21*F21</f>
        <v>9.130880000000001</v>
      </c>
      <c r="H21" s="50">
        <f>+G21-D21</f>
        <v>0</v>
      </c>
      <c r="I21" s="14">
        <f aca="true" t="shared" si="6" ref="I21:I26">IF(D21=0,"n/a",H21/D21)</f>
        <v>0</v>
      </c>
      <c r="L21" s="59">
        <f t="shared" si="0"/>
        <v>2075.2000000000003</v>
      </c>
      <c r="M21" s="51">
        <f>F21</f>
        <v>0.0044</v>
      </c>
      <c r="N21" s="174">
        <f>L21*M21</f>
        <v>9.130880000000001</v>
      </c>
      <c r="O21" s="50">
        <f t="shared" si="1"/>
        <v>0</v>
      </c>
      <c r="P21" s="14">
        <f aca="true" t="shared" si="7" ref="P21:P26">IF(D21=0,"n/a",O21/D21)</f>
        <v>0</v>
      </c>
    </row>
    <row r="22" spans="1:16" ht="15" customHeight="1">
      <c r="A22" s="10" t="s">
        <v>407</v>
      </c>
      <c r="B22" s="59">
        <v>2075.2000000000003</v>
      </c>
      <c r="C22" s="51">
        <v>0.0012</v>
      </c>
      <c r="D22" s="28">
        <f>+B22*C22</f>
        <v>2.49024</v>
      </c>
      <c r="E22" s="59">
        <f>+B22</f>
        <v>2075.2000000000003</v>
      </c>
      <c r="F22" s="51">
        <f>+C22</f>
        <v>0.0012</v>
      </c>
      <c r="G22" s="28">
        <f>+E22*F22</f>
        <v>2.49024</v>
      </c>
      <c r="H22" s="50">
        <f>+G22-D22</f>
        <v>0</v>
      </c>
      <c r="I22" s="14">
        <f t="shared" si="6"/>
        <v>0</v>
      </c>
      <c r="L22" s="59">
        <f t="shared" si="0"/>
        <v>2075.2000000000003</v>
      </c>
      <c r="M22" s="51">
        <f>F22</f>
        <v>0.0012</v>
      </c>
      <c r="N22" s="174">
        <f>L22*M22</f>
        <v>2.49024</v>
      </c>
      <c r="O22" s="50">
        <f t="shared" si="1"/>
        <v>0</v>
      </c>
      <c r="P22" s="14">
        <f t="shared" si="7"/>
        <v>0</v>
      </c>
    </row>
    <row r="23" spans="1:16" ht="15" customHeight="1">
      <c r="A23" s="10" t="s">
        <v>409</v>
      </c>
      <c r="B23" s="59">
        <v>2000</v>
      </c>
      <c r="C23" s="51">
        <v>0.007</v>
      </c>
      <c r="D23" s="28">
        <f>+B23*C23</f>
        <v>14</v>
      </c>
      <c r="E23" s="59">
        <f>+B23</f>
        <v>2000</v>
      </c>
      <c r="F23" s="51">
        <f>+C23</f>
        <v>0.007</v>
      </c>
      <c r="G23" s="28">
        <f>+E23*F23</f>
        <v>14</v>
      </c>
      <c r="H23" s="50">
        <f>+G23-D23</f>
        <v>0</v>
      </c>
      <c r="I23" s="14">
        <f t="shared" si="6"/>
        <v>0</v>
      </c>
      <c r="L23" s="59">
        <f t="shared" si="0"/>
        <v>2000</v>
      </c>
      <c r="M23" s="51">
        <f>F23</f>
        <v>0.007</v>
      </c>
      <c r="N23" s="174">
        <f>L23*M23</f>
        <v>14</v>
      </c>
      <c r="O23" s="50">
        <f t="shared" si="1"/>
        <v>0</v>
      </c>
      <c r="P23" s="14">
        <f t="shared" si="7"/>
        <v>0</v>
      </c>
    </row>
    <row r="24" spans="1:16" ht="15" customHeight="1">
      <c r="A24" s="10" t="s">
        <v>408</v>
      </c>
      <c r="B24" s="59">
        <v>1</v>
      </c>
      <c r="C24" s="50">
        <v>0.25</v>
      </c>
      <c r="D24" s="28">
        <f>+B24*C24</f>
        <v>0.25</v>
      </c>
      <c r="E24" s="59">
        <f>+B24</f>
        <v>1</v>
      </c>
      <c r="F24" s="50">
        <f>+C24</f>
        <v>0.25</v>
      </c>
      <c r="G24" s="28">
        <f>+E24*F24</f>
        <v>0.25</v>
      </c>
      <c r="H24" s="50">
        <f>+G24-D24</f>
        <v>0</v>
      </c>
      <c r="I24" s="14">
        <f t="shared" si="6"/>
        <v>0</v>
      </c>
      <c r="L24" s="57">
        <f t="shared" si="0"/>
        <v>1</v>
      </c>
      <c r="M24" s="50">
        <f>F24</f>
        <v>0.25</v>
      </c>
      <c r="N24" s="174">
        <f>L24*M24</f>
        <v>0.25</v>
      </c>
      <c r="O24" s="50">
        <f t="shared" si="1"/>
        <v>0</v>
      </c>
      <c r="P24" s="14">
        <f t="shared" si="7"/>
        <v>0</v>
      </c>
    </row>
    <row r="25" spans="1:16" ht="15" customHeight="1">
      <c r="A25" s="10" t="s">
        <v>416</v>
      </c>
      <c r="B25" s="47">
        <f>+B21*0.64</f>
        <v>1328.1280000000002</v>
      </c>
      <c r="C25" s="238">
        <v>0.067</v>
      </c>
      <c r="D25" s="28">
        <f>+B25*C25</f>
        <v>88.98457600000002</v>
      </c>
      <c r="E25" s="47">
        <f aca="true" t="shared" si="8" ref="E25:F27">+B25</f>
        <v>1328.1280000000002</v>
      </c>
      <c r="F25" s="238">
        <f t="shared" si="8"/>
        <v>0.067</v>
      </c>
      <c r="G25" s="28">
        <f>+E25*F25</f>
        <v>88.98457600000002</v>
      </c>
      <c r="H25" s="50">
        <f>+G25-D25</f>
        <v>0</v>
      </c>
      <c r="I25" s="14">
        <f t="shared" si="6"/>
        <v>0</v>
      </c>
      <c r="L25" s="59">
        <f t="shared" si="0"/>
        <v>1328.1280000000002</v>
      </c>
      <c r="M25" s="238">
        <f>F25</f>
        <v>0.067</v>
      </c>
      <c r="N25" s="174">
        <f>L25*M25</f>
        <v>88.98457600000002</v>
      </c>
      <c r="O25" s="50">
        <f t="shared" si="1"/>
        <v>0</v>
      </c>
      <c r="P25" s="14">
        <f t="shared" si="7"/>
        <v>0</v>
      </c>
    </row>
    <row r="26" spans="1:16" ht="15" customHeight="1">
      <c r="A26" s="10" t="s">
        <v>417</v>
      </c>
      <c r="B26" s="47">
        <f>+B21*0.18</f>
        <v>373.53600000000006</v>
      </c>
      <c r="C26" s="238">
        <v>0.104</v>
      </c>
      <c r="D26" s="28">
        <f>+B26*C26</f>
        <v>38.847744000000006</v>
      </c>
      <c r="E26" s="47">
        <f t="shared" si="8"/>
        <v>373.53600000000006</v>
      </c>
      <c r="F26" s="238">
        <f t="shared" si="8"/>
        <v>0.104</v>
      </c>
      <c r="G26" s="28">
        <f>+E26*F26</f>
        <v>38.847744000000006</v>
      </c>
      <c r="H26" s="50">
        <f>+G26-D26</f>
        <v>0</v>
      </c>
      <c r="I26" s="14">
        <f t="shared" si="6"/>
        <v>0</v>
      </c>
      <c r="L26" s="59">
        <f t="shared" si="0"/>
        <v>373.53600000000006</v>
      </c>
      <c r="M26" s="238">
        <f>F26</f>
        <v>0.104</v>
      </c>
      <c r="N26" s="174">
        <f>L26*M26</f>
        <v>38.847744000000006</v>
      </c>
      <c r="O26" s="50">
        <f t="shared" si="1"/>
        <v>0</v>
      </c>
      <c r="P26" s="14">
        <f t="shared" si="7"/>
        <v>0</v>
      </c>
    </row>
    <row r="27" spans="1:16" s="996" customFormat="1" ht="15" customHeight="1">
      <c r="A27" s="10" t="s">
        <v>418</v>
      </c>
      <c r="B27" s="47">
        <f>+B21*0.18</f>
        <v>373.53600000000006</v>
      </c>
      <c r="C27" s="238">
        <v>0.124</v>
      </c>
      <c r="D27" s="28">
        <f>+B27*C27</f>
        <v>46.318464000000006</v>
      </c>
      <c r="E27" s="47">
        <f t="shared" si="8"/>
        <v>373.53600000000006</v>
      </c>
      <c r="F27" s="238">
        <f t="shared" si="8"/>
        <v>0.124</v>
      </c>
      <c r="G27" s="28">
        <f>+E27*F27</f>
        <v>46.318464000000006</v>
      </c>
      <c r="H27" s="50">
        <f>+G27-D27</f>
        <v>0</v>
      </c>
      <c r="I27" s="14">
        <f>IF(D27=0,"n/a",H27/D27)</f>
        <v>0</v>
      </c>
      <c r="L27" s="59"/>
      <c r="M27" s="238"/>
      <c r="N27" s="174"/>
      <c r="O27" s="50"/>
      <c r="P27" s="14"/>
    </row>
    <row r="28" spans="1:16" ht="15.75" thickBot="1">
      <c r="A28" s="7" t="s">
        <v>3</v>
      </c>
      <c r="B28" s="62"/>
      <c r="C28" s="44"/>
      <c r="D28" s="54">
        <f>SUM(D20:D27)</f>
        <v>300.12048000000004</v>
      </c>
      <c r="E28" s="62"/>
      <c r="F28" s="44"/>
      <c r="G28" s="54">
        <f>SUM(G20:G27)</f>
        <v>302.01032000000004</v>
      </c>
      <c r="H28" s="46">
        <f>+G28-D28</f>
        <v>1.8898399999999924</v>
      </c>
      <c r="I28" s="16">
        <f>+H28/D28</f>
        <v>0.006296937816439558</v>
      </c>
      <c r="L28" s="46"/>
      <c r="M28" s="55"/>
      <c r="N28" s="54">
        <f>SUM(N20:N26)</f>
        <v>249.86185600000005</v>
      </c>
      <c r="O28" s="46">
        <f t="shared" si="1"/>
        <v>-50.258624</v>
      </c>
      <c r="P28" s="16">
        <f>O28/D28</f>
        <v>-0.16746149413062378</v>
      </c>
    </row>
    <row r="29" ht="15.75" thickBot="1">
      <c r="B29" s="67" t="s">
        <v>11</v>
      </c>
    </row>
    <row r="30" spans="1:7" ht="16.5" thickBot="1" thickTop="1">
      <c r="A30" s="31" t="s">
        <v>93</v>
      </c>
      <c r="B30" s="1021">
        <v>2000</v>
      </c>
      <c r="D30" s="156"/>
      <c r="G30" s="156"/>
    </row>
    <row r="31" spans="1:7" ht="16.5" thickBot="1" thickTop="1">
      <c r="A31" s="40" t="s">
        <v>94</v>
      </c>
      <c r="B31" s="66">
        <f>1.0376</f>
        <v>1.0376</v>
      </c>
      <c r="D31" s="156"/>
      <c r="G31" s="156"/>
    </row>
    <row r="32" ht="15.75" thickTop="1"/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90" r:id="rId1"/>
  <headerFooter>
    <oddHeader>&amp;RToronto Hydro-Electric System Limited
EB-2012-0064
Tab 9
Schedule 2-3
Filed:  2013 Aug 19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68.421875" style="1" customWidth="1"/>
    <col min="2" max="2" width="14.7109375" style="0" customWidth="1"/>
    <col min="3" max="3" width="11.00390625" style="0" customWidth="1"/>
    <col min="4" max="4" width="11.421875" style="0" customWidth="1"/>
    <col min="5" max="5" width="15.140625" style="0" customWidth="1"/>
    <col min="6" max="9" width="10.7109375" style="0" customWidth="1"/>
    <col min="10" max="10" width="9.57421875" style="0" hidden="1" customWidth="1"/>
    <col min="11" max="11" width="8.8515625" style="0" hidden="1" customWidth="1"/>
    <col min="12" max="14" width="12.421875" style="0" hidden="1" customWidth="1"/>
    <col min="15" max="16" width="9.140625" style="0" hidden="1" customWidth="1"/>
  </cols>
  <sheetData>
    <row r="1" spans="1:16" ht="15" customHeight="1" thickBot="1">
      <c r="A1" s="8" t="s">
        <v>361</v>
      </c>
      <c r="B1" s="2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3" t="s">
        <v>4</v>
      </c>
      <c r="P1" s="4"/>
    </row>
    <row r="2" spans="1:16" ht="15" customHeight="1" thickBot="1">
      <c r="A2" s="9"/>
      <c r="B2" s="11" t="s">
        <v>5</v>
      </c>
      <c r="C2" s="12" t="s">
        <v>6</v>
      </c>
      <c r="D2" s="12" t="s">
        <v>7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2" t="s">
        <v>5</v>
      </c>
      <c r="M2" s="12" t="s">
        <v>6</v>
      </c>
      <c r="N2" s="12" t="s">
        <v>7</v>
      </c>
      <c r="O2" s="245" t="s">
        <v>8</v>
      </c>
      <c r="P2" s="12" t="s">
        <v>9</v>
      </c>
    </row>
    <row r="3" spans="1:16" ht="15" customHeight="1">
      <c r="A3" s="10" t="s">
        <v>95</v>
      </c>
      <c r="B3" s="59">
        <v>1</v>
      </c>
      <c r="C3" s="49">
        <v>35.9</v>
      </c>
      <c r="D3" s="28">
        <f aca="true" t="shared" si="0" ref="D3:D15">+B3*C3</f>
        <v>35.9</v>
      </c>
      <c r="E3" s="59">
        <v>1</v>
      </c>
      <c r="F3" s="49">
        <f>+'2014 Proposed Rates'!S7</f>
        <v>36</v>
      </c>
      <c r="G3" s="28">
        <f>+E3*F3</f>
        <v>36</v>
      </c>
      <c r="H3" s="50">
        <f>+G3-D3</f>
        <v>0.10000000000000142</v>
      </c>
      <c r="I3" s="14">
        <f>IF(D3=0,"n/a",H3/D3)</f>
        <v>0.0027855153203343017</v>
      </c>
      <c r="J3" s="156"/>
      <c r="L3" s="246">
        <f>E3</f>
        <v>1</v>
      </c>
      <c r="M3" s="49">
        <f aca="true" t="shared" si="1" ref="M3:M25">F3</f>
        <v>36</v>
      </c>
      <c r="N3" s="247">
        <f>L3*M3</f>
        <v>36</v>
      </c>
      <c r="O3" s="50">
        <f>N3-D3</f>
        <v>0.10000000000000142</v>
      </c>
      <c r="P3" s="14">
        <f>IF(D3=0,"n/a",O3/D3)</f>
        <v>0.0027855153203343017</v>
      </c>
    </row>
    <row r="4" spans="1:16" ht="15" customHeight="1">
      <c r="A4" s="10" t="s">
        <v>396</v>
      </c>
      <c r="B4" s="59">
        <v>388</v>
      </c>
      <c r="C4" s="52">
        <v>5.6495</v>
      </c>
      <c r="D4" s="28">
        <f t="shared" si="0"/>
        <v>2192.006</v>
      </c>
      <c r="E4" s="59">
        <f>D28</f>
        <v>388</v>
      </c>
      <c r="F4" s="52">
        <f>+'2014 Proposed Rates'!T7</f>
        <v>5.6653</v>
      </c>
      <c r="G4" s="28">
        <f>+E4*F4</f>
        <v>2198.1364</v>
      </c>
      <c r="H4" s="50">
        <f>+G4-D4</f>
        <v>6.130400000000009</v>
      </c>
      <c r="I4" s="14">
        <f>IF(D4=0,"n/a",H4/D4)</f>
        <v>0.002796707673245424</v>
      </c>
      <c r="J4" s="173">
        <f>SUM(H3:H4)/SUM(D3:D4)</f>
        <v>0.0027965273220683503</v>
      </c>
      <c r="L4" s="246">
        <f aca="true" t="shared" si="2" ref="L4:L25">E4</f>
        <v>388</v>
      </c>
      <c r="M4" s="52">
        <f t="shared" si="1"/>
        <v>5.6653</v>
      </c>
      <c r="N4" s="247">
        <f>L4*M4</f>
        <v>2198.1364</v>
      </c>
      <c r="O4" s="50">
        <f aca="true" t="shared" si="3" ref="O4:O26">N4-D4</f>
        <v>6.130400000000009</v>
      </c>
      <c r="P4" s="14">
        <f>IF(D4=0,"n/a",O4/D4)</f>
        <v>0.002796707673245424</v>
      </c>
    </row>
    <row r="5" spans="1:16" ht="15" customHeight="1">
      <c r="A5" s="10" t="s">
        <v>397</v>
      </c>
      <c r="B5" s="59">
        <v>1</v>
      </c>
      <c r="C5" s="49">
        <v>0.68</v>
      </c>
      <c r="D5" s="28">
        <f t="shared" si="0"/>
        <v>0.68</v>
      </c>
      <c r="E5" s="59">
        <v>1</v>
      </c>
      <c r="F5" s="49">
        <f>+C5</f>
        <v>0.68</v>
      </c>
      <c r="G5" s="28">
        <f>+E5*F5</f>
        <v>0.68</v>
      </c>
      <c r="H5" s="50">
        <f>+G5-D5</f>
        <v>0</v>
      </c>
      <c r="I5" s="14">
        <f>IF(D5=0,"n/a",H5/D5)</f>
        <v>0</v>
      </c>
      <c r="L5" s="246">
        <f t="shared" si="2"/>
        <v>1</v>
      </c>
      <c r="M5" s="49">
        <f t="shared" si="1"/>
        <v>0.68</v>
      </c>
      <c r="N5" s="247">
        <f>L5*M5</f>
        <v>0.68</v>
      </c>
      <c r="O5" s="50">
        <f t="shared" si="3"/>
        <v>0</v>
      </c>
      <c r="P5" s="14">
        <f>IF(D5=0,"n/a",O5/D5)</f>
        <v>0</v>
      </c>
    </row>
    <row r="6" spans="1:16" ht="15" customHeight="1">
      <c r="A6" s="10" t="s">
        <v>399</v>
      </c>
      <c r="B6" s="57">
        <v>388</v>
      </c>
      <c r="C6" s="30">
        <v>-0.0134</v>
      </c>
      <c r="D6" s="28">
        <f t="shared" si="0"/>
        <v>-5.1992</v>
      </c>
      <c r="E6" s="47">
        <f>+E4</f>
        <v>388</v>
      </c>
      <c r="F6" s="52">
        <f>+'2014 Proposed Rates'!U7</f>
        <v>-0.0056</v>
      </c>
      <c r="G6" s="28">
        <f aca="true" t="shared" si="4" ref="G6:G15">+E6*F6</f>
        <v>-2.1728</v>
      </c>
      <c r="H6" s="50">
        <f>+G6-D6</f>
        <v>3.0264</v>
      </c>
      <c r="I6" s="14">
        <f>IF(D6=0,"n/a",H6/D6)</f>
        <v>-0.582089552238806</v>
      </c>
      <c r="L6" s="246"/>
      <c r="M6" s="52"/>
      <c r="N6" s="247"/>
      <c r="O6" s="50"/>
      <c r="P6" s="14"/>
    </row>
    <row r="7" spans="1:16" ht="15" customHeight="1">
      <c r="A7" s="10" t="s">
        <v>400</v>
      </c>
      <c r="B7" s="47">
        <v>1</v>
      </c>
      <c r="C7" s="30">
        <v>1.42</v>
      </c>
      <c r="D7" s="28">
        <f t="shared" si="0"/>
        <v>1.42</v>
      </c>
      <c r="E7" s="47">
        <v>1</v>
      </c>
      <c r="F7" s="49">
        <f>+'2014 Proposed Rates'!AA7</f>
        <v>1.42</v>
      </c>
      <c r="G7" s="28">
        <f>+E7*F7</f>
        <v>1.42</v>
      </c>
      <c r="H7" s="50">
        <f>+G7-D7</f>
        <v>0</v>
      </c>
      <c r="I7" s="14">
        <f>IF(D7=0,"n/a",H7/D7)</f>
        <v>0</v>
      </c>
      <c r="L7" s="246"/>
      <c r="M7" s="52"/>
      <c r="N7" s="247"/>
      <c r="O7" s="50"/>
      <c r="P7" s="14"/>
    </row>
    <row r="8" spans="1:16" ht="15" customHeight="1">
      <c r="A8" s="10" t="s">
        <v>400</v>
      </c>
      <c r="B8" s="47">
        <v>388</v>
      </c>
      <c r="C8" s="30">
        <v>0.2225</v>
      </c>
      <c r="D8" s="28">
        <f t="shared" si="0"/>
        <v>86.33</v>
      </c>
      <c r="E8" s="47">
        <v>388</v>
      </c>
      <c r="F8" s="52">
        <f>+'2014 Proposed Rates'!AB7</f>
        <v>0.2225</v>
      </c>
      <c r="G8" s="28">
        <f>+E8*F8</f>
        <v>86.33</v>
      </c>
      <c r="H8" s="50">
        <f>+G8-D8</f>
        <v>0</v>
      </c>
      <c r="I8" s="14">
        <f>IF(D8=0,"n/a",H8/D8)</f>
        <v>0</v>
      </c>
      <c r="L8" s="246"/>
      <c r="M8" s="52"/>
      <c r="N8" s="247"/>
      <c r="O8" s="50"/>
      <c r="P8" s="14"/>
    </row>
    <row r="9" spans="1:16" ht="15" customHeight="1">
      <c r="A9" s="10" t="s">
        <v>403</v>
      </c>
      <c r="B9" s="57">
        <v>1</v>
      </c>
      <c r="C9" s="30">
        <v>0.13</v>
      </c>
      <c r="D9" s="28">
        <f t="shared" si="0"/>
        <v>0.13</v>
      </c>
      <c r="E9" s="47">
        <v>1</v>
      </c>
      <c r="F9" s="49">
        <f>+'2014 Proposed Rates'!Y7</f>
        <v>0.13</v>
      </c>
      <c r="G9" s="28">
        <f t="shared" si="4"/>
        <v>0.13</v>
      </c>
      <c r="H9" s="50">
        <f aca="true" t="shared" si="5" ref="H9:H14">+G9-D9</f>
        <v>0</v>
      </c>
      <c r="I9" s="14">
        <f aca="true" t="shared" si="6" ref="I9:I14">IF(D9=0,"n/a",H9/D9)</f>
        <v>0</v>
      </c>
      <c r="L9" s="246"/>
      <c r="M9" s="52"/>
      <c r="N9" s="247"/>
      <c r="O9" s="50"/>
      <c r="P9" s="14"/>
    </row>
    <row r="10" spans="1:16" ht="15" customHeight="1">
      <c r="A10" s="10" t="s">
        <v>403</v>
      </c>
      <c r="B10" s="57">
        <v>388</v>
      </c>
      <c r="C10" s="30">
        <v>0.0202</v>
      </c>
      <c r="D10" s="28">
        <f t="shared" si="0"/>
        <v>7.8376</v>
      </c>
      <c r="E10" s="47">
        <v>388</v>
      </c>
      <c r="F10" s="52">
        <f>+'2014 Proposed Rates'!Z7</f>
        <v>0.0202</v>
      </c>
      <c r="G10" s="28">
        <f t="shared" si="4"/>
        <v>7.8376</v>
      </c>
      <c r="H10" s="50">
        <f t="shared" si="5"/>
        <v>0</v>
      </c>
      <c r="I10" s="14">
        <f t="shared" si="6"/>
        <v>0</v>
      </c>
      <c r="L10" s="246"/>
      <c r="M10" s="52"/>
      <c r="N10" s="247"/>
      <c r="O10" s="50"/>
      <c r="P10" s="14"/>
    </row>
    <row r="11" spans="1:16" s="996" customFormat="1" ht="15" customHeight="1">
      <c r="A11" s="1061" t="s">
        <v>401</v>
      </c>
      <c r="B11" s="47">
        <v>0</v>
      </c>
      <c r="C11" s="30">
        <v>0</v>
      </c>
      <c r="D11" s="28">
        <f t="shared" si="0"/>
        <v>0</v>
      </c>
      <c r="E11" s="1062">
        <f>+E3</f>
        <v>1</v>
      </c>
      <c r="F11" s="1067">
        <f>+'2014 Proposed Rates'!AC7</f>
        <v>0.59</v>
      </c>
      <c r="G11" s="1064">
        <f t="shared" si="4"/>
        <v>0.59</v>
      </c>
      <c r="H11" s="50">
        <f t="shared" si="5"/>
        <v>0.59</v>
      </c>
      <c r="I11" s="14" t="str">
        <f t="shared" si="6"/>
        <v>n/a</v>
      </c>
      <c r="L11" s="246"/>
      <c r="M11" s="52"/>
      <c r="N11" s="247"/>
      <c r="O11" s="50"/>
      <c r="P11" s="14"/>
    </row>
    <row r="12" spans="1:16" s="996" customFormat="1" ht="15" customHeight="1">
      <c r="A12" s="1061" t="s">
        <v>401</v>
      </c>
      <c r="B12" s="47">
        <v>0</v>
      </c>
      <c r="C12" s="30">
        <v>0</v>
      </c>
      <c r="D12" s="28">
        <f t="shared" si="0"/>
        <v>0</v>
      </c>
      <c r="E12" s="1062">
        <f>+E4</f>
        <v>388</v>
      </c>
      <c r="F12" s="1068">
        <f>+'2014 Proposed Rates'!AD7</f>
        <v>0.0924</v>
      </c>
      <c r="G12" s="1064">
        <f t="shared" si="4"/>
        <v>35.8512</v>
      </c>
      <c r="H12" s="50">
        <f t="shared" si="5"/>
        <v>35.8512</v>
      </c>
      <c r="I12" s="14" t="str">
        <f t="shared" si="6"/>
        <v>n/a</v>
      </c>
      <c r="L12" s="246"/>
      <c r="M12" s="52"/>
      <c r="N12" s="247"/>
      <c r="O12" s="50"/>
      <c r="P12" s="14"/>
    </row>
    <row r="13" spans="1:16" s="996" customFormat="1" ht="15" customHeight="1">
      <c r="A13" s="1061" t="s">
        <v>402</v>
      </c>
      <c r="B13" s="47">
        <v>0</v>
      </c>
      <c r="C13" s="30">
        <v>0</v>
      </c>
      <c r="D13" s="28">
        <f t="shared" si="0"/>
        <v>0</v>
      </c>
      <c r="E13" s="1062">
        <f>+E3</f>
        <v>1</v>
      </c>
      <c r="F13" s="1067">
        <f>+'2014 Proposed Rates'!AE7</f>
        <v>0.64</v>
      </c>
      <c r="G13" s="1064">
        <f t="shared" si="4"/>
        <v>0.64</v>
      </c>
      <c r="H13" s="50">
        <f t="shared" si="5"/>
        <v>0.64</v>
      </c>
      <c r="I13" s="14" t="str">
        <f t="shared" si="6"/>
        <v>n/a</v>
      </c>
      <c r="L13" s="246"/>
      <c r="M13" s="52"/>
      <c r="N13" s="247"/>
      <c r="O13" s="50"/>
      <c r="P13" s="14"/>
    </row>
    <row r="14" spans="1:16" s="996" customFormat="1" ht="15" customHeight="1">
      <c r="A14" s="1061" t="s">
        <v>402</v>
      </c>
      <c r="B14" s="47">
        <v>0</v>
      </c>
      <c r="C14" s="30">
        <v>0</v>
      </c>
      <c r="D14" s="28">
        <f t="shared" si="0"/>
        <v>0</v>
      </c>
      <c r="E14" s="1062">
        <f>+E4</f>
        <v>388</v>
      </c>
      <c r="F14" s="1068">
        <f>+'2014 Proposed Rates'!AF7</f>
        <v>0.1</v>
      </c>
      <c r="G14" s="1064">
        <f t="shared" si="4"/>
        <v>38.800000000000004</v>
      </c>
      <c r="H14" s="50">
        <f t="shared" si="5"/>
        <v>38.800000000000004</v>
      </c>
      <c r="I14" s="14" t="str">
        <f t="shared" si="6"/>
        <v>n/a</v>
      </c>
      <c r="L14" s="246"/>
      <c r="M14" s="52"/>
      <c r="N14" s="247"/>
      <c r="O14" s="50"/>
      <c r="P14" s="14"/>
    </row>
    <row r="15" spans="1:16" ht="15" customHeight="1">
      <c r="A15" s="1082" t="s">
        <v>415</v>
      </c>
      <c r="B15" s="57">
        <v>388</v>
      </c>
      <c r="C15" s="30">
        <v>-0.074</v>
      </c>
      <c r="D15" s="28">
        <f t="shared" si="0"/>
        <v>-28.712</v>
      </c>
      <c r="E15" s="47">
        <v>388</v>
      </c>
      <c r="F15" s="52">
        <f>+'2014 Proposed Rates'!X7</f>
        <v>0</v>
      </c>
      <c r="G15" s="28">
        <f t="shared" si="4"/>
        <v>0</v>
      </c>
      <c r="H15" s="50">
        <f>+G15-D15</f>
        <v>28.712</v>
      </c>
      <c r="I15" s="14">
        <f>IF(D15=0,"n/a",H15/D15)</f>
        <v>-1</v>
      </c>
      <c r="L15" s="246"/>
      <c r="M15" s="52"/>
      <c r="N15" s="247"/>
      <c r="O15" s="50"/>
      <c r="P15" s="14"/>
    </row>
    <row r="16" spans="1:16" ht="15" customHeight="1">
      <c r="A16" s="6" t="s">
        <v>1</v>
      </c>
      <c r="B16" s="58"/>
      <c r="C16" s="43"/>
      <c r="D16" s="53">
        <f>SUM(D3:D15)</f>
        <v>2290.3923999999997</v>
      </c>
      <c r="E16" s="58"/>
      <c r="F16" s="43"/>
      <c r="G16" s="53">
        <f>SUM(G3:G15)</f>
        <v>2404.2424</v>
      </c>
      <c r="H16" s="56">
        <f>SUM(H3:H15)</f>
        <v>113.85000000000001</v>
      </c>
      <c r="I16" s="15">
        <f>+H16/D16</f>
        <v>0.049707639616687525</v>
      </c>
      <c r="J16" s="156"/>
      <c r="L16" s="248">
        <f t="shared" si="2"/>
        <v>0</v>
      </c>
      <c r="M16" s="43"/>
      <c r="N16" s="249">
        <f>SUM(N3:N5)</f>
        <v>2234.8163999999997</v>
      </c>
      <c r="O16" s="56">
        <f t="shared" si="3"/>
        <v>-55.57600000000002</v>
      </c>
      <c r="P16" s="15">
        <f aca="true" t="shared" si="7" ref="P16:P26">O16/D16</f>
        <v>-0.024264837763171076</v>
      </c>
    </row>
    <row r="17" spans="1:16" ht="15" customHeight="1">
      <c r="A17" s="10" t="s">
        <v>404</v>
      </c>
      <c r="B17" s="59">
        <v>349</v>
      </c>
      <c r="C17" s="51">
        <v>2.8417</v>
      </c>
      <c r="D17" s="28">
        <f>+B17*C17</f>
        <v>991.7533</v>
      </c>
      <c r="E17" s="59">
        <f>+B17</f>
        <v>349</v>
      </c>
      <c r="F17" s="51">
        <f>+'2014 Proposed Rates'!V7</f>
        <v>2.6529</v>
      </c>
      <c r="G17" s="28">
        <f>+E17*F17</f>
        <v>925.8620999999999</v>
      </c>
      <c r="H17" s="50">
        <f>+G17-D17</f>
        <v>-65.89120000000003</v>
      </c>
      <c r="I17" s="13">
        <f>+H17/D17</f>
        <v>-0.06643910335362638</v>
      </c>
      <c r="L17" s="246">
        <f t="shared" si="2"/>
        <v>349</v>
      </c>
      <c r="M17" s="51">
        <f t="shared" si="1"/>
        <v>2.6529</v>
      </c>
      <c r="N17" s="247">
        <f>L17*M17</f>
        <v>925.8620999999999</v>
      </c>
      <c r="O17" s="50">
        <f t="shared" si="3"/>
        <v>-65.89120000000003</v>
      </c>
      <c r="P17" s="13">
        <f t="shared" si="7"/>
        <v>-0.06643910335362638</v>
      </c>
    </row>
    <row r="18" spans="1:16" ht="15" customHeight="1">
      <c r="A18" s="10" t="s">
        <v>405</v>
      </c>
      <c r="B18" s="59">
        <v>349</v>
      </c>
      <c r="C18" s="51">
        <v>1.8824</v>
      </c>
      <c r="D18" s="28">
        <f>+B18*C18</f>
        <v>656.9576000000001</v>
      </c>
      <c r="E18" s="59">
        <f>+B18</f>
        <v>349</v>
      </c>
      <c r="F18" s="51">
        <f>+'2014 Proposed Rates'!W7</f>
        <v>1.7782</v>
      </c>
      <c r="G18" s="28">
        <f>+E18*F18</f>
        <v>620.5918</v>
      </c>
      <c r="H18" s="50">
        <f>+G18-D18</f>
        <v>-36.365800000000036</v>
      </c>
      <c r="I18" s="13">
        <f>+H18/D18</f>
        <v>-0.05535486612834684</v>
      </c>
      <c r="L18" s="246">
        <f t="shared" si="2"/>
        <v>349</v>
      </c>
      <c r="M18" s="51">
        <f t="shared" si="1"/>
        <v>1.7782</v>
      </c>
      <c r="N18" s="247">
        <f>L18*M18</f>
        <v>620.5918</v>
      </c>
      <c r="O18" s="50">
        <f t="shared" si="3"/>
        <v>-36.365800000000036</v>
      </c>
      <c r="P18" s="13">
        <f t="shared" si="7"/>
        <v>-0.05535486612834684</v>
      </c>
    </row>
    <row r="19" spans="1:16" ht="15" customHeight="1">
      <c r="A19" s="1083" t="s">
        <v>415</v>
      </c>
      <c r="B19" s="58"/>
      <c r="C19" s="43"/>
      <c r="D19" s="53">
        <f>SUM(D16:D18)</f>
        <v>3939.1032999999998</v>
      </c>
      <c r="E19" s="58"/>
      <c r="F19" s="43"/>
      <c r="G19" s="53">
        <f>SUM(G16:G18)</f>
        <v>3950.6963</v>
      </c>
      <c r="H19" s="56">
        <f>+G19-D19</f>
        <v>11.593000000000302</v>
      </c>
      <c r="I19" s="15">
        <f>+H19/D19</f>
        <v>0.002943055593388552</v>
      </c>
      <c r="L19" s="250">
        <f t="shared" si="2"/>
        <v>0</v>
      </c>
      <c r="M19" s="43"/>
      <c r="N19" s="249">
        <f>SUM(N16:N18)</f>
        <v>3781.2702999999997</v>
      </c>
      <c r="O19" s="56">
        <f t="shared" si="3"/>
        <v>-157.83300000000008</v>
      </c>
      <c r="P19" s="15">
        <f t="shared" si="7"/>
        <v>-0.040068256143473084</v>
      </c>
    </row>
    <row r="20" spans="1:16" ht="15" customHeight="1">
      <c r="A20" s="10" t="s">
        <v>406</v>
      </c>
      <c r="B20" s="59">
        <v>155640</v>
      </c>
      <c r="C20" s="51">
        <v>0.0044</v>
      </c>
      <c r="D20" s="28">
        <f aca="true" t="shared" si="8" ref="D20:D25">+B20*C20</f>
        <v>684.816</v>
      </c>
      <c r="E20" s="59">
        <f>+B20</f>
        <v>155640</v>
      </c>
      <c r="F20" s="51">
        <f>C20</f>
        <v>0.0044</v>
      </c>
      <c r="G20" s="28">
        <f aca="true" t="shared" si="9" ref="G20:G25">+E20*F20</f>
        <v>684.816</v>
      </c>
      <c r="H20" s="50">
        <f aca="true" t="shared" si="10" ref="H20:H25">+G20-D20</f>
        <v>0</v>
      </c>
      <c r="I20" s="14">
        <f aca="true" t="shared" si="11" ref="I20:I25">IF(D20=0,"n/a",H20/D20)</f>
        <v>0</v>
      </c>
      <c r="L20" s="246">
        <f t="shared" si="2"/>
        <v>155640</v>
      </c>
      <c r="M20" s="51">
        <f t="shared" si="1"/>
        <v>0.0044</v>
      </c>
      <c r="N20" s="251">
        <f>L20*M20</f>
        <v>684.816</v>
      </c>
      <c r="O20" s="50">
        <f t="shared" si="3"/>
        <v>0</v>
      </c>
      <c r="P20" s="14">
        <f aca="true" t="shared" si="12" ref="P20:P25">IF(D20=0,"n/a",O20/D20)</f>
        <v>0</v>
      </c>
    </row>
    <row r="21" spans="1:16" ht="15" customHeight="1">
      <c r="A21" s="10" t="s">
        <v>407</v>
      </c>
      <c r="B21" s="59">
        <v>155640</v>
      </c>
      <c r="C21" s="51">
        <v>0.0012</v>
      </c>
      <c r="D21" s="28">
        <f t="shared" si="8"/>
        <v>186.76799999999997</v>
      </c>
      <c r="E21" s="59">
        <f>+B21</f>
        <v>155640</v>
      </c>
      <c r="F21" s="51">
        <f>C21</f>
        <v>0.0012</v>
      </c>
      <c r="G21" s="28">
        <f t="shared" si="9"/>
        <v>186.76799999999997</v>
      </c>
      <c r="H21" s="50">
        <f t="shared" si="10"/>
        <v>0</v>
      </c>
      <c r="I21" s="14">
        <f t="shared" si="11"/>
        <v>0</v>
      </c>
      <c r="L21" s="246">
        <f t="shared" si="2"/>
        <v>155640</v>
      </c>
      <c r="M21" s="51">
        <f t="shared" si="1"/>
        <v>0.0012</v>
      </c>
      <c r="N21" s="251">
        <f>L21*M21</f>
        <v>186.76799999999997</v>
      </c>
      <c r="O21" s="50">
        <f t="shared" si="3"/>
        <v>0</v>
      </c>
      <c r="P21" s="14">
        <f t="shared" si="12"/>
        <v>0</v>
      </c>
    </row>
    <row r="22" spans="1:19" ht="15" customHeight="1">
      <c r="A22" s="10" t="s">
        <v>409</v>
      </c>
      <c r="B22" s="59">
        <v>150000</v>
      </c>
      <c r="C22" s="51">
        <v>0.007</v>
      </c>
      <c r="D22" s="28">
        <f t="shared" si="8"/>
        <v>1050</v>
      </c>
      <c r="E22" s="59">
        <f>+B22</f>
        <v>150000</v>
      </c>
      <c r="F22" s="51">
        <f>C22</f>
        <v>0.007</v>
      </c>
      <c r="G22" s="28">
        <f t="shared" si="9"/>
        <v>1050</v>
      </c>
      <c r="H22" s="50">
        <f t="shared" si="10"/>
        <v>0</v>
      </c>
      <c r="I22" s="14">
        <f t="shared" si="11"/>
        <v>0</v>
      </c>
      <c r="L22" s="246">
        <f t="shared" si="2"/>
        <v>150000</v>
      </c>
      <c r="M22" s="51">
        <f t="shared" si="1"/>
        <v>0.007</v>
      </c>
      <c r="N22" s="251">
        <f>L22*M22</f>
        <v>1050</v>
      </c>
      <c r="O22" s="50">
        <f t="shared" si="3"/>
        <v>0</v>
      </c>
      <c r="P22" s="14">
        <f t="shared" si="12"/>
        <v>0</v>
      </c>
      <c r="S22" s="996" t="s">
        <v>10</v>
      </c>
    </row>
    <row r="23" spans="1:16" ht="15" customHeight="1">
      <c r="A23" s="10" t="s">
        <v>408</v>
      </c>
      <c r="B23" s="59">
        <v>1</v>
      </c>
      <c r="C23" s="50">
        <v>0.25</v>
      </c>
      <c r="D23" s="28">
        <f t="shared" si="8"/>
        <v>0.25</v>
      </c>
      <c r="E23" s="59">
        <f>+B23</f>
        <v>1</v>
      </c>
      <c r="F23" s="50">
        <f>C23</f>
        <v>0.25</v>
      </c>
      <c r="G23" s="28">
        <f t="shared" si="9"/>
        <v>0.25</v>
      </c>
      <c r="H23" s="50">
        <f>+G23-D23</f>
        <v>0</v>
      </c>
      <c r="I23" s="14">
        <f t="shared" si="11"/>
        <v>0</v>
      </c>
      <c r="L23" s="246">
        <f t="shared" si="2"/>
        <v>1</v>
      </c>
      <c r="M23" s="50">
        <f t="shared" si="1"/>
        <v>0.25</v>
      </c>
      <c r="N23" s="251">
        <f>L23*M23</f>
        <v>0.25</v>
      </c>
      <c r="O23" s="50">
        <f t="shared" si="3"/>
        <v>0</v>
      </c>
      <c r="P23" s="14">
        <f t="shared" si="12"/>
        <v>0</v>
      </c>
    </row>
    <row r="24" spans="1:16" ht="15" customHeight="1">
      <c r="A24" s="10" t="s">
        <v>198</v>
      </c>
      <c r="B24" s="59">
        <v>750</v>
      </c>
      <c r="C24" s="238">
        <v>0.078</v>
      </c>
      <c r="D24" s="28">
        <f t="shared" si="8"/>
        <v>58.5</v>
      </c>
      <c r="E24" s="59">
        <f>+B24</f>
        <v>750</v>
      </c>
      <c r="F24" s="238">
        <f>C24</f>
        <v>0.078</v>
      </c>
      <c r="G24" s="28">
        <f t="shared" si="9"/>
        <v>58.5</v>
      </c>
      <c r="H24" s="50">
        <f t="shared" si="10"/>
        <v>0</v>
      </c>
      <c r="I24" s="14">
        <f t="shared" si="11"/>
        <v>0</v>
      </c>
      <c r="L24" s="246">
        <f t="shared" si="2"/>
        <v>750</v>
      </c>
      <c r="M24" s="238">
        <f t="shared" si="1"/>
        <v>0.078</v>
      </c>
      <c r="N24" s="251">
        <f>L24*M24</f>
        <v>58.5</v>
      </c>
      <c r="O24" s="50">
        <f t="shared" si="3"/>
        <v>0</v>
      </c>
      <c r="P24" s="14">
        <f t="shared" si="12"/>
        <v>0</v>
      </c>
    </row>
    <row r="25" spans="1:16" ht="15" customHeight="1">
      <c r="A25" s="10" t="s">
        <v>199</v>
      </c>
      <c r="B25" s="59">
        <v>154890</v>
      </c>
      <c r="C25" s="238">
        <v>0.091</v>
      </c>
      <c r="D25" s="28">
        <f t="shared" si="8"/>
        <v>14094.99</v>
      </c>
      <c r="E25" s="59">
        <f>+B25</f>
        <v>154890</v>
      </c>
      <c r="F25" s="238">
        <f>+C25</f>
        <v>0.091</v>
      </c>
      <c r="G25" s="28">
        <f t="shared" si="9"/>
        <v>14094.99</v>
      </c>
      <c r="H25" s="50">
        <f t="shared" si="10"/>
        <v>0</v>
      </c>
      <c r="I25" s="14">
        <f t="shared" si="11"/>
        <v>0</v>
      </c>
      <c r="L25" s="246">
        <f t="shared" si="2"/>
        <v>154890</v>
      </c>
      <c r="M25" s="238">
        <f t="shared" si="1"/>
        <v>0.091</v>
      </c>
      <c r="N25" s="251">
        <f>L25*M25</f>
        <v>14094.99</v>
      </c>
      <c r="O25" s="50">
        <f t="shared" si="3"/>
        <v>0</v>
      </c>
      <c r="P25" s="14">
        <f t="shared" si="12"/>
        <v>0</v>
      </c>
    </row>
    <row r="26" spans="1:16" ht="15.75" thickBot="1">
      <c r="A26" s="7" t="s">
        <v>3</v>
      </c>
      <c r="B26" s="46"/>
      <c r="C26" s="44"/>
      <c r="D26" s="54">
        <f>SUM(D19:D25)</f>
        <v>20014.4273</v>
      </c>
      <c r="E26" s="46"/>
      <c r="F26" s="55"/>
      <c r="G26" s="54">
        <f>SUM(G19:G25)</f>
        <v>20026.0203</v>
      </c>
      <c r="H26" s="46">
        <f>+G26-D26</f>
        <v>11.593000000000757</v>
      </c>
      <c r="I26" s="16">
        <f>+H26/D26</f>
        <v>0.0005792321621913587</v>
      </c>
      <c r="L26" s="252"/>
      <c r="M26" s="55"/>
      <c r="N26" s="253">
        <f>SUM(N19:N25)</f>
        <v>19856.5943</v>
      </c>
      <c r="O26" s="55">
        <f t="shared" si="3"/>
        <v>-157.83299999999872</v>
      </c>
      <c r="P26" s="16">
        <f t="shared" si="7"/>
        <v>-0.007885961343495385</v>
      </c>
    </row>
    <row r="27" spans="1:7" ht="15.75" thickBot="1">
      <c r="A27" s="17"/>
      <c r="B27" s="38" t="s">
        <v>11</v>
      </c>
      <c r="C27" s="38" t="s">
        <v>12</v>
      </c>
      <c r="D27" s="39" t="s">
        <v>13</v>
      </c>
      <c r="E27" s="38" t="s">
        <v>90</v>
      </c>
      <c r="F27" s="38" t="s">
        <v>91</v>
      </c>
      <c r="G27" s="38" t="s">
        <v>92</v>
      </c>
    </row>
    <row r="28" spans="1:7" ht="16.5" thickBot="1" thickTop="1">
      <c r="A28" s="31" t="s">
        <v>93</v>
      </c>
      <c r="B28" s="32">
        <v>150000</v>
      </c>
      <c r="C28" s="32">
        <f>ROUND(+B28/E28,0)</f>
        <v>349</v>
      </c>
      <c r="D28" s="32">
        <f>ROUND(+C28/F28,0)</f>
        <v>388</v>
      </c>
      <c r="E28" s="33">
        <v>430</v>
      </c>
      <c r="F28" s="34">
        <v>0.9</v>
      </c>
      <c r="G28" s="35">
        <v>1</v>
      </c>
    </row>
    <row r="29" spans="1:2" ht="16.5" thickBot="1" thickTop="1">
      <c r="A29" s="40" t="s">
        <v>94</v>
      </c>
      <c r="B29" s="41">
        <f>1.0376</f>
        <v>1.0376</v>
      </c>
    </row>
    <row r="30" spans="3:7" ht="15.75" thickTop="1">
      <c r="C30" t="s">
        <v>10</v>
      </c>
      <c r="D30" s="156"/>
      <c r="G30" s="156"/>
    </row>
    <row r="31" spans="3:7" ht="15">
      <c r="C31" t="s">
        <v>10</v>
      </c>
      <c r="D31" s="156"/>
      <c r="G31" s="156"/>
    </row>
    <row r="39" spans="1:2" ht="15">
      <c r="A39"/>
      <c r="B39" t="s">
        <v>10</v>
      </c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83" r:id="rId1"/>
  <headerFooter>
    <oddHeader>&amp;RToronto Hydro-Electric System Limited
EB-2012-0064
Tab 9
Schedule 2-3
Filed:  2013 Aug 19
page &amp;P of &amp;N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68.7109375" style="1" customWidth="1"/>
    <col min="2" max="2" width="17.421875" style="0" customWidth="1"/>
    <col min="3" max="3" width="11.421875" style="0" customWidth="1"/>
    <col min="4" max="4" width="15.8515625" style="0" customWidth="1"/>
    <col min="5" max="5" width="15.421875" style="0" customWidth="1"/>
    <col min="6" max="6" width="10.7109375" style="0" customWidth="1"/>
    <col min="7" max="7" width="14.140625" style="0" customWidth="1"/>
    <col min="8" max="8" width="14.8515625" style="0" customWidth="1"/>
    <col min="9" max="9" width="10.7109375" style="0" customWidth="1"/>
    <col min="10" max="10" width="9.57421875" style="0" hidden="1" customWidth="1"/>
    <col min="11" max="11" width="8.8515625" style="0" hidden="1" customWidth="1"/>
    <col min="12" max="14" width="11.7109375" style="0" hidden="1" customWidth="1"/>
    <col min="15" max="15" width="10.28125" style="0" hidden="1" customWidth="1"/>
    <col min="16" max="16" width="9.140625" style="0" hidden="1" customWidth="1"/>
  </cols>
  <sheetData>
    <row r="1" spans="1:16" ht="15.75" thickBot="1">
      <c r="A1" s="8" t="s">
        <v>362</v>
      </c>
      <c r="B1" s="2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.75" thickBot="1">
      <c r="A2" s="9"/>
      <c r="B2" s="11" t="s">
        <v>5</v>
      </c>
      <c r="C2" s="12" t="s">
        <v>6</v>
      </c>
      <c r="D2" s="12" t="s">
        <v>7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 customHeight="1">
      <c r="A3" s="10" t="s">
        <v>95</v>
      </c>
      <c r="B3" s="47">
        <v>1</v>
      </c>
      <c r="C3" s="49">
        <v>693.06</v>
      </c>
      <c r="D3" s="28">
        <f>+B3*C3</f>
        <v>693.06</v>
      </c>
      <c r="E3" s="47">
        <v>1</v>
      </c>
      <c r="F3" s="49">
        <f>+'2014 Proposed Rates'!S8</f>
        <v>695</v>
      </c>
      <c r="G3" s="28">
        <f>+E3*F3</f>
        <v>695</v>
      </c>
      <c r="H3" s="50">
        <f>+G3-D3</f>
        <v>1.9400000000000546</v>
      </c>
      <c r="I3" s="14">
        <f>IF(D3=0,"n/a",H3/D3)</f>
        <v>0.0027991804461374985</v>
      </c>
      <c r="J3" s="156"/>
      <c r="L3" s="47">
        <f>E3</f>
        <v>1</v>
      </c>
      <c r="M3" s="49">
        <f aca="true" t="shared" si="0" ref="M3:M25">F3</f>
        <v>695</v>
      </c>
      <c r="N3" s="28">
        <f>L3*M3</f>
        <v>695</v>
      </c>
      <c r="O3" s="50">
        <f>N3-D3</f>
        <v>1.9400000000000546</v>
      </c>
      <c r="P3" s="14">
        <f>IF(D3=0,"n/a",O3/D3)</f>
        <v>0.0027991804461374985</v>
      </c>
    </row>
    <row r="4" spans="1:16" ht="15" customHeight="1">
      <c r="A4" s="10" t="s">
        <v>396</v>
      </c>
      <c r="B4" s="59">
        <v>1778</v>
      </c>
      <c r="C4" s="52">
        <v>4.4925</v>
      </c>
      <c r="D4" s="28">
        <f aca="true" t="shared" si="1" ref="D4:D25">+B4*C4</f>
        <v>7987.664999999999</v>
      </c>
      <c r="E4" s="59">
        <f>D28</f>
        <v>1778</v>
      </c>
      <c r="F4" s="52">
        <f>+'2014 Proposed Rates'!T8</f>
        <v>4.5051</v>
      </c>
      <c r="G4" s="28">
        <f aca="true" t="shared" si="2" ref="G4:G25">+E4*F4</f>
        <v>8010.0678</v>
      </c>
      <c r="H4" s="50">
        <f>+G4-D4</f>
        <v>22.402800000000752</v>
      </c>
      <c r="I4" s="14">
        <f>IF(D4=0,"n/a",H4/D4)</f>
        <v>0.002804674457429143</v>
      </c>
      <c r="J4" s="173">
        <f>SUM(H3:H4)/SUM(D3:D4)</f>
        <v>0.0028042358213168613</v>
      </c>
      <c r="L4" s="47">
        <f aca="true" t="shared" si="3" ref="L4:L25">E4</f>
        <v>1778</v>
      </c>
      <c r="M4" s="52">
        <f t="shared" si="0"/>
        <v>4.5051</v>
      </c>
      <c r="N4" s="28">
        <f>L4*M4</f>
        <v>8010.0678</v>
      </c>
      <c r="O4" s="50">
        <f aca="true" t="shared" si="4" ref="O4:O26">N4-D4</f>
        <v>22.402800000000752</v>
      </c>
      <c r="P4" s="14">
        <f>IF(D4=0,"n/a",O4/D4)</f>
        <v>0.002804674457429143</v>
      </c>
    </row>
    <row r="5" spans="1:16" ht="15" customHeight="1">
      <c r="A5" s="10" t="s">
        <v>397</v>
      </c>
      <c r="B5" s="59">
        <v>1</v>
      </c>
      <c r="C5" s="49">
        <v>0.68</v>
      </c>
      <c r="D5" s="28">
        <f t="shared" si="1"/>
        <v>0.68</v>
      </c>
      <c r="E5" s="59">
        <f>+B5</f>
        <v>1</v>
      </c>
      <c r="F5" s="49">
        <f>+C5</f>
        <v>0.68</v>
      </c>
      <c r="G5" s="28">
        <f t="shared" si="2"/>
        <v>0.68</v>
      </c>
      <c r="H5" s="50">
        <f>+G5-D5</f>
        <v>0</v>
      </c>
      <c r="I5" s="14">
        <f>IF(D5=0,"n/a",H5/D5)</f>
        <v>0</v>
      </c>
      <c r="L5" s="47">
        <f t="shared" si="3"/>
        <v>1</v>
      </c>
      <c r="M5" s="49">
        <f t="shared" si="0"/>
        <v>0.68</v>
      </c>
      <c r="N5" s="28">
        <f>L5*M5</f>
        <v>0.68</v>
      </c>
      <c r="O5" s="50">
        <f t="shared" si="4"/>
        <v>0</v>
      </c>
      <c r="P5" s="14">
        <f>IF(D5=0,"n/a",O5/D5)</f>
        <v>0</v>
      </c>
    </row>
    <row r="6" spans="1:16" ht="15" customHeight="1">
      <c r="A6" s="10" t="s">
        <v>399</v>
      </c>
      <c r="B6" s="57">
        <v>1778</v>
      </c>
      <c r="C6" s="30">
        <v>-0.0113</v>
      </c>
      <c r="D6" s="28">
        <f t="shared" si="1"/>
        <v>-20.0914</v>
      </c>
      <c r="E6" s="59">
        <f>+E4</f>
        <v>1778</v>
      </c>
      <c r="F6" s="52">
        <f>+'2014 Proposed Rates'!U8</f>
        <v>-0.0047</v>
      </c>
      <c r="G6" s="28">
        <f t="shared" si="2"/>
        <v>-8.3566</v>
      </c>
      <c r="H6" s="50">
        <f>+G6-D6</f>
        <v>11.7348</v>
      </c>
      <c r="I6" s="14">
        <f>IF(D6=0,"n/a",H6/D6)</f>
        <v>-0.584070796460177</v>
      </c>
      <c r="L6" s="47"/>
      <c r="M6" s="52"/>
      <c r="N6" s="28"/>
      <c r="O6" s="50"/>
      <c r="P6" s="14"/>
    </row>
    <row r="7" spans="1:16" ht="15" customHeight="1">
      <c r="A7" s="10" t="s">
        <v>400</v>
      </c>
      <c r="B7" s="47">
        <v>1</v>
      </c>
      <c r="C7" s="30">
        <v>27.34</v>
      </c>
      <c r="D7" s="28">
        <f t="shared" si="1"/>
        <v>27.34</v>
      </c>
      <c r="E7" s="59">
        <v>1</v>
      </c>
      <c r="F7" s="49">
        <f>+'2014 Proposed Rates'!AA8</f>
        <v>27.34</v>
      </c>
      <c r="G7" s="28">
        <f t="shared" si="2"/>
        <v>27.34</v>
      </c>
      <c r="H7" s="50">
        <f>+G7-D7</f>
        <v>0</v>
      </c>
      <c r="I7" s="14">
        <f>IF(D7=0,"n/a",H7/D7)</f>
        <v>0</v>
      </c>
      <c r="L7" s="47"/>
      <c r="M7" s="52"/>
      <c r="N7" s="28"/>
      <c r="O7" s="50"/>
      <c r="P7" s="14"/>
    </row>
    <row r="8" spans="1:16" ht="15" customHeight="1">
      <c r="A8" s="10" t="s">
        <v>400</v>
      </c>
      <c r="B8" s="47">
        <v>1778</v>
      </c>
      <c r="C8" s="30">
        <v>0.1771</v>
      </c>
      <c r="D8" s="28">
        <f t="shared" si="1"/>
        <v>314.8838</v>
      </c>
      <c r="E8" s="59">
        <v>1778</v>
      </c>
      <c r="F8" s="52">
        <f>+'2014 Proposed Rates'!AB8</f>
        <v>0.1771</v>
      </c>
      <c r="G8" s="28">
        <f t="shared" si="2"/>
        <v>314.8838</v>
      </c>
      <c r="H8" s="50">
        <f>+G8-D8</f>
        <v>0</v>
      </c>
      <c r="I8" s="14">
        <f>IF(D8=0,"n/a",H8/D8)</f>
        <v>0</v>
      </c>
      <c r="L8" s="47"/>
      <c r="M8" s="52"/>
      <c r="N8" s="28"/>
      <c r="O8" s="50"/>
      <c r="P8" s="14"/>
    </row>
    <row r="9" spans="1:16" ht="15" customHeight="1">
      <c r="A9" s="10" t="s">
        <v>403</v>
      </c>
      <c r="B9" s="57">
        <v>1</v>
      </c>
      <c r="C9" s="30">
        <v>2.49</v>
      </c>
      <c r="D9" s="28">
        <f t="shared" si="1"/>
        <v>2.49</v>
      </c>
      <c r="E9" s="59">
        <v>1</v>
      </c>
      <c r="F9" s="49">
        <f>+'2014 Proposed Rates'!Y8</f>
        <v>2.49</v>
      </c>
      <c r="G9" s="28">
        <f t="shared" si="2"/>
        <v>2.49</v>
      </c>
      <c r="H9" s="50">
        <f aca="true" t="shared" si="5" ref="H9:H14">+G9-D9</f>
        <v>0</v>
      </c>
      <c r="I9" s="14">
        <f aca="true" t="shared" si="6" ref="I9:I14">IF(D9=0,"n/a",H9/D9)</f>
        <v>0</v>
      </c>
      <c r="L9" s="47"/>
      <c r="M9" s="52"/>
      <c r="N9" s="28"/>
      <c r="O9" s="50"/>
      <c r="P9" s="14"/>
    </row>
    <row r="10" spans="1:16" ht="15" customHeight="1">
      <c r="A10" s="10" t="s">
        <v>403</v>
      </c>
      <c r="B10" s="57">
        <v>1778</v>
      </c>
      <c r="C10" s="30">
        <v>0.0161</v>
      </c>
      <c r="D10" s="28">
        <f t="shared" si="1"/>
        <v>28.625799999999998</v>
      </c>
      <c r="E10" s="59">
        <v>1778</v>
      </c>
      <c r="F10" s="52">
        <f>+'2014 Proposed Rates'!Z8</f>
        <v>0.0161</v>
      </c>
      <c r="G10" s="28">
        <f t="shared" si="2"/>
        <v>28.625799999999998</v>
      </c>
      <c r="H10" s="50">
        <f t="shared" si="5"/>
        <v>0</v>
      </c>
      <c r="I10" s="14">
        <f t="shared" si="6"/>
        <v>0</v>
      </c>
      <c r="L10" s="47"/>
      <c r="M10" s="52"/>
      <c r="N10" s="28"/>
      <c r="O10" s="50"/>
      <c r="P10" s="14"/>
    </row>
    <row r="11" spans="1:16" s="996" customFormat="1" ht="15" customHeight="1">
      <c r="A11" s="1061" t="s">
        <v>401</v>
      </c>
      <c r="B11" s="1062">
        <v>0</v>
      </c>
      <c r="C11" s="1063">
        <v>0</v>
      </c>
      <c r="D11" s="1064">
        <f t="shared" si="1"/>
        <v>0</v>
      </c>
      <c r="E11" s="1062">
        <f>+E3</f>
        <v>1</v>
      </c>
      <c r="F11" s="1067">
        <f>+'2014 Proposed Rates'!AC8</f>
        <v>11.44</v>
      </c>
      <c r="G11" s="1064">
        <f t="shared" si="2"/>
        <v>11.44</v>
      </c>
      <c r="H11" s="1065">
        <f t="shared" si="5"/>
        <v>11.44</v>
      </c>
      <c r="I11" s="1066" t="str">
        <f t="shared" si="6"/>
        <v>n/a</v>
      </c>
      <c r="L11" s="47"/>
      <c r="M11" s="52"/>
      <c r="N11" s="28"/>
      <c r="O11" s="50"/>
      <c r="P11" s="14"/>
    </row>
    <row r="12" spans="1:16" s="996" customFormat="1" ht="15" customHeight="1">
      <c r="A12" s="1061" t="s">
        <v>401</v>
      </c>
      <c r="B12" s="1062">
        <v>0</v>
      </c>
      <c r="C12" s="1063">
        <v>0</v>
      </c>
      <c r="D12" s="1064">
        <f t="shared" si="1"/>
        <v>0</v>
      </c>
      <c r="E12" s="1062">
        <f>+E4</f>
        <v>1778</v>
      </c>
      <c r="F12" s="1068">
        <f>+'2014 Proposed Rates'!AD8</f>
        <v>0.0735</v>
      </c>
      <c r="G12" s="1064">
        <f t="shared" si="2"/>
        <v>130.683</v>
      </c>
      <c r="H12" s="1065">
        <f t="shared" si="5"/>
        <v>130.683</v>
      </c>
      <c r="I12" s="1066" t="str">
        <f t="shared" si="6"/>
        <v>n/a</v>
      </c>
      <c r="L12" s="47"/>
      <c r="M12" s="52"/>
      <c r="N12" s="28"/>
      <c r="O12" s="50"/>
      <c r="P12" s="14"/>
    </row>
    <row r="13" spans="1:16" s="996" customFormat="1" ht="15" customHeight="1">
      <c r="A13" s="1061" t="s">
        <v>402</v>
      </c>
      <c r="B13" s="1062">
        <v>0</v>
      </c>
      <c r="C13" s="1063">
        <v>0</v>
      </c>
      <c r="D13" s="1064">
        <f t="shared" si="1"/>
        <v>0</v>
      </c>
      <c r="E13" s="1062">
        <f>+E3</f>
        <v>1</v>
      </c>
      <c r="F13" s="1067">
        <f>+'2014 Proposed Rates'!AE8</f>
        <v>12.39</v>
      </c>
      <c r="G13" s="1064">
        <f t="shared" si="2"/>
        <v>12.39</v>
      </c>
      <c r="H13" s="1065">
        <f t="shared" si="5"/>
        <v>12.39</v>
      </c>
      <c r="I13" s="1066" t="str">
        <f t="shared" si="6"/>
        <v>n/a</v>
      </c>
      <c r="L13" s="47"/>
      <c r="M13" s="52"/>
      <c r="N13" s="28"/>
      <c r="O13" s="50"/>
      <c r="P13" s="14"/>
    </row>
    <row r="14" spans="1:16" s="996" customFormat="1" ht="15" customHeight="1">
      <c r="A14" s="1061" t="s">
        <v>402</v>
      </c>
      <c r="B14" s="1062">
        <v>0</v>
      </c>
      <c r="C14" s="1063">
        <v>0</v>
      </c>
      <c r="D14" s="1064">
        <f t="shared" si="1"/>
        <v>0</v>
      </c>
      <c r="E14" s="1062">
        <f>+E4</f>
        <v>1778</v>
      </c>
      <c r="F14" s="1068">
        <f>+'2014 Proposed Rates'!AF8</f>
        <v>0.0795</v>
      </c>
      <c r="G14" s="1064">
        <f t="shared" si="2"/>
        <v>141.351</v>
      </c>
      <c r="H14" s="1065">
        <f t="shared" si="5"/>
        <v>141.351</v>
      </c>
      <c r="I14" s="1066" t="str">
        <f t="shared" si="6"/>
        <v>n/a</v>
      </c>
      <c r="L14" s="47"/>
      <c r="M14" s="52"/>
      <c r="N14" s="28"/>
      <c r="O14" s="50"/>
      <c r="P14" s="14"/>
    </row>
    <row r="15" spans="1:16" ht="15" customHeight="1">
      <c r="A15" s="1082" t="s">
        <v>415</v>
      </c>
      <c r="B15" s="57">
        <v>1778</v>
      </c>
      <c r="C15" s="30">
        <v>-0.0588</v>
      </c>
      <c r="D15" s="28">
        <f t="shared" si="1"/>
        <v>-104.54639999999999</v>
      </c>
      <c r="E15" s="59">
        <v>1778</v>
      </c>
      <c r="F15" s="52">
        <f>+'2014 Proposed Rates'!X8</f>
        <v>0</v>
      </c>
      <c r="G15" s="28">
        <f t="shared" si="2"/>
        <v>0</v>
      </c>
      <c r="H15" s="50">
        <f>+G15-D15</f>
        <v>104.54639999999999</v>
      </c>
      <c r="I15" s="14">
        <f>IF(D15=0,"n/a",H15/D15)</f>
        <v>-1</v>
      </c>
      <c r="L15" s="47"/>
      <c r="M15" s="52"/>
      <c r="N15" s="28"/>
      <c r="O15" s="50"/>
      <c r="P15" s="14"/>
    </row>
    <row r="16" spans="1:16" ht="15" customHeight="1">
      <c r="A16" s="6" t="s">
        <v>1</v>
      </c>
      <c r="B16" s="58"/>
      <c r="C16" s="43"/>
      <c r="D16" s="53">
        <f>SUM(D3:D15)</f>
        <v>8930.1068</v>
      </c>
      <c r="E16" s="58"/>
      <c r="F16" s="43"/>
      <c r="G16" s="53">
        <f>SUM(G3:G15)</f>
        <v>9366.5948</v>
      </c>
      <c r="H16" s="56">
        <f>SUM(H3:H15)</f>
        <v>436.4880000000008</v>
      </c>
      <c r="I16" s="15">
        <f>+H16/D16</f>
        <v>0.04887825081778426</v>
      </c>
      <c r="J16" s="156"/>
      <c r="L16" s="48">
        <f t="shared" si="3"/>
        <v>0</v>
      </c>
      <c r="M16" s="43"/>
      <c r="N16" s="53">
        <f>SUM(N3:N5)</f>
        <v>8705.747800000001</v>
      </c>
      <c r="O16" s="56">
        <f t="shared" si="4"/>
        <v>-224.35899999999856</v>
      </c>
      <c r="P16" s="15">
        <f aca="true" t="shared" si="7" ref="P16:P26">O16/D16</f>
        <v>-0.02512388765608028</v>
      </c>
    </row>
    <row r="17" spans="1:16" ht="15" customHeight="1">
      <c r="A17" s="10" t="s">
        <v>404</v>
      </c>
      <c r="B17" s="59">
        <v>1600</v>
      </c>
      <c r="C17" s="51">
        <v>2.7455</v>
      </c>
      <c r="D17" s="28">
        <f t="shared" si="1"/>
        <v>4392.799999999999</v>
      </c>
      <c r="E17" s="59">
        <f>+B17</f>
        <v>1600</v>
      </c>
      <c r="F17" s="51">
        <f>+'2014 Proposed Rates'!V8</f>
        <v>2.563</v>
      </c>
      <c r="G17" s="28">
        <f t="shared" si="2"/>
        <v>4100.8</v>
      </c>
      <c r="H17" s="50">
        <f>+G17-D17</f>
        <v>-291.9999999999991</v>
      </c>
      <c r="I17" s="13">
        <f>+H17/D17</f>
        <v>-0.06647240939719522</v>
      </c>
      <c r="L17" s="47">
        <f t="shared" si="3"/>
        <v>1600</v>
      </c>
      <c r="M17" s="51">
        <f t="shared" si="0"/>
        <v>2.563</v>
      </c>
      <c r="N17" s="28">
        <f>L17*M17</f>
        <v>4100.8</v>
      </c>
      <c r="O17" s="50">
        <f t="shared" si="4"/>
        <v>-291.9999999999991</v>
      </c>
      <c r="P17" s="13">
        <f t="shared" si="7"/>
        <v>-0.06647240939719522</v>
      </c>
    </row>
    <row r="18" spans="1:16" ht="15" customHeight="1">
      <c r="A18" s="10" t="s">
        <v>405</v>
      </c>
      <c r="B18" s="59">
        <v>1600</v>
      </c>
      <c r="C18" s="51">
        <v>1.8806</v>
      </c>
      <c r="D18" s="28">
        <f t="shared" si="1"/>
        <v>3008.96</v>
      </c>
      <c r="E18" s="59">
        <f>+B18</f>
        <v>1600</v>
      </c>
      <c r="F18" s="51">
        <f>+'2014 Proposed Rates'!W8</f>
        <v>1.7765</v>
      </c>
      <c r="G18" s="28">
        <f t="shared" si="2"/>
        <v>2842.4</v>
      </c>
      <c r="H18" s="50">
        <f>+G18-D18</f>
        <v>-166.55999999999995</v>
      </c>
      <c r="I18" s="13">
        <f>+H18/D18</f>
        <v>-0.05535467404019992</v>
      </c>
      <c r="L18" s="47">
        <f t="shared" si="3"/>
        <v>1600</v>
      </c>
      <c r="M18" s="51">
        <f t="shared" si="0"/>
        <v>1.7765</v>
      </c>
      <c r="N18" s="28">
        <f>L18*M18</f>
        <v>2842.4</v>
      </c>
      <c r="O18" s="50">
        <f t="shared" si="4"/>
        <v>-166.55999999999995</v>
      </c>
      <c r="P18" s="13">
        <f t="shared" si="7"/>
        <v>-0.05535467404019992</v>
      </c>
    </row>
    <row r="19" spans="1:16" ht="15" customHeight="1">
      <c r="A19" s="1083" t="s">
        <v>415</v>
      </c>
      <c r="B19" s="58"/>
      <c r="C19" s="43"/>
      <c r="D19" s="53">
        <f>SUM(D16:D18)</f>
        <v>16331.8668</v>
      </c>
      <c r="E19" s="58"/>
      <c r="F19" s="43"/>
      <c r="G19" s="53">
        <f>SUM(G16:G18)</f>
        <v>16309.794800000001</v>
      </c>
      <c r="H19" s="56">
        <f>+G19-D19</f>
        <v>-22.071999999998297</v>
      </c>
      <c r="I19" s="15">
        <f>+H19/D19</f>
        <v>-0.001351468284078725</v>
      </c>
      <c r="L19" s="45">
        <f t="shared" si="3"/>
        <v>0</v>
      </c>
      <c r="M19" s="43"/>
      <c r="N19" s="53">
        <f>SUM(N16:N18)</f>
        <v>15648.9478</v>
      </c>
      <c r="O19" s="56">
        <f t="shared" si="4"/>
        <v>-682.9189999999999</v>
      </c>
      <c r="P19" s="15">
        <f t="shared" si="7"/>
        <v>-0.04181512183285746</v>
      </c>
    </row>
    <row r="20" spans="1:16" ht="15" customHeight="1">
      <c r="A20" s="10" t="s">
        <v>406</v>
      </c>
      <c r="B20" s="59">
        <v>830080.0000000001</v>
      </c>
      <c r="C20" s="51">
        <v>0.0044</v>
      </c>
      <c r="D20" s="28">
        <f t="shared" si="1"/>
        <v>3652.3520000000008</v>
      </c>
      <c r="E20" s="59">
        <f>+B20</f>
        <v>830080.0000000001</v>
      </c>
      <c r="F20" s="51">
        <f aca="true" t="shared" si="8" ref="F20:F25">C20</f>
        <v>0.0044</v>
      </c>
      <c r="G20" s="28">
        <f t="shared" si="2"/>
        <v>3652.3520000000008</v>
      </c>
      <c r="H20" s="50">
        <f aca="true" t="shared" si="9" ref="H20:H25">+G20-D20</f>
        <v>0</v>
      </c>
      <c r="I20" s="14">
        <f aca="true" t="shared" si="10" ref="I20:I25">IF(D20=0,"n/a",H20/D20)</f>
        <v>0</v>
      </c>
      <c r="L20" s="47">
        <f t="shared" si="3"/>
        <v>830080.0000000001</v>
      </c>
      <c r="M20" s="51">
        <f t="shared" si="0"/>
        <v>0.0044</v>
      </c>
      <c r="N20" s="174">
        <f>L20*M20</f>
        <v>3652.3520000000008</v>
      </c>
      <c r="O20" s="50">
        <f t="shared" si="4"/>
        <v>0</v>
      </c>
      <c r="P20" s="14">
        <f aca="true" t="shared" si="11" ref="P20:P25">IF(D20=0,"n/a",O20/D20)</f>
        <v>0</v>
      </c>
    </row>
    <row r="21" spans="1:16" ht="15" customHeight="1">
      <c r="A21" s="10" t="s">
        <v>407</v>
      </c>
      <c r="B21" s="59">
        <v>830080.0000000001</v>
      </c>
      <c r="C21" s="51">
        <v>0.0012</v>
      </c>
      <c r="D21" s="28">
        <f t="shared" si="1"/>
        <v>996.096</v>
      </c>
      <c r="E21" s="59">
        <f>+B21</f>
        <v>830080.0000000001</v>
      </c>
      <c r="F21" s="51">
        <f t="shared" si="8"/>
        <v>0.0012</v>
      </c>
      <c r="G21" s="28">
        <f t="shared" si="2"/>
        <v>996.096</v>
      </c>
      <c r="H21" s="50">
        <f t="shared" si="9"/>
        <v>0</v>
      </c>
      <c r="I21" s="14">
        <f t="shared" si="10"/>
        <v>0</v>
      </c>
      <c r="L21" s="47">
        <f t="shared" si="3"/>
        <v>830080.0000000001</v>
      </c>
      <c r="M21" s="51">
        <f t="shared" si="0"/>
        <v>0.0012</v>
      </c>
      <c r="N21" s="174">
        <f>L21*M21</f>
        <v>996.096</v>
      </c>
      <c r="O21" s="50">
        <f t="shared" si="4"/>
        <v>0</v>
      </c>
      <c r="P21" s="14">
        <f t="shared" si="11"/>
        <v>0</v>
      </c>
    </row>
    <row r="22" spans="1:16" ht="15" customHeight="1">
      <c r="A22" s="10" t="s">
        <v>409</v>
      </c>
      <c r="B22" s="59">
        <v>800000</v>
      </c>
      <c r="C22" s="51">
        <v>0.007</v>
      </c>
      <c r="D22" s="28">
        <f t="shared" si="1"/>
        <v>5600</v>
      </c>
      <c r="E22" s="59">
        <f>+B22</f>
        <v>800000</v>
      </c>
      <c r="F22" s="51">
        <f t="shared" si="8"/>
        <v>0.007</v>
      </c>
      <c r="G22" s="28">
        <f t="shared" si="2"/>
        <v>5600</v>
      </c>
      <c r="H22" s="50">
        <f t="shared" si="9"/>
        <v>0</v>
      </c>
      <c r="I22" s="14">
        <f t="shared" si="10"/>
        <v>0</v>
      </c>
      <c r="L22" s="47">
        <f t="shared" si="3"/>
        <v>800000</v>
      </c>
      <c r="M22" s="51">
        <f t="shared" si="0"/>
        <v>0.007</v>
      </c>
      <c r="N22" s="174">
        <f>L22*M22</f>
        <v>5600</v>
      </c>
      <c r="O22" s="50">
        <f t="shared" si="4"/>
        <v>0</v>
      </c>
      <c r="P22" s="14">
        <f t="shared" si="11"/>
        <v>0</v>
      </c>
    </row>
    <row r="23" spans="1:16" ht="15" customHeight="1">
      <c r="A23" s="10" t="s">
        <v>408</v>
      </c>
      <c r="B23" s="59">
        <v>1</v>
      </c>
      <c r="C23" s="50">
        <v>0.25</v>
      </c>
      <c r="D23" s="28">
        <f t="shared" si="1"/>
        <v>0.25</v>
      </c>
      <c r="E23" s="59">
        <f>+B23</f>
        <v>1</v>
      </c>
      <c r="F23" s="50">
        <f t="shared" si="8"/>
        <v>0.25</v>
      </c>
      <c r="G23" s="28">
        <f t="shared" si="2"/>
        <v>0.25</v>
      </c>
      <c r="H23" s="50">
        <f>+G23-D23</f>
        <v>0</v>
      </c>
      <c r="I23" s="14">
        <f t="shared" si="10"/>
        <v>0</v>
      </c>
      <c r="L23" s="47">
        <f t="shared" si="3"/>
        <v>1</v>
      </c>
      <c r="M23" s="50">
        <f t="shared" si="0"/>
        <v>0.25</v>
      </c>
      <c r="N23" s="174">
        <f>L23*M23</f>
        <v>0.25</v>
      </c>
      <c r="O23" s="50">
        <f t="shared" si="4"/>
        <v>0</v>
      </c>
      <c r="P23" s="14">
        <f t="shared" si="11"/>
        <v>0</v>
      </c>
    </row>
    <row r="24" spans="1:16" ht="15" customHeight="1">
      <c r="A24" s="10" t="s">
        <v>198</v>
      </c>
      <c r="B24" s="59">
        <v>750</v>
      </c>
      <c r="C24" s="238">
        <v>0.078</v>
      </c>
      <c r="D24" s="28">
        <f t="shared" si="1"/>
        <v>58.5</v>
      </c>
      <c r="E24" s="59">
        <f>+B24</f>
        <v>750</v>
      </c>
      <c r="F24" s="238">
        <f t="shared" si="8"/>
        <v>0.078</v>
      </c>
      <c r="G24" s="28">
        <f t="shared" si="2"/>
        <v>58.5</v>
      </c>
      <c r="H24" s="50">
        <f t="shared" si="9"/>
        <v>0</v>
      </c>
      <c r="I24" s="14">
        <f t="shared" si="10"/>
        <v>0</v>
      </c>
      <c r="L24" s="47">
        <f t="shared" si="3"/>
        <v>750</v>
      </c>
      <c r="M24" s="238">
        <f t="shared" si="0"/>
        <v>0.078</v>
      </c>
      <c r="N24" s="174">
        <f>L24*M24</f>
        <v>58.5</v>
      </c>
      <c r="O24" s="50">
        <f t="shared" si="4"/>
        <v>0</v>
      </c>
      <c r="P24" s="14">
        <f t="shared" si="11"/>
        <v>0</v>
      </c>
    </row>
    <row r="25" spans="1:16" ht="15" customHeight="1">
      <c r="A25" s="10" t="s">
        <v>199</v>
      </c>
      <c r="B25" s="59">
        <v>829330.0000000001</v>
      </c>
      <c r="C25" s="238">
        <v>0.091</v>
      </c>
      <c r="D25" s="28">
        <f t="shared" si="1"/>
        <v>75469.03000000001</v>
      </c>
      <c r="E25" s="59">
        <f>+B25</f>
        <v>829330.0000000001</v>
      </c>
      <c r="F25" s="238">
        <f t="shared" si="8"/>
        <v>0.091</v>
      </c>
      <c r="G25" s="28">
        <f t="shared" si="2"/>
        <v>75469.03000000001</v>
      </c>
      <c r="H25" s="50">
        <f t="shared" si="9"/>
        <v>0</v>
      </c>
      <c r="I25" s="14">
        <f t="shared" si="10"/>
        <v>0</v>
      </c>
      <c r="L25" s="47">
        <f t="shared" si="3"/>
        <v>829330.0000000001</v>
      </c>
      <c r="M25" s="238">
        <f t="shared" si="0"/>
        <v>0.091</v>
      </c>
      <c r="N25" s="174">
        <f>L25*M25</f>
        <v>75469.03000000001</v>
      </c>
      <c r="O25" s="50">
        <f t="shared" si="4"/>
        <v>0</v>
      </c>
      <c r="P25" s="14">
        <f t="shared" si="11"/>
        <v>0</v>
      </c>
    </row>
    <row r="26" spans="1:16" ht="15" customHeight="1" thickBot="1">
      <c r="A26" s="7" t="s">
        <v>3</v>
      </c>
      <c r="B26" s="46"/>
      <c r="C26" s="44"/>
      <c r="D26" s="54">
        <f>SUM(D19:D25)</f>
        <v>102108.09480000002</v>
      </c>
      <c r="E26" s="46"/>
      <c r="F26" s="55"/>
      <c r="G26" s="54">
        <f>SUM(G19:G25)</f>
        <v>102086.02280000002</v>
      </c>
      <c r="H26" s="46">
        <f>+G26-D26</f>
        <v>-22.072000000000116</v>
      </c>
      <c r="I26" s="16">
        <f>+H26/D26</f>
        <v>-0.00021616307740569176</v>
      </c>
      <c r="L26" s="46"/>
      <c r="M26" s="55"/>
      <c r="N26" s="54">
        <f>SUM(N19:N25)</f>
        <v>101425.17580000001</v>
      </c>
      <c r="O26" s="46">
        <f t="shared" si="4"/>
        <v>-682.919000000009</v>
      </c>
      <c r="P26" s="16">
        <f t="shared" si="7"/>
        <v>-0.006688196477837023</v>
      </c>
    </row>
    <row r="27" spans="1:7" ht="15.75" thickBot="1">
      <c r="A27" s="17"/>
      <c r="B27" s="38" t="s">
        <v>11</v>
      </c>
      <c r="C27" s="38" t="s">
        <v>12</v>
      </c>
      <c r="D27" s="39" t="s">
        <v>13</v>
      </c>
      <c r="E27" s="38" t="s">
        <v>90</v>
      </c>
      <c r="F27" s="38" t="s">
        <v>91</v>
      </c>
      <c r="G27" s="38" t="s">
        <v>92</v>
      </c>
    </row>
    <row r="28" spans="1:7" ht="16.5" thickBot="1" thickTop="1">
      <c r="A28" s="31" t="s">
        <v>10</v>
      </c>
      <c r="B28" s="32">
        <v>800000</v>
      </c>
      <c r="C28" s="32">
        <f>ROUND(+B28/E28,0)</f>
        <v>1600</v>
      </c>
      <c r="D28" s="32">
        <f>ROUND(+C28/F28,0)</f>
        <v>1778</v>
      </c>
      <c r="E28" s="33">
        <v>500</v>
      </c>
      <c r="F28" s="34">
        <v>0.9</v>
      </c>
      <c r="G28" s="35">
        <v>1</v>
      </c>
    </row>
    <row r="29" spans="1:7" ht="16.5" thickBot="1" thickTop="1">
      <c r="A29" s="40" t="s">
        <v>94</v>
      </c>
      <c r="B29" s="41">
        <f>1.0376</f>
        <v>1.0376</v>
      </c>
      <c r="G29" t="s">
        <v>10</v>
      </c>
    </row>
    <row r="30" spans="4:7" ht="15.75" thickTop="1">
      <c r="D30" s="156"/>
      <c r="G30" s="156"/>
    </row>
    <row r="31" spans="4:7" ht="15">
      <c r="D31" s="156"/>
      <c r="G31" s="156"/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76" r:id="rId1"/>
  <headerFooter>
    <oddHeader>&amp;RToronto Hydro-Electric System Limited
EB-2012-0064
Tab 9
Schedule 2-3
Filed:  2013 Aug 19
page &amp;P of &amp;N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68.57421875" style="1" customWidth="1"/>
    <col min="2" max="2" width="17.421875" style="0" customWidth="1"/>
    <col min="3" max="3" width="11.57421875" style="0" customWidth="1"/>
    <col min="4" max="4" width="16.8515625" style="0" customWidth="1"/>
    <col min="5" max="5" width="15.421875" style="0" customWidth="1"/>
    <col min="6" max="6" width="10.7109375" style="0" customWidth="1"/>
    <col min="7" max="7" width="14.140625" style="0" customWidth="1"/>
    <col min="8" max="8" width="11.00390625" style="0" customWidth="1"/>
    <col min="9" max="9" width="10.7109375" style="0" customWidth="1"/>
    <col min="10" max="10" width="10.57421875" style="0" hidden="1" customWidth="1"/>
    <col min="11" max="11" width="8.8515625" style="0" hidden="1" customWidth="1"/>
    <col min="12" max="14" width="13.7109375" style="0" hidden="1" customWidth="1"/>
    <col min="15" max="15" width="11.140625" style="0" hidden="1" customWidth="1"/>
    <col min="16" max="16" width="9.140625" style="0" hidden="1" customWidth="1"/>
  </cols>
  <sheetData>
    <row r="1" spans="1:16" ht="15.75" thickBot="1">
      <c r="A1" s="8" t="s">
        <v>363</v>
      </c>
      <c r="B1" s="2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.75" thickBot="1">
      <c r="A2" s="9"/>
      <c r="B2" s="11" t="s">
        <v>5</v>
      </c>
      <c r="C2" s="12" t="s">
        <v>6</v>
      </c>
      <c r="D2" s="12" t="s">
        <v>7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>
      <c r="A3" s="10" t="s">
        <v>95</v>
      </c>
      <c r="B3" s="47">
        <v>1</v>
      </c>
      <c r="C3" s="49">
        <v>3038.05</v>
      </c>
      <c r="D3" s="28">
        <f>+B3*C3</f>
        <v>3038.05</v>
      </c>
      <c r="E3" s="47">
        <v>1</v>
      </c>
      <c r="F3" s="49">
        <f>+'2014 Proposed Rates'!S9</f>
        <v>3046.56</v>
      </c>
      <c r="G3" s="28">
        <f>+E3*F3</f>
        <v>3046.56</v>
      </c>
      <c r="H3" s="50">
        <f>+G3-D3</f>
        <v>8.509999999999764</v>
      </c>
      <c r="I3" s="14">
        <f>IF(D3=0,"n/a",H3/D3)</f>
        <v>0.0028011388884316463</v>
      </c>
      <c r="J3" s="156"/>
      <c r="L3" s="47">
        <f>E3</f>
        <v>1</v>
      </c>
      <c r="M3" s="49">
        <f aca="true" t="shared" si="0" ref="M3:M25">F3</f>
        <v>3046.56</v>
      </c>
      <c r="N3" s="28">
        <f>L3*M3</f>
        <v>3046.56</v>
      </c>
      <c r="O3" s="50">
        <f>N3-D3</f>
        <v>8.509999999999764</v>
      </c>
      <c r="P3" s="14">
        <f>IF(D3=0,"n/a",O3/D3)</f>
        <v>0.0028011388884316463</v>
      </c>
    </row>
    <row r="4" spans="1:16" ht="15">
      <c r="A4" s="10" t="s">
        <v>396</v>
      </c>
      <c r="B4" s="47">
        <v>9434</v>
      </c>
      <c r="C4" s="52">
        <v>4.7862</v>
      </c>
      <c r="D4" s="28">
        <f aca="true" t="shared" si="1" ref="D4:D25">+B4*C4</f>
        <v>45153.010800000004</v>
      </c>
      <c r="E4" s="47">
        <f>B4</f>
        <v>9434</v>
      </c>
      <c r="F4" s="52">
        <f>+'2014 Proposed Rates'!T9</f>
        <v>4.7996</v>
      </c>
      <c r="G4" s="28">
        <f aca="true" t="shared" si="2" ref="G4:G25">+E4*F4</f>
        <v>45279.4264</v>
      </c>
      <c r="H4" s="50">
        <f>+G4-D4</f>
        <v>126.41559999999299</v>
      </c>
      <c r="I4" s="14">
        <f>IF(D4=0,"n/a",H4/D4)</f>
        <v>0.0027997158497344984</v>
      </c>
      <c r="J4" s="173">
        <f>SUM(H3:H4)/SUM(D3:D4)</f>
        <v>0.002799805560619507</v>
      </c>
      <c r="L4" s="47">
        <f aca="true" t="shared" si="3" ref="L4:L25">E4</f>
        <v>9434</v>
      </c>
      <c r="M4" s="52">
        <f t="shared" si="0"/>
        <v>4.7996</v>
      </c>
      <c r="N4" s="28">
        <f>L4*M4</f>
        <v>45279.4264</v>
      </c>
      <c r="O4" s="50">
        <f aca="true" t="shared" si="4" ref="O4:O26">N4-D4</f>
        <v>126.41559999999299</v>
      </c>
      <c r="P4" s="14">
        <f>IF(D4=0,"n/a",O4/D4)</f>
        <v>0.0027997158497344984</v>
      </c>
    </row>
    <row r="5" spans="1:16" ht="15" customHeight="1">
      <c r="A5" s="10" t="s">
        <v>397</v>
      </c>
      <c r="B5" s="47">
        <v>1</v>
      </c>
      <c r="C5" s="49">
        <v>0.68</v>
      </c>
      <c r="D5" s="28">
        <f t="shared" si="1"/>
        <v>0.68</v>
      </c>
      <c r="E5" s="47">
        <f>+B5</f>
        <v>1</v>
      </c>
      <c r="F5" s="49">
        <f>+C5</f>
        <v>0.68</v>
      </c>
      <c r="G5" s="28">
        <f t="shared" si="2"/>
        <v>0.68</v>
      </c>
      <c r="H5" s="50">
        <f>+G5-D5</f>
        <v>0</v>
      </c>
      <c r="I5" s="14">
        <f>IF(D5=0,"n/a",H5/D5)</f>
        <v>0</v>
      </c>
      <c r="L5" s="47">
        <f t="shared" si="3"/>
        <v>1</v>
      </c>
      <c r="M5" s="49">
        <f t="shared" si="0"/>
        <v>0.68</v>
      </c>
      <c r="N5" s="28">
        <f>L5*M5</f>
        <v>0.68</v>
      </c>
      <c r="O5" s="50">
        <f t="shared" si="4"/>
        <v>0</v>
      </c>
      <c r="P5" s="14">
        <f>IF(D5=0,"n/a",O5/D5)</f>
        <v>0</v>
      </c>
    </row>
    <row r="6" spans="1:16" ht="15">
      <c r="A6" s="10" t="s">
        <v>399</v>
      </c>
      <c r="B6" s="57">
        <v>9434</v>
      </c>
      <c r="C6" s="30">
        <v>-0.0118</v>
      </c>
      <c r="D6" s="28">
        <f t="shared" si="1"/>
        <v>-111.32119999999999</v>
      </c>
      <c r="E6" s="47">
        <f>+E4</f>
        <v>9434</v>
      </c>
      <c r="F6" s="52">
        <f>+'2014 Proposed Rates'!U9</f>
        <v>-0.0049</v>
      </c>
      <c r="G6" s="28">
        <f t="shared" si="2"/>
        <v>-46.2266</v>
      </c>
      <c r="H6" s="50">
        <f>+G6-D6</f>
        <v>65.09459999999999</v>
      </c>
      <c r="I6" s="14">
        <f>IF(D6=0,"n/a",H6/D6)</f>
        <v>-0.5847457627118643</v>
      </c>
      <c r="L6" s="47"/>
      <c r="M6" s="52"/>
      <c r="N6" s="28"/>
      <c r="O6" s="50"/>
      <c r="P6" s="14"/>
    </row>
    <row r="7" spans="1:16" ht="15">
      <c r="A7" s="10" t="s">
        <v>400</v>
      </c>
      <c r="B7" s="47">
        <v>1</v>
      </c>
      <c r="C7" s="30">
        <v>119.83</v>
      </c>
      <c r="D7" s="28">
        <f t="shared" si="1"/>
        <v>119.83</v>
      </c>
      <c r="E7" s="47">
        <v>1</v>
      </c>
      <c r="F7" s="49">
        <f>+'2014 Proposed Rates'!AA9</f>
        <v>119.83</v>
      </c>
      <c r="G7" s="28">
        <f>+E7*F7</f>
        <v>119.83</v>
      </c>
      <c r="H7" s="50">
        <f>+G7-D7</f>
        <v>0</v>
      </c>
      <c r="I7" s="14">
        <f>IF(D7=0,"n/a",H7/D7)</f>
        <v>0</v>
      </c>
      <c r="L7" s="47"/>
      <c r="M7" s="52"/>
      <c r="N7" s="28"/>
      <c r="O7" s="50"/>
      <c r="P7" s="14"/>
    </row>
    <row r="8" spans="1:16" ht="15">
      <c r="A8" s="10" t="s">
        <v>400</v>
      </c>
      <c r="B8" s="47">
        <v>9434</v>
      </c>
      <c r="C8" s="30">
        <v>0.1887</v>
      </c>
      <c r="D8" s="28">
        <f t="shared" si="1"/>
        <v>1780.1958</v>
      </c>
      <c r="E8" s="47">
        <v>9434</v>
      </c>
      <c r="F8" s="52">
        <f>+'2014 Proposed Rates'!AB9</f>
        <v>0.1887</v>
      </c>
      <c r="G8" s="28">
        <f>+E8*F8</f>
        <v>1780.1958</v>
      </c>
      <c r="H8" s="50">
        <f>+G8-D8</f>
        <v>0</v>
      </c>
      <c r="I8" s="14">
        <f>IF(D8=0,"n/a",H8/D8)</f>
        <v>0</v>
      </c>
      <c r="L8" s="47"/>
      <c r="M8" s="52"/>
      <c r="N8" s="28"/>
      <c r="O8" s="50"/>
      <c r="P8" s="14"/>
    </row>
    <row r="9" spans="1:16" ht="15">
      <c r="A9" s="10" t="s">
        <v>403</v>
      </c>
      <c r="B9" s="57">
        <v>1</v>
      </c>
      <c r="C9" s="30">
        <v>10.9</v>
      </c>
      <c r="D9" s="28">
        <f t="shared" si="1"/>
        <v>10.9</v>
      </c>
      <c r="E9" s="47">
        <v>1</v>
      </c>
      <c r="F9" s="49">
        <f>+'2014 Proposed Rates'!Y9</f>
        <v>10.9</v>
      </c>
      <c r="G9" s="28">
        <f t="shared" si="2"/>
        <v>10.9</v>
      </c>
      <c r="H9" s="50">
        <f aca="true" t="shared" si="5" ref="H9:H14">+G9-D9</f>
        <v>0</v>
      </c>
      <c r="I9" s="14">
        <f aca="true" t="shared" si="6" ref="I9:I14">IF(D9=0,"n/a",H9/D9)</f>
        <v>0</v>
      </c>
      <c r="L9" s="47"/>
      <c r="M9" s="52"/>
      <c r="N9" s="28"/>
      <c r="O9" s="50"/>
      <c r="P9" s="14"/>
    </row>
    <row r="10" spans="1:16" ht="15">
      <c r="A10" s="10" t="s">
        <v>403</v>
      </c>
      <c r="B10" s="57">
        <v>9434</v>
      </c>
      <c r="C10" s="30">
        <v>0.0172</v>
      </c>
      <c r="D10" s="28">
        <f t="shared" si="1"/>
        <v>162.2648</v>
      </c>
      <c r="E10" s="47">
        <v>9434</v>
      </c>
      <c r="F10" s="52">
        <f>+'2014 Proposed Rates'!Z9</f>
        <v>0.0172</v>
      </c>
      <c r="G10" s="28">
        <f t="shared" si="2"/>
        <v>162.2648</v>
      </c>
      <c r="H10" s="50">
        <f t="shared" si="5"/>
        <v>0</v>
      </c>
      <c r="I10" s="14">
        <f t="shared" si="6"/>
        <v>0</v>
      </c>
      <c r="L10" s="47"/>
      <c r="M10" s="52"/>
      <c r="N10" s="28"/>
      <c r="O10" s="50"/>
      <c r="P10" s="14"/>
    </row>
    <row r="11" spans="1:16" s="996" customFormat="1" ht="15">
      <c r="A11" s="1061" t="s">
        <v>401</v>
      </c>
      <c r="B11" s="1062">
        <v>0</v>
      </c>
      <c r="C11" s="1063">
        <v>0</v>
      </c>
      <c r="D11" s="1064">
        <f t="shared" si="1"/>
        <v>0</v>
      </c>
      <c r="E11" s="1062">
        <f>+E3</f>
        <v>1</v>
      </c>
      <c r="F11" s="1067">
        <f>+'2014 Proposed Rates'!AC9</f>
        <v>50.16</v>
      </c>
      <c r="G11" s="1064">
        <f t="shared" si="2"/>
        <v>50.16</v>
      </c>
      <c r="H11" s="1065">
        <f t="shared" si="5"/>
        <v>50.16</v>
      </c>
      <c r="I11" s="1066" t="str">
        <f t="shared" si="6"/>
        <v>n/a</v>
      </c>
      <c r="L11" s="47"/>
      <c r="M11" s="52"/>
      <c r="N11" s="28"/>
      <c r="O11" s="50"/>
      <c r="P11" s="14"/>
    </row>
    <row r="12" spans="1:16" s="996" customFormat="1" ht="15">
      <c r="A12" s="1061" t="s">
        <v>401</v>
      </c>
      <c r="B12" s="1062">
        <v>0</v>
      </c>
      <c r="C12" s="1063">
        <v>0</v>
      </c>
      <c r="D12" s="1064">
        <f t="shared" si="1"/>
        <v>0</v>
      </c>
      <c r="E12" s="1062">
        <f>+E4</f>
        <v>9434</v>
      </c>
      <c r="F12" s="1068">
        <f>+'2014 Proposed Rates'!AD9</f>
        <v>0.0783</v>
      </c>
      <c r="G12" s="1064">
        <f t="shared" si="2"/>
        <v>738.6822</v>
      </c>
      <c r="H12" s="1065">
        <f t="shared" si="5"/>
        <v>738.6822</v>
      </c>
      <c r="I12" s="1066" t="str">
        <f t="shared" si="6"/>
        <v>n/a</v>
      </c>
      <c r="L12" s="47"/>
      <c r="M12" s="52"/>
      <c r="N12" s="28"/>
      <c r="O12" s="50"/>
      <c r="P12" s="14"/>
    </row>
    <row r="13" spans="1:16" s="996" customFormat="1" ht="30">
      <c r="A13" s="1061" t="s">
        <v>402</v>
      </c>
      <c r="B13" s="1062">
        <v>0</v>
      </c>
      <c r="C13" s="1063">
        <v>0</v>
      </c>
      <c r="D13" s="1064">
        <f t="shared" si="1"/>
        <v>0</v>
      </c>
      <c r="E13" s="1062">
        <f>+E3</f>
        <v>1</v>
      </c>
      <c r="F13" s="1067">
        <f>+'2014 Proposed Rates'!AE9</f>
        <v>54.31</v>
      </c>
      <c r="G13" s="1064">
        <f t="shared" si="2"/>
        <v>54.31</v>
      </c>
      <c r="H13" s="1065">
        <f t="shared" si="5"/>
        <v>54.31</v>
      </c>
      <c r="I13" s="1066" t="str">
        <f t="shared" si="6"/>
        <v>n/a</v>
      </c>
      <c r="L13" s="47"/>
      <c r="M13" s="52"/>
      <c r="N13" s="28"/>
      <c r="O13" s="50"/>
      <c r="P13" s="14"/>
    </row>
    <row r="14" spans="1:16" s="996" customFormat="1" ht="30">
      <c r="A14" s="1061" t="s">
        <v>402</v>
      </c>
      <c r="B14" s="1062">
        <v>0</v>
      </c>
      <c r="C14" s="1063">
        <v>0</v>
      </c>
      <c r="D14" s="1064">
        <f t="shared" si="1"/>
        <v>0</v>
      </c>
      <c r="E14" s="1062">
        <f>+E4</f>
        <v>9434</v>
      </c>
      <c r="F14" s="1068">
        <f>+'2014 Proposed Rates'!AF9</f>
        <v>0.0847</v>
      </c>
      <c r="G14" s="1064">
        <f t="shared" si="2"/>
        <v>799.0598</v>
      </c>
      <c r="H14" s="1065">
        <f t="shared" si="5"/>
        <v>799.0598</v>
      </c>
      <c r="I14" s="1066" t="str">
        <f t="shared" si="6"/>
        <v>n/a</v>
      </c>
      <c r="L14" s="47"/>
      <c r="M14" s="52"/>
      <c r="N14" s="28"/>
      <c r="O14" s="50"/>
      <c r="P14" s="14"/>
    </row>
    <row r="15" spans="1:16" ht="15">
      <c r="A15" s="1082" t="s">
        <v>415</v>
      </c>
      <c r="B15" s="57">
        <v>9434</v>
      </c>
      <c r="C15" s="30">
        <v>-0.0611</v>
      </c>
      <c r="D15" s="28">
        <f t="shared" si="1"/>
        <v>-576.4174</v>
      </c>
      <c r="E15" s="47">
        <v>9434</v>
      </c>
      <c r="F15" s="52">
        <f>+'2014 Proposed Rates'!X9</f>
        <v>0</v>
      </c>
      <c r="G15" s="28">
        <f t="shared" si="2"/>
        <v>0</v>
      </c>
      <c r="H15" s="50">
        <f>+G15-D15</f>
        <v>576.4174</v>
      </c>
      <c r="I15" s="14">
        <f>IF(D15=0,"n/a",H15/D15)</f>
        <v>-1</v>
      </c>
      <c r="L15" s="47"/>
      <c r="M15" s="52"/>
      <c r="N15" s="28"/>
      <c r="O15" s="50"/>
      <c r="P15" s="14"/>
    </row>
    <row r="16" spans="1:16" ht="15">
      <c r="A16" s="6" t="s">
        <v>1</v>
      </c>
      <c r="B16" s="60"/>
      <c r="C16" s="43"/>
      <c r="D16" s="53">
        <f>SUM(D3:D15)</f>
        <v>49577.19280000001</v>
      </c>
      <c r="E16" s="60"/>
      <c r="F16" s="43"/>
      <c r="G16" s="53">
        <f>SUM(G3:G15)</f>
        <v>51995.8424</v>
      </c>
      <c r="H16" s="56">
        <f>SUM(H3:H15)</f>
        <v>2418.6495999999925</v>
      </c>
      <c r="I16" s="15">
        <f>+H16/D16</f>
        <v>0.04878552946224886</v>
      </c>
      <c r="J16" s="156"/>
      <c r="L16" s="48"/>
      <c r="M16" s="43"/>
      <c r="N16" s="53">
        <f>SUM(N3:N5)</f>
        <v>48326.666399999995</v>
      </c>
      <c r="O16" s="56">
        <f t="shared" si="4"/>
        <v>-1250.526400000017</v>
      </c>
      <c r="P16" s="15">
        <f aca="true" t="shared" si="7" ref="P16:P26">O16/D16</f>
        <v>-0.025223824290430918</v>
      </c>
    </row>
    <row r="17" spans="1:16" ht="15">
      <c r="A17" s="10" t="s">
        <v>404</v>
      </c>
      <c r="B17" s="59">
        <v>8491</v>
      </c>
      <c r="C17" s="51">
        <v>3.1298</v>
      </c>
      <c r="D17" s="28">
        <f t="shared" si="1"/>
        <v>26575.1318</v>
      </c>
      <c r="E17" s="59">
        <f>+B17</f>
        <v>8491</v>
      </c>
      <c r="F17" s="51">
        <f>+'2014 Proposed Rates'!V9</f>
        <v>2.9218</v>
      </c>
      <c r="G17" s="28">
        <f t="shared" si="2"/>
        <v>24809.003800000002</v>
      </c>
      <c r="H17" s="50">
        <f>+G17-D17</f>
        <v>-1766.127999999997</v>
      </c>
      <c r="I17" s="13">
        <f>+H17/D17</f>
        <v>-0.06645792063390621</v>
      </c>
      <c r="L17" s="47">
        <f t="shared" si="3"/>
        <v>8491</v>
      </c>
      <c r="M17" s="51">
        <f t="shared" si="0"/>
        <v>2.9218</v>
      </c>
      <c r="N17" s="28">
        <f>L17*M17</f>
        <v>24809.003800000002</v>
      </c>
      <c r="O17" s="50">
        <f t="shared" si="4"/>
        <v>-1766.127999999997</v>
      </c>
      <c r="P17" s="13">
        <f t="shared" si="7"/>
        <v>-0.06645792063390621</v>
      </c>
    </row>
    <row r="18" spans="1:16" ht="15" customHeight="1">
      <c r="A18" s="10" t="s">
        <v>405</v>
      </c>
      <c r="B18" s="59">
        <v>8491</v>
      </c>
      <c r="C18" s="51">
        <v>2.0893</v>
      </c>
      <c r="D18" s="28">
        <f t="shared" si="1"/>
        <v>17740.246300000003</v>
      </c>
      <c r="E18" s="59">
        <f>+B18</f>
        <v>8491</v>
      </c>
      <c r="F18" s="51">
        <f>+'2014 Proposed Rates'!W9</f>
        <v>1.9737</v>
      </c>
      <c r="G18" s="28">
        <f t="shared" si="2"/>
        <v>16758.6867</v>
      </c>
      <c r="H18" s="50">
        <f>+G18-D18</f>
        <v>-981.5596000000041</v>
      </c>
      <c r="I18" s="13">
        <f>+H18/D18</f>
        <v>-0.055329536208299654</v>
      </c>
      <c r="L18" s="47">
        <f t="shared" si="3"/>
        <v>8491</v>
      </c>
      <c r="M18" s="51">
        <f t="shared" si="0"/>
        <v>1.9737</v>
      </c>
      <c r="N18" s="28">
        <f>L18*M18</f>
        <v>16758.6867</v>
      </c>
      <c r="O18" s="50">
        <f t="shared" si="4"/>
        <v>-981.5596000000041</v>
      </c>
      <c r="P18" s="13">
        <f t="shared" si="7"/>
        <v>-0.055329536208299654</v>
      </c>
    </row>
    <row r="19" spans="1:16" ht="15">
      <c r="A19" s="1083" t="s">
        <v>415</v>
      </c>
      <c r="B19" s="60"/>
      <c r="C19" s="43"/>
      <c r="D19" s="53">
        <f>SUM(D16:D18)</f>
        <v>93892.5709</v>
      </c>
      <c r="E19" s="60"/>
      <c r="F19" s="43"/>
      <c r="G19" s="53">
        <f>SUM(G16:G18)</f>
        <v>93563.53289999999</v>
      </c>
      <c r="H19" s="56">
        <f>+G19-D19</f>
        <v>-329.038000000015</v>
      </c>
      <c r="I19" s="15">
        <f>+H19/D19</f>
        <v>-0.0035044093142412294</v>
      </c>
      <c r="L19" s="45">
        <f t="shared" si="3"/>
        <v>0</v>
      </c>
      <c r="M19" s="43"/>
      <c r="N19" s="53">
        <f>SUM(N16:N18)</f>
        <v>89894.35689999998</v>
      </c>
      <c r="O19" s="56">
        <f t="shared" si="4"/>
        <v>-3998.2140000000218</v>
      </c>
      <c r="P19" s="15">
        <f t="shared" si="7"/>
        <v>-0.04258285785206912</v>
      </c>
    </row>
    <row r="20" spans="1:16" ht="15">
      <c r="A20" s="10" t="s">
        <v>406</v>
      </c>
      <c r="B20" s="59">
        <v>4584150</v>
      </c>
      <c r="C20" s="51">
        <v>0.0044</v>
      </c>
      <c r="D20" s="28">
        <f t="shared" si="1"/>
        <v>20170.260000000002</v>
      </c>
      <c r="E20" s="59">
        <f>+B20</f>
        <v>4584150</v>
      </c>
      <c r="F20" s="51">
        <f>C20</f>
        <v>0.0044</v>
      </c>
      <c r="G20" s="28">
        <f t="shared" si="2"/>
        <v>20170.260000000002</v>
      </c>
      <c r="H20" s="50">
        <f aca="true" t="shared" si="8" ref="H20:H25">+G20-D20</f>
        <v>0</v>
      </c>
      <c r="I20" s="14">
        <f aca="true" t="shared" si="9" ref="I20:I25">IF(D20=0,"n/a",H20/D20)</f>
        <v>0</v>
      </c>
      <c r="L20" s="59">
        <f t="shared" si="3"/>
        <v>4584150</v>
      </c>
      <c r="M20" s="51">
        <f t="shared" si="0"/>
        <v>0.0044</v>
      </c>
      <c r="N20" s="174">
        <f>L20*M20</f>
        <v>20170.260000000002</v>
      </c>
      <c r="O20" s="50">
        <f t="shared" si="4"/>
        <v>0</v>
      </c>
      <c r="P20" s="14">
        <f aca="true" t="shared" si="10" ref="P20:P25">IF(D20=0,"n/a",O20/D20)</f>
        <v>0</v>
      </c>
    </row>
    <row r="21" spans="1:16" ht="15">
      <c r="A21" s="10" t="s">
        <v>407</v>
      </c>
      <c r="B21" s="59">
        <v>4584150</v>
      </c>
      <c r="C21" s="51">
        <v>0.0012</v>
      </c>
      <c r="D21" s="28">
        <f t="shared" si="1"/>
        <v>5500.98</v>
      </c>
      <c r="E21" s="59">
        <f>+B21</f>
        <v>4584150</v>
      </c>
      <c r="F21" s="51">
        <f>C21</f>
        <v>0.0012</v>
      </c>
      <c r="G21" s="28">
        <f t="shared" si="2"/>
        <v>5500.98</v>
      </c>
      <c r="H21" s="50">
        <f t="shared" si="8"/>
        <v>0</v>
      </c>
      <c r="I21" s="14">
        <f t="shared" si="9"/>
        <v>0</v>
      </c>
      <c r="L21" s="59">
        <f t="shared" si="3"/>
        <v>4584150</v>
      </c>
      <c r="M21" s="51">
        <f t="shared" si="0"/>
        <v>0.0012</v>
      </c>
      <c r="N21" s="174">
        <f>L21*M21</f>
        <v>5500.98</v>
      </c>
      <c r="O21" s="50">
        <f t="shared" si="4"/>
        <v>0</v>
      </c>
      <c r="P21" s="14">
        <f t="shared" si="10"/>
        <v>0</v>
      </c>
    </row>
    <row r="22" spans="1:16" ht="15">
      <c r="A22" s="10" t="s">
        <v>409</v>
      </c>
      <c r="B22" s="59">
        <v>4500000</v>
      </c>
      <c r="C22" s="51">
        <v>0.007</v>
      </c>
      <c r="D22" s="28">
        <f t="shared" si="1"/>
        <v>31500</v>
      </c>
      <c r="E22" s="59">
        <f>+B22</f>
        <v>4500000</v>
      </c>
      <c r="F22" s="51">
        <f>C22</f>
        <v>0.007</v>
      </c>
      <c r="G22" s="28">
        <f t="shared" si="2"/>
        <v>31500</v>
      </c>
      <c r="H22" s="50">
        <f t="shared" si="8"/>
        <v>0</v>
      </c>
      <c r="I22" s="14">
        <f t="shared" si="9"/>
        <v>0</v>
      </c>
      <c r="L22" s="59">
        <f t="shared" si="3"/>
        <v>4500000</v>
      </c>
      <c r="M22" s="51">
        <f t="shared" si="0"/>
        <v>0.007</v>
      </c>
      <c r="N22" s="174">
        <f>L22*M22</f>
        <v>31500</v>
      </c>
      <c r="O22" s="50">
        <f t="shared" si="4"/>
        <v>0</v>
      </c>
      <c r="P22" s="14">
        <f t="shared" si="10"/>
        <v>0</v>
      </c>
    </row>
    <row r="23" spans="1:16" ht="15">
      <c r="A23" s="10" t="s">
        <v>408</v>
      </c>
      <c r="B23" s="59">
        <v>1</v>
      </c>
      <c r="C23" s="50">
        <v>0.25</v>
      </c>
      <c r="D23" s="28">
        <f t="shared" si="1"/>
        <v>0.25</v>
      </c>
      <c r="E23" s="59">
        <f>+B23</f>
        <v>1</v>
      </c>
      <c r="F23" s="50">
        <f>C23</f>
        <v>0.25</v>
      </c>
      <c r="G23" s="28">
        <f t="shared" si="2"/>
        <v>0.25</v>
      </c>
      <c r="H23" s="50">
        <f>+G23-D23</f>
        <v>0</v>
      </c>
      <c r="I23" s="14">
        <f t="shared" si="9"/>
        <v>0</v>
      </c>
      <c r="L23" s="59">
        <f t="shared" si="3"/>
        <v>1</v>
      </c>
      <c r="M23" s="50">
        <f t="shared" si="0"/>
        <v>0.25</v>
      </c>
      <c r="N23" s="174">
        <f>L23*M23</f>
        <v>0.25</v>
      </c>
      <c r="O23" s="50">
        <f t="shared" si="4"/>
        <v>0</v>
      </c>
      <c r="P23" s="14">
        <f t="shared" si="10"/>
        <v>0</v>
      </c>
    </row>
    <row r="24" spans="1:16" ht="15">
      <c r="A24" s="10" t="s">
        <v>198</v>
      </c>
      <c r="B24" s="59">
        <v>750</v>
      </c>
      <c r="C24" s="238">
        <v>0.078</v>
      </c>
      <c r="D24" s="28">
        <f t="shared" si="1"/>
        <v>58.5</v>
      </c>
      <c r="E24" s="59">
        <f>+B24</f>
        <v>750</v>
      </c>
      <c r="F24" s="238">
        <f>C24</f>
        <v>0.078</v>
      </c>
      <c r="G24" s="28">
        <f t="shared" si="2"/>
        <v>58.5</v>
      </c>
      <c r="H24" s="50">
        <f t="shared" si="8"/>
        <v>0</v>
      </c>
      <c r="I24" s="14">
        <f t="shared" si="9"/>
        <v>0</v>
      </c>
      <c r="L24" s="59">
        <f t="shared" si="3"/>
        <v>750</v>
      </c>
      <c r="M24" s="42">
        <f t="shared" si="0"/>
        <v>0.078</v>
      </c>
      <c r="N24" s="174">
        <f>L24*M24</f>
        <v>58.5</v>
      </c>
      <c r="O24" s="50">
        <f t="shared" si="4"/>
        <v>0</v>
      </c>
      <c r="P24" s="14">
        <f t="shared" si="10"/>
        <v>0</v>
      </c>
    </row>
    <row r="25" spans="1:16" ht="15">
      <c r="A25" s="10" t="s">
        <v>199</v>
      </c>
      <c r="B25" s="59">
        <v>4583400</v>
      </c>
      <c r="C25" s="238">
        <v>0.091</v>
      </c>
      <c r="D25" s="28">
        <f t="shared" si="1"/>
        <v>417089.39999999997</v>
      </c>
      <c r="E25" s="59">
        <f>+B25</f>
        <v>4583400</v>
      </c>
      <c r="F25" s="238">
        <f>C25</f>
        <v>0.091</v>
      </c>
      <c r="G25" s="28">
        <f t="shared" si="2"/>
        <v>417089.39999999997</v>
      </c>
      <c r="H25" s="50">
        <f t="shared" si="8"/>
        <v>0</v>
      </c>
      <c r="I25" s="14">
        <f t="shared" si="9"/>
        <v>0</v>
      </c>
      <c r="L25" s="59">
        <f t="shared" si="3"/>
        <v>4583400</v>
      </c>
      <c r="M25" s="42">
        <f t="shared" si="0"/>
        <v>0.091</v>
      </c>
      <c r="N25" s="174">
        <f>L25*M25</f>
        <v>417089.39999999997</v>
      </c>
      <c r="O25" s="50">
        <f t="shared" si="4"/>
        <v>0</v>
      </c>
      <c r="P25" s="14">
        <f t="shared" si="10"/>
        <v>0</v>
      </c>
    </row>
    <row r="26" spans="1:16" ht="15.75" thickBot="1">
      <c r="A26" s="7" t="s">
        <v>3</v>
      </c>
      <c r="B26" s="46"/>
      <c r="C26" s="44"/>
      <c r="D26" s="54">
        <f>SUM(D19:D25)</f>
        <v>568211.9609</v>
      </c>
      <c r="E26" s="46"/>
      <c r="F26" s="55"/>
      <c r="G26" s="54">
        <f>SUM(G19:G25)</f>
        <v>567882.9228999999</v>
      </c>
      <c r="H26" s="46">
        <f>+G26-D26</f>
        <v>-329.0380000000587</v>
      </c>
      <c r="I26" s="16">
        <f>+H26/D26</f>
        <v>-0.000579076159324225</v>
      </c>
      <c r="L26" s="46"/>
      <c r="M26" s="55"/>
      <c r="N26" s="54">
        <f>SUM(N19:N25)</f>
        <v>564213.7468999999</v>
      </c>
      <c r="O26" s="46">
        <f t="shared" si="4"/>
        <v>-3998.2140000000363</v>
      </c>
      <c r="P26" s="16">
        <f t="shared" si="7"/>
        <v>-0.007036483346227351</v>
      </c>
    </row>
    <row r="27" spans="1:7" ht="15.75" thickBot="1">
      <c r="A27" s="17"/>
      <c r="B27" s="38" t="s">
        <v>11</v>
      </c>
      <c r="C27" s="38" t="s">
        <v>12</v>
      </c>
      <c r="D27" s="39" t="s">
        <v>13</v>
      </c>
      <c r="E27" s="38" t="s">
        <v>90</v>
      </c>
      <c r="F27" s="38" t="s">
        <v>91</v>
      </c>
      <c r="G27" s="38" t="s">
        <v>92</v>
      </c>
    </row>
    <row r="28" spans="1:7" ht="16.5" thickBot="1" thickTop="1">
      <c r="A28" s="31" t="s">
        <v>93</v>
      </c>
      <c r="B28" s="32">
        <v>4500000</v>
      </c>
      <c r="C28" s="32">
        <f>ROUND(+B28/E28,0)</f>
        <v>8491</v>
      </c>
      <c r="D28" s="32">
        <f>ROUND(+C28/F28,0)</f>
        <v>9434</v>
      </c>
      <c r="E28" s="33">
        <v>530</v>
      </c>
      <c r="F28" s="34">
        <v>0.9</v>
      </c>
      <c r="G28" s="35">
        <v>1</v>
      </c>
    </row>
    <row r="29" spans="1:2" ht="16.5" thickBot="1" thickTop="1">
      <c r="A29" s="40" t="s">
        <v>94</v>
      </c>
      <c r="B29" s="41">
        <f>1.0187</f>
        <v>1.0187</v>
      </c>
    </row>
    <row r="30" spans="4:7" ht="15.75" thickTop="1">
      <c r="D30" s="156"/>
      <c r="G30" s="156"/>
    </row>
    <row r="31" spans="4:7" ht="15">
      <c r="D31" s="156"/>
      <c r="G31" s="156"/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77" r:id="rId1"/>
  <headerFooter>
    <oddHeader>&amp;RToronto Hydro-Electric System Limited
EB-2012-0064
Tab 9
Schedule 2-3
Filed:  2013 Aug 19
page &amp;P of 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60" zoomScaleNormal="98" zoomScalePageLayoutView="0" workbookViewId="0" topLeftCell="A1">
      <selection activeCell="D14" sqref="D14"/>
    </sheetView>
  </sheetViews>
  <sheetFormatPr defaultColWidth="9.140625" defaultRowHeight="15"/>
  <cols>
    <col min="1" max="1" width="69.140625" style="1" customWidth="1"/>
    <col min="2" max="2" width="15.57421875" style="65" customWidth="1"/>
    <col min="3" max="3" width="10.7109375" style="0" customWidth="1"/>
    <col min="4" max="4" width="14.7109375" style="0" customWidth="1"/>
    <col min="5" max="5" width="16.00390625" style="65" customWidth="1"/>
    <col min="6" max="6" width="10.7109375" style="0" customWidth="1"/>
    <col min="7" max="7" width="17.8515625" style="0" customWidth="1"/>
    <col min="8" max="8" width="15.421875" style="0" customWidth="1"/>
    <col min="9" max="9" width="10.7109375" style="0" customWidth="1"/>
    <col min="10" max="10" width="13.28125" style="0" hidden="1" customWidth="1"/>
    <col min="11" max="11" width="8.8515625" style="0" hidden="1" customWidth="1"/>
    <col min="12" max="13" width="14.140625" style="0" hidden="1" customWidth="1"/>
    <col min="14" max="14" width="14.57421875" style="0" hidden="1" customWidth="1"/>
    <col min="15" max="15" width="13.421875" style="0" hidden="1" customWidth="1"/>
    <col min="16" max="16" width="10.8515625" style="0" hidden="1" customWidth="1"/>
    <col min="17" max="17" width="9.140625" style="0" customWidth="1"/>
  </cols>
  <sheetData>
    <row r="1" spans="1:16" ht="15.75" thickBot="1">
      <c r="A1" s="8" t="s">
        <v>342</v>
      </c>
      <c r="B1" s="2">
        <v>2013</v>
      </c>
      <c r="C1" s="3"/>
      <c r="D1" s="4"/>
      <c r="E1" s="5">
        <v>2014</v>
      </c>
      <c r="F1" s="3"/>
      <c r="G1" s="4"/>
      <c r="H1" s="5" t="s">
        <v>4</v>
      </c>
      <c r="I1" s="4"/>
      <c r="L1" s="5" t="s">
        <v>225</v>
      </c>
      <c r="M1" s="3"/>
      <c r="N1" s="4"/>
      <c r="O1" s="5" t="s">
        <v>4</v>
      </c>
      <c r="P1" s="4"/>
    </row>
    <row r="2" spans="1:16" ht="15.75" thickBot="1">
      <c r="A2" s="9"/>
      <c r="B2" s="61" t="s">
        <v>5</v>
      </c>
      <c r="C2" s="12" t="s">
        <v>6</v>
      </c>
      <c r="D2" s="12" t="s">
        <v>7</v>
      </c>
      <c r="E2" s="6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L2" s="11" t="s">
        <v>5</v>
      </c>
      <c r="M2" s="12" t="s">
        <v>6</v>
      </c>
      <c r="N2" s="12" t="s">
        <v>7</v>
      </c>
      <c r="O2" s="12" t="s">
        <v>8</v>
      </c>
      <c r="P2" s="12" t="s">
        <v>9</v>
      </c>
    </row>
    <row r="3" spans="1:16" ht="15" customHeight="1">
      <c r="A3" s="10" t="s">
        <v>410</v>
      </c>
      <c r="B3" s="59">
        <v>162353.41599122723</v>
      </c>
      <c r="C3" s="49">
        <v>1.31</v>
      </c>
      <c r="D3" s="28">
        <f>+B3*C3</f>
        <v>212682.97494850768</v>
      </c>
      <c r="E3" s="59">
        <f>+B3</f>
        <v>162353.41599122723</v>
      </c>
      <c r="F3" s="49">
        <f>+'2014 Proposed Rates'!S10</f>
        <v>1.31</v>
      </c>
      <c r="G3" s="28">
        <f>+E3*F3</f>
        <v>212682.97494850768</v>
      </c>
      <c r="H3" s="50">
        <f>+G3-D3</f>
        <v>0</v>
      </c>
      <c r="I3" s="14">
        <f>IF(D3=0,"n/a",H3/D3)</f>
        <v>0</v>
      </c>
      <c r="J3" s="156"/>
      <c r="L3" s="59">
        <f>E3</f>
        <v>162353.41599122723</v>
      </c>
      <c r="M3" s="49">
        <f>F3</f>
        <v>1.31</v>
      </c>
      <c r="N3" s="28">
        <f>L3*M3</f>
        <v>212682.97494850768</v>
      </c>
      <c r="O3" s="50">
        <f>N3-D3</f>
        <v>0</v>
      </c>
      <c r="P3" s="14">
        <f>IF(D3=0,"n/a",O3/D3)</f>
        <v>0</v>
      </c>
    </row>
    <row r="4" spans="1:16" ht="15" customHeight="1">
      <c r="A4" s="10" t="s">
        <v>396</v>
      </c>
      <c r="B4" s="59">
        <v>25755</v>
      </c>
      <c r="C4" s="52">
        <v>29.0011</v>
      </c>
      <c r="D4" s="28">
        <f aca="true" t="shared" si="0" ref="D4:D24">+B4*C4</f>
        <v>746923.3305</v>
      </c>
      <c r="E4" s="59">
        <f>+B4</f>
        <v>25755</v>
      </c>
      <c r="F4" s="52">
        <f>+'2014 Proposed Rates'!T10</f>
        <v>29.0823</v>
      </c>
      <c r="G4" s="28">
        <f aca="true" t="shared" si="1" ref="G4:G24">+E4*F4</f>
        <v>749014.6365</v>
      </c>
      <c r="H4" s="50">
        <f>+G4-D4</f>
        <v>2091.3059999999823</v>
      </c>
      <c r="I4" s="14">
        <f>IF(D4=0,"n/a",H4/D4)</f>
        <v>0.0027998937971318093</v>
      </c>
      <c r="J4" s="173">
        <f>SUM(H3:H4)/SUM(D3:D4)</f>
        <v>0.002179337493017548</v>
      </c>
      <c r="L4" s="57">
        <f>E4</f>
        <v>25755</v>
      </c>
      <c r="M4" s="52">
        <f>F4</f>
        <v>29.0823</v>
      </c>
      <c r="N4" s="28">
        <f>L4*M4</f>
        <v>749014.6365</v>
      </c>
      <c r="O4" s="50">
        <f>N4-D4</f>
        <v>2091.3059999999823</v>
      </c>
      <c r="P4" s="14">
        <f>IF(D4=0,"n/a",O4/D4)</f>
        <v>0.0027998937971318093</v>
      </c>
    </row>
    <row r="5" spans="1:16" ht="15" customHeight="1">
      <c r="A5" s="10" t="s">
        <v>399</v>
      </c>
      <c r="B5" s="59">
        <v>25755</v>
      </c>
      <c r="C5" s="52">
        <v>-0.0851</v>
      </c>
      <c r="D5" s="28">
        <f t="shared" si="0"/>
        <v>-2191.7504999999996</v>
      </c>
      <c r="E5" s="59">
        <f>+E4</f>
        <v>25755</v>
      </c>
      <c r="F5" s="52">
        <f>+'2014 Proposed Rates'!U10</f>
        <v>-0.0354</v>
      </c>
      <c r="G5" s="28">
        <f t="shared" si="1"/>
        <v>-911.727</v>
      </c>
      <c r="H5" s="50">
        <f>+G5-D5</f>
        <v>1280.0234999999998</v>
      </c>
      <c r="I5" s="14">
        <f>IF(D5=0,"n/a",H5/D5)</f>
        <v>-0.5840188014101058</v>
      </c>
      <c r="L5" s="57"/>
      <c r="M5" s="52"/>
      <c r="N5" s="28"/>
      <c r="O5" s="50"/>
      <c r="P5" s="14"/>
    </row>
    <row r="6" spans="1:16" ht="15" customHeight="1">
      <c r="A6" s="10" t="s">
        <v>400</v>
      </c>
      <c r="B6" s="47">
        <v>162353.41599122723</v>
      </c>
      <c r="C6" s="49">
        <v>0.05</v>
      </c>
      <c r="D6" s="28">
        <f t="shared" si="0"/>
        <v>8117.6707995613615</v>
      </c>
      <c r="E6" s="59">
        <f>+E3</f>
        <v>162353.41599122723</v>
      </c>
      <c r="F6" s="49">
        <f>+'2014 Proposed Rates'!AA10</f>
        <v>0.05</v>
      </c>
      <c r="G6" s="28">
        <f>+E6*F6</f>
        <v>8117.6707995613615</v>
      </c>
      <c r="H6" s="50">
        <f>+G6-D6</f>
        <v>0</v>
      </c>
      <c r="I6" s="14">
        <f>IF(D6=0,"n/a",H6/D6)</f>
        <v>0</v>
      </c>
      <c r="L6" s="57"/>
      <c r="M6" s="52"/>
      <c r="N6" s="28"/>
      <c r="O6" s="50"/>
      <c r="P6" s="14"/>
    </row>
    <row r="7" spans="1:16" ht="15" customHeight="1">
      <c r="A7" s="10" t="s">
        <v>400</v>
      </c>
      <c r="B7" s="47">
        <v>25755</v>
      </c>
      <c r="C7" s="52">
        <v>1.1439</v>
      </c>
      <c r="D7" s="28">
        <f t="shared" si="0"/>
        <v>29461.1445</v>
      </c>
      <c r="E7" s="59">
        <f>+E4</f>
        <v>25755</v>
      </c>
      <c r="F7" s="52">
        <f>+'2014 Proposed Rates'!AB10</f>
        <v>1.1439</v>
      </c>
      <c r="G7" s="28">
        <f>+E7*F7</f>
        <v>29461.1445</v>
      </c>
      <c r="H7" s="50">
        <f>+G7-D7</f>
        <v>0</v>
      </c>
      <c r="I7" s="14">
        <f>IF(D7=0,"n/a",H7/D7)</f>
        <v>0</v>
      </c>
      <c r="L7" s="57"/>
      <c r="M7" s="52"/>
      <c r="N7" s="28"/>
      <c r="O7" s="50"/>
      <c r="P7" s="14"/>
    </row>
    <row r="8" spans="1:16" ht="15" customHeight="1">
      <c r="A8" s="10" t="s">
        <v>403</v>
      </c>
      <c r="B8" s="59">
        <v>162353.41599122723</v>
      </c>
      <c r="C8" s="30">
        <v>0</v>
      </c>
      <c r="D8" s="28">
        <f t="shared" si="0"/>
        <v>0</v>
      </c>
      <c r="E8" s="59">
        <f>+E3</f>
        <v>162353.41599122723</v>
      </c>
      <c r="F8" s="49">
        <f>+C8</f>
        <v>0</v>
      </c>
      <c r="G8" s="28">
        <f t="shared" si="1"/>
        <v>0</v>
      </c>
      <c r="H8" s="50">
        <f>+G8-D8</f>
        <v>0</v>
      </c>
      <c r="I8" s="14" t="str">
        <f>IF(D8=0,"n/a",H8/D8)</f>
        <v>n/a</v>
      </c>
      <c r="L8" s="57"/>
      <c r="M8" s="52"/>
      <c r="N8" s="28"/>
      <c r="O8" s="50"/>
      <c r="P8" s="14"/>
    </row>
    <row r="9" spans="1:16" ht="15" customHeight="1">
      <c r="A9" s="10" t="s">
        <v>403</v>
      </c>
      <c r="B9" s="59">
        <v>25755</v>
      </c>
      <c r="C9" s="52">
        <v>0.1041</v>
      </c>
      <c r="D9" s="28">
        <f t="shared" si="0"/>
        <v>2681.0955</v>
      </c>
      <c r="E9" s="59">
        <f>+E4</f>
        <v>25755</v>
      </c>
      <c r="F9" s="52">
        <f>+C9</f>
        <v>0.1041</v>
      </c>
      <c r="G9" s="28">
        <f t="shared" si="1"/>
        <v>2681.0955</v>
      </c>
      <c r="H9" s="50">
        <f>+G9-D9</f>
        <v>0</v>
      </c>
      <c r="I9" s="14">
        <f>IF(D9=0,"n/a",H9/D9)</f>
        <v>0</v>
      </c>
      <c r="L9" s="57"/>
      <c r="M9" s="52"/>
      <c r="N9" s="28"/>
      <c r="O9" s="50"/>
      <c r="P9" s="14"/>
    </row>
    <row r="10" spans="1:16" s="996" customFormat="1" ht="15" customHeight="1">
      <c r="A10" s="1061" t="s">
        <v>401</v>
      </c>
      <c r="B10" s="47">
        <v>0</v>
      </c>
      <c r="C10" s="30">
        <v>0</v>
      </c>
      <c r="D10" s="1064">
        <f>+B10*C10</f>
        <v>0</v>
      </c>
      <c r="E10" s="1062">
        <f>+E3</f>
        <v>162353.41599122723</v>
      </c>
      <c r="F10" s="1067">
        <f>+'2014 Proposed Rates'!AC10</f>
        <v>0.02</v>
      </c>
      <c r="G10" s="1064">
        <f>+E10*F10</f>
        <v>3247.0683198245447</v>
      </c>
      <c r="H10" s="50">
        <f>+G10-D10</f>
        <v>3247.0683198245447</v>
      </c>
      <c r="I10" s="14" t="str">
        <f>IF(D10=0,"n/a",H10/D10)</f>
        <v>n/a</v>
      </c>
      <c r="L10" s="57"/>
      <c r="M10" s="52"/>
      <c r="N10" s="28"/>
      <c r="O10" s="50"/>
      <c r="P10" s="14"/>
    </row>
    <row r="11" spans="1:16" s="996" customFormat="1" ht="15" customHeight="1">
      <c r="A11" s="1061" t="s">
        <v>401</v>
      </c>
      <c r="B11" s="47">
        <v>0</v>
      </c>
      <c r="C11" s="30">
        <v>0</v>
      </c>
      <c r="D11" s="1064">
        <f>+B11*C11</f>
        <v>0</v>
      </c>
      <c r="E11" s="1062">
        <f>+E4</f>
        <v>25755</v>
      </c>
      <c r="F11" s="1068">
        <f>+'2014 Proposed Rates'!AD10</f>
        <v>0.4742</v>
      </c>
      <c r="G11" s="1064">
        <f>+E11*F11</f>
        <v>12213.021</v>
      </c>
      <c r="H11" s="50">
        <f>+G11-D11</f>
        <v>12213.021</v>
      </c>
      <c r="I11" s="14" t="str">
        <f>IF(D11=0,"n/a",H11/D11)</f>
        <v>n/a</v>
      </c>
      <c r="L11" s="57"/>
      <c r="M11" s="52"/>
      <c r="N11" s="28"/>
      <c r="O11" s="50"/>
      <c r="P11" s="14"/>
    </row>
    <row r="12" spans="1:16" s="996" customFormat="1" ht="15" customHeight="1">
      <c r="A12" s="1061" t="s">
        <v>402</v>
      </c>
      <c r="B12" s="47">
        <v>0</v>
      </c>
      <c r="C12" s="30">
        <v>0</v>
      </c>
      <c r="D12" s="1064">
        <f>+B12*C12</f>
        <v>0</v>
      </c>
      <c r="E12" s="1062">
        <f>+E3</f>
        <v>162353.41599122723</v>
      </c>
      <c r="F12" s="1067">
        <f>+'2014 Proposed Rates'!AE10</f>
        <v>0.02</v>
      </c>
      <c r="G12" s="1064">
        <f>+E12*F12</f>
        <v>3247.0683198245447</v>
      </c>
      <c r="H12" s="50">
        <f>+G12-D12</f>
        <v>3247.0683198245447</v>
      </c>
      <c r="I12" s="14" t="str">
        <f>IF(D12=0,"n/a",H12/D12)</f>
        <v>n/a</v>
      </c>
      <c r="L12" s="57"/>
      <c r="M12" s="52"/>
      <c r="N12" s="28"/>
      <c r="O12" s="50"/>
      <c r="P12" s="14"/>
    </row>
    <row r="13" spans="1:16" s="996" customFormat="1" ht="15" customHeight="1">
      <c r="A13" s="1061" t="s">
        <v>402</v>
      </c>
      <c r="B13" s="47">
        <v>0</v>
      </c>
      <c r="C13" s="30">
        <v>0</v>
      </c>
      <c r="D13" s="1064">
        <f>+B13*C13</f>
        <v>0</v>
      </c>
      <c r="E13" s="1062">
        <f>+E4</f>
        <v>25755</v>
      </c>
      <c r="F13" s="1068">
        <f>+'2014 Proposed Rates'!AF10</f>
        <v>0.5135</v>
      </c>
      <c r="G13" s="1064">
        <f>+E13*F13</f>
        <v>13225.1925</v>
      </c>
      <c r="H13" s="50">
        <f>+G13-D13</f>
        <v>13225.1925</v>
      </c>
      <c r="I13" s="14" t="str">
        <f>IF(D13=0,"n/a",H13/D13)</f>
        <v>n/a</v>
      </c>
      <c r="L13" s="57"/>
      <c r="M13" s="52"/>
      <c r="N13" s="28"/>
      <c r="O13" s="50"/>
      <c r="P13" s="14"/>
    </row>
    <row r="14" spans="1:16" ht="15" customHeight="1">
      <c r="A14" s="1082" t="s">
        <v>415</v>
      </c>
      <c r="B14" s="59">
        <v>25755</v>
      </c>
      <c r="C14" s="52">
        <v>-0.5199</v>
      </c>
      <c r="D14" s="28">
        <f t="shared" si="0"/>
        <v>-13390.024500000001</v>
      </c>
      <c r="E14" s="59">
        <f>+E4</f>
        <v>25755</v>
      </c>
      <c r="F14" s="52">
        <f>+'2014 Proposed Rates'!X10</f>
        <v>0</v>
      </c>
      <c r="G14" s="28">
        <f t="shared" si="1"/>
        <v>0</v>
      </c>
      <c r="H14" s="50">
        <f>+G14-D14</f>
        <v>13390.024500000001</v>
      </c>
      <c r="I14" s="14">
        <f>IF(D14=0,"n/a",H14/D14)</f>
        <v>-1</v>
      </c>
      <c r="L14" s="57"/>
      <c r="M14" s="52"/>
      <c r="N14" s="28"/>
      <c r="O14" s="50"/>
      <c r="P14" s="14"/>
    </row>
    <row r="15" spans="1:18" ht="15" customHeight="1">
      <c r="A15" s="6" t="s">
        <v>1</v>
      </c>
      <c r="B15" s="58"/>
      <c r="C15" s="43"/>
      <c r="D15" s="53">
        <f>SUM(D3:D14)</f>
        <v>984284.441248069</v>
      </c>
      <c r="E15" s="58"/>
      <c r="F15" s="43"/>
      <c r="G15" s="53">
        <f>SUM(G3:G14)</f>
        <v>1032978.1453877182</v>
      </c>
      <c r="H15" s="56">
        <f>SUM(H3:H14)</f>
        <v>48693.704139649075</v>
      </c>
      <c r="I15" s="15">
        <f>+H15/D15</f>
        <v>0.04947117123776298</v>
      </c>
      <c r="L15" s="58"/>
      <c r="M15" s="43"/>
      <c r="N15" s="53">
        <f>SUM(N3:N4)</f>
        <v>961697.6114485078</v>
      </c>
      <c r="O15" s="56">
        <f aca="true" t="shared" si="2" ref="O15:O25">N15-D15</f>
        <v>-22586.829799561296</v>
      </c>
      <c r="P15" s="15">
        <f aca="true" t="shared" si="3" ref="P15:P25">O15/D15</f>
        <v>-0.02294746198661972</v>
      </c>
      <c r="Q15" s="996" t="s">
        <v>10</v>
      </c>
      <c r="R15" s="156" t="s">
        <v>10</v>
      </c>
    </row>
    <row r="16" spans="1:16" ht="15" customHeight="1">
      <c r="A16" s="1082" t="s">
        <v>415</v>
      </c>
      <c r="B16" s="59">
        <v>25755</v>
      </c>
      <c r="C16" s="51">
        <v>2.5274</v>
      </c>
      <c r="D16" s="28">
        <f t="shared" si="0"/>
        <v>65093.187000000005</v>
      </c>
      <c r="E16" s="59">
        <f>+B16</f>
        <v>25755</v>
      </c>
      <c r="F16" s="51">
        <f>+'2014 Proposed Rates'!V10</f>
        <v>2.3594</v>
      </c>
      <c r="G16" s="28">
        <f t="shared" si="1"/>
        <v>60766.347</v>
      </c>
      <c r="H16" s="50">
        <f>+G16-D16</f>
        <v>-4326.840000000004</v>
      </c>
      <c r="I16" s="13">
        <f>+H16/D16</f>
        <v>-0.06647147265965028</v>
      </c>
      <c r="L16" s="59">
        <f>E16</f>
        <v>25755</v>
      </c>
      <c r="M16" s="51">
        <f aca="true" t="shared" si="4" ref="M16:M24">F16</f>
        <v>2.3594</v>
      </c>
      <c r="N16" s="28">
        <f>L16*M16</f>
        <v>60766.347</v>
      </c>
      <c r="O16" s="50">
        <f t="shared" si="2"/>
        <v>-4326.840000000004</v>
      </c>
      <c r="P16" s="13">
        <f t="shared" si="3"/>
        <v>-0.06647147265965028</v>
      </c>
    </row>
    <row r="17" spans="1:16" ht="15" customHeight="1">
      <c r="A17" s="10" t="s">
        <v>405</v>
      </c>
      <c r="B17" s="59">
        <v>25755</v>
      </c>
      <c r="C17" s="51">
        <v>2.2446</v>
      </c>
      <c r="D17" s="28">
        <f t="shared" si="0"/>
        <v>57809.673</v>
      </c>
      <c r="E17" s="59">
        <f>+B17</f>
        <v>25755</v>
      </c>
      <c r="F17" s="51">
        <f>+'2014 Proposed Rates'!W10</f>
        <v>2.1204</v>
      </c>
      <c r="G17" s="28">
        <f t="shared" si="1"/>
        <v>54610.902</v>
      </c>
      <c r="H17" s="50">
        <f>+G17-D17</f>
        <v>-3198.7710000000006</v>
      </c>
      <c r="I17" s="13">
        <f>+H17/D17</f>
        <v>-0.055332798716920616</v>
      </c>
      <c r="J17" s="156"/>
      <c r="L17" s="59">
        <f aca="true" t="shared" si="5" ref="L17:L24">E17</f>
        <v>25755</v>
      </c>
      <c r="M17" s="51">
        <f t="shared" si="4"/>
        <v>2.1204</v>
      </c>
      <c r="N17" s="28">
        <f>L17*M17</f>
        <v>54610.902</v>
      </c>
      <c r="O17" s="50">
        <f t="shared" si="2"/>
        <v>-3198.7710000000006</v>
      </c>
      <c r="P17" s="13">
        <f t="shared" si="3"/>
        <v>-0.055332798716920616</v>
      </c>
    </row>
    <row r="18" spans="1:16" ht="15" customHeight="1">
      <c r="A18" s="6" t="s">
        <v>2</v>
      </c>
      <c r="B18" s="58"/>
      <c r="C18" s="43">
        <v>0</v>
      </c>
      <c r="D18" s="53">
        <f>SUM(D15:D17)</f>
        <v>1107187.301248069</v>
      </c>
      <c r="E18" s="58"/>
      <c r="F18" s="43">
        <v>0</v>
      </c>
      <c r="G18" s="53">
        <f>SUM(G15:G17)</f>
        <v>1148355.3943877183</v>
      </c>
      <c r="H18" s="56">
        <f>+G18-D18</f>
        <v>41168.09313964937</v>
      </c>
      <c r="I18" s="15">
        <f>+H18/D18</f>
        <v>0.03718259150303019</v>
      </c>
      <c r="L18" s="58">
        <f t="shared" si="5"/>
        <v>0</v>
      </c>
      <c r="M18" s="43">
        <f t="shared" si="4"/>
        <v>0</v>
      </c>
      <c r="N18" s="53">
        <f>SUM(N15:N17)</f>
        <v>1077074.8604485076</v>
      </c>
      <c r="O18" s="56">
        <f t="shared" si="2"/>
        <v>-30112.44079956133</v>
      </c>
      <c r="P18" s="15">
        <f t="shared" si="3"/>
        <v>-0.02719724184482363</v>
      </c>
    </row>
    <row r="19" spans="1:16" ht="15" customHeight="1">
      <c r="A19" s="1082" t="s">
        <v>415</v>
      </c>
      <c r="B19" s="59">
        <v>9620365.206</v>
      </c>
      <c r="C19" s="51">
        <v>0.0044</v>
      </c>
      <c r="D19" s="28">
        <f t="shared" si="0"/>
        <v>42329.606906400004</v>
      </c>
      <c r="E19" s="59">
        <f>+B19</f>
        <v>9620365.206</v>
      </c>
      <c r="F19" s="51">
        <f>+C19</f>
        <v>0.0044</v>
      </c>
      <c r="G19" s="28">
        <f t="shared" si="1"/>
        <v>42329.606906400004</v>
      </c>
      <c r="H19" s="50">
        <f aca="true" t="shared" si="6" ref="H19:H24">+G19-D19</f>
        <v>0</v>
      </c>
      <c r="I19" s="14">
        <f aca="true" t="shared" si="7" ref="I19:I24">IF(D19=0,"n/a",H19/D19)</f>
        <v>0</v>
      </c>
      <c r="L19" s="59">
        <f t="shared" si="5"/>
        <v>9620365.206</v>
      </c>
      <c r="M19" s="51">
        <f t="shared" si="4"/>
        <v>0.0044</v>
      </c>
      <c r="N19" s="28">
        <f aca="true" t="shared" si="8" ref="N19:N24">L19*M19</f>
        <v>42329.606906400004</v>
      </c>
      <c r="O19" s="50">
        <f t="shared" si="2"/>
        <v>0</v>
      </c>
      <c r="P19" s="14">
        <f aca="true" t="shared" si="9" ref="P19:P24">IF(D19=0,"n/a",O19/D19)</f>
        <v>0</v>
      </c>
    </row>
    <row r="20" spans="1:16" ht="15" customHeight="1">
      <c r="A20" s="10" t="s">
        <v>407</v>
      </c>
      <c r="B20" s="59">
        <v>9620365.206</v>
      </c>
      <c r="C20" s="51">
        <v>0.0012</v>
      </c>
      <c r="D20" s="28">
        <f t="shared" si="0"/>
        <v>11544.4382472</v>
      </c>
      <c r="E20" s="59">
        <f>+B20</f>
        <v>9620365.206</v>
      </c>
      <c r="F20" s="51">
        <f>+C20</f>
        <v>0.0012</v>
      </c>
      <c r="G20" s="28">
        <f t="shared" si="1"/>
        <v>11544.4382472</v>
      </c>
      <c r="H20" s="50">
        <f t="shared" si="6"/>
        <v>0</v>
      </c>
      <c r="I20" s="14">
        <f t="shared" si="7"/>
        <v>0</v>
      </c>
      <c r="L20" s="59">
        <f t="shared" si="5"/>
        <v>9620365.206</v>
      </c>
      <c r="M20" s="51">
        <f t="shared" si="4"/>
        <v>0.0012</v>
      </c>
      <c r="N20" s="28">
        <f t="shared" si="8"/>
        <v>11544.4382472</v>
      </c>
      <c r="O20" s="50">
        <f t="shared" si="2"/>
        <v>0</v>
      </c>
      <c r="P20" s="14">
        <f t="shared" si="9"/>
        <v>0</v>
      </c>
    </row>
    <row r="21" spans="1:16" ht="15" customHeight="1">
      <c r="A21" s="10" t="s">
        <v>409</v>
      </c>
      <c r="B21" s="59">
        <v>9271747.5</v>
      </c>
      <c r="C21" s="51">
        <v>0.007</v>
      </c>
      <c r="D21" s="28">
        <f t="shared" si="0"/>
        <v>64902.2325</v>
      </c>
      <c r="E21" s="59">
        <f>+B21</f>
        <v>9271747.5</v>
      </c>
      <c r="F21" s="51">
        <f>+C21</f>
        <v>0.007</v>
      </c>
      <c r="G21" s="28">
        <f t="shared" si="1"/>
        <v>64902.2325</v>
      </c>
      <c r="H21" s="50">
        <f t="shared" si="6"/>
        <v>0</v>
      </c>
      <c r="I21" s="14">
        <f t="shared" si="7"/>
        <v>0</v>
      </c>
      <c r="L21" s="59">
        <f t="shared" si="5"/>
        <v>9271747.5</v>
      </c>
      <c r="M21" s="51">
        <f t="shared" si="4"/>
        <v>0.007</v>
      </c>
      <c r="N21" s="28">
        <f t="shared" si="8"/>
        <v>64902.2325</v>
      </c>
      <c r="O21" s="50">
        <f t="shared" si="2"/>
        <v>0</v>
      </c>
      <c r="P21" s="14">
        <f t="shared" si="9"/>
        <v>0</v>
      </c>
    </row>
    <row r="22" spans="1:16" ht="15" customHeight="1">
      <c r="A22" s="10" t="s">
        <v>408</v>
      </c>
      <c r="B22" s="59">
        <v>1</v>
      </c>
      <c r="C22" s="50">
        <v>0.25</v>
      </c>
      <c r="D22" s="28">
        <f t="shared" si="0"/>
        <v>0.25</v>
      </c>
      <c r="E22" s="59">
        <f>+B22</f>
        <v>1</v>
      </c>
      <c r="F22" s="50">
        <f>+C22</f>
        <v>0.25</v>
      </c>
      <c r="G22" s="28">
        <f t="shared" si="1"/>
        <v>0.25</v>
      </c>
      <c r="H22" s="50">
        <f>+G22-D22</f>
        <v>0</v>
      </c>
      <c r="I22" s="14">
        <f t="shared" si="7"/>
        <v>0</v>
      </c>
      <c r="L22" s="59">
        <f t="shared" si="5"/>
        <v>1</v>
      </c>
      <c r="M22" s="50">
        <f t="shared" si="4"/>
        <v>0.25</v>
      </c>
      <c r="N22" s="28">
        <f t="shared" si="8"/>
        <v>0.25</v>
      </c>
      <c r="O22" s="50">
        <f t="shared" si="2"/>
        <v>0</v>
      </c>
      <c r="P22" s="14">
        <f t="shared" si="9"/>
        <v>0</v>
      </c>
    </row>
    <row r="23" spans="1:16" ht="15" customHeight="1">
      <c r="A23" s="10" t="s">
        <v>198</v>
      </c>
      <c r="B23" s="59">
        <v>750</v>
      </c>
      <c r="C23" s="238">
        <v>0.078</v>
      </c>
      <c r="D23" s="28">
        <f t="shared" si="0"/>
        <v>58.5</v>
      </c>
      <c r="E23" s="59">
        <f>+B23</f>
        <v>750</v>
      </c>
      <c r="F23" s="238">
        <f>+C23</f>
        <v>0.078</v>
      </c>
      <c r="G23" s="28">
        <f t="shared" si="1"/>
        <v>58.5</v>
      </c>
      <c r="H23" s="50">
        <f t="shared" si="6"/>
        <v>0</v>
      </c>
      <c r="I23" s="14">
        <f t="shared" si="7"/>
        <v>0</v>
      </c>
      <c r="L23" s="59">
        <f t="shared" si="5"/>
        <v>750</v>
      </c>
      <c r="M23" s="238">
        <f t="shared" si="4"/>
        <v>0.078</v>
      </c>
      <c r="N23" s="28">
        <f t="shared" si="8"/>
        <v>58.5</v>
      </c>
      <c r="O23" s="50">
        <f t="shared" si="2"/>
        <v>0</v>
      </c>
      <c r="P23" s="14">
        <f t="shared" si="9"/>
        <v>0</v>
      </c>
    </row>
    <row r="24" spans="1:16" ht="15" customHeight="1">
      <c r="A24" s="10" t="s">
        <v>199</v>
      </c>
      <c r="B24" s="59">
        <v>9619615.206</v>
      </c>
      <c r="C24" s="238">
        <v>0.091</v>
      </c>
      <c r="D24" s="28">
        <f t="shared" si="0"/>
        <v>875384.983746</v>
      </c>
      <c r="E24" s="59">
        <f>+B24</f>
        <v>9619615.206</v>
      </c>
      <c r="F24" s="238">
        <f>+C24</f>
        <v>0.091</v>
      </c>
      <c r="G24" s="28">
        <f t="shared" si="1"/>
        <v>875384.983746</v>
      </c>
      <c r="H24" s="50">
        <f t="shared" si="6"/>
        <v>0</v>
      </c>
      <c r="I24" s="14">
        <f t="shared" si="7"/>
        <v>0</v>
      </c>
      <c r="L24" s="59">
        <f t="shared" si="5"/>
        <v>9619615.206</v>
      </c>
      <c r="M24" s="238">
        <f t="shared" si="4"/>
        <v>0.091</v>
      </c>
      <c r="N24" s="28">
        <f t="shared" si="8"/>
        <v>875384.983746</v>
      </c>
      <c r="O24" s="50">
        <f t="shared" si="2"/>
        <v>0</v>
      </c>
      <c r="P24" s="14">
        <f t="shared" si="9"/>
        <v>0</v>
      </c>
    </row>
    <row r="25" spans="1:16" ht="15" customHeight="1" thickBot="1">
      <c r="A25" s="7" t="s">
        <v>3</v>
      </c>
      <c r="B25" s="62"/>
      <c r="C25" s="44"/>
      <c r="D25" s="54">
        <f>SUM(D18:D24)</f>
        <v>2101407.312647669</v>
      </c>
      <c r="E25" s="62"/>
      <c r="F25" s="55"/>
      <c r="G25" s="54">
        <f>SUM(G18:G24)</f>
        <v>2142575.4057873185</v>
      </c>
      <c r="H25" s="46">
        <f>+G25-D25</f>
        <v>41168.09313964937</v>
      </c>
      <c r="I25" s="16">
        <f>+H25/D25</f>
        <v>0.019590725173493192</v>
      </c>
      <c r="L25" s="62"/>
      <c r="M25" s="55"/>
      <c r="N25" s="54">
        <f>SUM(N18:N24)</f>
        <v>2071294.8718481078</v>
      </c>
      <c r="O25" s="46">
        <f t="shared" si="2"/>
        <v>-30112.44079956133</v>
      </c>
      <c r="P25" s="16">
        <f t="shared" si="3"/>
        <v>-0.014329654521674404</v>
      </c>
    </row>
    <row r="26" spans="2:8" ht="15.75" thickBot="1">
      <c r="B26" s="63" t="s">
        <v>11</v>
      </c>
      <c r="C26" s="37" t="s">
        <v>88</v>
      </c>
      <c r="D26" s="37" t="s">
        <v>12</v>
      </c>
      <c r="E26" s="63" t="s">
        <v>87</v>
      </c>
      <c r="F26" s="38" t="s">
        <v>90</v>
      </c>
      <c r="G26" s="38" t="s">
        <v>91</v>
      </c>
      <c r="H26" s="38" t="s">
        <v>92</v>
      </c>
    </row>
    <row r="27" spans="1:8" ht="16.5" thickBot="1" thickTop="1">
      <c r="A27" s="5" t="s">
        <v>93</v>
      </c>
      <c r="B27" s="244">
        <f>111260970/12</f>
        <v>9271747.5</v>
      </c>
      <c r="C27" s="241">
        <v>162353.41599122723</v>
      </c>
      <c r="D27" s="242">
        <f>ROUND(+B27/F27,)</f>
        <v>25755</v>
      </c>
      <c r="E27" s="64">
        <f>ROUND(+D27/G27,0)</f>
        <v>25755</v>
      </c>
      <c r="F27" s="33">
        <v>360</v>
      </c>
      <c r="G27" s="34">
        <v>1</v>
      </c>
      <c r="H27" s="35">
        <v>1</v>
      </c>
    </row>
    <row r="28" spans="1:2" ht="15.75" thickBot="1">
      <c r="A28" s="239" t="s">
        <v>94</v>
      </c>
      <c r="B28" s="243">
        <f>1.0376</f>
        <v>1.0376</v>
      </c>
    </row>
    <row r="29" spans="4:7" ht="15.75" thickTop="1">
      <c r="D29" s="156"/>
      <c r="E29"/>
      <c r="G29" s="156"/>
    </row>
    <row r="30" spans="4:7" ht="15">
      <c r="D30" s="156"/>
      <c r="E30"/>
      <c r="G30" s="156"/>
    </row>
  </sheetData>
  <sheetProtection/>
  <printOptions horizontalCentered="1"/>
  <pageMargins left="0.1968503937007874" right="0.1968503937007874" top="1.4566929133858268" bottom="0.7480314960629921" header="0.31496062992125984" footer="0.31496062992125984"/>
  <pageSetup fitToHeight="1" fitToWidth="1" horizontalDpi="1200" verticalDpi="1200" orientation="landscape" scale="76" r:id="rId1"/>
  <headerFooter>
    <oddHeader>&amp;RToronto Hydro-Electric System Limited
EB-2012-0064
Tab 9
Schedule 2-3
Filed:  2013 Aug 19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</dc:creator>
  <cp:keywords/>
  <dc:description/>
  <cp:lastModifiedBy>acrespo</cp:lastModifiedBy>
  <cp:lastPrinted>2013-08-16T16:10:13Z</cp:lastPrinted>
  <dcterms:created xsi:type="dcterms:W3CDTF">2010-05-27T14:59:52Z</dcterms:created>
  <dcterms:modified xsi:type="dcterms:W3CDTF">2013-08-19T21:22:37Z</dcterms:modified>
  <cp:category/>
  <cp:version/>
  <cp:contentType/>
  <cp:contentStatus/>
</cp:coreProperties>
</file>