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385" activeTab="1"/>
  </bookViews>
  <sheets>
    <sheet name="OM&amp;A" sheetId="2" r:id="rId1"/>
    <sheet name="Capital" sheetId="3" r:id="rId2"/>
  </sheets>
  <externalReferences>
    <externalReference r:id="rId3"/>
    <externalReference r:id="rId4"/>
    <externalReference r:id="rId5"/>
    <externalReference r:id="rId6"/>
    <externalReference r:id="rId7"/>
  </externalReferences>
  <calcPr calcId="124519"/>
</workbook>
</file>

<file path=xl/calcChain.xml><?xml version="1.0" encoding="utf-8"?>
<calcChain xmlns="http://schemas.openxmlformats.org/spreadsheetml/2006/main">
  <c r="G57" i="3"/>
  <c r="H57"/>
  <c r="I57"/>
  <c r="G14"/>
  <c r="G6"/>
  <c r="G24" i="2"/>
  <c r="G23"/>
  <c r="G11"/>
  <c r="G10"/>
  <c r="G9"/>
  <c r="G8"/>
  <c r="G7"/>
  <c r="G6"/>
  <c r="H14" i="3"/>
  <c r="H6"/>
  <c r="H24" i="2" l="1"/>
  <c r="H23"/>
  <c r="H11" l="1"/>
  <c r="H10"/>
  <c r="H9"/>
  <c r="H8"/>
  <c r="H7"/>
  <c r="H6"/>
  <c r="I14" i="3"/>
  <c r="I6"/>
  <c r="I24" i="2"/>
  <c r="I23"/>
  <c r="I11"/>
  <c r="I10"/>
  <c r="I9"/>
  <c r="I8"/>
  <c r="I7"/>
  <c r="I6"/>
  <c r="I39" i="3" l="1"/>
  <c r="H39"/>
  <c r="G39"/>
  <c r="I37"/>
  <c r="H37"/>
  <c r="G37"/>
  <c r="I24"/>
  <c r="H24"/>
  <c r="G24"/>
  <c r="I33"/>
  <c r="H33"/>
  <c r="G33"/>
  <c r="I32"/>
  <c r="H32"/>
  <c r="G32"/>
  <c r="I27"/>
  <c r="H27"/>
  <c r="G27"/>
  <c r="I16"/>
  <c r="H16"/>
  <c r="G16"/>
  <c r="I8"/>
  <c r="H8"/>
  <c r="G8"/>
  <c r="I29" i="2"/>
  <c r="H29"/>
  <c r="G29"/>
  <c r="I39"/>
  <c r="H39"/>
  <c r="G39"/>
  <c r="I15"/>
  <c r="H15"/>
  <c r="G15"/>
  <c r="N12"/>
  <c r="N11"/>
  <c r="N10"/>
  <c r="N9"/>
  <c r="N8"/>
  <c r="N7"/>
  <c r="N6"/>
  <c r="M12"/>
  <c r="M11"/>
  <c r="M10"/>
  <c r="M9"/>
  <c r="M8"/>
  <c r="M7"/>
  <c r="M6"/>
  <c r="L12"/>
  <c r="L11"/>
  <c r="L10"/>
  <c r="L9"/>
  <c r="L8"/>
  <c r="L7"/>
  <c r="L6"/>
  <c r="N15" l="1"/>
  <c r="M15"/>
  <c r="L15"/>
  <c r="G31" i="3" l="1"/>
  <c r="G28"/>
  <c r="G29" s="1"/>
  <c r="H28"/>
  <c r="H29" s="1"/>
  <c r="I28"/>
  <c r="I29" s="1"/>
  <c r="I40" l="1"/>
  <c r="H40"/>
  <c r="G40"/>
  <c r="I34"/>
  <c r="H34"/>
  <c r="G34"/>
  <c r="G35" s="1"/>
  <c r="I31"/>
  <c r="H31"/>
  <c r="H17"/>
  <c r="I17"/>
  <c r="G17"/>
  <c r="I35" l="1"/>
  <c r="H35"/>
  <c r="H36" i="2"/>
  <c r="H35"/>
  <c r="H34"/>
  <c r="I34"/>
  <c r="I35"/>
  <c r="I36"/>
  <c r="G36"/>
  <c r="G35"/>
  <c r="G34"/>
  <c r="H9" i="3"/>
  <c r="I9"/>
  <c r="H37" i="2" l="1"/>
  <c r="H40" s="1"/>
  <c r="I37"/>
  <c r="I40" s="1"/>
  <c r="H26"/>
  <c r="H30" s="1"/>
  <c r="I26"/>
  <c r="I30" s="1"/>
  <c r="H13"/>
  <c r="H16" s="1"/>
  <c r="I13"/>
  <c r="I16" s="1"/>
  <c r="N13"/>
  <c r="M13"/>
  <c r="M16" s="1"/>
  <c r="N16" l="1"/>
  <c r="G37"/>
  <c r="G40" s="1"/>
  <c r="L13"/>
  <c r="L16" l="1"/>
  <c r="G9" i="3" l="1"/>
  <c r="G26" i="2"/>
  <c r="G30" s="1"/>
  <c r="G13"/>
  <c r="G16" s="1"/>
</calcChain>
</file>

<file path=xl/comments1.xml><?xml version="1.0" encoding="utf-8"?>
<comments xmlns="http://schemas.openxmlformats.org/spreadsheetml/2006/main">
  <authors>
    <author>Paul Blythin</author>
  </authors>
  <commentList>
    <comment ref="H16" authorId="0">
      <text>
        <r>
          <rPr>
            <b/>
            <sz val="8"/>
            <color indexed="81"/>
            <rFont val="Tahoma"/>
            <charset val="1"/>
          </rPr>
          <t>Paul Blythin:</t>
        </r>
        <r>
          <rPr>
            <sz val="8"/>
            <color indexed="81"/>
            <rFont val="Tahoma"/>
            <charset val="1"/>
          </rPr>
          <t xml:space="preserve">
Bad Debt expense of $324,286 was entered in account 5330 in error, instead of account 5335.Therefore , this amount is being included under the Billing and Collecting expense type, but should be excluded.</t>
        </r>
      </text>
    </comment>
  </commentList>
</comments>
</file>

<file path=xl/sharedStrings.xml><?xml version="1.0" encoding="utf-8"?>
<sst xmlns="http://schemas.openxmlformats.org/spreadsheetml/2006/main" count="116" uniqueCount="78">
  <si>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</si>
  <si>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</si>
  <si>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</si>
  <si>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</si>
  <si>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</si>
  <si>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</si>
  <si>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</si>
  <si>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</si>
  <si>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</si>
  <si>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</si>
  <si>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</si>
  <si>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</si>
  <si>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</si>
  <si>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</si>
  <si>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</si>
  <si>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</si>
  <si>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</si>
  <si>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</si>
  <si>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</si>
  <si>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</si>
  <si>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</si>
  <si>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</si>
  <si>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</si>
  <si>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</si>
  <si>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</si>
  <si>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</si>
  <si>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</si>
  <si>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</si>
  <si>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</si>
  <si>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</si>
  <si>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</si>
  <si>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</si>
  <si>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</si>
  <si>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</si>
  <si>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</si>
  <si>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</si>
  <si>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</si>
  <si>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</si>
  <si>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</si>
  <si>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</si>
  <si>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</si>
  <si>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</si>
  <si>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</si>
  <si>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</si>
  <si>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</si>
  <si>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</si>
  <si>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</si>
  <si>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</si>
  <si>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</si>
  <si>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</si>
  <si>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</si>
  <si>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</si>
  <si>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</si>
  <si>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</si>
  <si>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</si>
  <si>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</si>
  <si>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</si>
  <si>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</si>
  <si>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</si>
  <si>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</si>
  <si>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</si>
  <si>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</si>
  <si>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</si>
  <si>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</si>
  <si>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</si>
  <si>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</si>
  <si>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</si>
  <si>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</si>
  <si>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</si>
  <si>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>Niagara Peninsula Energy Inc.</t>
  </si>
  <si>
    <t>Difference consists of USoA accounts 1606 to 1740. See below.</t>
  </si>
  <si>
    <t>Differences consist of:</t>
  </si>
  <si>
    <t>1606  Organization</t>
  </si>
  <si>
    <t>1705  Land</t>
  </si>
  <si>
    <t>1708  Buildings and Fixtures</t>
  </si>
  <si>
    <t>1715  Station Equipment</t>
  </si>
  <si>
    <t>1735  Underground Conduit</t>
  </si>
  <si>
    <t>1740  Underground Conductors and Devices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</si>
</sst>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164" fontId="2" fillId="6" borderId="1" xfId="1" applyNumberFormat="1" applyFont="1" applyFill="1" applyBorder="1"/>
    <xf numFmtId="0" fontId="0" fillId="6" borderId="0" xfId="0" applyFill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165" fontId="2" fillId="6" borderId="0" xfId="2" applyNumberFormat="1" applyFont="1" applyFill="1"/>
    <xf numFmtId="165" fontId="2" fillId="6" borderId="15" xfId="0" applyNumberFormat="1" applyFont="1" applyFill="1" applyBorder="1"/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RTB%20Dec%2031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RRTB%20December%2031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RRTB%20Dec%2031%202011%20at%20April%2026th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EG_Working_Papers_PartI/Non-Capital%20RRR%20Dat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EG%20Working%20Papers%20PartII%20(version%202)/TFP%20and%20BM%20database%20calculations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RRTB"/>
      <sheetName val="4080"/>
    </sheetNames>
    <sheetDataSet>
      <sheetData sheetId="0">
        <row r="113">
          <cell r="B113">
            <v>424925.77</v>
          </cell>
        </row>
        <row r="114">
          <cell r="B114">
            <v>1598170.68</v>
          </cell>
        </row>
        <row r="115">
          <cell r="B115">
            <v>111638.13</v>
          </cell>
        </row>
        <row r="117">
          <cell r="B117">
            <v>10061.77</v>
          </cell>
        </row>
        <row r="118">
          <cell r="B118">
            <v>4507464.16</v>
          </cell>
        </row>
        <row r="120">
          <cell r="B120">
            <v>28665011.969999999</v>
          </cell>
        </row>
        <row r="121">
          <cell r="B121">
            <v>31374822.059999999</v>
          </cell>
        </row>
        <row r="122">
          <cell r="B122">
            <v>10367640.99</v>
          </cell>
        </row>
        <row r="123">
          <cell r="B123">
            <v>54396853.530000001</v>
          </cell>
        </row>
        <row r="124">
          <cell r="B124">
            <v>31103685.579999998</v>
          </cell>
        </row>
        <row r="125">
          <cell r="B125">
            <v>3459629.68</v>
          </cell>
        </row>
        <row r="126">
          <cell r="B126">
            <v>6677337.8200000003</v>
          </cell>
        </row>
        <row r="127">
          <cell r="B127">
            <v>439.87</v>
          </cell>
        </row>
        <row r="129">
          <cell r="B129">
            <v>20200.21</v>
          </cell>
        </row>
        <row r="131">
          <cell r="B131">
            <v>508969.83</v>
          </cell>
        </row>
        <row r="133">
          <cell r="B133">
            <v>12391183.859999999</v>
          </cell>
        </row>
        <row r="134">
          <cell r="B134">
            <v>120252.32</v>
          </cell>
        </row>
        <row r="135">
          <cell r="B135">
            <v>1107299.24</v>
          </cell>
        </row>
        <row r="136">
          <cell r="B136">
            <v>2624839.58</v>
          </cell>
        </row>
        <row r="137">
          <cell r="B137">
            <v>1920005.87</v>
          </cell>
        </row>
        <row r="138">
          <cell r="B138">
            <v>5484897.5199999996</v>
          </cell>
        </row>
        <row r="139">
          <cell r="B139">
            <v>200261.13</v>
          </cell>
        </row>
        <row r="140">
          <cell r="B140">
            <v>1566109.65</v>
          </cell>
        </row>
        <row r="141">
          <cell r="B141">
            <v>183145.99</v>
          </cell>
        </row>
        <row r="143">
          <cell r="B143">
            <v>158934.5</v>
          </cell>
        </row>
        <row r="144">
          <cell r="B144">
            <v>67902.490000000005</v>
          </cell>
        </row>
        <row r="148">
          <cell r="B148">
            <v>128960.64</v>
          </cell>
        </row>
        <row r="350">
          <cell r="B350">
            <v>578369.99</v>
          </cell>
        </row>
        <row r="351">
          <cell r="B351">
            <v>44477.88</v>
          </cell>
        </row>
        <row r="352">
          <cell r="B352">
            <v>125341.1</v>
          </cell>
        </row>
        <row r="353">
          <cell r="B353">
            <v>6818.9</v>
          </cell>
        </row>
        <row r="354">
          <cell r="B354">
            <v>65785.7</v>
          </cell>
        </row>
        <row r="355">
          <cell r="B355">
            <v>154815.24</v>
          </cell>
        </row>
        <row r="356">
          <cell r="B356">
            <v>21255.53</v>
          </cell>
        </row>
        <row r="357">
          <cell r="B357">
            <v>58364.69</v>
          </cell>
        </row>
        <row r="358">
          <cell r="B358">
            <v>243102.75</v>
          </cell>
        </row>
        <row r="359">
          <cell r="B359">
            <v>403418.31</v>
          </cell>
        </row>
        <row r="360">
          <cell r="B360">
            <v>56738.11</v>
          </cell>
        </row>
        <row r="361">
          <cell r="B361">
            <v>1393899.66</v>
          </cell>
        </row>
        <row r="365">
          <cell r="B365">
            <v>398758.94</v>
          </cell>
        </row>
        <row r="368">
          <cell r="B368">
            <v>2867.08</v>
          </cell>
        </row>
        <row r="369">
          <cell r="B369">
            <v>125297.91</v>
          </cell>
        </row>
        <row r="370">
          <cell r="B370">
            <v>896673.35</v>
          </cell>
        </row>
        <row r="371">
          <cell r="B371">
            <v>137621.57999999999</v>
          </cell>
        </row>
        <row r="372">
          <cell r="B372">
            <v>296535.45</v>
          </cell>
        </row>
        <row r="373">
          <cell r="B373">
            <v>47652.03</v>
          </cell>
        </row>
        <row r="374">
          <cell r="B374">
            <v>245670.75</v>
          </cell>
        </row>
        <row r="375">
          <cell r="B375">
            <v>92502.27</v>
          </cell>
        </row>
        <row r="376">
          <cell r="B376">
            <v>133947.18</v>
          </cell>
        </row>
        <row r="380">
          <cell r="B380">
            <v>12600.83</v>
          </cell>
        </row>
        <row r="392">
          <cell r="B392">
            <v>366303.66</v>
          </cell>
        </row>
        <row r="393">
          <cell r="B393">
            <v>438378.87</v>
          </cell>
        </row>
        <row r="394">
          <cell r="B394">
            <v>1710531.38</v>
          </cell>
        </row>
        <row r="395">
          <cell r="B395">
            <v>459697.71</v>
          </cell>
        </row>
        <row r="396">
          <cell r="B396">
            <v>56.19</v>
          </cell>
        </row>
        <row r="398">
          <cell r="B398">
            <v>228097.49</v>
          </cell>
        </row>
        <row r="400">
          <cell r="B400">
            <v>14746.15</v>
          </cell>
        </row>
        <row r="401">
          <cell r="B401">
            <v>49824.29</v>
          </cell>
        </row>
        <row r="408">
          <cell r="B408">
            <v>279922.40999999997</v>
          </cell>
        </row>
        <row r="409">
          <cell r="B409">
            <v>1602712.99</v>
          </cell>
        </row>
        <row r="410">
          <cell r="B410">
            <v>375306.91</v>
          </cell>
        </row>
        <row r="411">
          <cell r="B411">
            <v>133823.22</v>
          </cell>
        </row>
        <row r="413">
          <cell r="B413">
            <v>39600</v>
          </cell>
        </row>
        <row r="414">
          <cell r="B414">
            <v>204847.88</v>
          </cell>
        </row>
        <row r="418">
          <cell r="B418">
            <v>192186.69</v>
          </cell>
        </row>
        <row r="420">
          <cell r="B420">
            <v>326291.76</v>
          </cell>
        </row>
        <row r="421">
          <cell r="B421">
            <v>56918.400000000001</v>
          </cell>
        </row>
        <row r="422">
          <cell r="B422">
            <v>595857.56000000006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eport - Acct Detail"/>
      <sheetName val="Sheet3"/>
    </sheetNames>
    <sheetDataSet>
      <sheetData sheetId="0">
        <row r="115">
          <cell r="B115">
            <v>424925.77</v>
          </cell>
        </row>
        <row r="116">
          <cell r="B116">
            <v>1598170.68</v>
          </cell>
        </row>
        <row r="117">
          <cell r="B117">
            <v>111638.13</v>
          </cell>
        </row>
        <row r="119">
          <cell r="B119">
            <v>42298.6</v>
          </cell>
        </row>
        <row r="120">
          <cell r="B120">
            <v>4984095.82</v>
          </cell>
        </row>
        <row r="122">
          <cell r="B122">
            <v>30625638.52</v>
          </cell>
        </row>
        <row r="123">
          <cell r="B123">
            <v>32903794.57</v>
          </cell>
        </row>
        <row r="124">
          <cell r="B124">
            <v>11491536.449999999</v>
          </cell>
        </row>
        <row r="125">
          <cell r="B125">
            <v>56340588.450000003</v>
          </cell>
        </row>
        <row r="126">
          <cell r="B126">
            <v>32027301.530000001</v>
          </cell>
        </row>
        <row r="127">
          <cell r="B127">
            <v>3853918.48</v>
          </cell>
        </row>
        <row r="128">
          <cell r="B128">
            <v>6668244.4299999997</v>
          </cell>
        </row>
        <row r="129">
          <cell r="B129">
            <v>439.87</v>
          </cell>
        </row>
        <row r="131">
          <cell r="B131">
            <v>20200.21</v>
          </cell>
        </row>
        <row r="133">
          <cell r="B133">
            <v>508969.83</v>
          </cell>
        </row>
        <row r="135">
          <cell r="B135">
            <v>12458371.49</v>
          </cell>
        </row>
        <row r="136">
          <cell r="B136">
            <v>120252.32</v>
          </cell>
        </row>
        <row r="137">
          <cell r="B137">
            <v>1142390.44</v>
          </cell>
        </row>
        <row r="138">
          <cell r="B138">
            <v>2882799.23</v>
          </cell>
        </row>
        <row r="139">
          <cell r="B139">
            <v>2170028.31</v>
          </cell>
        </row>
        <row r="140">
          <cell r="B140">
            <v>6353934.8600000003</v>
          </cell>
        </row>
        <row r="141">
          <cell r="B141">
            <v>226597.31</v>
          </cell>
        </row>
        <row r="142">
          <cell r="B142">
            <v>1661082.55</v>
          </cell>
        </row>
        <row r="143">
          <cell r="B143">
            <v>188846.33</v>
          </cell>
        </row>
        <row r="145">
          <cell r="B145">
            <v>168596.33</v>
          </cell>
        </row>
        <row r="146">
          <cell r="B146">
            <v>72951.31</v>
          </cell>
        </row>
        <row r="150">
          <cell r="B150">
            <v>128960.64</v>
          </cell>
        </row>
        <row r="352">
          <cell r="B352">
            <v>643752.01</v>
          </cell>
        </row>
        <row r="353">
          <cell r="B353">
            <v>42000</v>
          </cell>
        </row>
        <row r="354">
          <cell r="B354">
            <v>65790.28</v>
          </cell>
        </row>
        <row r="355">
          <cell r="B355">
            <v>12259.21</v>
          </cell>
        </row>
        <row r="356">
          <cell r="B356">
            <v>103905.94</v>
          </cell>
        </row>
        <row r="357">
          <cell r="B357">
            <v>203421.62</v>
          </cell>
        </row>
        <row r="358">
          <cell r="B358">
            <v>3333.91</v>
          </cell>
        </row>
        <row r="359">
          <cell r="B359">
            <v>77740.429999999993</v>
          </cell>
        </row>
        <row r="360">
          <cell r="B360">
            <v>227289.59</v>
          </cell>
        </row>
        <row r="361">
          <cell r="B361">
            <v>603507.61</v>
          </cell>
        </row>
        <row r="362">
          <cell r="B362">
            <v>106499.75</v>
          </cell>
        </row>
        <row r="363">
          <cell r="B363">
            <v>1216081.76</v>
          </cell>
        </row>
        <row r="367">
          <cell r="B367">
            <v>450975.39</v>
          </cell>
        </row>
        <row r="370">
          <cell r="B370">
            <v>6386.03</v>
          </cell>
        </row>
        <row r="371">
          <cell r="B371">
            <v>150665.03</v>
          </cell>
        </row>
        <row r="372">
          <cell r="B372">
            <v>779457.85</v>
          </cell>
        </row>
        <row r="373">
          <cell r="B373">
            <v>151701.41</v>
          </cell>
        </row>
        <row r="374">
          <cell r="B374">
            <v>199232.02</v>
          </cell>
        </row>
        <row r="375">
          <cell r="B375">
            <v>42360.26</v>
          </cell>
        </row>
        <row r="376">
          <cell r="B376">
            <v>309908.15000000002</v>
          </cell>
        </row>
        <row r="377">
          <cell r="B377">
            <v>99981.34</v>
          </cell>
        </row>
        <row r="378">
          <cell r="B378">
            <v>182079.06</v>
          </cell>
        </row>
        <row r="382">
          <cell r="B382">
            <v>12420.87</v>
          </cell>
        </row>
        <row r="394">
          <cell r="B394">
            <v>382624.58</v>
          </cell>
        </row>
        <row r="395">
          <cell r="B395">
            <v>454261.05</v>
          </cell>
        </row>
        <row r="396">
          <cell r="B396">
            <v>2154199.17</v>
          </cell>
        </row>
        <row r="397">
          <cell r="B397">
            <v>440193.52</v>
          </cell>
        </row>
        <row r="398">
          <cell r="B398">
            <v>45.73</v>
          </cell>
        </row>
        <row r="400">
          <cell r="B400">
            <v>243505.63</v>
          </cell>
        </row>
        <row r="402">
          <cell r="B402">
            <v>0</v>
          </cell>
        </row>
        <row r="403">
          <cell r="B403">
            <v>55391.360000000001</v>
          </cell>
        </row>
        <row r="410">
          <cell r="B410">
            <v>324364.57</v>
          </cell>
        </row>
        <row r="411">
          <cell r="B411">
            <v>1716751.08</v>
          </cell>
        </row>
        <row r="412">
          <cell r="B412">
            <v>523254.38</v>
          </cell>
        </row>
        <row r="413">
          <cell r="B413">
            <v>109305.60000000001</v>
          </cell>
        </row>
        <row r="415">
          <cell r="B415">
            <v>36000</v>
          </cell>
        </row>
        <row r="416">
          <cell r="B416">
            <v>203857.54</v>
          </cell>
        </row>
        <row r="419">
          <cell r="B419">
            <v>188194.05</v>
          </cell>
        </row>
        <row r="420">
          <cell r="B420">
            <v>83815.360000000001</v>
          </cell>
        </row>
        <row r="421">
          <cell r="B421">
            <v>0</v>
          </cell>
        </row>
        <row r="422">
          <cell r="B422">
            <v>704576.92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t 1"/>
      <sheetName val="Part 2"/>
      <sheetName val="FMV impact"/>
      <sheetName val="Reconcile RRR to FS"/>
      <sheetName val="Report - Acct Detail"/>
    </sheetNames>
    <sheetDataSet>
      <sheetData sheetId="0">
        <row r="31">
          <cell r="H31">
            <v>424925.77</v>
          </cell>
        </row>
        <row r="32">
          <cell r="H32">
            <v>1598170.68</v>
          </cell>
        </row>
        <row r="33">
          <cell r="H33">
            <v>111638.13</v>
          </cell>
        </row>
        <row r="34">
          <cell r="H34">
            <v>42298.6</v>
          </cell>
        </row>
        <row r="35">
          <cell r="H35">
            <v>5783875.8399999999</v>
          </cell>
        </row>
        <row r="36">
          <cell r="H36">
            <v>32386043.170000002</v>
          </cell>
        </row>
        <row r="37">
          <cell r="H37">
            <v>34623385</v>
          </cell>
        </row>
        <row r="38">
          <cell r="H38">
            <v>11962394.76</v>
          </cell>
        </row>
        <row r="39">
          <cell r="H39">
            <v>58652494.850000001</v>
          </cell>
        </row>
        <row r="40">
          <cell r="H40">
            <v>32882342.100000001</v>
          </cell>
        </row>
        <row r="41">
          <cell r="H41">
            <v>4191988.92</v>
          </cell>
        </row>
        <row r="42">
          <cell r="H42">
            <v>6609164.3099999996</v>
          </cell>
        </row>
        <row r="43">
          <cell r="H43">
            <v>439.87</v>
          </cell>
        </row>
        <row r="44">
          <cell r="H44">
            <v>21835.21</v>
          </cell>
        </row>
        <row r="45">
          <cell r="H45">
            <v>508969.83</v>
          </cell>
        </row>
        <row r="46">
          <cell r="H46">
            <v>12580150.65</v>
          </cell>
        </row>
        <row r="47">
          <cell r="H47">
            <v>120252.32</v>
          </cell>
        </row>
        <row r="48">
          <cell r="H48">
            <v>1211189.44</v>
          </cell>
        </row>
        <row r="49">
          <cell r="H49">
            <v>3130611.67</v>
          </cell>
        </row>
        <row r="50">
          <cell r="H50">
            <v>2363533.5699999998</v>
          </cell>
        </row>
        <row r="51">
          <cell r="H51">
            <v>6444483.9800000004</v>
          </cell>
        </row>
        <row r="52">
          <cell r="H52">
            <v>236413.92</v>
          </cell>
        </row>
        <row r="53">
          <cell r="H53">
            <v>1738842.83</v>
          </cell>
        </row>
        <row r="54">
          <cell r="H54">
            <v>204006.18</v>
          </cell>
        </row>
        <row r="55">
          <cell r="H55">
            <v>170581.47</v>
          </cell>
        </row>
        <row r="56">
          <cell r="H56">
            <v>72951.31</v>
          </cell>
        </row>
        <row r="57">
          <cell r="H57">
            <v>128960.64</v>
          </cell>
        </row>
        <row r="153">
          <cell r="H153">
            <v>689564.98</v>
          </cell>
        </row>
        <row r="154">
          <cell r="H154">
            <v>42648</v>
          </cell>
        </row>
        <row r="155">
          <cell r="H155">
            <v>69484.02</v>
          </cell>
        </row>
        <row r="156">
          <cell r="H156">
            <v>7209.76</v>
          </cell>
        </row>
        <row r="157">
          <cell r="H157">
            <v>101958.15</v>
          </cell>
        </row>
        <row r="158">
          <cell r="H158">
            <v>214469.12</v>
          </cell>
        </row>
        <row r="159">
          <cell r="H159">
            <v>7082.23</v>
          </cell>
        </row>
        <row r="160">
          <cell r="H160">
            <v>86497.56</v>
          </cell>
        </row>
        <row r="161">
          <cell r="H161">
            <v>247129.85</v>
          </cell>
        </row>
        <row r="162">
          <cell r="H162">
            <v>608449.28000000003</v>
          </cell>
        </row>
        <row r="163">
          <cell r="H163">
            <v>1896259</v>
          </cell>
        </row>
        <row r="164">
          <cell r="H164">
            <v>464601.84</v>
          </cell>
        </row>
        <row r="165">
          <cell r="H165">
            <v>2761.57</v>
          </cell>
        </row>
        <row r="166">
          <cell r="H166">
            <v>162672.43</v>
          </cell>
        </row>
        <row r="167">
          <cell r="H167">
            <v>742311.34</v>
          </cell>
        </row>
        <row r="168">
          <cell r="H168">
            <v>158630.56</v>
          </cell>
        </row>
        <row r="169">
          <cell r="H169">
            <v>256403.03</v>
          </cell>
        </row>
        <row r="170">
          <cell r="H170">
            <v>31457.19</v>
          </cell>
        </row>
        <row r="171">
          <cell r="H171">
            <v>191439.98</v>
          </cell>
        </row>
        <row r="172">
          <cell r="H172">
            <v>122745.45</v>
          </cell>
        </row>
        <row r="173">
          <cell r="H173">
            <v>68848.92</v>
          </cell>
        </row>
        <row r="174">
          <cell r="H174">
            <v>7908.61</v>
          </cell>
        </row>
        <row r="175">
          <cell r="H175">
            <v>101234.87</v>
          </cell>
        </row>
        <row r="176">
          <cell r="H176">
            <v>60687.34</v>
          </cell>
        </row>
        <row r="177">
          <cell r="H177">
            <v>370546.22</v>
          </cell>
        </row>
        <row r="178">
          <cell r="H178">
            <v>1811256.04</v>
          </cell>
        </row>
        <row r="179">
          <cell r="H179">
            <v>438121.27</v>
          </cell>
        </row>
        <row r="180">
          <cell r="H180">
            <v>101233.42</v>
          </cell>
        </row>
        <row r="181">
          <cell r="H181">
            <v>39600</v>
          </cell>
        </row>
        <row r="182">
          <cell r="H182">
            <v>241376.39</v>
          </cell>
        </row>
        <row r="183">
          <cell r="H183">
            <v>239075.23</v>
          </cell>
        </row>
        <row r="184">
          <cell r="H184">
            <v>51819.09</v>
          </cell>
        </row>
        <row r="185">
          <cell r="H185">
            <v>556909.52</v>
          </cell>
        </row>
        <row r="191">
          <cell r="H191">
            <v>486752.49</v>
          </cell>
        </row>
        <row r="192">
          <cell r="H192">
            <v>362810.19</v>
          </cell>
        </row>
        <row r="193">
          <cell r="H193">
            <v>2003415.5180000002</v>
          </cell>
        </row>
        <row r="194">
          <cell r="H194">
            <v>450651.84</v>
          </cell>
        </row>
        <row r="195">
          <cell r="H195">
            <v>128.83000000000001</v>
          </cell>
        </row>
        <row r="197">
          <cell r="H197">
            <v>241522.39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s"/>
      <sheetName val="data0211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 refreshError="1"/>
      <sheetData sheetId="1" refreshError="1"/>
      <sheetData sheetId="2">
        <row r="90">
          <cell r="AW90">
            <v>4071986.8200000003</v>
          </cell>
        </row>
        <row r="91">
          <cell r="AW91">
            <v>2209780.92</v>
          </cell>
        </row>
        <row r="92">
          <cell r="AW92">
            <v>3545281.2600000002</v>
          </cell>
        </row>
        <row r="93">
          <cell r="AW93">
            <v>60687.340000000004</v>
          </cell>
        </row>
        <row r="95">
          <cell r="AW95">
            <v>3608560.79</v>
          </cell>
        </row>
        <row r="96">
          <cell r="AW96">
            <v>241376.39</v>
          </cell>
        </row>
        <row r="98">
          <cell r="AW98">
            <v>0</v>
          </cell>
        </row>
      </sheetData>
      <sheetData sheetId="3">
        <row r="91">
          <cell r="AW91">
            <v>3305582.11</v>
          </cell>
        </row>
        <row r="92">
          <cell r="AW92">
            <v>2385167.41</v>
          </cell>
        </row>
        <row r="93">
          <cell r="AW93">
            <v>3999115.57</v>
          </cell>
        </row>
        <row r="94">
          <cell r="AW94">
            <v>55391.360000000001</v>
          </cell>
        </row>
        <row r="96">
          <cell r="AW96">
            <v>3686261.96</v>
          </cell>
        </row>
        <row r="97">
          <cell r="AW97">
            <v>203857.54</v>
          </cell>
        </row>
        <row r="99">
          <cell r="AW99">
            <v>0</v>
          </cell>
        </row>
      </sheetData>
      <sheetData sheetId="4">
        <row r="90">
          <cell r="AW90">
            <v>3152387.86</v>
          </cell>
        </row>
        <row r="91">
          <cell r="AW91">
            <v>2390127.37</v>
          </cell>
        </row>
        <row r="92">
          <cell r="AW92">
            <v>3203065.3</v>
          </cell>
        </row>
        <row r="93">
          <cell r="AW93">
            <v>64570.44</v>
          </cell>
        </row>
        <row r="95">
          <cell r="AW95">
            <v>3602619.94</v>
          </cell>
        </row>
        <row r="96">
          <cell r="AW96">
            <v>204847.88</v>
          </cell>
        </row>
        <row r="98">
          <cell r="AW9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FP Calculations"/>
      <sheetName val="BM Database"/>
      <sheetName val="peer group data"/>
      <sheetName val="Capital Calculations for TFP"/>
      <sheetName val="Capital Calculations for BM"/>
      <sheetName val="OM&amp;A Calculation"/>
      <sheetName val="Output Indexes"/>
      <sheetName val="Historical Asset Price"/>
      <sheetName val="OM&amp;A Price"/>
      <sheetName val="Z variables"/>
      <sheetName val="Q Capital Data"/>
      <sheetName val="Q OM&amp;A"/>
      <sheetName val="Q Output"/>
      <sheetName val="Q Business Conditions"/>
      <sheetName val="data request responses"/>
      <sheetName val="Aggregate HV charges"/>
      <sheetName val="HV-Related O&amp;M Exp"/>
      <sheetName val="GDPIPI Ontario"/>
      <sheetName val="AWE cansim2989359206085412410"/>
      <sheetName val="Z variable key"/>
      <sheetName val="embedded dist summary"/>
      <sheetName val="data changes"/>
      <sheetName val="adj v nonadj"/>
      <sheetName val="capital cost changes"/>
      <sheetName val="OM&amp;A Adj Summary"/>
      <sheetName val="Capital Adj Summary"/>
      <sheetName val="Adj Cap Calc 2"/>
      <sheetName val="Adj Cap Calc 3"/>
      <sheetName val="Adj Cap Cal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60">
          <cell r="E1060">
            <v>187183356</v>
          </cell>
        </row>
        <row r="1061">
          <cell r="E1061">
            <v>199180648</v>
          </cell>
          <cell r="G1061">
            <v>11997292</v>
          </cell>
        </row>
        <row r="1062">
          <cell r="E1062">
            <v>209176571</v>
          </cell>
          <cell r="G1062">
            <v>9995923</v>
          </cell>
        </row>
        <row r="1063">
          <cell r="E1063">
            <v>218201946</v>
          </cell>
          <cell r="G1063">
            <v>9025375</v>
          </cell>
        </row>
      </sheetData>
      <sheetData sheetId="6">
        <row r="459">
          <cell r="D459">
            <v>12617618.789999999</v>
          </cell>
          <cell r="I459">
            <v>72605</v>
          </cell>
        </row>
        <row r="460">
          <cell r="D460">
            <v>13635375.949999999</v>
          </cell>
          <cell r="I460">
            <v>116165</v>
          </cell>
        </row>
        <row r="461">
          <cell r="D461">
            <v>13737673.52</v>
          </cell>
          <cell r="I461">
            <v>109168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057">
          <cell r="D1057">
            <v>205813373</v>
          </cell>
          <cell r="E1057">
            <v>199170586</v>
          </cell>
          <cell r="G1057">
            <v>10062</v>
          </cell>
        </row>
        <row r="1058">
          <cell r="D1058">
            <v>215820546</v>
          </cell>
          <cell r="E1058">
            <v>209134272</v>
          </cell>
          <cell r="G1058">
            <v>42299</v>
          </cell>
        </row>
        <row r="1059">
          <cell r="D1059">
            <v>224845921</v>
          </cell>
          <cell r="E1059">
            <v>218159647</v>
          </cell>
          <cell r="G1059">
            <v>42299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459">
          <cell r="C459">
            <v>72605</v>
          </cell>
        </row>
        <row r="460">
          <cell r="C460">
            <v>116165</v>
          </cell>
        </row>
        <row r="461">
          <cell r="C461">
            <v>109168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showGridLines="0" topLeftCell="A12" workbookViewId="0">
      <selection activeCell="K24" sqref="K24"/>
    </sheetView>
  </sheetViews>
  <sheetFormatPr defaultRowHeight="12.75"/>
  <cols>
    <col min="1" max="1" width="8.88671875" style="49" customWidth="1"/>
    <col min="2" max="5" width="8.88671875" style="49"/>
    <col min="6" max="6" width="25.6640625" style="49" customWidth="1"/>
    <col min="7" max="8" width="11.109375" style="49" customWidth="1"/>
    <col min="9" max="9" width="11.77734375" style="49" customWidth="1"/>
    <col min="10" max="10" width="4.44140625" style="51" customWidth="1"/>
    <col min="11" max="11" width="41.44140625" style="49" customWidth="1"/>
    <col min="12" max="12" width="12.109375" style="49" customWidth="1"/>
    <col min="13" max="13" width="12.88671875" style="49" bestFit="1" customWidth="1"/>
    <col min="14" max="14" width="11.6640625" style="49" bestFit="1" customWidth="1"/>
    <col min="15" max="16384" width="8.88671875" style="49"/>
  </cols>
  <sheetData>
    <row r="1" spans="1:15" ht="13.5" thickBot="1"/>
    <row r="2" spans="1:15" ht="13.5" thickBot="1">
      <c r="A2" s="99" t="s">
        <v>69</v>
      </c>
      <c r="B2" s="100"/>
      <c r="C2" s="100"/>
      <c r="D2" s="100"/>
      <c r="E2" s="100"/>
      <c r="F2" s="101"/>
      <c r="G2" s="55" t="s">
        <v>51</v>
      </c>
    </row>
    <row r="3" spans="1:15" ht="13.5" thickBot="1"/>
    <row r="4" spans="1:15" ht="13.5" thickBot="1">
      <c r="A4" s="105" t="s">
        <v>22</v>
      </c>
      <c r="B4" s="106"/>
      <c r="C4" s="106"/>
      <c r="D4" s="106"/>
      <c r="E4" s="106"/>
      <c r="F4" s="107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>
      <c r="A5" s="102" t="s">
        <v>6</v>
      </c>
      <c r="B5" s="103"/>
      <c r="C5" s="103"/>
      <c r="D5" s="103"/>
      <c r="E5" s="103"/>
      <c r="F5" s="104"/>
      <c r="G5" s="102" t="s">
        <v>0</v>
      </c>
      <c r="H5" s="103"/>
      <c r="I5" s="104"/>
      <c r="J5" s="51"/>
      <c r="K5" s="102" t="s">
        <v>56</v>
      </c>
      <c r="L5" s="103"/>
      <c r="M5" s="103"/>
      <c r="N5" s="104"/>
    </row>
    <row r="6" spans="1:15">
      <c r="A6" s="59" t="s">
        <v>57</v>
      </c>
      <c r="B6" s="60"/>
      <c r="C6" s="60"/>
      <c r="D6" s="60"/>
      <c r="E6" s="60"/>
      <c r="F6" s="60"/>
      <c r="G6" s="61">
        <f>SUM([1]RRRTB!$B$350:$B$358)+SUM([1]RRRTB!$B$359:$B$361)</f>
        <v>3152387.86</v>
      </c>
      <c r="H6" s="62">
        <f>SUM([2]Report!$B$352:$B$360)+SUM([2]Report!$B$361:$B$364)</f>
        <v>3305582.1100000003</v>
      </c>
      <c r="I6" s="63">
        <f>SUM('[3]Part 1'!$H$153:$H$161)+SUM('[3]Part 1'!$H$162:$H$163)+'[3]Part 1'!$H$175</f>
        <v>4071986.8200000003</v>
      </c>
      <c r="K6" s="62" t="s">
        <v>13</v>
      </c>
      <c r="L6" s="64">
        <f>'[4]2009 data'!$AW$90</f>
        <v>3152387.86</v>
      </c>
      <c r="M6" s="64">
        <f>'[4]2010 data'!$AW$91</f>
        <v>3305582.11</v>
      </c>
      <c r="N6" s="64">
        <f>'[4]2011 data '!$AW$90</f>
        <v>4071986.8200000003</v>
      </c>
    </row>
    <row r="7" spans="1:15">
      <c r="A7" s="65" t="s">
        <v>58</v>
      </c>
      <c r="B7" s="66"/>
      <c r="C7" s="66"/>
      <c r="D7" s="66"/>
      <c r="E7" s="66"/>
      <c r="F7" s="66"/>
      <c r="G7" s="63">
        <f>SUM([1]RRRTB!$B$365:$B$376)+[1]RRRTB!$B$380</f>
        <v>2390127.37</v>
      </c>
      <c r="H7" s="62">
        <f>SUM([2]Report!$B$367:$B$378)+[2]Report!$B$382</f>
        <v>2385167.41</v>
      </c>
      <c r="I7" s="63">
        <f>SUM('[3]Part 1'!$H$164:$H$173)+'[3]Part 1'!$H$174</f>
        <v>2209780.92</v>
      </c>
      <c r="K7" s="62" t="s">
        <v>14</v>
      </c>
      <c r="L7" s="61">
        <f>'[4]2009 data'!$AW$91</f>
        <v>2390127.37</v>
      </c>
      <c r="M7" s="61">
        <f>'[4]2010 data'!$AW$92</f>
        <v>2385167.41</v>
      </c>
      <c r="N7" s="61">
        <f>'[4]2011 data '!$AW$91</f>
        <v>2209780.92</v>
      </c>
    </row>
    <row r="8" spans="1:15">
      <c r="A8" s="65" t="s">
        <v>59</v>
      </c>
      <c r="B8" s="66"/>
      <c r="C8" s="66"/>
      <c r="D8" s="66"/>
      <c r="E8" s="66"/>
      <c r="F8" s="66"/>
      <c r="G8" s="63">
        <f>SUM([1]RRRTB!$B$392:$B$396)+[1]RRRTB!$B$398</f>
        <v>3203065.3</v>
      </c>
      <c r="H8" s="62">
        <f>SUM([2]Report!$B$394:$B$398)+[2]Report!$B$400</f>
        <v>3674829.6799999997</v>
      </c>
      <c r="I8" s="63">
        <f>SUM('[3]Part 1'!$H$191:$H$195)+'[3]Part 1'!$H$197</f>
        <v>3545281.2579999999</v>
      </c>
      <c r="K8" s="62" t="s">
        <v>15</v>
      </c>
      <c r="L8" s="61">
        <f>'[4]2009 data'!$AW$92</f>
        <v>3203065.3</v>
      </c>
      <c r="M8" s="61">
        <f>'[4]2010 data'!$AW$93</f>
        <v>3999115.57</v>
      </c>
      <c r="N8" s="61">
        <f>'[4]2011 data '!$AW$92</f>
        <v>3545281.2600000002</v>
      </c>
    </row>
    <row r="9" spans="1:15">
      <c r="A9" s="65" t="s">
        <v>60</v>
      </c>
      <c r="B9" s="66"/>
      <c r="C9" s="66"/>
      <c r="D9" s="66"/>
      <c r="E9" s="66"/>
      <c r="F9" s="66"/>
      <c r="G9" s="63">
        <f>[1]RRRTB!$B$400+[1]RRRTB!$B$401</f>
        <v>64570.44</v>
      </c>
      <c r="H9" s="62">
        <f>SUM([2]Report!$B$402:$B$403)</f>
        <v>55391.360000000001</v>
      </c>
      <c r="I9" s="63">
        <f>SUM('[3]Part 1'!$H$176)</f>
        <v>60687.34</v>
      </c>
      <c r="K9" s="62" t="s">
        <v>16</v>
      </c>
      <c r="L9" s="61">
        <f>'[4]2009 data'!$AW$93</f>
        <v>64570.44</v>
      </c>
      <c r="M9" s="61">
        <f>'[4]2010 data'!$AW$94</f>
        <v>55391.360000000001</v>
      </c>
      <c r="N9" s="61">
        <f>'[4]2011 data '!$AW$93</f>
        <v>60687.340000000004</v>
      </c>
    </row>
    <row r="10" spans="1:15">
      <c r="A10" s="67" t="s">
        <v>61</v>
      </c>
      <c r="B10" s="68"/>
      <c r="C10" s="68"/>
      <c r="D10" s="68"/>
      <c r="E10" s="68"/>
      <c r="F10" s="68"/>
      <c r="G10" s="69">
        <f>SUM([1]RRRTB!$B$408:$B$413)+SUM([1]RRRTB!$B$415:$B$418)+SUM([1]RRRTB!$B$420:$B$422)</f>
        <v>3602619.9400000004</v>
      </c>
      <c r="H10" s="70">
        <f>SUM([2]Report!$B$410:$B$415)+[2]Report!$B$419+SUM([2]Report!$B$420:$B$422)</f>
        <v>3686261.96</v>
      </c>
      <c r="I10" s="63">
        <f>SUM('[3]Part 1'!$H$177:$H$181)+SUM('[3]Part 1'!$H$183)+SUM('[3]Part 1'!$H$184:$H$185)</f>
        <v>3608560.7899999996</v>
      </c>
      <c r="K10" s="62" t="s">
        <v>17</v>
      </c>
      <c r="L10" s="61">
        <f>'[4]2009 data'!$AW$95</f>
        <v>3602619.94</v>
      </c>
      <c r="M10" s="61">
        <f>'[4]2010 data'!$AW$96</f>
        <v>3686261.96</v>
      </c>
      <c r="N10" s="61">
        <f>'[4]2011 data '!$AW$95</f>
        <v>3608560.79</v>
      </c>
    </row>
    <row r="11" spans="1:15">
      <c r="A11" s="65" t="s">
        <v>62</v>
      </c>
      <c r="B11" s="66"/>
      <c r="C11" s="66"/>
      <c r="D11" s="66"/>
      <c r="E11" s="66"/>
      <c r="F11" s="66"/>
      <c r="G11" s="63">
        <f>[1]RRRTB!$B$414</f>
        <v>204847.88</v>
      </c>
      <c r="H11" s="62">
        <f>SUM([2]Report!$B$416)</f>
        <v>203857.54</v>
      </c>
      <c r="I11" s="63">
        <f>'[3]Part 1'!$H$182</f>
        <v>241376.39</v>
      </c>
      <c r="K11" s="62" t="s">
        <v>18</v>
      </c>
      <c r="L11" s="61">
        <f>'[4]2009 data'!$AW$96</f>
        <v>204847.88</v>
      </c>
      <c r="M11" s="61">
        <f>'[4]2010 data'!$AW$97</f>
        <v>203857.54</v>
      </c>
      <c r="N11" s="61">
        <f>'[4]2011 data '!$AW$96</f>
        <v>241376.39</v>
      </c>
    </row>
    <row r="12" spans="1:15" ht="13.5" thickBot="1">
      <c r="A12" s="65" t="s">
        <v>63</v>
      </c>
      <c r="B12" s="66"/>
      <c r="C12" s="66"/>
      <c r="D12" s="66"/>
      <c r="E12" s="66"/>
      <c r="F12" s="66"/>
      <c r="G12" s="63"/>
      <c r="H12" s="71"/>
      <c r="I12" s="63">
        <v>0</v>
      </c>
      <c r="K12" s="71" t="s">
        <v>19</v>
      </c>
      <c r="L12" s="69">
        <f>'[4]2009 data'!$AW$98</f>
        <v>0</v>
      </c>
      <c r="M12" s="69">
        <f>'[4]2010 data'!$AW$99</f>
        <v>0</v>
      </c>
      <c r="N12" s="69">
        <f>'[4]2011 data '!$AW$98</f>
        <v>0</v>
      </c>
    </row>
    <row r="13" spans="1:15" ht="13.5" thickBot="1">
      <c r="A13" s="72" t="s">
        <v>1</v>
      </c>
      <c r="B13" s="73"/>
      <c r="C13" s="73"/>
      <c r="D13" s="73"/>
      <c r="E13" s="73"/>
      <c r="F13" s="73"/>
      <c r="G13" s="74">
        <f>SUM(G6:G12)</f>
        <v>12617618.790000001</v>
      </c>
      <c r="H13" s="74">
        <f t="shared" ref="H13:I13" si="0">SUM(H6:H12)</f>
        <v>13311090.059999999</v>
      </c>
      <c r="I13" s="74">
        <f t="shared" si="0"/>
        <v>13737673.517999999</v>
      </c>
      <c r="K13" s="72" t="s">
        <v>1</v>
      </c>
      <c r="L13" s="75">
        <f>SUM(L6:L12)</f>
        <v>12617618.790000001</v>
      </c>
      <c r="M13" s="75">
        <f>SUM(M6:M12)</f>
        <v>13635375.949999999</v>
      </c>
      <c r="N13" s="75">
        <f>SUM(N6:N12)</f>
        <v>13737673.52</v>
      </c>
    </row>
    <row r="14" spans="1:15" ht="13.5" thickBot="1">
      <c r="A14" s="76" t="s">
        <v>64</v>
      </c>
      <c r="B14" s="77"/>
      <c r="C14" s="77"/>
      <c r="D14" s="77"/>
      <c r="E14" s="77"/>
      <c r="F14" s="77"/>
      <c r="G14" s="78"/>
      <c r="H14" s="78"/>
      <c r="I14" s="78"/>
      <c r="K14" s="79"/>
      <c r="L14" s="80"/>
      <c r="M14" s="80"/>
      <c r="N14" s="80"/>
    </row>
    <row r="15" spans="1:15" ht="13.5" thickBot="1">
      <c r="A15" s="81" t="s">
        <v>65</v>
      </c>
      <c r="B15" s="82"/>
      <c r="C15" s="82"/>
      <c r="D15" s="82"/>
      <c r="E15" s="82"/>
      <c r="F15" s="82"/>
      <c r="G15" s="74">
        <f>'[5]OM&amp;A Calculation'!$D$459</f>
        <v>12617618.789999999</v>
      </c>
      <c r="H15" s="74">
        <f>'[5]OM&amp;A Calculation'!$D$460</f>
        <v>13635375.949999999</v>
      </c>
      <c r="I15" s="74">
        <f>'[5]OM&amp;A Calculation'!$D$461</f>
        <v>13737673.52</v>
      </c>
      <c r="K15" s="83" t="s">
        <v>34</v>
      </c>
      <c r="L15" s="74">
        <f>+G15</f>
        <v>12617618.789999999</v>
      </c>
      <c r="M15" s="74">
        <f>+H15</f>
        <v>13635375.949999999</v>
      </c>
      <c r="N15" s="74">
        <f>+I15</f>
        <v>13737673.52</v>
      </c>
      <c r="O15" s="84" t="s">
        <v>35</v>
      </c>
    </row>
    <row r="16" spans="1:15" ht="13.5" thickBot="1">
      <c r="A16" s="72" t="s">
        <v>3</v>
      </c>
      <c r="B16" s="73"/>
      <c r="C16" s="73"/>
      <c r="D16" s="73"/>
      <c r="E16" s="73"/>
      <c r="F16" s="73"/>
      <c r="G16" s="74">
        <f>+G13-G15</f>
        <v>0</v>
      </c>
      <c r="H16" s="74">
        <f t="shared" ref="H16:I16" si="1">+H13-H15</f>
        <v>-324285.8900000006</v>
      </c>
      <c r="I16" s="74">
        <f t="shared" si="1"/>
        <v>-2.0000003278255463E-3</v>
      </c>
      <c r="K16" s="85"/>
      <c r="L16" s="74">
        <f>+L13-L15</f>
        <v>0</v>
      </c>
      <c r="M16" s="74">
        <f>+M13-M15</f>
        <v>0</v>
      </c>
      <c r="N16" s="74">
        <f>+N13-N15</f>
        <v>0</v>
      </c>
    </row>
    <row r="17" spans="1:13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>
      <c r="A18" s="88" t="s">
        <v>2</v>
      </c>
    </row>
    <row r="19" spans="1:13">
      <c r="A19" s="88" t="s">
        <v>5</v>
      </c>
    </row>
    <row r="20" spans="1:13" ht="13.5" thickBot="1">
      <c r="A20" s="88"/>
    </row>
    <row r="21" spans="1:13" ht="13.5" thickBot="1">
      <c r="A21" s="105" t="s">
        <v>23</v>
      </c>
      <c r="B21" s="106"/>
      <c r="C21" s="106"/>
      <c r="D21" s="106"/>
      <c r="E21" s="106"/>
      <c r="F21" s="107"/>
      <c r="G21" s="56">
        <v>2009</v>
      </c>
      <c r="H21" s="56">
        <v>2010</v>
      </c>
      <c r="I21" s="56">
        <v>2011</v>
      </c>
      <c r="J21" s="52"/>
    </row>
    <row r="22" spans="1:13" ht="32.25" customHeight="1" thickBot="1">
      <c r="A22" s="102" t="s">
        <v>20</v>
      </c>
      <c r="B22" s="103"/>
      <c r="C22" s="103"/>
      <c r="D22" s="103"/>
      <c r="E22" s="103"/>
      <c r="F22" s="103"/>
      <c r="G22" s="102" t="s">
        <v>0</v>
      </c>
      <c r="H22" s="103"/>
      <c r="I22" s="104"/>
      <c r="J22" s="53"/>
    </row>
    <row r="23" spans="1:13">
      <c r="A23" s="67" t="s">
        <v>6</v>
      </c>
      <c r="B23" s="68"/>
      <c r="C23" s="89">
        <v>5014</v>
      </c>
      <c r="D23" s="68" t="s">
        <v>29</v>
      </c>
      <c r="E23" s="68"/>
      <c r="F23" s="68"/>
      <c r="G23" s="69">
        <f>[1]RRRTB!$B$353</f>
        <v>6818.9</v>
      </c>
      <c r="H23" s="90">
        <f>[2]Report!$B$355</f>
        <v>12259.21</v>
      </c>
      <c r="I23" s="90">
        <f>'[3]Part 1'!$H$156</f>
        <v>7209.76</v>
      </c>
      <c r="J23" s="54"/>
    </row>
    <row r="24" spans="1:13">
      <c r="A24" s="67"/>
      <c r="B24" s="68"/>
      <c r="C24" s="89">
        <v>5015</v>
      </c>
      <c r="D24" s="68" t="s">
        <v>30</v>
      </c>
      <c r="E24" s="68"/>
      <c r="F24" s="68"/>
      <c r="G24" s="69">
        <f>[1]RRRTB!$B$354</f>
        <v>65785.7</v>
      </c>
      <c r="H24" s="90">
        <f>[2]Report!$B$356</f>
        <v>103905.94</v>
      </c>
      <c r="I24" s="90">
        <f>'[3]Part 1'!$H$157</f>
        <v>101958.15</v>
      </c>
      <c r="J24" s="54"/>
    </row>
    <row r="25" spans="1:13" ht="13.5" thickBot="1">
      <c r="A25" s="67"/>
      <c r="B25" s="68"/>
      <c r="C25" s="89">
        <v>5112</v>
      </c>
      <c r="D25" s="68" t="s">
        <v>31</v>
      </c>
      <c r="E25" s="68"/>
      <c r="F25" s="68"/>
      <c r="G25" s="69"/>
      <c r="H25" s="90"/>
      <c r="I25" s="90"/>
      <c r="J25" s="54"/>
    </row>
    <row r="26" spans="1:13" ht="13.5" thickBot="1">
      <c r="A26" s="72" t="s">
        <v>1</v>
      </c>
      <c r="B26" s="73"/>
      <c r="C26" s="73"/>
      <c r="D26" s="73"/>
      <c r="E26" s="73"/>
      <c r="F26" s="73"/>
      <c r="G26" s="74">
        <f>SUM(G23:G25)</f>
        <v>72604.599999999991</v>
      </c>
      <c r="H26" s="74">
        <f t="shared" ref="H26:I26" si="2">SUM(H23:H25)</f>
        <v>116165.15</v>
      </c>
      <c r="I26" s="74">
        <f t="shared" si="2"/>
        <v>109167.90999999999</v>
      </c>
      <c r="J26" s="50"/>
    </row>
    <row r="27" spans="1:13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5" thickBot="1">
      <c r="A28" s="67" t="s">
        <v>67</v>
      </c>
      <c r="B28" s="68"/>
      <c r="C28" s="68"/>
      <c r="D28" s="68"/>
      <c r="E28" s="68"/>
      <c r="F28" s="68"/>
      <c r="G28" s="92"/>
      <c r="H28" s="92"/>
      <c r="I28" s="92"/>
      <c r="J28" s="50"/>
      <c r="K28" s="68"/>
      <c r="L28" s="68"/>
    </row>
    <row r="29" spans="1:13" ht="13.5" thickBot="1">
      <c r="A29" s="81" t="s">
        <v>7</v>
      </c>
      <c r="B29" s="82"/>
      <c r="C29" s="82"/>
      <c r="D29" s="82"/>
      <c r="E29" s="82"/>
      <c r="F29" s="82"/>
      <c r="G29" s="74">
        <f>'[5]Aggregate HV charges'!$C$459</f>
        <v>72605</v>
      </c>
      <c r="H29" s="74">
        <f>'[5]Aggregate HV charges'!$C$460</f>
        <v>116165</v>
      </c>
      <c r="I29" s="74">
        <f>'[5]Aggregate HV charges'!$C$461</f>
        <v>109168</v>
      </c>
      <c r="J29" s="49" t="s">
        <v>4</v>
      </c>
      <c r="L29" s="68"/>
    </row>
    <row r="30" spans="1:13" ht="13.5" thickBot="1">
      <c r="A30" s="72" t="s">
        <v>3</v>
      </c>
      <c r="B30" s="73"/>
      <c r="C30" s="73"/>
      <c r="D30" s="73"/>
      <c r="E30" s="73"/>
      <c r="F30" s="73"/>
      <c r="G30" s="74">
        <f>+G26-G29</f>
        <v>-0.40000000000873115</v>
      </c>
      <c r="H30" s="74">
        <f t="shared" ref="H30:I30" si="3">+H26-H29</f>
        <v>0.14999999999417923</v>
      </c>
      <c r="I30" s="74">
        <f t="shared" si="3"/>
        <v>-9.0000000011059456E-2</v>
      </c>
      <c r="J30" s="50"/>
      <c r="K30" s="68"/>
      <c r="L30" s="68"/>
    </row>
    <row r="31" spans="1:13" ht="13.5" thickBot="1"/>
    <row r="32" spans="1:13" ht="13.5" thickBot="1">
      <c r="A32" s="105" t="s">
        <v>23</v>
      </c>
      <c r="B32" s="106"/>
      <c r="C32" s="106"/>
      <c r="D32" s="106"/>
      <c r="E32" s="106"/>
      <c r="F32" s="107"/>
      <c r="G32" s="56">
        <v>2009</v>
      </c>
      <c r="H32" s="56">
        <v>2010</v>
      </c>
      <c r="I32" s="56">
        <v>2011</v>
      </c>
      <c r="J32" s="52"/>
    </row>
    <row r="33" spans="1:10" ht="32.25" customHeight="1" thickBot="1">
      <c r="A33" s="102" t="s">
        <v>20</v>
      </c>
      <c r="B33" s="103"/>
      <c r="C33" s="103"/>
      <c r="D33" s="103"/>
      <c r="E33" s="103"/>
      <c r="F33" s="103"/>
      <c r="G33" s="102" t="s">
        <v>0</v>
      </c>
      <c r="H33" s="103"/>
      <c r="I33" s="104"/>
      <c r="J33" s="53"/>
    </row>
    <row r="34" spans="1:10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6818.9</v>
      </c>
      <c r="H34" s="69">
        <f t="shared" si="4"/>
        <v>12259.21</v>
      </c>
      <c r="I34" s="69">
        <f t="shared" ref="I34" si="5">+I23</f>
        <v>7209.76</v>
      </c>
      <c r="J34" s="49" t="s">
        <v>27</v>
      </c>
    </row>
    <row r="35" spans="1:10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65785.7</v>
      </c>
      <c r="H35" s="69">
        <f t="shared" si="4"/>
        <v>103905.94</v>
      </c>
      <c r="I35" s="69">
        <f t="shared" ref="I35" si="6">+I24</f>
        <v>101958.15</v>
      </c>
      <c r="J35" s="49" t="s">
        <v>28</v>
      </c>
    </row>
    <row r="36" spans="1:10" ht="13.5" thickBot="1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5" thickBot="1">
      <c r="A37" s="72" t="s">
        <v>1</v>
      </c>
      <c r="B37" s="73"/>
      <c r="C37" s="73"/>
      <c r="D37" s="73"/>
      <c r="E37" s="73"/>
      <c r="F37" s="73"/>
      <c r="G37" s="74">
        <f>SUM(G34:G36)</f>
        <v>72604.599999999991</v>
      </c>
      <c r="H37" s="74">
        <f t="shared" ref="H37:I37" si="8">SUM(H34:H36)</f>
        <v>116165.15</v>
      </c>
      <c r="I37" s="74">
        <f t="shared" si="8"/>
        <v>109167.90999999999</v>
      </c>
      <c r="J37" s="50"/>
    </row>
    <row r="38" spans="1:10" ht="13.5" thickBot="1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5" thickBot="1">
      <c r="A39" s="67" t="s">
        <v>68</v>
      </c>
      <c r="B39" s="68"/>
      <c r="C39" s="68"/>
      <c r="D39" s="68"/>
      <c r="E39" s="68"/>
      <c r="F39" s="68"/>
      <c r="G39" s="74">
        <f>'[5]OM&amp;A Calculation'!$I$459</f>
        <v>72605</v>
      </c>
      <c r="H39" s="74">
        <f>'[5]OM&amp;A Calculation'!$I$460</f>
        <v>116165</v>
      </c>
      <c r="I39" s="74">
        <f>'[5]OM&amp;A Calculation'!$I$461</f>
        <v>109168</v>
      </c>
      <c r="J39" s="49" t="s">
        <v>4</v>
      </c>
    </row>
    <row r="40" spans="1:10" ht="13.5" thickBot="1">
      <c r="A40" s="72" t="s">
        <v>3</v>
      </c>
      <c r="B40" s="73"/>
      <c r="C40" s="73"/>
      <c r="D40" s="73"/>
      <c r="E40" s="73"/>
      <c r="F40" s="73"/>
      <c r="G40" s="74">
        <f>+G37-G39</f>
        <v>-0.40000000000873115</v>
      </c>
      <c r="H40" s="74">
        <f t="shared" ref="H40:I40" si="9">+H37-H39</f>
        <v>0.14999999999417923</v>
      </c>
      <c r="I40" s="74">
        <f t="shared" si="9"/>
        <v>-9.0000000011059456E-2</v>
      </c>
      <c r="J40" s="50"/>
    </row>
  </sheetData>
  <mergeCells count="11">
    <mergeCell ref="K5:N5"/>
    <mergeCell ref="A4:F4"/>
    <mergeCell ref="G22:I22"/>
    <mergeCell ref="A21:F21"/>
    <mergeCell ref="A32:F32"/>
    <mergeCell ref="A2:F2"/>
    <mergeCell ref="G33:I33"/>
    <mergeCell ref="A5:F5"/>
    <mergeCell ref="A22:F22"/>
    <mergeCell ref="A33:F33"/>
    <mergeCell ref="G5:I5"/>
  </mergeCells>
  <pageMargins left="0.7" right="0.7" top="0.75" bottom="0.75" header="0.3" footer="0.3"/>
  <pageSetup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showGridLines="0" tabSelected="1" zoomScale="75" zoomScaleNormal="75" workbookViewId="0">
      <selection activeCell="M7" sqref="M7:M8"/>
    </sheetView>
  </sheetViews>
  <sheetFormatPr defaultRowHeight="15"/>
  <cols>
    <col min="6" max="6" width="11.77734375" customWidth="1"/>
    <col min="7" max="7" width="18.109375" customWidth="1"/>
    <col min="8" max="9" width="13.5546875" bestFit="1" customWidth="1"/>
    <col min="10" max="10" width="12.88671875" bestFit="1" customWidth="1"/>
    <col min="12" max="12" width="10.5546875" customWidth="1"/>
  </cols>
  <sheetData>
    <row r="1" spans="1:10" ht="15.75" thickBot="1"/>
    <row r="2" spans="1:10" ht="16.5" thickBot="1">
      <c r="A2" s="108" t="s">
        <v>69</v>
      </c>
      <c r="B2" s="109"/>
      <c r="C2" s="109"/>
      <c r="D2" s="109"/>
      <c r="E2" s="109"/>
      <c r="F2" s="109"/>
      <c r="G2" s="109"/>
      <c r="H2" s="109"/>
      <c r="I2" s="110"/>
      <c r="J2" s="45" t="s">
        <v>50</v>
      </c>
    </row>
    <row r="3" spans="1:10" ht="15.75" thickBot="1"/>
    <row r="4" spans="1:10" ht="18.75" thickBot="1">
      <c r="A4" s="111" t="s">
        <v>25</v>
      </c>
      <c r="B4" s="112"/>
      <c r="C4" s="112"/>
      <c r="D4" s="112"/>
      <c r="E4" s="112"/>
      <c r="F4" s="113"/>
      <c r="G4" s="22">
        <v>2009</v>
      </c>
      <c r="H4" s="22">
        <v>2010</v>
      </c>
      <c r="I4" s="22">
        <v>2011</v>
      </c>
    </row>
    <row r="5" spans="1:10" ht="16.5" thickBot="1">
      <c r="A5" s="114" t="s">
        <v>21</v>
      </c>
      <c r="B5" s="115"/>
      <c r="C5" s="115"/>
      <c r="D5" s="115"/>
      <c r="E5" s="115"/>
      <c r="F5" s="115"/>
      <c r="G5" s="114" t="s">
        <v>52</v>
      </c>
      <c r="H5" s="115"/>
      <c r="I5" s="116"/>
    </row>
    <row r="6" spans="1:10" ht="16.5" thickBot="1">
      <c r="A6" s="10" t="s">
        <v>54</v>
      </c>
      <c r="B6" s="19"/>
      <c r="C6" s="23" t="s">
        <v>32</v>
      </c>
      <c r="D6" s="19"/>
      <c r="E6" s="19"/>
      <c r="F6" s="19"/>
      <c r="G6" s="15">
        <f>[1]RRRTB!$B$117</f>
        <v>10061.77</v>
      </c>
      <c r="H6" s="15">
        <f>[2]Report!$B$119</f>
        <v>42298.6</v>
      </c>
      <c r="I6" s="15">
        <f>'[3]Part 1'!$H$34</f>
        <v>42298.6</v>
      </c>
      <c r="J6" t="s">
        <v>4</v>
      </c>
    </row>
    <row r="7" spans="1:10" ht="15.75" thickBot="1">
      <c r="A7" s="12" t="s">
        <v>9</v>
      </c>
      <c r="B7" s="13"/>
      <c r="C7" s="13"/>
      <c r="D7" s="13"/>
      <c r="E7" s="13"/>
      <c r="F7" s="13"/>
      <c r="G7" s="14"/>
      <c r="H7" s="14"/>
      <c r="I7" s="14"/>
    </row>
    <row r="8" spans="1:10" ht="16.5" thickBot="1">
      <c r="A8" s="5" t="s">
        <v>38</v>
      </c>
      <c r="B8" s="6"/>
      <c r="C8" s="6"/>
      <c r="D8" s="6"/>
      <c r="E8" s="6"/>
      <c r="F8" s="6"/>
      <c r="G8" s="15">
        <f>'[5]Q Capital Data'!$G$1057</f>
        <v>10062</v>
      </c>
      <c r="H8" s="15">
        <f>'[5]Q Capital Data'!$G$1058</f>
        <v>42299</v>
      </c>
      <c r="I8" s="15">
        <f>'[5]Q Capital Data'!$G$1059</f>
        <v>42299</v>
      </c>
      <c r="J8" t="s">
        <v>4</v>
      </c>
    </row>
    <row r="9" spans="1:10" ht="16.5" thickBot="1">
      <c r="A9" s="10" t="s">
        <v>3</v>
      </c>
      <c r="B9" s="11"/>
      <c r="C9" s="11"/>
      <c r="D9" s="11"/>
      <c r="E9" s="11"/>
      <c r="F9" s="11"/>
      <c r="G9" s="15">
        <f>+G6-G8</f>
        <v>-0.22999999999956344</v>
      </c>
      <c r="H9" s="15">
        <f t="shared" ref="H9:I9" si="0">+H6-H8</f>
        <v>-0.40000000000145519</v>
      </c>
      <c r="I9" s="15">
        <f t="shared" si="0"/>
        <v>-0.40000000000145519</v>
      </c>
    </row>
    <row r="10" spans="1:10">
      <c r="G10" s="1"/>
      <c r="H10" s="1"/>
      <c r="I10" s="1"/>
    </row>
    <row r="11" spans="1:10" ht="15.75" thickBot="1">
      <c r="G11" s="1"/>
      <c r="H11" s="1"/>
      <c r="I11" s="1"/>
    </row>
    <row r="12" spans="1:10" ht="18.75" thickBot="1">
      <c r="A12" s="111" t="s">
        <v>26</v>
      </c>
      <c r="B12" s="112"/>
      <c r="C12" s="112"/>
      <c r="D12" s="112"/>
      <c r="E12" s="112"/>
      <c r="F12" s="113"/>
      <c r="G12" s="22">
        <v>2009</v>
      </c>
      <c r="H12" s="22">
        <v>2010</v>
      </c>
      <c r="I12" s="22">
        <v>2011</v>
      </c>
    </row>
    <row r="13" spans="1:10" ht="16.5" thickBot="1">
      <c r="A13" s="114" t="s">
        <v>6</v>
      </c>
      <c r="B13" s="115"/>
      <c r="C13" s="115"/>
      <c r="D13" s="115"/>
      <c r="E13" s="115"/>
      <c r="F13" s="115"/>
      <c r="G13" s="114" t="s">
        <v>0</v>
      </c>
      <c r="H13" s="115"/>
      <c r="I13" s="116"/>
    </row>
    <row r="14" spans="1:10" ht="16.5" thickBot="1">
      <c r="A14" s="10" t="s">
        <v>55</v>
      </c>
      <c r="B14" s="19"/>
      <c r="C14" s="19"/>
      <c r="D14" s="19"/>
      <c r="E14" s="19"/>
      <c r="F14" s="19"/>
      <c r="G14" s="15">
        <f>SUM([1]RRRTB!$B$113:$B$150)</f>
        <v>199180644.84000006</v>
      </c>
      <c r="H14" s="15">
        <f>SUM([2]Report!$B$115:$B$150)</f>
        <v>209176572.46000007</v>
      </c>
      <c r="I14" s="15">
        <f>SUM('[3]Part 1'!$H$31:$H$57)</f>
        <v>218201945.01999998</v>
      </c>
      <c r="J14" s="25" t="s">
        <v>4</v>
      </c>
    </row>
    <row r="15" spans="1:10" ht="15.75" thickBot="1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5" thickBot="1">
      <c r="A16" s="26" t="s">
        <v>39</v>
      </c>
      <c r="B16" s="6"/>
      <c r="C16" s="6"/>
      <c r="D16" s="6"/>
      <c r="E16" s="6"/>
      <c r="F16" s="6"/>
      <c r="G16" s="15">
        <f>'[5]Q Capital Data'!$D$1057</f>
        <v>205813373</v>
      </c>
      <c r="H16" s="15">
        <f>'[5]Q Capital Data'!$D$1058</f>
        <v>215820546</v>
      </c>
      <c r="I16" s="15">
        <f>'[5]Q Capital Data'!$D$1059</f>
        <v>224845921</v>
      </c>
      <c r="J16" t="s">
        <v>4</v>
      </c>
    </row>
    <row r="17" spans="1:10" ht="16.5" thickBot="1">
      <c r="A17" s="10" t="s">
        <v>3</v>
      </c>
      <c r="B17" s="11"/>
      <c r="C17" s="11"/>
      <c r="D17" s="11"/>
      <c r="E17" s="11"/>
      <c r="F17" s="11"/>
      <c r="G17" s="93">
        <f>+G14-G16</f>
        <v>-6632728.1599999368</v>
      </c>
      <c r="H17" s="93">
        <f t="shared" ref="H17:I17" si="1">+H14-H16</f>
        <v>-6643973.5399999321</v>
      </c>
      <c r="I17" s="93">
        <f t="shared" si="1"/>
        <v>-6643975.9800000191</v>
      </c>
    </row>
    <row r="18" spans="1:10" ht="15.75">
      <c r="G18" s="95" t="s">
        <v>70</v>
      </c>
      <c r="H18" s="94"/>
      <c r="I18" s="94"/>
    </row>
    <row r="19" spans="1:10" ht="15.75" thickBot="1"/>
    <row r="20" spans="1:10" ht="18.75" thickBot="1">
      <c r="A20" s="111" t="s">
        <v>26</v>
      </c>
      <c r="B20" s="112"/>
      <c r="C20" s="112"/>
      <c r="D20" s="112"/>
      <c r="E20" s="112"/>
      <c r="F20" s="113"/>
      <c r="G20" s="22">
        <v>2009</v>
      </c>
      <c r="H20" s="22">
        <v>2010</v>
      </c>
      <c r="I20" s="22">
        <v>2011</v>
      </c>
    </row>
    <row r="21" spans="1:10" ht="16.5" thickBot="1">
      <c r="A21" s="120" t="s">
        <v>10</v>
      </c>
      <c r="B21" s="121"/>
      <c r="C21" s="121"/>
      <c r="D21" s="121"/>
      <c r="E21" s="121"/>
      <c r="F21" s="121"/>
      <c r="G21" s="122"/>
      <c r="H21" s="27"/>
      <c r="I21" s="27"/>
    </row>
    <row r="22" spans="1:10" ht="15.75" thickBot="1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5" thickBot="1">
      <c r="A23" s="117" t="s">
        <v>47</v>
      </c>
      <c r="B23" s="118"/>
      <c r="C23" s="118"/>
      <c r="D23" s="118"/>
      <c r="E23" s="118"/>
      <c r="F23" s="118"/>
      <c r="G23" s="118"/>
      <c r="H23" s="118"/>
      <c r="I23" s="119"/>
      <c r="J23" s="2"/>
    </row>
    <row r="24" spans="1:10" ht="16.5" thickBot="1">
      <c r="A24" s="12" t="s">
        <v>36</v>
      </c>
      <c r="B24" s="13"/>
      <c r="C24" s="13"/>
      <c r="D24" s="13"/>
      <c r="E24" s="13"/>
      <c r="F24" s="13"/>
      <c r="G24" s="15">
        <f>'[5]Capital Calculations for BM'!$E$1061</f>
        <v>199180648</v>
      </c>
      <c r="H24" s="15">
        <f>'[5]Capital Calculations for BM'!$E$1062</f>
        <v>209176571</v>
      </c>
      <c r="I24" s="15">
        <f>'[5]Capital Calculations for BM'!$E$1063</f>
        <v>218201946</v>
      </c>
      <c r="J24" s="2" t="s">
        <v>4</v>
      </c>
    </row>
    <row r="25" spans="1:10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5" thickBot="1">
      <c r="A26" s="39" t="s">
        <v>37</v>
      </c>
      <c r="B26" s="40"/>
      <c r="C26" s="40"/>
      <c r="D26" s="40"/>
      <c r="E26" s="40"/>
      <c r="F26" s="41"/>
      <c r="G26" s="36"/>
      <c r="H26" s="36"/>
      <c r="I26" s="36"/>
      <c r="J26" t="s">
        <v>46</v>
      </c>
    </row>
    <row r="27" spans="1:10" ht="16.5" thickBot="1">
      <c r="A27" s="8" t="s">
        <v>12</v>
      </c>
      <c r="B27" s="9"/>
      <c r="C27" s="9"/>
      <c r="D27" s="9"/>
      <c r="E27" s="9"/>
      <c r="F27" s="31"/>
      <c r="G27" s="28">
        <f>'[5]Q Capital Data'!$E$1057</f>
        <v>199170586</v>
      </c>
      <c r="H27" s="28">
        <f>'[5]Q Capital Data'!$E$1058</f>
        <v>209134272</v>
      </c>
      <c r="I27" s="28">
        <f>'[5]Q Capital Data'!$E$1059</f>
        <v>218159647</v>
      </c>
      <c r="J27" s="2" t="s">
        <v>4</v>
      </c>
    </row>
    <row r="28" spans="1:10" ht="16.5" thickBot="1">
      <c r="A28" s="5"/>
      <c r="B28" s="6"/>
      <c r="C28" s="6"/>
      <c r="D28" s="6"/>
      <c r="E28" s="6"/>
      <c r="F28" s="6"/>
      <c r="G28" s="15">
        <f>+G26+G27</f>
        <v>199170586</v>
      </c>
      <c r="H28" s="15">
        <f t="shared" ref="H28" si="2">+H26+H27</f>
        <v>209134272</v>
      </c>
      <c r="I28" s="15">
        <f>+I26+I27</f>
        <v>218159647</v>
      </c>
      <c r="J28" s="2"/>
    </row>
    <row r="29" spans="1:10" ht="16.5" thickBot="1">
      <c r="A29" s="21" t="s">
        <v>3</v>
      </c>
      <c r="B29" s="6"/>
      <c r="C29" s="6"/>
      <c r="D29" s="6"/>
      <c r="E29" s="6"/>
      <c r="F29" s="6"/>
      <c r="G29" s="30">
        <f>+G24-G28</f>
        <v>10062</v>
      </c>
      <c r="H29" s="30">
        <f t="shared" ref="H29:I29" si="3">+H24-H28</f>
        <v>42299</v>
      </c>
      <c r="I29" s="30">
        <f t="shared" si="3"/>
        <v>42299</v>
      </c>
      <c r="J29" s="2"/>
    </row>
    <row r="30" spans="1:10" ht="16.5" thickBot="1">
      <c r="A30" s="117" t="s">
        <v>47</v>
      </c>
      <c r="B30" s="118"/>
      <c r="C30" s="118"/>
      <c r="D30" s="118"/>
      <c r="E30" s="118"/>
      <c r="F30" s="118"/>
      <c r="G30" s="118"/>
      <c r="H30" s="118"/>
      <c r="I30" s="119"/>
      <c r="J30" s="2"/>
    </row>
    <row r="31" spans="1:10" ht="16.5" thickBot="1">
      <c r="A31" s="32" t="s">
        <v>12</v>
      </c>
      <c r="B31" s="33"/>
      <c r="C31" s="33"/>
      <c r="D31" s="33"/>
      <c r="E31" s="33"/>
      <c r="F31" s="34"/>
      <c r="G31" s="15">
        <f>+G27</f>
        <v>199170586</v>
      </c>
      <c r="H31" s="15">
        <f t="shared" ref="H31:I31" si="4">+H27</f>
        <v>209134272</v>
      </c>
      <c r="I31" s="15">
        <f t="shared" si="4"/>
        <v>218159647</v>
      </c>
      <c r="J31" s="2" t="s">
        <v>45</v>
      </c>
    </row>
    <row r="32" spans="1:10" ht="16.5" thickBot="1">
      <c r="A32" s="8" t="s">
        <v>40</v>
      </c>
      <c r="B32" s="9"/>
      <c r="C32" s="9"/>
      <c r="D32" s="9"/>
      <c r="E32" s="9"/>
      <c r="F32" s="31"/>
      <c r="G32" s="28">
        <f>'[5]Q Capital Data'!$D$1057</f>
        <v>205813373</v>
      </c>
      <c r="H32" s="28">
        <f>'[5]Q Capital Data'!$D$1058</f>
        <v>215820546</v>
      </c>
      <c r="I32" s="28">
        <f>'[5]Q Capital Data'!$D$1059</f>
        <v>224845921</v>
      </c>
      <c r="J32" s="2" t="s">
        <v>4</v>
      </c>
    </row>
    <row r="33" spans="1:10" ht="16.5" thickBot="1">
      <c r="A33" s="35" t="s">
        <v>41</v>
      </c>
      <c r="B33" s="9"/>
      <c r="C33" s="9"/>
      <c r="D33" s="9"/>
      <c r="E33" s="9"/>
      <c r="F33" s="31"/>
      <c r="G33" s="28">
        <f>-'[5]Q Capital Data'!$G$1057</f>
        <v>-10062</v>
      </c>
      <c r="H33" s="28">
        <f>-'[5]Q Capital Data'!$G$1058</f>
        <v>-42299</v>
      </c>
      <c r="I33" s="28">
        <f>-'[5]Q Capital Data'!$G$1059</f>
        <v>-42299</v>
      </c>
      <c r="J33" s="2" t="s">
        <v>33</v>
      </c>
    </row>
    <row r="34" spans="1:10" ht="16.5" thickBot="1">
      <c r="A34" s="24"/>
      <c r="B34" s="3"/>
      <c r="C34" s="3"/>
      <c r="D34" s="3"/>
      <c r="E34" s="3"/>
      <c r="F34" s="3"/>
      <c r="G34" s="15">
        <f>SUM(G32:G33)</f>
        <v>205803311</v>
      </c>
      <c r="H34" s="15">
        <f t="shared" ref="H34:I34" si="5">SUM(H32:H33)</f>
        <v>215778247</v>
      </c>
      <c r="I34" s="15">
        <f t="shared" si="5"/>
        <v>224803622</v>
      </c>
      <c r="J34" s="2"/>
    </row>
    <row r="35" spans="1:10" ht="16.5" thickBot="1">
      <c r="A35" s="21" t="s">
        <v>3</v>
      </c>
      <c r="B35" s="6"/>
      <c r="C35" s="6"/>
      <c r="D35" s="6"/>
      <c r="E35" s="6"/>
      <c r="F35" s="6"/>
      <c r="G35" s="15">
        <f>+G31-G34</f>
        <v>-6632725</v>
      </c>
      <c r="H35" s="15">
        <f t="shared" ref="H35:I35" si="6">+H31-H34</f>
        <v>-6643975</v>
      </c>
      <c r="I35" s="15">
        <f t="shared" si="6"/>
        <v>-6643975</v>
      </c>
      <c r="J35" s="2"/>
    </row>
    <row r="36" spans="1:10" ht="16.5" thickBot="1">
      <c r="A36" s="117" t="s">
        <v>48</v>
      </c>
      <c r="B36" s="118"/>
      <c r="C36" s="118"/>
      <c r="D36" s="118"/>
      <c r="E36" s="118"/>
      <c r="F36" s="118"/>
      <c r="G36" s="118"/>
      <c r="H36" s="118"/>
      <c r="I36" s="119"/>
      <c r="J36" s="2"/>
    </row>
    <row r="37" spans="1:10" ht="16.5" thickBot="1">
      <c r="A37" s="32" t="s">
        <v>42</v>
      </c>
      <c r="B37" s="33"/>
      <c r="C37" s="33"/>
      <c r="D37" s="33"/>
      <c r="E37" s="33"/>
      <c r="F37" s="34"/>
      <c r="G37" s="15">
        <f>'[5]Capital Calculations for BM'!$G$1061</f>
        <v>11997292</v>
      </c>
      <c r="H37" s="15">
        <f>'[5]Capital Calculations for BM'!$G$1062</f>
        <v>9995923</v>
      </c>
      <c r="I37" s="15">
        <f>'[5]Capital Calculations for BM'!$G$1063</f>
        <v>9025375</v>
      </c>
      <c r="J37" s="2" t="s">
        <v>4</v>
      </c>
    </row>
    <row r="38" spans="1:10" ht="16.5" thickBot="1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5" thickBot="1">
      <c r="A39" s="39" t="s">
        <v>44</v>
      </c>
      <c r="B39" s="40"/>
      <c r="C39" s="40"/>
      <c r="D39" s="40"/>
      <c r="E39" s="40"/>
      <c r="F39" s="41"/>
      <c r="G39" s="15">
        <f>'[5]Capital Calculations for BM'!$E$1061-'[5]Capital Calculations for BM'!$E$1060</f>
        <v>11997292</v>
      </c>
      <c r="H39" s="15">
        <f>'[5]Capital Calculations for BM'!$E$1062-'[5]Capital Calculations for BM'!$E$1061</f>
        <v>9995923</v>
      </c>
      <c r="I39" s="15">
        <f>'[5]Capital Calculations for BM'!$E$1063-'[5]Capital Calculations for BM'!$E$1062</f>
        <v>9025375</v>
      </c>
      <c r="J39" s="2" t="s">
        <v>4</v>
      </c>
    </row>
    <row r="40" spans="1:10" ht="16.5" thickBot="1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7">+H37-H39</f>
        <v>0</v>
      </c>
      <c r="I40" s="15">
        <f t="shared" si="7"/>
        <v>0</v>
      </c>
      <c r="J40" s="2"/>
    </row>
    <row r="41" spans="1:10" ht="15.75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75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>
      <c r="G43" s="1"/>
      <c r="H43" s="1"/>
      <c r="I43" s="1"/>
    </row>
    <row r="44" spans="1:10" s="44" customFormat="1">
      <c r="A44" s="46" t="s">
        <v>53</v>
      </c>
      <c r="G44" s="47"/>
      <c r="H44" s="47"/>
      <c r="I44" s="47"/>
    </row>
    <row r="45" spans="1:10" s="44" customFormat="1">
      <c r="A45" s="48" t="s">
        <v>49</v>
      </c>
    </row>
    <row r="49" spans="1:9" ht="15.75">
      <c r="A49" s="95" t="s">
        <v>71</v>
      </c>
      <c r="B49" s="94"/>
      <c r="C49" s="94"/>
      <c r="D49" s="94"/>
      <c r="E49" s="94"/>
      <c r="F49" s="94"/>
      <c r="G49" s="94"/>
      <c r="H49" s="94"/>
      <c r="I49" s="94"/>
    </row>
    <row r="50" spans="1:9">
      <c r="A50" s="94"/>
      <c r="B50" s="94"/>
      <c r="C50" s="94"/>
      <c r="D50" s="94"/>
      <c r="E50" s="94"/>
      <c r="F50" s="94"/>
      <c r="G50" s="94"/>
      <c r="H50" s="94"/>
      <c r="I50" s="94"/>
    </row>
    <row r="51" spans="1:9" ht="15.75">
      <c r="A51" s="96" t="s">
        <v>72</v>
      </c>
      <c r="B51" s="95"/>
      <c r="C51" s="95"/>
      <c r="D51" s="95"/>
      <c r="E51" s="95"/>
      <c r="F51" s="95"/>
      <c r="G51" s="97">
        <v>1926.45</v>
      </c>
      <c r="H51" s="97">
        <v>1926.45</v>
      </c>
      <c r="I51" s="97">
        <v>1926.45</v>
      </c>
    </row>
    <row r="52" spans="1:9" ht="15.75">
      <c r="A52" s="96" t="s">
        <v>73</v>
      </c>
      <c r="B52" s="95"/>
      <c r="C52" s="95"/>
      <c r="D52" s="95"/>
      <c r="E52" s="95"/>
      <c r="F52" s="95"/>
      <c r="G52" s="97">
        <v>82347.02</v>
      </c>
      <c r="H52" s="97">
        <v>82347.02</v>
      </c>
      <c r="I52" s="97">
        <v>82347.02</v>
      </c>
    </row>
    <row r="53" spans="1:9" ht="15.75">
      <c r="A53" s="96" t="s">
        <v>74</v>
      </c>
      <c r="B53" s="95"/>
      <c r="C53" s="95"/>
      <c r="D53" s="95"/>
      <c r="E53" s="95"/>
      <c r="F53" s="95"/>
      <c r="G53" s="97">
        <v>3681880.15</v>
      </c>
      <c r="H53" s="97">
        <v>3693130.15</v>
      </c>
      <c r="I53" s="97">
        <v>3693130.15</v>
      </c>
    </row>
    <row r="54" spans="1:9" ht="15.75">
      <c r="A54" s="96" t="s">
        <v>75</v>
      </c>
      <c r="B54" s="95"/>
      <c r="C54" s="95"/>
      <c r="D54" s="95"/>
      <c r="E54" s="95"/>
      <c r="F54" s="95"/>
      <c r="G54" s="97">
        <v>2726687.83</v>
      </c>
      <c r="H54" s="97">
        <v>2726687.83</v>
      </c>
      <c r="I54" s="97">
        <v>2726687.83</v>
      </c>
    </row>
    <row r="55" spans="1:9" ht="15.75">
      <c r="A55" s="96" t="s">
        <v>76</v>
      </c>
      <c r="B55" s="95"/>
      <c r="C55" s="95"/>
      <c r="D55" s="95"/>
      <c r="E55" s="95"/>
      <c r="F55" s="95"/>
      <c r="G55" s="97">
        <v>1090.5899999999999</v>
      </c>
      <c r="H55" s="97">
        <v>1090.5899999999999</v>
      </c>
      <c r="I55" s="97">
        <v>1090.5899999999999</v>
      </c>
    </row>
    <row r="56" spans="1:9" ht="15.75">
      <c r="A56" s="96" t="s">
        <v>77</v>
      </c>
      <c r="B56" s="95"/>
      <c r="C56" s="95"/>
      <c r="D56" s="95"/>
      <c r="E56" s="95"/>
      <c r="F56" s="95"/>
      <c r="G56" s="97">
        <v>138793.4</v>
      </c>
      <c r="H56" s="97">
        <v>138793.4</v>
      </c>
      <c r="I56" s="97">
        <v>138793.4</v>
      </c>
    </row>
    <row r="57" spans="1:9" ht="15.75">
      <c r="A57" s="95"/>
      <c r="B57" s="95"/>
      <c r="C57" s="95"/>
      <c r="D57" s="95"/>
      <c r="E57" s="95"/>
      <c r="F57" s="95"/>
      <c r="G57" s="98">
        <f t="shared" ref="G57:I57" si="8">SUM(G51:G56)</f>
        <v>6632725.4400000004</v>
      </c>
      <c r="H57" s="98">
        <f t="shared" si="8"/>
        <v>6643975.4400000004</v>
      </c>
      <c r="I57" s="98">
        <f t="shared" si="8"/>
        <v>6643975.4400000004</v>
      </c>
    </row>
  </sheetData>
  <mergeCells count="12">
    <mergeCell ref="A23:I23"/>
    <mergeCell ref="A30:I30"/>
    <mergeCell ref="A36:I36"/>
    <mergeCell ref="A5:F5"/>
    <mergeCell ref="A13:F13"/>
    <mergeCell ref="A21:G21"/>
    <mergeCell ref="G5:I5"/>
    <mergeCell ref="A2:I2"/>
    <mergeCell ref="A4:F4"/>
    <mergeCell ref="A12:F12"/>
    <mergeCell ref="G13:I13"/>
    <mergeCell ref="A20:F20"/>
  </mergeCells>
  <pageMargins left="0.2" right="0.2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Paul Blythin</cp:lastModifiedBy>
  <cp:lastPrinted>2013-06-26T14:13:58Z</cp:lastPrinted>
  <dcterms:created xsi:type="dcterms:W3CDTF">2013-06-12T12:16:53Z</dcterms:created>
  <dcterms:modified xsi:type="dcterms:W3CDTF">2013-06-28T18:32:46Z</dcterms:modified>
</cp:coreProperties>
</file>