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tabRatio="599" activeTab="11"/>
  </bookViews>
  <sheets>
    <sheet name=" Assumptions and Data" sheetId="1" r:id="rId1"/>
    <sheet name="4. Smart Meter Rev &amp; Adder" sheetId="2" state="hidden" r:id="rId2"/>
    <sheet name="5. Clearing Actual" sheetId="3" state="hidden" r:id="rId3"/>
    <sheet name="6. Adder Recovery" sheetId="4" state="hidden" r:id="rId4"/>
    <sheet name="7A.  Smart Meter Rate Calc" sheetId="5" state="hidden" r:id="rId5"/>
    <sheet name="8A. PILs" sheetId="6" state="hidden" r:id="rId6"/>
    <sheet name="9A. SM Avg Nt Fix Ass &amp;UCC" sheetId="7" state="hidden" r:id="rId7"/>
    <sheet name="10. 2007A Smart Meter Rate Calc" sheetId="8" state="hidden" r:id="rId8"/>
    <sheet name="11. 2007A PILs" sheetId="9" state="hidden" r:id="rId9"/>
    <sheet name="12. 2007A SM Nt Fix Ass &amp;UCC" sheetId="10" state="hidden" r:id="rId10"/>
    <sheet name="Nt Fix Ass &amp;UCC" sheetId="11" r:id="rId11"/>
    <sheet name="Revenue Requirement Calculation" sheetId="12" r:id="rId12"/>
    <sheet name=" PILs" sheetId="13" r:id="rId13"/>
    <sheet name="16. Carry Cost Required to May " sheetId="14" state="hidden" r:id="rId14"/>
    <sheet name="Rate Rider Calculations" sheetId="15" r:id="rId15"/>
  </sheets>
  <externalReferences>
    <externalReference r:id="rId18"/>
    <externalReference r:id="rId19"/>
    <externalReference r:id="rId20"/>
  </externalReferences>
  <definedNames>
    <definedName name="CDM_2007">#REF!</definedName>
    <definedName name="EDR_06_OthInfo">'[1]4. 2006 Smart Meter Information'!#REF!</definedName>
    <definedName name="EDR06Tariffs">'[1]3. 2006 Tariff Sheet'!#REF!</definedName>
    <definedName name="impactdata">'[2]8-7 OTHER CHGS, COMMOD (Input)'!$B$15:$AS$118</definedName>
    <definedName name="Model_Organization">#REF!</definedName>
    <definedName name="OtherRateCharges">#REF!</definedName>
    <definedName name="PriceCapParams">#REF!</definedName>
    <definedName name="_xlnm.Print_Area" localSheetId="0">' Assumptions and Data'!$A$1:$I$58</definedName>
    <definedName name="_xlnm.Print_Area" localSheetId="12">' PILs'!$B$1:$I$47</definedName>
    <definedName name="_xlnm.Print_Area" localSheetId="5">'8A. PILs'!$A$1:$G$46</definedName>
    <definedName name="_xlnm.Print_Area" localSheetId="6">'9A. SM Avg Nt Fix Ass &amp;UCC'!$B$1:$G$125</definedName>
    <definedName name="_xlnm.Print_Area" localSheetId="10">'Nt Fix Ass &amp;UCC'!$B$1:$I$65,'Nt Fix Ass &amp;UCC'!$B$82:$I$133</definedName>
    <definedName name="_xlnm.Print_Area" localSheetId="11">'Revenue Requirement Calculation'!$A$2:$W$56</definedName>
    <definedName name="_xlnm.Print_Titles" localSheetId="9">'12. 2007A SM Nt Fix Ass &amp;UCC'!$1:$6</definedName>
    <definedName name="_xlnm.Print_Titles" localSheetId="6">'9A. SM Avg Nt Fix Ass &amp;UCC'!$1:$6</definedName>
    <definedName name="_xlnm.Print_Titles" localSheetId="10">'Nt Fix Ass &amp;UCC'!$1:$6</definedName>
    <definedName name="Rate_Riders">#REF!</definedName>
    <definedName name="RPP_Data">#REF!</definedName>
    <definedName name="terr_name">'[2]1-1 GENERAL (Input)'!$C$56:$D$59</definedName>
    <definedName name="Units1">'[3]lists'!$O$2:$O$4</definedName>
    <definedName name="UtilityInfo">#REF!</definedName>
    <definedName name="Z_Factor_Analysis">#REF!</definedName>
  </definedNames>
  <calcPr fullCalcOnLoad="1"/>
</workbook>
</file>

<file path=xl/comments2.xml><?xml version="1.0" encoding="utf-8"?>
<comments xmlns="http://schemas.openxmlformats.org/spreadsheetml/2006/main">
  <authors>
    <author>elena.yampolsky</author>
  </authors>
  <commentList>
    <comment ref="D47" authorId="0">
      <text>
        <r>
          <rPr>
            <b/>
            <sz val="8"/>
            <rFont val="Tahoma"/>
            <family val="2"/>
          </rPr>
          <t>elena.yampolsky:</t>
        </r>
        <r>
          <rPr>
            <sz val="8"/>
            <rFont val="Tahoma"/>
            <family val="2"/>
          </rPr>
          <t xml:space="preserve">
to the Clearing Actual</t>
        </r>
      </text>
    </comment>
    <comment ref="G22" authorId="0">
      <text>
        <r>
          <rPr>
            <b/>
            <sz val="10"/>
            <rFont val="Tahoma"/>
            <family val="2"/>
          </rPr>
          <t xml:space="preserve">elena.yampolsky:
</t>
        </r>
        <r>
          <rPr>
            <b/>
            <sz val="10"/>
            <color indexed="10"/>
            <rFont val="Tahoma"/>
            <family val="2"/>
          </rPr>
          <t>Formula is revised - to be linked to 2006 balances</t>
        </r>
      </text>
    </comment>
    <comment ref="H22" authorId="0">
      <text>
        <r>
          <rPr>
            <b/>
            <sz val="10"/>
            <rFont val="Tahoma"/>
            <family val="2"/>
          </rPr>
          <t xml:space="preserve">elena.yampolsky:
</t>
        </r>
        <r>
          <rPr>
            <b/>
            <sz val="10"/>
            <color indexed="10"/>
            <rFont val="Tahoma"/>
            <family val="2"/>
          </rPr>
          <t>Formula is revised - to be linked to 2007 balances</t>
        </r>
      </text>
    </comment>
  </commentList>
</comments>
</file>

<file path=xl/comments4.xml><?xml version="1.0" encoding="utf-8"?>
<comments xmlns="http://schemas.openxmlformats.org/spreadsheetml/2006/main">
  <authors>
    <author>elena.yampolsky</author>
  </authors>
  <commentList>
    <comment ref="H26" authorId="0">
      <text>
        <r>
          <rPr>
            <b/>
            <sz val="8"/>
            <rFont val="Tahoma"/>
            <family val="2"/>
          </rPr>
          <t>elena.yampolsky:</t>
        </r>
        <r>
          <rPr>
            <sz val="8"/>
            <rFont val="Tahoma"/>
            <family val="2"/>
          </rPr>
          <t xml:space="preserve">
input cell in the model</t>
        </r>
      </text>
    </comment>
  </commentList>
</comments>
</file>

<file path=xl/sharedStrings.xml><?xml version="1.0" encoding="utf-8"?>
<sst xmlns="http://schemas.openxmlformats.org/spreadsheetml/2006/main" count="664" uniqueCount="250">
  <si>
    <t>PowerStream Inc.</t>
  </si>
  <si>
    <t>Tools &amp; Equipment</t>
  </si>
  <si>
    <t>Other Equipment</t>
  </si>
  <si>
    <t>Total</t>
  </si>
  <si>
    <t>Total Capital Costs</t>
  </si>
  <si>
    <t>O M &amp; A</t>
  </si>
  <si>
    <t>Total O M &amp; A Costs</t>
  </si>
  <si>
    <t>4. Smart Meter Rate Calc</t>
  </si>
  <si>
    <t>Weighted Average Cost of Capital</t>
  </si>
  <si>
    <t>Working Capital Allowance %</t>
  </si>
  <si>
    <t>Residential</t>
  </si>
  <si>
    <t>General Service Less Than 50 kW</t>
  </si>
  <si>
    <r>
      <t>Corporate Income Tax Rate</t>
    </r>
    <r>
      <rPr>
        <sz val="10"/>
        <rFont val="Arial"/>
        <family val="0"/>
      </rPr>
      <t xml:space="preserve"> </t>
    </r>
  </si>
  <si>
    <t>Computer Hardware</t>
  </si>
  <si>
    <t>Computer Software</t>
  </si>
  <si>
    <t>Amortization</t>
  </si>
  <si>
    <t>CCA Class</t>
  </si>
  <si>
    <t>CCA Rate</t>
  </si>
  <si>
    <t>Years</t>
  </si>
  <si>
    <t>%</t>
  </si>
  <si>
    <t>Operating Expense Data:</t>
  </si>
  <si>
    <t xml:space="preserve">Smart Meter Revenue Requirement &amp; Proposed Rates- Summary </t>
  </si>
  <si>
    <t>Summary of Actual Costs claimed in this application</t>
  </si>
  <si>
    <t>2006 Actual</t>
  </si>
  <si>
    <t>2006 Plus</t>
  </si>
  <si>
    <t>2007 Actual</t>
  </si>
  <si>
    <t>Total Actual</t>
  </si>
  <si>
    <t>Perm Adjust</t>
  </si>
  <si>
    <r>
      <t xml:space="preserve">Capital Costs </t>
    </r>
    <r>
      <rPr>
        <b/>
        <i/>
        <sz val="10"/>
        <rFont val="Arial"/>
        <family val="2"/>
      </rPr>
      <t>(must be installed, and used and useful)</t>
    </r>
  </si>
  <si>
    <t>Smart Meters</t>
  </si>
  <si>
    <t>2.1 Advanced metering communication device (AMCD)</t>
  </si>
  <si>
    <t>2.2 Advanced metering regional collector (AMRC) (includes LAN)</t>
  </si>
  <si>
    <t>2.3 Advanced metering control computer (AMCC)</t>
  </si>
  <si>
    <t>2.4 Wide area network (WAN)</t>
  </si>
  <si>
    <t>2.5 Other AMI OM&amp;A costs related to minimum functionality</t>
  </si>
  <si>
    <t>Summary of Revenue Requirement Calculation</t>
  </si>
  <si>
    <t>Net Fixed Assets</t>
  </si>
  <si>
    <t>Net Fixed Assets Beginning of Year</t>
  </si>
  <si>
    <t>Net Fixed Assets End of Year</t>
  </si>
  <si>
    <t>Average Net Fixed Asset Values</t>
  </si>
  <si>
    <t>Working Capital Allowance</t>
  </si>
  <si>
    <t>Operation Expense</t>
  </si>
  <si>
    <t>Smart Meters Rate Base</t>
  </si>
  <si>
    <t>Return on Rate Base</t>
  </si>
  <si>
    <t>Operating Expenses</t>
  </si>
  <si>
    <t>Incremental Operating Expenses</t>
  </si>
  <si>
    <t>Amortization Expenses</t>
  </si>
  <si>
    <t>Total Operating Expenses</t>
  </si>
  <si>
    <t>Revenue Requirement Before PILs</t>
  </si>
  <si>
    <t>Grossed up PILs</t>
  </si>
  <si>
    <t>Revenue Requirement for Smart Meters</t>
  </si>
  <si>
    <t>Revenue Requirement for Smart Meters Installed</t>
  </si>
  <si>
    <t>Carrying costs</t>
  </si>
  <si>
    <t>Less Smart Meter Adder Recovery</t>
  </si>
  <si>
    <t>Rate Adder</t>
  </si>
  <si>
    <t>Metered Customers per 2006 EDR</t>
  </si>
  <si>
    <t>No. of Mths</t>
  </si>
  <si>
    <t>Amount Recovered</t>
  </si>
  <si>
    <t>Rate Adder for Capital and Operating Exp April 2007 to December 2007</t>
  </si>
  <si>
    <t>November 2007 to April 2008 (new deferral account)</t>
  </si>
  <si>
    <t>May 2008</t>
  </si>
  <si>
    <t>Clearing Actuals Smart Meter Revenue Requirement</t>
  </si>
  <si>
    <t xml:space="preserve">Opening </t>
  </si>
  <si>
    <t>2006 
Rev Req</t>
  </si>
  <si>
    <t>2006 Plus Rev Req</t>
  </si>
  <si>
    <t>2007 
Rev Req</t>
  </si>
  <si>
    <t>Recovery</t>
  </si>
  <si>
    <t>Int. Rate</t>
  </si>
  <si>
    <t>Interest</t>
  </si>
  <si>
    <t>Closing</t>
  </si>
  <si>
    <t>Revenue Requirement</t>
  </si>
  <si>
    <t>Carrying Costs</t>
  </si>
  <si>
    <t>Smart Meter Rate Adder Recovery</t>
  </si>
  <si>
    <t>Month</t>
  </si>
  <si>
    <t>SM Rate Adder</t>
  </si>
  <si>
    <t>Customers</t>
  </si>
  <si>
    <t>Cummulative</t>
  </si>
  <si>
    <t>Smart Meter Rate Calculation</t>
  </si>
  <si>
    <t>Average Asset Values</t>
  </si>
  <si>
    <t>Net Fixed Assets Smart Meters</t>
  </si>
  <si>
    <t>Net Fixed Assets Computer Hardware</t>
  </si>
  <si>
    <t>Net Fixed Assets Computer Software</t>
  </si>
  <si>
    <t>Net Fixed Assets Tools &amp; Equipment</t>
  </si>
  <si>
    <t>Net Fixed Assets Other Equipment</t>
  </si>
  <si>
    <t>Total Net Fixed Assets</t>
  </si>
  <si>
    <t>Working Capital</t>
  </si>
  <si>
    <t>Smart Meters included in Rate Base</t>
  </si>
  <si>
    <t>Amortization Expenses - Smart Meters</t>
  </si>
  <si>
    <t>Amortization Expenses - Computer Hardware</t>
  </si>
  <si>
    <t>Amortization Expenses - Computer Software</t>
  </si>
  <si>
    <t>Amortization Expenses -  Tools &amp; Equipment</t>
  </si>
  <si>
    <t>Amortization Expenses - Other Equipment</t>
  </si>
  <si>
    <t>Total Amortization Expenses</t>
  </si>
  <si>
    <t>Calculation of Taxable Income</t>
  </si>
  <si>
    <t>Depreciation Expenses</t>
  </si>
  <si>
    <t>Interest Expense</t>
  </si>
  <si>
    <t>Taxable Income For PILs</t>
  </si>
  <si>
    <r>
      <t>Grossed up PILs</t>
    </r>
    <r>
      <rPr>
        <i/>
        <sz val="8"/>
        <rFont val="Arial"/>
        <family val="2"/>
      </rPr>
      <t xml:space="preserve"> (5. PILs)</t>
    </r>
  </si>
  <si>
    <t>2007 Smart Meter Rate Adder</t>
  </si>
  <si>
    <t>Annualized amount required per metered customer</t>
  </si>
  <si>
    <t>Number of months in year</t>
  </si>
  <si>
    <t>PILs Calculation</t>
  </si>
  <si>
    <t>INCOME TAX</t>
  </si>
  <si>
    <t>Net Income</t>
  </si>
  <si>
    <t>CCA - Class 47 (8%) Smart Meters</t>
  </si>
  <si>
    <t>CCA - Class 45 (45%) Computers</t>
  </si>
  <si>
    <t>CCA - Class 8 (20%) Other Equipment</t>
  </si>
  <si>
    <t>Change in taxable income</t>
  </si>
  <si>
    <t>Income Taxes Payable</t>
  </si>
  <si>
    <t>ONTARIO CAPITAL TAX</t>
  </si>
  <si>
    <t>Rate Base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</si>
  <si>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</si>
  <si>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</si>
  <si>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</si>
  <si>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</si>
  <si>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</si>
  <si>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</si>
  <si>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</si>
  <si>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</si>
  <si>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</si>
  <si>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</si>
  <si>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Smart Meter Average Net Fixed Assets</t>
  </si>
  <si>
    <t>Net Fixed Assets - Smart Meters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</si>
  <si>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</si>
  <si>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</si>
  <si>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</si>
  <si>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</si>
  <si>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</si>
  <si>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</si>
  <si>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</si>
  <si>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Net Fixed Assets - Computer Hardware</t>
  </si>
  <si>
    <t>Net Fixed Assets - Computer Software</t>
  </si>
  <si>
    <t>Net Fixed Assets - Tools &amp; Equipment</t>
  </si>
  <si>
    <t>Net Fixed Assets - Other Equipment</t>
  </si>
  <si>
    <t>For PILs Calculation</t>
  </si>
  <si>
    <t>UCC - Smart Meters</t>
  </si>
  <si>
    <t>CCA Class 47 (8%)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</si>
  <si>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</si>
  <si>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</si>
  <si>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</si>
  <si>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</si>
  <si>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</si>
  <si>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  47</t>
  </si>
  <si>
    <t>CCA</t>
  </si>
  <si>
    <t>Closing UCC</t>
  </si>
  <si>
    <t>UCC - Computer Equipment</t>
  </si>
  <si>
    <t>CCA Class 45 (45%)</t>
  </si>
  <si>
    <t>Capital Additions Computer Hardware</t>
  </si>
  <si>
    <t>Capital Additions Computer Software</t>
  </si>
  <si>
    <t>CCA Rate Class  45</t>
  </si>
  <si>
    <t>UCC - General Equipment</t>
  </si>
  <si>
    <t>CCA Class 8 (20%)</t>
  </si>
  <si>
    <t>Capital Additions Tools &amp; Equipment</t>
  </si>
  <si>
    <t>Capital Additions Other Equipment</t>
  </si>
  <si>
    <t>CCA Rate Class  8</t>
  </si>
  <si>
    <t>Smart Meter Rate Carrying Cost Recovery Required</t>
  </si>
  <si>
    <t>Rev Req</t>
  </si>
  <si>
    <t>Carrying Cost Recovery Required on Permanent Adder</t>
  </si>
  <si>
    <t>Monthly</t>
  </si>
  <si>
    <t>Months</t>
  </si>
  <si>
    <t>Perm Rev Req</t>
  </si>
  <si>
    <r>
      <t>Capital Data:</t>
    </r>
    <r>
      <rPr>
        <i/>
        <sz val="8"/>
        <rFont val="Arial"/>
        <family val="2"/>
      </rPr>
      <t xml:space="preserve"> </t>
    </r>
  </si>
  <si>
    <r>
      <t>Other Equipment</t>
    </r>
    <r>
      <rPr>
        <i/>
        <sz val="10"/>
        <rFont val="Arial"/>
        <family val="2"/>
      </rPr>
      <t xml:space="preserve"> (please specify)</t>
    </r>
  </si>
  <si>
    <r>
      <t>Deemed Debt</t>
    </r>
    <r>
      <rPr>
        <i/>
        <sz val="8"/>
        <rFont val="Arial"/>
        <family val="2"/>
      </rPr>
      <t xml:space="preserve"> (3.  LDC Assumptions and Data)</t>
    </r>
  </si>
  <si>
    <r>
      <t xml:space="preserve">Deemed Equity </t>
    </r>
    <r>
      <rPr>
        <i/>
        <sz val="8"/>
        <rFont val="Arial"/>
        <family val="2"/>
      </rPr>
      <t>(3.  LDC Assumptions and Data)</t>
    </r>
  </si>
  <si>
    <r>
      <t>Weighted Debt Rate</t>
    </r>
    <r>
      <rPr>
        <i/>
        <sz val="8"/>
        <rFont val="Arial"/>
        <family val="2"/>
      </rPr>
      <t xml:space="preserve"> (3.  LDC Assumptions and Data)</t>
    </r>
  </si>
  <si>
    <r>
      <t>Proposed ROE</t>
    </r>
    <r>
      <rPr>
        <i/>
        <sz val="8"/>
        <rFont val="Arial"/>
        <family val="2"/>
      </rPr>
      <t xml:space="preserve"> (3.  LDC Assumptions and Data)</t>
    </r>
  </si>
  <si>
    <r>
      <t xml:space="preserve">Incremental Operating Expenses </t>
    </r>
    <r>
      <rPr>
        <i/>
        <sz val="8"/>
        <rFont val="Arial"/>
        <family val="2"/>
      </rPr>
      <t>(3.  LDC Assumptions and Data)</t>
    </r>
  </si>
  <si>
    <r>
      <t>Grossed up PILs</t>
    </r>
    <r>
      <rPr>
        <b/>
        <i/>
        <sz val="8"/>
        <rFont val="Arial"/>
        <family val="2"/>
      </rPr>
      <t xml:space="preserve"> (5. PILs)</t>
    </r>
  </si>
  <si>
    <r>
      <t>2006 EDR Total Metered Customers</t>
    </r>
    <r>
      <rPr>
        <i/>
        <sz val="8"/>
        <rFont val="Arial"/>
        <family val="2"/>
      </rPr>
      <t xml:space="preserve"> (3.  LDC Assumptions and Data)</t>
    </r>
  </si>
  <si>
    <r>
      <t>Amortization</t>
    </r>
    <r>
      <rPr>
        <i/>
        <sz val="8"/>
        <rFont val="Arial"/>
        <family val="2"/>
      </rPr>
      <t xml:space="preserve"> </t>
    </r>
  </si>
  <si>
    <r>
      <t xml:space="preserve">Tax Rate </t>
    </r>
    <r>
      <rPr>
        <i/>
        <sz val="8"/>
        <rFont val="Arial"/>
        <family val="2"/>
      </rPr>
      <t>(3.  LDC Assumptions and Data)</t>
    </r>
  </si>
  <si>
    <r>
      <t xml:space="preserve">Capital Investment </t>
    </r>
    <r>
      <rPr>
        <i/>
        <sz val="8"/>
        <rFont val="Arial"/>
        <family val="2"/>
      </rPr>
      <t>(3.  LDC Assumptions and Data)</t>
    </r>
  </si>
  <si>
    <r>
      <t>Capital Investment</t>
    </r>
    <r>
      <rPr>
        <i/>
        <sz val="8"/>
        <rFont val="Arial"/>
        <family val="2"/>
      </rPr>
      <t xml:space="preserve"> (3.  LDC Assumptions and Data)</t>
    </r>
  </si>
  <si>
    <t>GS &amp; LU</t>
  </si>
  <si>
    <t>Smart Meter Rate Adder Recovery - Residential</t>
  </si>
  <si>
    <t>Smart Meter Rate Adder Recovery - GS &amp; LU</t>
  </si>
  <si>
    <t>Rate Rider to Clear Actual Expenses to April 2007</t>
  </si>
  <si>
    <t>Permanent Capital Rate Adjustustment</t>
  </si>
  <si>
    <t>May 2006 to April 2007 - Residential</t>
  </si>
  <si>
    <t>May 2006 to April 2007 - GS &amp; LU</t>
  </si>
  <si>
    <t>May 2007 to October 2007 - Residential</t>
  </si>
  <si>
    <t>May 2007 to October 2007 - GS &amp; LU</t>
  </si>
  <si>
    <t>Sheet 7. Smart Meter Rate Calc</t>
  </si>
  <si>
    <t>Sheet 8A. PILs</t>
  </si>
  <si>
    <t>Sheet 9. SM Avg Net Fixed Assets &amp;UCC</t>
  </si>
  <si>
    <t>Sheet 10. Smart Meter Rate Calc</t>
  </si>
  <si>
    <t>Sheet 11. PILs</t>
  </si>
  <si>
    <t>Sheet 12. SM Avg Net Fixed Assets &amp;UCC</t>
  </si>
  <si>
    <t>November 2007 to April 2008 (proposed no change)</t>
  </si>
  <si>
    <t xml:space="preserve">Net Fixed Assets </t>
  </si>
  <si>
    <t xml:space="preserve">Capital Investment </t>
  </si>
  <si>
    <r>
      <t>Capital Investment</t>
    </r>
    <r>
      <rPr>
        <i/>
        <sz val="8"/>
        <rFont val="Arial"/>
        <family val="2"/>
      </rPr>
      <t xml:space="preserve"> </t>
    </r>
  </si>
  <si>
    <t>Rate Calculation</t>
  </si>
  <si>
    <r>
      <t>Deemed Debt</t>
    </r>
    <r>
      <rPr>
        <sz val="10"/>
        <rFont val="Arial"/>
        <family val="0"/>
      </rPr>
      <t xml:space="preserve"> </t>
    </r>
  </si>
  <si>
    <r>
      <t>Deemed Equity</t>
    </r>
  </si>
  <si>
    <r>
      <t>Weighted Debt Rate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(from 2013 PowerStream EDR)</t>
    </r>
  </si>
  <si>
    <r>
      <t>Proposed ROE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 xml:space="preserve"> (from 2013 PowerStream EDR)</t>
    </r>
  </si>
  <si>
    <t>Amortization Policy:</t>
  </si>
  <si>
    <t>Smart Grid</t>
  </si>
  <si>
    <t xml:space="preserve">Tax Rate </t>
  </si>
  <si>
    <t>General Service Greater Than 50 kW</t>
  </si>
  <si>
    <t>Large Users</t>
  </si>
  <si>
    <t>USL</t>
  </si>
  <si>
    <t>Sentinel</t>
  </si>
  <si>
    <t>Total customers</t>
  </si>
  <si>
    <t>Smart Grid Distribution Assets</t>
  </si>
  <si>
    <t xml:space="preserve">Distribution Assets Amortization Rate </t>
  </si>
  <si>
    <t>Vehicles</t>
  </si>
  <si>
    <t xml:space="preserve">Vehicles Amortization Rate </t>
  </si>
  <si>
    <t xml:space="preserve">Computer Software Amortization Rate </t>
  </si>
  <si>
    <t xml:space="preserve">Computer Hardware Amortization Rate </t>
  </si>
  <si>
    <t>UCC - Distribution Assets</t>
  </si>
  <si>
    <t>Capital Additions Software</t>
  </si>
  <si>
    <t xml:space="preserve"> Assumptions and Data</t>
  </si>
  <si>
    <t xml:space="preserve">Incremental Operating Expenses </t>
  </si>
  <si>
    <t xml:space="preserve">Deemed Equity </t>
  </si>
  <si>
    <t>Weighted Debt Rate</t>
  </si>
  <si>
    <r>
      <t>Deemed Debt</t>
    </r>
    <r>
      <rPr>
        <i/>
        <sz val="8"/>
        <rFont val="Arial"/>
        <family val="2"/>
      </rPr>
      <t xml:space="preserve"> </t>
    </r>
  </si>
  <si>
    <r>
      <t>Proposed ROE</t>
    </r>
    <r>
      <rPr>
        <i/>
        <sz val="8"/>
        <rFont val="Arial"/>
        <family val="2"/>
      </rPr>
      <t xml:space="preserve"> </t>
    </r>
  </si>
  <si>
    <t>Assets to be included in Rate Base</t>
  </si>
  <si>
    <r>
      <t>Grossed up PILs</t>
    </r>
    <r>
      <rPr>
        <b/>
        <i/>
        <sz val="8"/>
        <rFont val="Arial"/>
        <family val="2"/>
      </rPr>
      <t xml:space="preserve"> </t>
    </r>
  </si>
  <si>
    <t>CCA - Class 47 (8%) Distribution Assets</t>
  </si>
  <si>
    <t>CCA - Class 10 (30%) Vehicles</t>
  </si>
  <si>
    <t>CCA - Class 50 (55%) Computers</t>
  </si>
  <si>
    <t xml:space="preserve">Revenue Requirement </t>
  </si>
  <si>
    <t>CCA - Class 12(100%) Software</t>
  </si>
  <si>
    <r>
      <t xml:space="preserve">2013 EDR Total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Customers</t>
    </r>
  </si>
  <si>
    <r>
      <t>Grossed up PILs</t>
    </r>
    <r>
      <rPr>
        <i/>
        <sz val="8"/>
        <rFont val="Arial"/>
        <family val="2"/>
      </rPr>
      <t xml:space="preserve"> </t>
    </r>
  </si>
  <si>
    <t>Taxable income</t>
  </si>
  <si>
    <t>EB-2013-0166</t>
  </si>
  <si>
    <t>Smart Grid Disposition Rate Rider Calculation</t>
  </si>
  <si>
    <t>Rate Class</t>
  </si>
  <si>
    <t>RESIDENTIAL</t>
  </si>
  <si>
    <t>GENERAL SERVICE LESS THAN 50 KW</t>
  </si>
  <si>
    <t>GENERAL SERVICE 50 TO 4,999 KW</t>
  </si>
  <si>
    <t>LARGE USE</t>
  </si>
  <si>
    <t>STANDBY POWER</t>
  </si>
  <si>
    <t>UNMETERED SCATTERED LOAD</t>
  </si>
  <si>
    <t>SENTINEL LIGHTING</t>
  </si>
  <si>
    <t>STREET LIGHTING</t>
  </si>
  <si>
    <t>Distribution Revenue</t>
  </si>
  <si>
    <t>Distribution Revenue
%</t>
  </si>
  <si>
    <t>Total Revenue Requirement</t>
  </si>
  <si>
    <t>Allocated Revenue Requirement</t>
  </si>
  <si>
    <t>Re-based Billed Customers or Connections</t>
  </si>
  <si>
    <t>Annualized Amount Required per Customer</t>
  </si>
  <si>
    <t>Number of Months in a Year</t>
  </si>
  <si>
    <t>Proposed Rate Adder</t>
  </si>
  <si>
    <t>Smart Grid Cost Rate Rider Calculations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</si>
</sst>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0.0%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0.000%"/>
    <numFmt numFmtId="179" formatCode="_-&quot;$&quot;* #,##0.000_-;\-&quot;$&quot;* #,##0.000_-;_-&quot;$&quot;* &quot;-&quot;??_-;_-@_-"/>
    <numFmt numFmtId="180" formatCode="_-&quot;$&quot;* #,##0.0000_-;\-&quot;$&quot;* #,##0.0000_-;_-&quot;$&quot;* &quot;-&quot;??_-;_-@_-"/>
    <numFmt numFmtId="181" formatCode="0.0000000000000000%"/>
    <numFmt numFmtId="182" formatCode="_-* #,##0.0000_-;\-* #,##0.0000_-;_-* &quot;-&quot;????_-;_-@_-"/>
    <numFmt numFmtId="183" formatCode="_-&quot;$&quot;* #,##0.00000_-;\-&quot;$&quot;* #,##0.00000_-;_-&quot;$&quot;* &quot;-&quot;??_-;_-@_-"/>
    <numFmt numFmtId="184" formatCode="_-&quot;$&quot;* #,##0.000000_-;\-&quot;$&quot;* #,##0.000000_-;_-&quot;$&quot;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0.0000"/>
    <numFmt numFmtId="191" formatCode="&quot;$&quot;#,##0.0000"/>
    <numFmt numFmtId="192" formatCode="[&lt;=9999999]###\-####;###\-###\-####"/>
    <numFmt numFmtId="193" formatCode="[$-409]h:mm:ss\ AM/PM"/>
    <numFmt numFmtId="194" formatCode="[$-1009]mmmm\ d\,\ yyyy"/>
    <numFmt numFmtId="195" formatCode="[$-F800]dddd\,\ mmmm\ dd\,\ yyyy"/>
    <numFmt numFmtId="196" formatCode="0.000"/>
    <numFmt numFmtId="197" formatCode="&quot;$&quot;#,##0.000;[Red]\-&quot;$&quot;#,##0.000"/>
    <numFmt numFmtId="198" formatCode="&quot;$&quot;#,##0.0000;[Red]\-&quot;$&quot;#,##0.0000"/>
    <numFmt numFmtId="199" formatCode="0.0"/>
    <numFmt numFmtId="200" formatCode="#,##0.0000_);\(#,##0.0000\)"/>
    <numFmt numFmtId="201" formatCode="#,##0.0000"/>
    <numFmt numFmtId="202" formatCode="#,##0.00_ ;\-#,##0.00\ "/>
    <numFmt numFmtId="203" formatCode="_-&quot;$&quot;* #,##0.0000_-;\-&quot;$&quot;* #,##0.0000_-;_-&quot;$&quot;* &quot;-&quot;????_-;_-@_-"/>
    <numFmt numFmtId="204" formatCode="&quot;$&quot;#,##0.0000;\-&quot;$&quot;#,##0.0000"/>
    <numFmt numFmtId="205" formatCode="#,##0.00000_);\(#,##0.00000\)"/>
    <numFmt numFmtId="206" formatCode="#,##0.000000_);\(#,##0.000000\)"/>
    <numFmt numFmtId="207" formatCode="#,##0.0000000_);\(#,##0.0000000\)"/>
    <numFmt numFmtId="208" formatCode="#,##0.000"/>
    <numFmt numFmtId="209" formatCode="#,##0.0"/>
    <numFmt numFmtId="210" formatCode="[$-409]dddd\,\ mmmm\ dd\,\ yyyy"/>
    <numFmt numFmtId="211" formatCode="&quot;$&quot;#,##0.000"/>
    <numFmt numFmtId="212" formatCode="[$-409]mmmm\ d\,\ yyyy;@"/>
    <numFmt numFmtId="213" formatCode="#,##0.00;\(#,##0.00\)"/>
    <numFmt numFmtId="214" formatCode="#,##0.00_ ;\(#,##0.00\)"/>
    <numFmt numFmtId="215" formatCode="00000"/>
    <numFmt numFmtId="216" formatCode="#,##0.0000_ ;\(#,##0.0000\)"/>
    <numFmt numFmtId="217" formatCode="#,##0.0000;\(#,##0.0000\)"/>
    <numFmt numFmtId="218" formatCode="_-* #,##0.000_-;\-* #,##0.000_-;_-* &quot;-&quot;??_-;_-@_-"/>
    <numFmt numFmtId="219" formatCode="_(* #,##0.000_);_(* \(#,##0.000\);_(* &quot;-&quot;???_);_(@_)"/>
    <numFmt numFmtId="220" formatCode="#,##0;[Red]\(#,##0\)"/>
    <numFmt numFmtId="221" formatCode="#,##0;\-&quot;$&quot;#,##0"/>
  </numFmts>
  <fonts count="73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22"/>
      <name val="Algerian"/>
      <family val="5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color indexed="12"/>
      <name val="Algerian"/>
      <family val="5"/>
    </font>
    <font>
      <sz val="16"/>
      <name val="Cooper Black"/>
      <family val="1"/>
    </font>
    <font>
      <sz val="14"/>
      <name val="Cooper Black"/>
      <family val="1"/>
    </font>
    <font>
      <b/>
      <sz val="16"/>
      <color indexed="10"/>
      <name val="Cooper Black"/>
      <family val="1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Cooper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195" fontId="15" fillId="33" borderId="0" xfId="0" applyNumberFormat="1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 horizontal="left" vertical="top" indent="2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left" indent="1"/>
      <protection/>
    </xf>
    <xf numFmtId="0" fontId="6" fillId="33" borderId="0" xfId="0" applyFont="1" applyFill="1" applyAlignment="1" applyProtection="1">
      <alignment/>
      <protection/>
    </xf>
    <xf numFmtId="176" fontId="0" fillId="33" borderId="0" xfId="42" applyNumberFormat="1" applyFill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173" fontId="0" fillId="33" borderId="0" xfId="44" applyNumberForma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left" indent="1"/>
      <protection/>
    </xf>
    <xf numFmtId="0" fontId="6" fillId="33" borderId="0" xfId="0" applyFont="1" applyFill="1" applyAlignment="1" applyProtection="1">
      <alignment horizontal="left"/>
      <protection/>
    </xf>
    <xf numFmtId="10" fontId="0" fillId="33" borderId="0" xfId="61" applyNumberFormat="1" applyFill="1" applyAlignment="1" applyProtection="1">
      <alignment horizontal="center"/>
      <protection/>
    </xf>
    <xf numFmtId="176" fontId="0" fillId="33" borderId="0" xfId="61" applyNumberFormat="1" applyFill="1" applyAlignment="1" applyProtection="1">
      <alignment horizontal="center"/>
      <protection/>
    </xf>
    <xf numFmtId="173" fontId="0" fillId="33" borderId="10" xfId="0" applyNumberForma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 indent="1"/>
      <protection/>
    </xf>
    <xf numFmtId="173" fontId="0" fillId="33" borderId="10" xfId="44" applyNumberFormat="1" applyFont="1" applyFill="1" applyBorder="1" applyAlignment="1" applyProtection="1">
      <alignment/>
      <protection/>
    </xf>
    <xf numFmtId="173" fontId="0" fillId="33" borderId="10" xfId="44" applyNumberFormat="1" applyFill="1" applyBorder="1" applyAlignment="1" applyProtection="1">
      <alignment/>
      <protection/>
    </xf>
    <xf numFmtId="170" fontId="0" fillId="33" borderId="0" xfId="44" applyFill="1" applyAlignment="1" applyProtection="1">
      <alignment/>
      <protection/>
    </xf>
    <xf numFmtId="0" fontId="3" fillId="0" borderId="0" xfId="58">
      <alignment/>
      <protection/>
    </xf>
    <xf numFmtId="0" fontId="19" fillId="0" borderId="0" xfId="58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/>
    </xf>
    <xf numFmtId="0" fontId="3" fillId="0" borderId="0" xfId="58" applyAlignment="1">
      <alignment horizontal="left" indent="1"/>
      <protection/>
    </xf>
    <xf numFmtId="173" fontId="3" fillId="0" borderId="0" xfId="44" applyNumberFormat="1" applyFont="1" applyAlignment="1">
      <alignment/>
    </xf>
    <xf numFmtId="173" fontId="3" fillId="0" borderId="0" xfId="58" applyNumberFormat="1">
      <alignment/>
      <protection/>
    </xf>
    <xf numFmtId="0" fontId="3" fillId="0" borderId="0" xfId="58" applyFont="1" applyAlignment="1">
      <alignment horizontal="left" indent="1"/>
      <protection/>
    </xf>
    <xf numFmtId="173" fontId="3" fillId="0" borderId="12" xfId="44" applyNumberFormat="1" applyFont="1" applyBorder="1" applyAlignment="1">
      <alignment/>
    </xf>
    <xf numFmtId="0" fontId="10" fillId="0" borderId="0" xfId="58" applyFont="1">
      <alignment/>
      <protection/>
    </xf>
    <xf numFmtId="0" fontId="10" fillId="0" borderId="11" xfId="58" applyFont="1" applyBorder="1" applyAlignment="1">
      <alignment horizontal="left"/>
      <protection/>
    </xf>
    <xf numFmtId="0" fontId="10" fillId="0" borderId="11" xfId="58" applyFont="1" applyBorder="1" applyAlignment="1">
      <alignment horizontal="right"/>
      <protection/>
    </xf>
    <xf numFmtId="173" fontId="3" fillId="0" borderId="12" xfId="58" applyNumberFormat="1" applyBorder="1">
      <alignment/>
      <protection/>
    </xf>
    <xf numFmtId="173" fontId="10" fillId="0" borderId="10" xfId="58" applyNumberFormat="1" applyFont="1" applyBorder="1">
      <alignment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58" applyAlignment="1">
      <alignment horizontal="left" indent="2"/>
      <protection/>
    </xf>
    <xf numFmtId="170" fontId="3" fillId="0" borderId="0" xfId="44" applyFont="1" applyAlignment="1">
      <alignment/>
    </xf>
    <xf numFmtId="0" fontId="3" fillId="0" borderId="0" xfId="58" applyAlignment="1">
      <alignment horizontal="center"/>
      <protection/>
    </xf>
    <xf numFmtId="170" fontId="10" fillId="0" borderId="0" xfId="44" applyNumberFormat="1" applyFont="1" applyAlignment="1">
      <alignment/>
    </xf>
    <xf numFmtId="173" fontId="3" fillId="0" borderId="10" xfId="58" applyNumberFormat="1" applyBorder="1">
      <alignment/>
      <protection/>
    </xf>
    <xf numFmtId="173" fontId="3" fillId="0" borderId="0" xfId="58" applyNumberFormat="1" applyBorder="1">
      <alignment/>
      <protection/>
    </xf>
    <xf numFmtId="170" fontId="10" fillId="0" borderId="0" xfId="44" applyFont="1" applyAlignment="1">
      <alignment/>
    </xf>
    <xf numFmtId="0" fontId="3" fillId="0" borderId="0" xfId="58" applyAlignment="1" quotePrefix="1">
      <alignment horizontal="left" indent="2"/>
      <protection/>
    </xf>
    <xf numFmtId="170" fontId="3" fillId="0" borderId="0" xfId="58" applyNumberFormat="1">
      <alignment/>
      <protection/>
    </xf>
    <xf numFmtId="0" fontId="3" fillId="0" borderId="0" xfId="58" applyAlignment="1">
      <alignment wrapText="1"/>
      <protection/>
    </xf>
    <xf numFmtId="0" fontId="3" fillId="0" borderId="0" xfId="58" applyAlignment="1">
      <alignment horizontal="center" wrapText="1"/>
      <protection/>
    </xf>
    <xf numFmtId="17" fontId="3" fillId="0" borderId="0" xfId="58" applyNumberFormat="1">
      <alignment/>
      <protection/>
    </xf>
    <xf numFmtId="10" fontId="3" fillId="0" borderId="0" xfId="58" applyNumberFormat="1">
      <alignment/>
      <protection/>
    </xf>
    <xf numFmtId="10" fontId="3" fillId="0" borderId="0" xfId="61" applyNumberFormat="1" applyFont="1" applyAlignment="1">
      <alignment/>
    </xf>
    <xf numFmtId="0" fontId="10" fillId="0" borderId="0" xfId="58" applyFont="1" applyAlignment="1">
      <alignment horizontal="right"/>
      <protection/>
    </xf>
    <xf numFmtId="0" fontId="19" fillId="0" borderId="0" xfId="58" applyFont="1" applyBorder="1" applyAlignment="1">
      <alignment/>
      <protection/>
    </xf>
    <xf numFmtId="0" fontId="3" fillId="0" borderId="0" xfId="58" applyAlignment="1">
      <alignment horizontal="right"/>
      <protection/>
    </xf>
    <xf numFmtId="173" fontId="3" fillId="0" borderId="0" xfId="44" applyNumberFormat="1" applyFont="1" applyAlignment="1">
      <alignment horizontal="right"/>
    </xf>
    <xf numFmtId="0" fontId="0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0" fontId="7" fillId="33" borderId="13" xfId="44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170" fontId="7" fillId="33" borderId="16" xfId="44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73" fontId="0" fillId="33" borderId="0" xfId="0" applyNumberFormat="1" applyFill="1" applyBorder="1" applyAlignment="1" applyProtection="1">
      <alignment/>
      <protection/>
    </xf>
    <xf numFmtId="170" fontId="0" fillId="33" borderId="0" xfId="44" applyFill="1" applyBorder="1" applyAlignment="1" applyProtection="1">
      <alignment/>
      <protection/>
    </xf>
    <xf numFmtId="170" fontId="0" fillId="33" borderId="18" xfId="44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0" fontId="0" fillId="33" borderId="16" xfId="44" applyFill="1" applyBorder="1" applyAlignment="1" applyProtection="1">
      <alignment/>
      <protection/>
    </xf>
    <xf numFmtId="170" fontId="0" fillId="33" borderId="17" xfId="44" applyFill="1" applyBorder="1" applyAlignment="1" applyProtection="1">
      <alignment/>
      <protection/>
    </xf>
    <xf numFmtId="170" fontId="0" fillId="33" borderId="12" xfId="44" applyFill="1" applyBorder="1" applyAlignment="1" applyProtection="1">
      <alignment/>
      <protection/>
    </xf>
    <xf numFmtId="174" fontId="7" fillId="33" borderId="16" xfId="61" applyNumberFormat="1" applyFont="1" applyFill="1" applyBorder="1" applyAlignment="1" applyProtection="1">
      <alignment horizontal="center"/>
      <protection/>
    </xf>
    <xf numFmtId="9" fontId="0" fillId="33" borderId="16" xfId="0" applyNumberFormat="1" applyFill="1" applyBorder="1" applyAlignment="1" applyProtection="1">
      <alignment/>
      <protection/>
    </xf>
    <xf numFmtId="173" fontId="0" fillId="33" borderId="17" xfId="0" applyNumberFormat="1" applyFill="1" applyBorder="1" applyAlignment="1" applyProtection="1">
      <alignment/>
      <protection/>
    </xf>
    <xf numFmtId="170" fontId="7" fillId="33" borderId="17" xfId="44" applyFont="1" applyFill="1" applyBorder="1" applyAlignment="1" applyProtection="1">
      <alignment/>
      <protection/>
    </xf>
    <xf numFmtId="170" fontId="7" fillId="33" borderId="0" xfId="44" applyFont="1" applyFill="1" applyBorder="1" applyAlignment="1" applyProtection="1">
      <alignment/>
      <protection/>
    </xf>
    <xf numFmtId="170" fontId="8" fillId="33" borderId="17" xfId="44" applyFont="1" applyFill="1" applyBorder="1" applyAlignment="1" applyProtection="1">
      <alignment/>
      <protection/>
    </xf>
    <xf numFmtId="173" fontId="0" fillId="33" borderId="17" xfId="44" applyNumberFormat="1" applyFill="1" applyBorder="1" applyAlignment="1" applyProtection="1">
      <alignment/>
      <protection/>
    </xf>
    <xf numFmtId="170" fontId="0" fillId="33" borderId="19" xfId="44" applyFill="1" applyBorder="1" applyAlignment="1" applyProtection="1">
      <alignment/>
      <protection/>
    </xf>
    <xf numFmtId="170" fontId="8" fillId="33" borderId="19" xfId="44" applyFont="1" applyFill="1" applyBorder="1" applyAlignment="1" applyProtection="1">
      <alignment/>
      <protection/>
    </xf>
    <xf numFmtId="170" fontId="0" fillId="33" borderId="17" xfId="44" applyFont="1" applyFill="1" applyBorder="1" applyAlignment="1" applyProtection="1">
      <alignment/>
      <protection/>
    </xf>
    <xf numFmtId="170" fontId="6" fillId="33" borderId="20" xfId="44" applyFont="1" applyFill="1" applyBorder="1" applyAlignment="1" applyProtection="1">
      <alignment/>
      <protection/>
    </xf>
    <xf numFmtId="176" fontId="7" fillId="33" borderId="17" xfId="42" applyNumberFormat="1" applyFont="1" applyFill="1" applyBorder="1" applyAlignment="1" applyProtection="1">
      <alignment/>
      <protection/>
    </xf>
    <xf numFmtId="176" fontId="0" fillId="33" borderId="17" xfId="42" applyNumberForma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0" fillId="33" borderId="21" xfId="44" applyFill="1" applyBorder="1" applyAlignment="1" applyProtection="1">
      <alignment/>
      <protection/>
    </xf>
    <xf numFmtId="170" fontId="0" fillId="33" borderId="22" xfId="44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170" fontId="7" fillId="33" borderId="0" xfId="44" applyFont="1" applyFill="1" applyAlignment="1" applyProtection="1">
      <alignment/>
      <protection/>
    </xf>
    <xf numFmtId="10" fontId="7" fillId="33" borderId="0" xfId="0" applyNumberFormat="1" applyFont="1" applyFill="1" applyAlignment="1" applyProtection="1">
      <alignment/>
      <protection/>
    </xf>
    <xf numFmtId="170" fontId="7" fillId="33" borderId="23" xfId="44" applyFont="1" applyFill="1" applyBorder="1" applyAlignment="1" applyProtection="1">
      <alignment/>
      <protection/>
    </xf>
    <xf numFmtId="178" fontId="0" fillId="33" borderId="0" xfId="61" applyNumberFormat="1" applyFill="1" applyAlignment="1" applyProtection="1">
      <alignment/>
      <protection/>
    </xf>
    <xf numFmtId="0" fontId="10" fillId="33" borderId="0" xfId="0" applyFont="1" applyFill="1" applyAlignment="1" applyProtection="1">
      <alignment horizontal="left"/>
      <protection/>
    </xf>
    <xf numFmtId="10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170" fontId="21" fillId="33" borderId="12" xfId="44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vertical="top" wrapText="1"/>
      <protection/>
    </xf>
    <xf numFmtId="174" fontId="0" fillId="33" borderId="0" xfId="61" applyNumberFormat="1" applyFill="1" applyAlignment="1" applyProtection="1">
      <alignment/>
      <protection/>
    </xf>
    <xf numFmtId="173" fontId="0" fillId="33" borderId="12" xfId="44" applyNumberFormat="1" applyFill="1" applyBorder="1" applyAlignment="1" applyProtection="1">
      <alignment/>
      <protection/>
    </xf>
    <xf numFmtId="170" fontId="8" fillId="33" borderId="12" xfId="44" applyFont="1" applyFill="1" applyBorder="1" applyAlignment="1" applyProtection="1">
      <alignment/>
      <protection/>
    </xf>
    <xf numFmtId="170" fontId="0" fillId="33" borderId="10" xfId="44" applyFill="1" applyBorder="1" applyAlignment="1" applyProtection="1">
      <alignment/>
      <protection/>
    </xf>
    <xf numFmtId="170" fontId="8" fillId="0" borderId="10" xfId="44" applyFont="1" applyFill="1" applyBorder="1" applyAlignment="1" applyProtection="1">
      <alignment/>
      <protection/>
    </xf>
    <xf numFmtId="170" fontId="8" fillId="33" borderId="10" xfId="44" applyFont="1" applyFill="1" applyBorder="1" applyAlignment="1" applyProtection="1">
      <alignment/>
      <protection/>
    </xf>
    <xf numFmtId="9" fontId="0" fillId="33" borderId="0" xfId="0" applyNumberFormat="1" applyFill="1" applyAlignment="1" applyProtection="1">
      <alignment/>
      <protection/>
    </xf>
    <xf numFmtId="0" fontId="3" fillId="0" borderId="0" xfId="58" applyFont="1" applyAlignment="1">
      <alignment horizontal="right"/>
      <protection/>
    </xf>
    <xf numFmtId="0" fontId="3" fillId="0" borderId="11" xfId="58" applyBorder="1">
      <alignment/>
      <protection/>
    </xf>
    <xf numFmtId="0" fontId="3" fillId="0" borderId="11" xfId="58" applyFont="1" applyBorder="1" applyAlignment="1">
      <alignment horizontal="right"/>
      <protection/>
    </xf>
    <xf numFmtId="0" fontId="3" fillId="0" borderId="0" xfId="58" applyFont="1" applyAlignment="1">
      <alignment horizontal="left" indent="2"/>
      <protection/>
    </xf>
    <xf numFmtId="170" fontId="23" fillId="35" borderId="0" xfId="44" applyFont="1" applyFill="1" applyAlignment="1">
      <alignment/>
    </xf>
    <xf numFmtId="173" fontId="7" fillId="33" borderId="13" xfId="44" applyNumberFormat="1" applyFont="1" applyFill="1" applyBorder="1" applyAlignment="1" applyProtection="1">
      <alignment/>
      <protection/>
    </xf>
    <xf numFmtId="173" fontId="0" fillId="33" borderId="14" xfId="0" applyNumberFormat="1" applyFill="1" applyBorder="1" applyAlignment="1" applyProtection="1">
      <alignment/>
      <protection/>
    </xf>
    <xf numFmtId="173" fontId="0" fillId="33" borderId="15" xfId="0" applyNumberFormat="1" applyFill="1" applyBorder="1" applyAlignment="1" applyProtection="1">
      <alignment/>
      <protection/>
    </xf>
    <xf numFmtId="173" fontId="7" fillId="33" borderId="16" xfId="44" applyNumberFormat="1" applyFont="1" applyFill="1" applyBorder="1" applyAlignment="1" applyProtection="1">
      <alignment/>
      <protection/>
    </xf>
    <xf numFmtId="173" fontId="0" fillId="33" borderId="0" xfId="44" applyNumberFormat="1" applyFill="1" applyBorder="1" applyAlignment="1" applyProtection="1">
      <alignment/>
      <protection/>
    </xf>
    <xf numFmtId="173" fontId="0" fillId="33" borderId="18" xfId="44" applyNumberFormat="1" applyFill="1" applyBorder="1" applyAlignment="1" applyProtection="1">
      <alignment/>
      <protection/>
    </xf>
    <xf numFmtId="173" fontId="0" fillId="33" borderId="16" xfId="0" applyNumberFormat="1" applyFill="1" applyBorder="1" applyAlignment="1" applyProtection="1">
      <alignment/>
      <protection/>
    </xf>
    <xf numFmtId="173" fontId="0" fillId="33" borderId="16" xfId="44" applyNumberFormat="1" applyFill="1" applyBorder="1" applyAlignment="1" applyProtection="1">
      <alignment/>
      <protection/>
    </xf>
    <xf numFmtId="173" fontId="7" fillId="33" borderId="17" xfId="44" applyNumberFormat="1" applyFont="1" applyFill="1" applyBorder="1" applyAlignment="1" applyProtection="1">
      <alignment/>
      <protection/>
    </xf>
    <xf numFmtId="173" fontId="7" fillId="33" borderId="0" xfId="44" applyNumberFormat="1" applyFont="1" applyFill="1" applyBorder="1" applyAlignment="1" applyProtection="1">
      <alignment/>
      <protection/>
    </xf>
    <xf numFmtId="173" fontId="0" fillId="33" borderId="19" xfId="44" applyNumberFormat="1" applyFill="1" applyBorder="1" applyAlignment="1" applyProtection="1">
      <alignment/>
      <protection/>
    </xf>
    <xf numFmtId="173" fontId="0" fillId="33" borderId="17" xfId="44" applyNumberFormat="1" applyFont="1" applyFill="1" applyBorder="1" applyAlignment="1" applyProtection="1">
      <alignment/>
      <protection/>
    </xf>
    <xf numFmtId="173" fontId="6" fillId="33" borderId="20" xfId="44" applyNumberFormat="1" applyFont="1" applyFill="1" applyBorder="1" applyAlignment="1" applyProtection="1">
      <alignment/>
      <protection/>
    </xf>
    <xf numFmtId="173" fontId="7" fillId="33" borderId="0" xfId="44" applyNumberFormat="1" applyFont="1" applyFill="1" applyAlignment="1" applyProtection="1">
      <alignment/>
      <protection/>
    </xf>
    <xf numFmtId="173" fontId="7" fillId="33" borderId="23" xfId="44" applyNumberFormat="1" applyFont="1" applyFill="1" applyBorder="1" applyAlignment="1" applyProtection="1">
      <alignment/>
      <protection/>
    </xf>
    <xf numFmtId="173" fontId="3" fillId="35" borderId="0" xfId="58" applyNumberFormat="1" applyFill="1">
      <alignment/>
      <protection/>
    </xf>
    <xf numFmtId="9" fontId="7" fillId="33" borderId="16" xfId="61" applyFont="1" applyFill="1" applyBorder="1" applyAlignment="1" applyProtection="1">
      <alignment horizontal="center"/>
      <protection/>
    </xf>
    <xf numFmtId="10" fontId="7" fillId="33" borderId="16" xfId="61" applyNumberFormat="1" applyFont="1" applyFill="1" applyBorder="1" applyAlignment="1" applyProtection="1">
      <alignment horizontal="center"/>
      <protection/>
    </xf>
    <xf numFmtId="10" fontId="7" fillId="36" borderId="0" xfId="61" applyNumberFormat="1" applyFont="1" applyFill="1" applyAlignment="1" applyProtection="1">
      <alignment horizontal="center"/>
      <protection locked="0"/>
    </xf>
    <xf numFmtId="9" fontId="7" fillId="36" borderId="0" xfId="61" applyFont="1" applyFill="1" applyAlignment="1" applyProtection="1">
      <alignment horizontal="center"/>
      <protection locked="0"/>
    </xf>
    <xf numFmtId="9" fontId="7" fillId="33" borderId="0" xfId="6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170" fontId="7" fillId="37" borderId="0" xfId="44" applyFont="1" applyFill="1" applyBorder="1" applyAlignment="1" applyProtection="1">
      <alignment/>
      <protection/>
    </xf>
    <xf numFmtId="170" fontId="7" fillId="38" borderId="0" xfId="44" applyFont="1" applyFill="1" applyBorder="1" applyAlignment="1" applyProtection="1">
      <alignment/>
      <protection/>
    </xf>
    <xf numFmtId="170" fontId="8" fillId="39" borderId="0" xfId="44" applyFont="1" applyFill="1" applyAlignment="1" applyProtection="1">
      <alignment/>
      <protection/>
    </xf>
    <xf numFmtId="170" fontId="0" fillId="33" borderId="0" xfId="44" applyFont="1" applyFill="1" applyAlignment="1" applyProtection="1">
      <alignment/>
      <protection/>
    </xf>
    <xf numFmtId="170" fontId="0" fillId="33" borderId="12" xfId="44" applyFont="1" applyFill="1" applyBorder="1" applyAlignment="1" applyProtection="1">
      <alignment/>
      <protection/>
    </xf>
    <xf numFmtId="170" fontId="0" fillId="33" borderId="10" xfId="44" applyFont="1" applyFill="1" applyBorder="1" applyAlignment="1" applyProtection="1">
      <alignment/>
      <protection/>
    </xf>
    <xf numFmtId="170" fontId="0" fillId="0" borderId="10" xfId="44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horizontal="left" indent="1"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 horizontal="left" indent="1"/>
      <protection/>
    </xf>
    <xf numFmtId="9" fontId="0" fillId="33" borderId="0" xfId="61" applyFill="1" applyBorder="1" applyAlignment="1" applyProtection="1">
      <alignment/>
      <protection/>
    </xf>
    <xf numFmtId="170" fontId="0" fillId="33" borderId="0" xfId="0" applyNumberFormat="1" applyFill="1" applyBorder="1" applyAlignment="1" applyProtection="1">
      <alignment/>
      <protection/>
    </xf>
    <xf numFmtId="9" fontId="0" fillId="33" borderId="0" xfId="0" applyNumberForma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10" fontId="0" fillId="0" borderId="0" xfId="0" applyNumberFormat="1" applyFont="1" applyFill="1" applyAlignment="1" applyProtection="1">
      <alignment/>
      <protection/>
    </xf>
    <xf numFmtId="10" fontId="0" fillId="36" borderId="0" xfId="61" applyNumberFormat="1" applyFont="1" applyFill="1" applyAlignment="1" applyProtection="1">
      <alignment/>
      <protection locked="0"/>
    </xf>
    <xf numFmtId="10" fontId="29" fillId="36" borderId="0" xfId="61" applyNumberFormat="1" applyFont="1" applyFill="1" applyAlignment="1" applyProtection="1">
      <alignment horizontal="center"/>
      <protection locked="0"/>
    </xf>
    <xf numFmtId="176" fontId="0" fillId="36" borderId="0" xfId="42" applyNumberFormat="1" applyFont="1" applyFill="1" applyAlignment="1" applyProtection="1">
      <alignment/>
      <protection locked="0"/>
    </xf>
    <xf numFmtId="176" fontId="6" fillId="36" borderId="24" xfId="42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 indent="1"/>
      <protection/>
    </xf>
    <xf numFmtId="0" fontId="6" fillId="33" borderId="0" xfId="0" applyFont="1" applyFill="1" applyAlignment="1">
      <alignment/>
    </xf>
    <xf numFmtId="176" fontId="21" fillId="36" borderId="0" xfId="42" applyNumberFormat="1" applyFont="1" applyFill="1" applyAlignment="1" applyProtection="1">
      <alignment/>
      <protection locked="0"/>
    </xf>
    <xf numFmtId="176" fontId="6" fillId="36" borderId="0" xfId="42" applyNumberFormat="1" applyFont="1" applyFill="1" applyAlignment="1" applyProtection="1">
      <alignment/>
      <protection locked="0"/>
    </xf>
    <xf numFmtId="171" fontId="6" fillId="36" borderId="0" xfId="42" applyFont="1" applyFill="1" applyAlignment="1" applyProtection="1">
      <alignment/>
      <protection locked="0"/>
    </xf>
    <xf numFmtId="173" fontId="0" fillId="36" borderId="0" xfId="44" applyNumberFormat="1" applyFont="1" applyFill="1" applyAlignment="1" applyProtection="1">
      <alignment/>
      <protection locked="0"/>
    </xf>
    <xf numFmtId="170" fontId="0" fillId="0" borderId="0" xfId="44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9" fontId="0" fillId="33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44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9" fontId="0" fillId="33" borderId="0" xfId="61" applyFont="1" applyFill="1" applyBorder="1" applyAlignment="1" applyProtection="1">
      <alignment/>
      <protection/>
    </xf>
    <xf numFmtId="173" fontId="0" fillId="33" borderId="16" xfId="0" applyNumberFormat="1" applyFont="1" applyFill="1" applyBorder="1" applyAlignment="1" applyProtection="1">
      <alignment/>
      <protection/>
    </xf>
    <xf numFmtId="173" fontId="0" fillId="33" borderId="0" xfId="44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173" fontId="0" fillId="33" borderId="19" xfId="44" applyNumberFormat="1" applyFont="1" applyFill="1" applyBorder="1" applyAlignment="1" applyProtection="1">
      <alignment/>
      <protection/>
    </xf>
    <xf numFmtId="173" fontId="6" fillId="33" borderId="12" xfId="44" applyNumberFormat="1" applyFont="1" applyFill="1" applyBorder="1" applyAlignment="1" applyProtection="1">
      <alignment/>
      <protection/>
    </xf>
    <xf numFmtId="170" fontId="0" fillId="33" borderId="0" xfId="44" applyFont="1" applyFill="1" applyBorder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0" fillId="40" borderId="0" xfId="0" applyFill="1" applyAlignment="1" applyProtection="1">
      <alignment horizontal="center" vertical="center"/>
      <protection/>
    </xf>
    <xf numFmtId="220" fontId="0" fillId="41" borderId="25" xfId="0" applyNumberFormat="1" applyFill="1" applyBorder="1" applyAlignment="1" applyProtection="1">
      <alignment horizontal="center" vertical="center"/>
      <protection locked="0"/>
    </xf>
    <xf numFmtId="220" fontId="0" fillId="40" borderId="25" xfId="0" applyNumberFormat="1" applyFill="1" applyBorder="1" applyAlignment="1" applyProtection="1">
      <alignment horizontal="center" vertical="center"/>
      <protection/>
    </xf>
    <xf numFmtId="220" fontId="0" fillId="41" borderId="26" xfId="0" applyNumberFormat="1" applyFill="1" applyBorder="1" applyAlignment="1" applyProtection="1">
      <alignment horizontal="center" vertical="center"/>
      <protection locked="0"/>
    </xf>
    <xf numFmtId="220" fontId="0" fillId="40" borderId="26" xfId="0" applyNumberFormat="1" applyFill="1" applyBorder="1" applyAlignment="1" applyProtection="1">
      <alignment horizontal="center" vertical="center"/>
      <protection/>
    </xf>
    <xf numFmtId="220" fontId="0" fillId="41" borderId="27" xfId="0" applyNumberFormat="1" applyFill="1" applyBorder="1" applyAlignment="1" applyProtection="1">
      <alignment horizontal="center" vertical="center"/>
      <protection locked="0"/>
    </xf>
    <xf numFmtId="220" fontId="0" fillId="40" borderId="27" xfId="0" applyNumberFormat="1" applyFill="1" applyBorder="1" applyAlignment="1" applyProtection="1">
      <alignment horizontal="center" vertical="center"/>
      <protection/>
    </xf>
    <xf numFmtId="0" fontId="0" fillId="40" borderId="0" xfId="0" applyFill="1" applyAlignment="1">
      <alignment/>
    </xf>
    <xf numFmtId="42" fontId="0" fillId="41" borderId="25" xfId="0" applyNumberFormat="1" applyFill="1" applyBorder="1" applyAlignment="1" applyProtection="1">
      <alignment horizontal="center" vertical="center"/>
      <protection locked="0"/>
    </xf>
    <xf numFmtId="42" fontId="0" fillId="41" borderId="26" xfId="0" applyNumberFormat="1" applyFill="1" applyBorder="1" applyAlignment="1" applyProtection="1">
      <alignment horizontal="center" vertical="center"/>
      <protection locked="0"/>
    </xf>
    <xf numFmtId="42" fontId="0" fillId="41" borderId="27" xfId="0" applyNumberFormat="1" applyFill="1" applyBorder="1" applyAlignment="1" applyProtection="1">
      <alignment horizontal="center" vertical="center"/>
      <protection locked="0"/>
    </xf>
    <xf numFmtId="0" fontId="6" fillId="40" borderId="0" xfId="0" applyFont="1" applyFill="1" applyAlignment="1">
      <alignment/>
    </xf>
    <xf numFmtId="0" fontId="69" fillId="40" borderId="0" xfId="0" applyFont="1" applyFill="1" applyAlignment="1" applyProtection="1">
      <alignment/>
      <protection/>
    </xf>
    <xf numFmtId="220" fontId="69" fillId="40" borderId="28" xfId="0" applyNumberFormat="1" applyFont="1" applyFill="1" applyBorder="1" applyAlignment="1" applyProtection="1">
      <alignment horizontal="center" vertical="center" wrapText="1"/>
      <protection/>
    </xf>
    <xf numFmtId="220" fontId="6" fillId="40" borderId="25" xfId="57" applyNumberFormat="1" applyFont="1" applyFill="1" applyBorder="1" applyAlignment="1" applyProtection="1">
      <alignment horizontal="center" vertical="center"/>
      <protection/>
    </xf>
    <xf numFmtId="0" fontId="6" fillId="40" borderId="0" xfId="57" applyFont="1" applyFill="1" applyAlignment="1" applyProtection="1">
      <alignment horizontal="left" vertical="center"/>
      <protection/>
    </xf>
    <xf numFmtId="220" fontId="70" fillId="40" borderId="28" xfId="0" applyNumberFormat="1" applyFont="1" applyFill="1" applyBorder="1" applyAlignment="1" applyProtection="1">
      <alignment horizontal="center" vertical="center" wrapText="1"/>
      <protection/>
    </xf>
    <xf numFmtId="42" fontId="0" fillId="40" borderId="25" xfId="0" applyNumberFormat="1" applyFill="1" applyBorder="1" applyAlignment="1" applyProtection="1">
      <alignment horizontal="center" vertical="center"/>
      <protection locked="0"/>
    </xf>
    <xf numFmtId="10" fontId="0" fillId="40" borderId="25" xfId="0" applyNumberFormat="1" applyFill="1" applyBorder="1" applyAlignment="1" applyProtection="1">
      <alignment horizontal="center" vertical="center"/>
      <protection locked="0"/>
    </xf>
    <xf numFmtId="44" fontId="0" fillId="40" borderId="25" xfId="0" applyNumberFormat="1" applyFill="1" applyBorder="1" applyAlignment="1" applyProtection="1">
      <alignment horizontal="center" vertical="center"/>
      <protection locked="0"/>
    </xf>
    <xf numFmtId="10" fontId="0" fillId="40" borderId="0" xfId="0" applyNumberFormat="1" applyFill="1" applyAlignment="1" applyProtection="1">
      <alignment/>
      <protection/>
    </xf>
    <xf numFmtId="42" fontId="67" fillId="40" borderId="24" xfId="0" applyNumberFormat="1" applyFont="1" applyFill="1" applyBorder="1" applyAlignment="1" applyProtection="1">
      <alignment horizontal="center" vertical="center"/>
      <protection/>
    </xf>
    <xf numFmtId="10" fontId="67" fillId="40" borderId="24" xfId="0" applyNumberFormat="1" applyFont="1" applyFill="1" applyBorder="1" applyAlignment="1" applyProtection="1">
      <alignment horizontal="center" vertical="center"/>
      <protection/>
    </xf>
    <xf numFmtId="221" fontId="67" fillId="40" borderId="24" xfId="0" applyNumberFormat="1" applyFont="1" applyFill="1" applyBorder="1" applyAlignment="1" applyProtection="1">
      <alignment horizontal="center" vertical="center"/>
      <protection/>
    </xf>
    <xf numFmtId="221" fontId="67" fillId="40" borderId="0" xfId="0" applyNumberFormat="1" applyFont="1" applyFill="1" applyBorder="1" applyAlignment="1" applyProtection="1">
      <alignment horizontal="center" vertical="center"/>
      <protection/>
    </xf>
    <xf numFmtId="44" fontId="71" fillId="40" borderId="0" xfId="0" applyNumberFormat="1" applyFont="1" applyFill="1" applyAlignment="1" applyProtection="1">
      <alignment/>
      <protection/>
    </xf>
    <xf numFmtId="0" fontId="72" fillId="40" borderId="0" xfId="0" applyFont="1" applyFill="1" applyAlignment="1" applyProtection="1">
      <alignment horizontal="right"/>
      <protection/>
    </xf>
    <xf numFmtId="42" fontId="6" fillId="41" borderId="29" xfId="0" applyNumberFormat="1" applyFont="1" applyFill="1" applyBorder="1" applyAlignment="1" applyProtection="1">
      <alignment vertical="center"/>
      <protection locked="0"/>
    </xf>
    <xf numFmtId="42" fontId="0" fillId="40" borderId="0" xfId="0" applyNumberFormat="1" applyFill="1" applyAlignment="1">
      <alignment/>
    </xf>
    <xf numFmtId="42" fontId="67" fillId="40" borderId="0" xfId="0" applyNumberFormat="1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173" fontId="6" fillId="42" borderId="20" xfId="44" applyNumberFormat="1" applyFont="1" applyFill="1" applyBorder="1" applyAlignment="1" applyProtection="1">
      <alignment/>
      <protection/>
    </xf>
    <xf numFmtId="0" fontId="15" fillId="38" borderId="0" xfId="0" applyFont="1" applyFill="1" applyAlignment="1" applyProtection="1">
      <alignment wrapText="1"/>
      <protection/>
    </xf>
    <xf numFmtId="0" fontId="17" fillId="33" borderId="17" xfId="0" applyFont="1" applyFill="1" applyBorder="1" applyAlignment="1" applyProtection="1">
      <alignment/>
      <protection/>
    </xf>
    <xf numFmtId="0" fontId="0" fillId="33" borderId="0" xfId="0" applyFont="1" applyFill="1" applyAlignment="1" applyProtection="1" quotePrefix="1">
      <alignment horizontal="left" indent="1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left" vertical="top" wrapText="1"/>
      <protection/>
    </xf>
    <xf numFmtId="0" fontId="14" fillId="38" borderId="0" xfId="0" applyFont="1" applyFill="1" applyAlignment="1" applyProtection="1">
      <alignment horizontal="left"/>
      <protection/>
    </xf>
    <xf numFmtId="0" fontId="15" fillId="38" borderId="0" xfId="0" applyFont="1" applyFill="1" applyAlignment="1" applyProtection="1">
      <alignment horizontal="left" wrapText="1"/>
      <protection/>
    </xf>
    <xf numFmtId="0" fontId="30" fillId="33" borderId="0" xfId="0" applyFont="1" applyFill="1" applyAlignment="1" applyProtection="1">
      <alignment/>
      <protection/>
    </xf>
    <xf numFmtId="0" fontId="10" fillId="0" borderId="31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0" fillId="0" borderId="32" xfId="58" applyFont="1" applyBorder="1" applyAlignment="1">
      <alignment horizontal="center"/>
      <protection/>
    </xf>
    <xf numFmtId="0" fontId="19" fillId="0" borderId="33" xfId="58" applyFont="1" applyBorder="1" applyAlignment="1">
      <alignment horizontal="center"/>
      <protection/>
    </xf>
    <xf numFmtId="0" fontId="19" fillId="0" borderId="34" xfId="58" applyFont="1" applyBorder="1" applyAlignment="1">
      <alignment horizontal="center"/>
      <protection/>
    </xf>
    <xf numFmtId="0" fontId="19" fillId="0" borderId="35" xfId="58" applyFont="1" applyBorder="1" applyAlignment="1">
      <alignment horizontal="center"/>
      <protection/>
    </xf>
    <xf numFmtId="0" fontId="19" fillId="0" borderId="0" xfId="58" applyFont="1" applyBorder="1" applyAlignment="1">
      <alignment horizontal="center"/>
      <protection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2" fillId="0" borderId="33" xfId="58" applyFont="1" applyBorder="1" applyAlignment="1">
      <alignment horizontal="center"/>
      <protection/>
    </xf>
    <xf numFmtId="0" fontId="22" fillId="0" borderId="34" xfId="58" applyFont="1" applyBorder="1" applyAlignment="1">
      <alignment horizontal="center"/>
      <protection/>
    </xf>
    <xf numFmtId="0" fontId="22" fillId="0" borderId="35" xfId="58" applyFont="1" applyBorder="1" applyAlignment="1">
      <alignment horizontal="center"/>
      <protection/>
    </xf>
    <xf numFmtId="0" fontId="19" fillId="0" borderId="14" xfId="58" applyFont="1" applyBorder="1" applyAlignment="1">
      <alignment horizontal="center"/>
      <protection/>
    </xf>
    <xf numFmtId="0" fontId="17" fillId="33" borderId="33" xfId="0" applyFont="1" applyFill="1" applyBorder="1" applyAlignment="1" applyProtection="1">
      <alignment horizontal="center"/>
      <protection/>
    </xf>
    <xf numFmtId="0" fontId="17" fillId="33" borderId="34" xfId="0" applyFont="1" applyFill="1" applyBorder="1" applyAlignment="1" applyProtection="1">
      <alignment horizontal="center"/>
      <protection/>
    </xf>
    <xf numFmtId="0" fontId="17" fillId="33" borderId="35" xfId="0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wrapText="1"/>
      <protection/>
    </xf>
    <xf numFmtId="0" fontId="16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17" fillId="43" borderId="33" xfId="0" applyFont="1" applyFill="1" applyBorder="1" applyAlignment="1" applyProtection="1">
      <alignment horizontal="center"/>
      <protection/>
    </xf>
    <xf numFmtId="0" fontId="17" fillId="43" borderId="34" xfId="0" applyFont="1" applyFill="1" applyBorder="1" applyAlignment="1" applyProtection="1">
      <alignment horizontal="center"/>
      <protection/>
    </xf>
    <xf numFmtId="0" fontId="17" fillId="43" borderId="35" xfId="0" applyFont="1" applyFill="1" applyBorder="1" applyAlignment="1" applyProtection="1">
      <alignment horizontal="center"/>
      <protection/>
    </xf>
    <xf numFmtId="0" fontId="17" fillId="0" borderId="3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 horizontal="center"/>
      <protection/>
    </xf>
    <xf numFmtId="220" fontId="6" fillId="40" borderId="25" xfId="57" applyNumberFormat="1" applyFont="1" applyFill="1" applyBorder="1" applyAlignment="1" applyProtection="1">
      <alignment horizontal="center" vertical="center" wrapText="1"/>
      <protection/>
    </xf>
    <xf numFmtId="220" fontId="6" fillId="40" borderId="27" xfId="57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. Cost Allocation for Def-Var" xfId="57"/>
    <cellStyle name="Normal_Calculation of Revenue Requiremen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51</xdr:row>
      <xdr:rowOff>57150</xdr:rowOff>
    </xdr:from>
    <xdr:to>
      <xdr:col>3</xdr:col>
      <xdr:colOff>76200</xdr:colOff>
      <xdr:row>52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95400" y="10267950"/>
          <a:ext cx="5962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last available Board prescribed interest rate for approved accounts to be applied against deferral accounts is assumed to continue without change for the completion of recovery of actual costs.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IRM%20Rate%20Generator\POWERSTREAM%202014%20IRM%20Rate%20Generator_V2%203_Aug%202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0.0104</v>
          </cell>
          <cell r="I16">
            <v>0.0062</v>
          </cell>
          <cell r="J16">
            <v>0.007</v>
          </cell>
          <cell r="K16">
            <v>0.0236</v>
          </cell>
          <cell r="L16">
            <v>0.02412117041378766</v>
          </cell>
          <cell r="M16">
            <v>0</v>
          </cell>
          <cell r="Q16">
            <v>0</v>
          </cell>
          <cell r="R16">
            <v>0.0631</v>
          </cell>
          <cell r="S16">
            <v>0.0631</v>
          </cell>
          <cell r="T16">
            <v>1.0422</v>
          </cell>
          <cell r="U16">
            <v>1.0421</v>
          </cell>
          <cell r="V16">
            <v>0.0146</v>
          </cell>
          <cell r="W16">
            <v>0</v>
          </cell>
          <cell r="X16">
            <v>9.9</v>
          </cell>
          <cell r="Y16">
            <v>0.013036245268828545</v>
          </cell>
          <cell r="Z16">
            <v>0</v>
          </cell>
          <cell r="AA16">
            <v>12.00262074194569</v>
          </cell>
          <cell r="AB16">
            <v>0.0036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0.0094</v>
          </cell>
          <cell r="I54">
            <v>0.0062</v>
          </cell>
          <cell r="J54">
            <v>0.007</v>
          </cell>
          <cell r="K54">
            <v>0.0226</v>
          </cell>
          <cell r="L54">
            <v>0.0230731202818941</v>
          </cell>
          <cell r="M54">
            <v>0</v>
          </cell>
          <cell r="Q54">
            <v>0</v>
          </cell>
          <cell r="R54">
            <v>0.0631</v>
          </cell>
          <cell r="S54">
            <v>0.0631</v>
          </cell>
          <cell r="T54">
            <v>1.0422</v>
          </cell>
          <cell r="U54">
            <v>1.0421</v>
          </cell>
          <cell r="V54">
            <v>0.0101</v>
          </cell>
          <cell r="W54">
            <v>0</v>
          </cell>
          <cell r="X54">
            <v>27.31</v>
          </cell>
          <cell r="Y54">
            <v>0.009724400356871393</v>
          </cell>
          <cell r="Z54">
            <v>0</v>
          </cell>
          <cell r="AA54">
            <v>32.26679201760937</v>
          </cell>
          <cell r="AB54">
            <v>0.0018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5.1</v>
          </cell>
          <cell r="P74">
            <v>5.1</v>
          </cell>
          <cell r="Q74">
            <v>5.358997550018666</v>
          </cell>
          <cell r="R74">
            <v>0.0631</v>
          </cell>
          <cell r="S74">
            <v>0.0631</v>
          </cell>
          <cell r="T74">
            <v>1.0422</v>
          </cell>
          <cell r="U74">
            <v>1.0421</v>
          </cell>
          <cell r="V74">
            <v>0</v>
          </cell>
          <cell r="W74">
            <v>3.8577</v>
          </cell>
          <cell r="X74">
            <v>2480.78</v>
          </cell>
          <cell r="Y74">
            <v>0</v>
          </cell>
          <cell r="Z74">
            <v>4.586031579662963</v>
          </cell>
          <cell r="AA74">
            <v>3001.387260332978</v>
          </cell>
          <cell r="AB74">
            <v>0.0668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3.3886</v>
          </cell>
          <cell r="P78">
            <v>3.3886</v>
          </cell>
          <cell r="Q78">
            <v>3.5585544834309846</v>
          </cell>
          <cell r="R78">
            <v>0.0631</v>
          </cell>
          <cell r="S78">
            <v>0.0631</v>
          </cell>
          <cell r="T78">
            <v>1.0422</v>
          </cell>
          <cell r="U78">
            <v>1.0421</v>
          </cell>
          <cell r="V78">
            <v>0</v>
          </cell>
          <cell r="W78">
            <v>1.7029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4.5756</v>
          </cell>
          <cell r="P90">
            <v>4.5756</v>
          </cell>
          <cell r="Q90">
            <v>4.801480002060249</v>
          </cell>
          <cell r="R90">
            <v>0.0631</v>
          </cell>
          <cell r="S90">
            <v>0.0631</v>
          </cell>
          <cell r="T90">
            <v>1.0147</v>
          </cell>
          <cell r="U90">
            <v>1.0147</v>
          </cell>
          <cell r="V90">
            <v>0</v>
          </cell>
          <cell r="W90">
            <v>1.3474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0.0094</v>
          </cell>
          <cell r="I94">
            <v>0.0062</v>
          </cell>
          <cell r="J94">
            <v>0.007</v>
          </cell>
          <cell r="K94">
            <v>0.0226</v>
          </cell>
          <cell r="L94">
            <v>0.0230731202818941</v>
          </cell>
          <cell r="M94">
            <v>0</v>
          </cell>
          <cell r="Q94">
            <v>0</v>
          </cell>
          <cell r="R94">
            <v>0.0631</v>
          </cell>
          <cell r="S94">
            <v>0.0631</v>
          </cell>
          <cell r="T94">
            <v>1.0422</v>
          </cell>
          <cell r="U94">
            <v>1.0421</v>
          </cell>
          <cell r="V94">
            <v>0.0101</v>
          </cell>
          <cell r="W94">
            <v>0</v>
          </cell>
          <cell r="X94">
            <v>0.41</v>
          </cell>
          <cell r="Y94">
            <v>0.00852640678391292</v>
          </cell>
          <cell r="Z94">
            <v>0</v>
          </cell>
          <cell r="AA94">
            <v>0.4211839495667826</v>
          </cell>
          <cell r="AB94">
            <v>0.0018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0.0062</v>
          </cell>
          <cell r="J99">
            <v>0.007</v>
          </cell>
          <cell r="K99">
            <v>0.0132</v>
          </cell>
          <cell r="L99">
            <v>0.0132</v>
          </cell>
          <cell r="M99">
            <v>2.9875</v>
          </cell>
          <cell r="P99">
            <v>2.9875</v>
          </cell>
          <cell r="Q99">
            <v>3.137337019496001</v>
          </cell>
          <cell r="R99">
            <v>0.0631</v>
          </cell>
          <cell r="S99">
            <v>0.0631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2.9837</v>
          </cell>
          <cell r="P103">
            <v>2.9837</v>
          </cell>
          <cell r="Q103">
            <v>3.1333437044737584</v>
          </cell>
          <cell r="R103">
            <v>0.0631</v>
          </cell>
          <cell r="S103">
            <v>0.0631</v>
          </cell>
          <cell r="T103">
            <v>1.0422</v>
          </cell>
          <cell r="U103">
            <v>1.0421</v>
          </cell>
          <cell r="V103">
            <v>0</v>
          </cell>
          <cell r="W103">
            <v>1.2936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0.2840305455197097</v>
          </cell>
          <cell r="AB103">
            <v>0.0985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19">
        <row r="2">
          <cell r="O2" t="str">
            <v>$/kWh</v>
          </cell>
        </row>
        <row r="3">
          <cell r="O3" t="str">
            <v>$/kW</v>
          </cell>
        </row>
        <row r="4">
          <cell r="O4" t="str">
            <v>$/kVA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57"/>
  <sheetViews>
    <sheetView view="pageLayout" zoomScaleNormal="85" workbookViewId="0" topLeftCell="C39">
      <selection activeCell="G25" sqref="G25"/>
    </sheetView>
  </sheetViews>
  <sheetFormatPr defaultColWidth="9.140625" defaultRowHeight="12.75"/>
  <cols>
    <col min="1" max="1" width="15.57421875" style="6" customWidth="1"/>
    <col min="2" max="2" width="78.00390625" style="6" customWidth="1"/>
    <col min="3" max="3" width="14.57421875" style="6" customWidth="1"/>
    <col min="4" max="4" width="12.421875" style="6" bestFit="1" customWidth="1"/>
    <col min="5" max="5" width="14.421875" style="6" bestFit="1" customWidth="1"/>
    <col min="6" max="6" width="13.28125" style="6" bestFit="1" customWidth="1"/>
    <col min="7" max="7" width="13.7109375" style="6" customWidth="1"/>
    <col min="8" max="8" width="13.57421875" style="6" bestFit="1" customWidth="1"/>
    <col min="9" max="9" width="14.00390625" style="6" bestFit="1" customWidth="1"/>
    <col min="10" max="16384" width="9.140625" style="6" customWidth="1"/>
  </cols>
  <sheetData>
    <row r="1" spans="1:11" s="2" customFormat="1" ht="20.25" customHeight="1">
      <c r="A1" s="1"/>
      <c r="B1" s="234"/>
      <c r="C1" s="234"/>
      <c r="D1" s="234"/>
      <c r="E1" s="234"/>
      <c r="F1" s="234"/>
      <c r="G1" s="234"/>
      <c r="H1" s="234"/>
      <c r="I1" s="1"/>
      <c r="J1" s="1"/>
      <c r="K1" s="1"/>
    </row>
    <row r="2" spans="1:11" s="2" customFormat="1" ht="18.75" customHeight="1">
      <c r="A2" s="1"/>
      <c r="B2" s="235" t="s">
        <v>0</v>
      </c>
      <c r="C2" s="235"/>
      <c r="D2" s="235"/>
      <c r="E2" s="235"/>
      <c r="F2" s="9"/>
      <c r="G2" s="9"/>
      <c r="H2" s="1"/>
      <c r="I2" s="1"/>
      <c r="J2" s="1"/>
      <c r="K2" s="1"/>
    </row>
    <row r="3" spans="1:11" s="2" customFormat="1" ht="18.75" customHeight="1">
      <c r="A3" s="1"/>
      <c r="B3" s="236" t="s">
        <v>230</v>
      </c>
      <c r="C3" s="236"/>
      <c r="D3" s="236"/>
      <c r="E3" s="236"/>
      <c r="F3" s="9"/>
      <c r="G3" s="3"/>
      <c r="H3" s="1"/>
      <c r="I3" s="1"/>
      <c r="J3" s="1"/>
      <c r="K3" s="1"/>
    </row>
    <row r="4" spans="1:11" s="2" customFormat="1" ht="18">
      <c r="A4" s="1"/>
      <c r="B4" s="236" t="s">
        <v>231</v>
      </c>
      <c r="C4" s="236"/>
      <c r="D4" s="236"/>
      <c r="E4" s="236"/>
      <c r="F4" s="9"/>
      <c r="G4" s="9"/>
      <c r="H4" s="1"/>
      <c r="I4" s="1"/>
      <c r="J4" s="1"/>
      <c r="K4" s="1"/>
    </row>
    <row r="5" spans="1:11" s="2" customFormat="1" ht="21" customHeight="1">
      <c r="A5" s="1"/>
      <c r="B5" s="237" t="s">
        <v>214</v>
      </c>
      <c r="C5" s="237"/>
      <c r="D5" s="237"/>
      <c r="E5" s="237"/>
      <c r="F5" s="237"/>
      <c r="G5" s="237"/>
      <c r="H5" s="1"/>
      <c r="I5" s="1"/>
      <c r="J5" s="1"/>
      <c r="K5" s="1"/>
    </row>
    <row r="6" spans="1:11" s="2" customFormat="1" ht="6" customHeight="1">
      <c r="A6" s="12"/>
      <c r="B6" s="12"/>
      <c r="C6" s="12"/>
      <c r="D6" s="12"/>
      <c r="E6" s="12"/>
      <c r="F6" s="12"/>
      <c r="G6" s="12"/>
      <c r="H6" s="12"/>
      <c r="I6" s="1"/>
      <c r="J6" s="1"/>
      <c r="K6" s="1"/>
    </row>
    <row r="7" spans="1:11" ht="12.75">
      <c r="A7" s="4"/>
      <c r="B7" s="22" t="s">
        <v>194</v>
      </c>
      <c r="C7" s="140">
        <v>0.6</v>
      </c>
      <c r="D7" s="19"/>
      <c r="E7" s="4"/>
      <c r="F7" s="4"/>
      <c r="G7" s="20"/>
      <c r="H7" s="20"/>
      <c r="I7" s="20"/>
      <c r="J7" s="20"/>
      <c r="K7" s="4"/>
    </row>
    <row r="8" spans="1:11" ht="12.75">
      <c r="A8" s="4"/>
      <c r="B8" s="22" t="s">
        <v>195</v>
      </c>
      <c r="C8" s="141">
        <f>1-C7</f>
        <v>0.4</v>
      </c>
      <c r="D8" s="19"/>
      <c r="E8" s="4"/>
      <c r="F8" s="4"/>
      <c r="G8" s="20"/>
      <c r="H8" s="20"/>
      <c r="I8" s="20"/>
      <c r="J8" s="20"/>
      <c r="K8" s="4"/>
    </row>
    <row r="9" spans="1:11" ht="12.75">
      <c r="A9" s="4"/>
      <c r="B9" s="22" t="s">
        <v>196</v>
      </c>
      <c r="C9" s="165">
        <v>0.0401</v>
      </c>
      <c r="D9" s="19"/>
      <c r="E9" s="4"/>
      <c r="F9" s="4"/>
      <c r="G9" s="20"/>
      <c r="H9" s="20"/>
      <c r="I9" s="20"/>
      <c r="J9" s="20"/>
      <c r="K9" s="4"/>
    </row>
    <row r="10" spans="1:11" ht="13.5" customHeight="1">
      <c r="A10" s="4"/>
      <c r="B10" s="22" t="s">
        <v>197</v>
      </c>
      <c r="C10" s="165">
        <v>0.0893</v>
      </c>
      <c r="D10" s="19"/>
      <c r="E10" s="4"/>
      <c r="F10" s="4"/>
      <c r="G10" s="4"/>
      <c r="H10" s="4"/>
      <c r="I10" s="4"/>
      <c r="J10" s="4"/>
      <c r="K10" s="4"/>
    </row>
    <row r="11" spans="1:11" ht="18" customHeight="1">
      <c r="A11" s="4"/>
      <c r="B11" s="23" t="s">
        <v>8</v>
      </c>
      <c r="C11" s="24">
        <f>(C9*C7)+(C8*C10)</f>
        <v>0.05978</v>
      </c>
      <c r="D11" s="4"/>
      <c r="E11" s="4"/>
      <c r="F11" s="4"/>
      <c r="G11" s="4"/>
      <c r="H11" s="4"/>
      <c r="I11" s="4"/>
      <c r="J11" s="4"/>
      <c r="K11" s="4"/>
    </row>
    <row r="12" spans="1:11" ht="18" customHeight="1">
      <c r="A12" s="4"/>
      <c r="B12" s="23"/>
      <c r="C12" s="24"/>
      <c r="D12" s="4"/>
      <c r="E12" s="4"/>
      <c r="F12" s="4"/>
      <c r="G12" s="4"/>
      <c r="H12" s="4"/>
      <c r="I12" s="4"/>
      <c r="J12" s="4"/>
      <c r="K12" s="4"/>
    </row>
    <row r="13" spans="1:11" ht="18" customHeight="1">
      <c r="A13" s="4"/>
      <c r="B13" s="21" t="s">
        <v>9</v>
      </c>
      <c r="C13" s="139">
        <v>0.13</v>
      </c>
      <c r="D13" s="4"/>
      <c r="E13" s="4"/>
      <c r="F13" s="4"/>
      <c r="G13" s="4"/>
      <c r="H13" s="4"/>
      <c r="I13" s="4"/>
      <c r="J13" s="4"/>
      <c r="K13" s="4"/>
    </row>
    <row r="14" spans="1:11" ht="18" customHeight="1">
      <c r="A14" s="4"/>
      <c r="B14" s="23"/>
      <c r="C14" s="24"/>
      <c r="D14" s="4"/>
      <c r="E14" s="4"/>
      <c r="F14" s="4"/>
      <c r="G14" s="4"/>
      <c r="H14" s="4"/>
      <c r="I14" s="4"/>
      <c r="J14" s="4"/>
      <c r="K14" s="4"/>
    </row>
    <row r="15" spans="1:11" ht="15.75">
      <c r="A15" s="4"/>
      <c r="B15" s="154" t="s">
        <v>227</v>
      </c>
      <c r="C15" s="2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22" t="s">
        <v>10</v>
      </c>
      <c r="C16" s="166">
        <v>308308.63888888864</v>
      </c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22" t="s">
        <v>11</v>
      </c>
      <c r="C17" s="166">
        <v>31199.166666666686</v>
      </c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22" t="s">
        <v>201</v>
      </c>
      <c r="C18" s="166">
        <v>4661.625</v>
      </c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22" t="s">
        <v>202</v>
      </c>
      <c r="C19" s="166">
        <v>2</v>
      </c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22" t="s">
        <v>203</v>
      </c>
      <c r="C20" s="166">
        <v>2813.9444444444484</v>
      </c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22" t="s">
        <v>204</v>
      </c>
      <c r="C21" s="166">
        <v>120</v>
      </c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22"/>
      <c r="C22" s="166"/>
      <c r="D22" s="4"/>
      <c r="E22" s="4"/>
      <c r="F22" s="4"/>
      <c r="G22" s="4"/>
      <c r="H22" s="4"/>
      <c r="I22" s="4"/>
      <c r="J22" s="4"/>
      <c r="K22" s="4"/>
    </row>
    <row r="23" spans="1:11" ht="13.5" thickBot="1">
      <c r="A23" s="4"/>
      <c r="B23" s="168" t="s">
        <v>205</v>
      </c>
      <c r="C23" s="167">
        <f>SUM(C16:C22)</f>
        <v>347105.37499999977</v>
      </c>
      <c r="D23" s="19"/>
      <c r="E23" s="4"/>
      <c r="F23" s="4"/>
      <c r="G23" s="4"/>
      <c r="H23" s="4"/>
      <c r="I23" s="4"/>
      <c r="J23" s="4"/>
      <c r="K23" s="4"/>
    </row>
    <row r="24" spans="1:11" ht="18" customHeight="1" thickTop="1">
      <c r="A24" s="4"/>
      <c r="B24" s="14"/>
      <c r="C24" s="25"/>
      <c r="D24" s="4"/>
      <c r="E24" s="4"/>
      <c r="F24" s="4"/>
      <c r="G24" s="4"/>
      <c r="H24" s="4"/>
      <c r="I24" s="4"/>
      <c r="J24" s="4"/>
      <c r="K24" s="4"/>
    </row>
    <row r="25" spans="1:11" ht="18" customHeight="1">
      <c r="A25" s="4"/>
      <c r="B25" s="22"/>
      <c r="C25" s="2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17"/>
      <c r="C26" s="162">
        <v>2010</v>
      </c>
      <c r="D26" s="162">
        <v>2011</v>
      </c>
      <c r="E26" s="162">
        <v>2012</v>
      </c>
      <c r="F26" s="162">
        <v>2013</v>
      </c>
      <c r="G26" s="162">
        <v>2014</v>
      </c>
      <c r="H26" s="162">
        <v>2015</v>
      </c>
      <c r="I26" s="162">
        <v>2016</v>
      </c>
      <c r="J26" s="4"/>
      <c r="K26" s="4"/>
    </row>
    <row r="27" spans="1:11" ht="12.75">
      <c r="A27" s="4"/>
      <c r="B27" s="22" t="s">
        <v>12</v>
      </c>
      <c r="C27" s="164">
        <v>0.31</v>
      </c>
      <c r="D27" s="164">
        <v>0.265</v>
      </c>
      <c r="E27" s="164">
        <v>0.265</v>
      </c>
      <c r="F27" s="164">
        <v>0.265</v>
      </c>
      <c r="G27" s="164">
        <v>0.265</v>
      </c>
      <c r="H27" s="164">
        <v>0.265</v>
      </c>
      <c r="I27" s="164">
        <v>0.265</v>
      </c>
      <c r="J27" s="4"/>
      <c r="K27" s="4"/>
    </row>
    <row r="28" spans="1:11" ht="12.75">
      <c r="A28" s="4"/>
      <c r="B28" s="1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2" ht="15.75">
      <c r="A30" s="4"/>
      <c r="B30" s="21" t="s">
        <v>161</v>
      </c>
      <c r="C30" s="162">
        <f>C26</f>
        <v>2010</v>
      </c>
      <c r="D30" s="162">
        <f aca="true" t="shared" si="0" ref="D30:I30">D26</f>
        <v>2011</v>
      </c>
      <c r="E30" s="162">
        <f t="shared" si="0"/>
        <v>2012</v>
      </c>
      <c r="F30" s="162">
        <f t="shared" si="0"/>
        <v>2013</v>
      </c>
      <c r="G30" s="162">
        <f t="shared" si="0"/>
        <v>2014</v>
      </c>
      <c r="H30" s="162">
        <f t="shared" si="0"/>
        <v>2015</v>
      </c>
      <c r="I30" s="162">
        <f t="shared" si="0"/>
        <v>2016</v>
      </c>
      <c r="J30" s="4"/>
      <c r="K30" s="4"/>
      <c r="L30" s="4"/>
    </row>
    <row r="31" spans="1:12" s="169" customFormat="1" ht="12.75">
      <c r="A31" s="17"/>
      <c r="B31" s="22" t="s">
        <v>206</v>
      </c>
      <c r="C31" s="173"/>
      <c r="D31" s="173"/>
      <c r="E31" s="173">
        <v>64105</v>
      </c>
      <c r="F31" s="173"/>
      <c r="G31" s="173"/>
      <c r="H31" s="173"/>
      <c r="I31" s="173"/>
      <c r="J31" s="17"/>
      <c r="K31" s="17"/>
      <c r="L31" s="17"/>
    </row>
    <row r="32" spans="1:12" s="169" customFormat="1" ht="12.75">
      <c r="A32" s="17"/>
      <c r="B32" s="22" t="s">
        <v>13</v>
      </c>
      <c r="C32" s="173"/>
      <c r="D32" s="173"/>
      <c r="E32" s="173"/>
      <c r="F32" s="173"/>
      <c r="G32" s="173"/>
      <c r="H32" s="173"/>
      <c r="I32" s="173"/>
      <c r="J32" s="17"/>
      <c r="K32" s="17"/>
      <c r="L32" s="17"/>
    </row>
    <row r="33" spans="1:12" s="169" customFormat="1" ht="12.75">
      <c r="A33" s="17"/>
      <c r="B33" s="22" t="s">
        <v>14</v>
      </c>
      <c r="C33" s="173"/>
      <c r="D33" s="173"/>
      <c r="E33" s="173"/>
      <c r="F33" s="173"/>
      <c r="G33" s="173"/>
      <c r="H33" s="173"/>
      <c r="I33" s="173"/>
      <c r="J33" s="17"/>
      <c r="K33" s="17"/>
      <c r="L33" s="17"/>
    </row>
    <row r="34" spans="1:12" s="169" customFormat="1" ht="12.75">
      <c r="A34" s="17"/>
      <c r="B34" s="22" t="s">
        <v>208</v>
      </c>
      <c r="C34" s="173"/>
      <c r="D34" s="173"/>
      <c r="E34" s="173">
        <v>40898</v>
      </c>
      <c r="F34" s="173"/>
      <c r="G34" s="173"/>
      <c r="H34" s="173"/>
      <c r="I34" s="173"/>
      <c r="J34" s="17"/>
      <c r="K34" s="17"/>
      <c r="L34" s="17"/>
    </row>
    <row r="35" spans="1:12" ht="13.5" thickBot="1">
      <c r="A35" s="4"/>
      <c r="B35" s="23" t="s">
        <v>4</v>
      </c>
      <c r="C35" s="26">
        <f aca="true" t="shared" si="1" ref="C35:I35">SUM(C31:C33)</f>
        <v>0</v>
      </c>
      <c r="D35" s="26">
        <f t="shared" si="1"/>
        <v>0</v>
      </c>
      <c r="E35" s="26">
        <f>SUM(E31:E34)</f>
        <v>105003</v>
      </c>
      <c r="F35" s="26">
        <f t="shared" si="1"/>
        <v>0</v>
      </c>
      <c r="G35" s="26">
        <f t="shared" si="1"/>
        <v>0</v>
      </c>
      <c r="H35" s="26">
        <f t="shared" si="1"/>
        <v>0</v>
      </c>
      <c r="I35" s="26">
        <f t="shared" si="1"/>
        <v>0</v>
      </c>
      <c r="J35" s="4"/>
      <c r="K35" s="4"/>
      <c r="L35" s="4"/>
    </row>
    <row r="36" spans="1:11" ht="12.75">
      <c r="A36" s="4"/>
      <c r="B36" s="4"/>
      <c r="C36" s="233"/>
      <c r="D36" s="233"/>
      <c r="E36" s="4"/>
      <c r="F36" s="4"/>
      <c r="G36" s="4"/>
      <c r="H36" s="4"/>
      <c r="I36" s="4"/>
      <c r="J36" s="4"/>
      <c r="K36" s="4"/>
    </row>
    <row r="37" spans="1:11" ht="15.75">
      <c r="A37" s="4"/>
      <c r="B37" s="154" t="s">
        <v>198</v>
      </c>
      <c r="C37" s="15" t="s">
        <v>15</v>
      </c>
      <c r="D37" s="4"/>
      <c r="E37" s="15" t="s">
        <v>16</v>
      </c>
      <c r="F37" s="15" t="s">
        <v>17</v>
      </c>
      <c r="G37" s="4"/>
      <c r="H37" s="4"/>
      <c r="I37" s="4"/>
      <c r="J37" s="4"/>
      <c r="K37" s="4"/>
    </row>
    <row r="38" spans="1:11" ht="12.75">
      <c r="A38" s="4"/>
      <c r="B38" s="27" t="s">
        <v>207</v>
      </c>
      <c r="C38" s="172">
        <v>40</v>
      </c>
      <c r="D38" s="69" t="s">
        <v>18</v>
      </c>
      <c r="E38" s="171">
        <v>47</v>
      </c>
      <c r="F38" s="171">
        <v>8</v>
      </c>
      <c r="G38" s="4" t="s">
        <v>19</v>
      </c>
      <c r="H38" s="4"/>
      <c r="I38" s="4"/>
      <c r="J38" s="4"/>
      <c r="K38" s="4"/>
    </row>
    <row r="39" spans="1:11" ht="12.75">
      <c r="A39" s="4"/>
      <c r="B39" s="27" t="s">
        <v>211</v>
      </c>
      <c r="C39" s="172">
        <v>5</v>
      </c>
      <c r="D39" s="69" t="s">
        <v>18</v>
      </c>
      <c r="E39" s="171">
        <v>50</v>
      </c>
      <c r="F39" s="171">
        <v>55</v>
      </c>
      <c r="G39" s="4" t="s">
        <v>19</v>
      </c>
      <c r="H39" s="4"/>
      <c r="I39" s="4"/>
      <c r="J39" s="4"/>
      <c r="K39" s="4"/>
    </row>
    <row r="40" spans="1:11" ht="12.75">
      <c r="A40" s="4"/>
      <c r="B40" s="27" t="s">
        <v>210</v>
      </c>
      <c r="C40" s="172">
        <v>4</v>
      </c>
      <c r="D40" s="69" t="s">
        <v>18</v>
      </c>
      <c r="E40" s="171">
        <v>12</v>
      </c>
      <c r="F40" s="171">
        <v>100</v>
      </c>
      <c r="G40" s="4" t="s">
        <v>19</v>
      </c>
      <c r="H40" s="4"/>
      <c r="I40" s="4"/>
      <c r="J40" s="4"/>
      <c r="K40" s="4"/>
    </row>
    <row r="41" spans="1:11" ht="12.75">
      <c r="A41" s="4"/>
      <c r="B41" s="27" t="s">
        <v>209</v>
      </c>
      <c r="C41" s="172">
        <v>7</v>
      </c>
      <c r="D41" s="69" t="s">
        <v>18</v>
      </c>
      <c r="E41" s="171">
        <v>10</v>
      </c>
      <c r="F41" s="171">
        <v>30</v>
      </c>
      <c r="G41" s="4" t="s">
        <v>19</v>
      </c>
      <c r="H41" s="4"/>
      <c r="I41" s="4"/>
      <c r="J41" s="4"/>
      <c r="K41" s="4"/>
    </row>
    <row r="42" spans="1:11" ht="12.75">
      <c r="A42" s="4"/>
      <c r="B42" s="153"/>
      <c r="C42" s="172"/>
      <c r="D42" s="143"/>
      <c r="E42" s="170"/>
      <c r="F42" s="171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2" ht="15.75">
      <c r="A44" s="4"/>
      <c r="B44" s="21" t="s">
        <v>20</v>
      </c>
      <c r="C44" s="162">
        <f>C26</f>
        <v>2010</v>
      </c>
      <c r="D44" s="162">
        <f aca="true" t="shared" si="2" ref="D44:I44">D26</f>
        <v>2011</v>
      </c>
      <c r="E44" s="162">
        <f t="shared" si="2"/>
        <v>2012</v>
      </c>
      <c r="F44" s="162">
        <f t="shared" si="2"/>
        <v>2013</v>
      </c>
      <c r="G44" s="162">
        <f t="shared" si="2"/>
        <v>2014</v>
      </c>
      <c r="H44" s="162">
        <f t="shared" si="2"/>
        <v>2015</v>
      </c>
      <c r="I44" s="162">
        <f t="shared" si="2"/>
        <v>2016</v>
      </c>
      <c r="J44" s="4"/>
      <c r="K44" s="4"/>
      <c r="L44" s="4"/>
    </row>
    <row r="45" spans="1:12" ht="12.75">
      <c r="A45" s="4"/>
      <c r="B45" s="27" t="s">
        <v>199</v>
      </c>
      <c r="C45" s="20"/>
      <c r="D45" s="20"/>
      <c r="E45" s="20">
        <v>803499</v>
      </c>
      <c r="F45" s="20"/>
      <c r="G45" s="20"/>
      <c r="H45" s="20"/>
      <c r="I45" s="20"/>
      <c r="J45" s="4"/>
      <c r="K45" s="4"/>
      <c r="L45" s="4"/>
    </row>
    <row r="46" spans="1:12" ht="12.75">
      <c r="A46" s="4"/>
      <c r="B46" s="27"/>
      <c r="C46" s="20">
        <v>0</v>
      </c>
      <c r="D46" s="20">
        <v>0</v>
      </c>
      <c r="E46" s="20"/>
      <c r="F46" s="20"/>
      <c r="G46" s="20"/>
      <c r="H46" s="20"/>
      <c r="I46" s="20"/>
      <c r="J46" s="4"/>
      <c r="K46" s="4"/>
      <c r="L46" s="4"/>
    </row>
    <row r="47" spans="1:12" ht="13.5" thickBot="1">
      <c r="A47" s="4"/>
      <c r="B47" s="16" t="s">
        <v>6</v>
      </c>
      <c r="C47" s="28">
        <f aca="true" t="shared" si="3" ref="C47:I47">SUM(C45:C46)</f>
        <v>0</v>
      </c>
      <c r="D47" s="28">
        <f t="shared" si="3"/>
        <v>0</v>
      </c>
      <c r="E47" s="28">
        <f t="shared" si="3"/>
        <v>803499</v>
      </c>
      <c r="F47" s="29">
        <f t="shared" si="3"/>
        <v>0</v>
      </c>
      <c r="G47" s="29">
        <f t="shared" si="3"/>
        <v>0</v>
      </c>
      <c r="H47" s="29">
        <f t="shared" si="3"/>
        <v>0</v>
      </c>
      <c r="I47" s="29">
        <f t="shared" si="3"/>
        <v>0</v>
      </c>
      <c r="J47" s="4"/>
      <c r="K47" s="4"/>
      <c r="L47" s="4"/>
    </row>
    <row r="48" spans="1:11" ht="12.75">
      <c r="A48" s="4"/>
      <c r="B48" s="4"/>
      <c r="C48" s="4"/>
      <c r="D48" s="19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s="157" customFormat="1" ht="15.75">
      <c r="A50" s="5"/>
      <c r="B50" s="155"/>
      <c r="C50" s="156"/>
      <c r="D50" s="156"/>
      <c r="E50" s="156"/>
      <c r="F50" s="156"/>
      <c r="G50" s="5"/>
      <c r="H50" s="5"/>
      <c r="I50" s="5"/>
      <c r="J50" s="5"/>
      <c r="K50" s="5"/>
    </row>
    <row r="51" spans="1:11" s="157" customFormat="1" ht="12.75">
      <c r="A51" s="5"/>
      <c r="B51" s="158"/>
      <c r="C51" s="76"/>
      <c r="D51" s="18"/>
      <c r="E51" s="185"/>
      <c r="F51" s="159"/>
      <c r="G51" s="5"/>
      <c r="H51" s="5"/>
      <c r="I51" s="5"/>
      <c r="J51" s="5"/>
      <c r="K51" s="5"/>
    </row>
    <row r="52" spans="1:11" s="157" customFormat="1" ht="12.75">
      <c r="A52" s="5"/>
      <c r="B52" s="158"/>
      <c r="C52" s="76"/>
      <c r="D52" s="18"/>
      <c r="E52" s="75"/>
      <c r="F52" s="159"/>
      <c r="G52" s="5"/>
      <c r="H52" s="5"/>
      <c r="I52" s="5"/>
      <c r="J52" s="5"/>
      <c r="K52" s="5"/>
    </row>
    <row r="53" spans="1:11" s="157" customFormat="1" ht="12.75">
      <c r="A53" s="5"/>
      <c r="B53" s="158"/>
      <c r="C53" s="76"/>
      <c r="D53" s="18"/>
      <c r="E53" s="75"/>
      <c r="F53" s="159"/>
      <c r="G53" s="5"/>
      <c r="H53" s="5"/>
      <c r="I53" s="5"/>
      <c r="J53" s="5"/>
      <c r="K53" s="5"/>
    </row>
    <row r="54" spans="1:11" s="157" customFormat="1" ht="12.75">
      <c r="A54" s="5"/>
      <c r="B54" s="158"/>
      <c r="C54" s="76"/>
      <c r="D54" s="18"/>
      <c r="E54" s="75"/>
      <c r="F54" s="159"/>
      <c r="G54" s="5"/>
      <c r="H54" s="5"/>
      <c r="I54" s="5"/>
      <c r="J54" s="5"/>
      <c r="K54" s="5"/>
    </row>
    <row r="55" spans="1:11" s="157" customFormat="1" ht="12.75">
      <c r="A55" s="5"/>
      <c r="B55" s="158"/>
      <c r="C55" s="76"/>
      <c r="D55" s="18"/>
      <c r="E55" s="75"/>
      <c r="F55" s="159"/>
      <c r="G55" s="5"/>
      <c r="H55" s="5"/>
      <c r="I55" s="5"/>
      <c r="J55" s="5"/>
      <c r="K55" s="5"/>
    </row>
    <row r="56" spans="1:11" s="157" customFormat="1" ht="12.75">
      <c r="A56" s="5"/>
      <c r="B56" s="158"/>
      <c r="C56" s="76"/>
      <c r="D56" s="18"/>
      <c r="E56" s="75"/>
      <c r="F56" s="159"/>
      <c r="G56" s="5"/>
      <c r="H56" s="5"/>
      <c r="I56" s="5"/>
      <c r="J56" s="5"/>
      <c r="K56" s="5"/>
    </row>
    <row r="57" spans="1:11" s="157" customFormat="1" ht="12.75">
      <c r="A57" s="5"/>
      <c r="B57" s="5"/>
      <c r="C57" s="160"/>
      <c r="D57" s="5"/>
      <c r="E57" s="75"/>
      <c r="F57" s="161"/>
      <c r="G57" s="5"/>
      <c r="H57" s="5"/>
      <c r="I57" s="5"/>
      <c r="J57" s="5"/>
      <c r="K57" s="5"/>
    </row>
    <row r="58" s="157" customFormat="1" ht="15" customHeight="1"/>
  </sheetData>
  <sheetProtection formatColumns="0" selectLockedCells="1"/>
  <mergeCells count="6">
    <mergeCell ref="C36:D36"/>
    <mergeCell ref="B1:H1"/>
    <mergeCell ref="B2:E2"/>
    <mergeCell ref="B3:E3"/>
    <mergeCell ref="B5:G5"/>
    <mergeCell ref="B4:E4"/>
  </mergeCells>
  <printOptions horizontalCentered="1"/>
  <pageMargins left="0.44" right="0.75" top="0.52" bottom="0.39" header="0.5" footer="0.16"/>
  <pageSetup fitToHeight="1" fitToWidth="1" horizontalDpi="600" verticalDpi="600" orientation="landscape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I125"/>
  <sheetViews>
    <sheetView zoomScalePageLayoutView="0" workbookViewId="0" topLeftCell="B1">
      <selection activeCell="C6" sqref="C1:E16384"/>
    </sheetView>
  </sheetViews>
  <sheetFormatPr defaultColWidth="9.140625" defaultRowHeight="12.75"/>
  <cols>
    <col min="1" max="1" width="16.57421875" style="6" customWidth="1"/>
    <col min="2" max="2" width="75.28125" style="6" bestFit="1" customWidth="1"/>
    <col min="3" max="6" width="15.00390625" style="6" bestFit="1" customWidth="1"/>
    <col min="7" max="7" width="15.00390625" style="0" bestFit="1" customWidth="1"/>
    <col min="8" max="8" width="19.57421875" style="0" bestFit="1" customWidth="1"/>
    <col min="9" max="16384" width="9.140625" style="6" customWidth="1"/>
  </cols>
  <sheetData>
    <row r="1" spans="1:9" s="2" customFormat="1" ht="20.25" customHeight="1">
      <c r="A1" s="1"/>
      <c r="B1" s="234"/>
      <c r="C1" s="234"/>
      <c r="D1" s="234"/>
      <c r="E1" s="234"/>
      <c r="F1" s="108"/>
      <c r="G1"/>
      <c r="H1"/>
      <c r="I1" s="1"/>
    </row>
    <row r="2" spans="1:9" s="2" customFormat="1" ht="18.75" customHeight="1">
      <c r="A2" s="1"/>
      <c r="B2" s="255" t="e">
        <f>#REF!</f>
        <v>#REF!</v>
      </c>
      <c r="C2" s="255"/>
      <c r="D2" s="255"/>
      <c r="E2" s="255"/>
      <c r="F2" s="9"/>
      <c r="G2"/>
      <c r="H2"/>
      <c r="I2" s="1"/>
    </row>
    <row r="3" spans="1:9" s="2" customFormat="1" ht="18.75" customHeight="1">
      <c r="A3" s="1"/>
      <c r="B3" s="256" t="e">
        <f>#REF!</f>
        <v>#REF!</v>
      </c>
      <c r="C3" s="256"/>
      <c r="D3" s="256"/>
      <c r="E3" s="256"/>
      <c r="F3" s="9"/>
      <c r="G3"/>
      <c r="H3"/>
      <c r="I3" s="1"/>
    </row>
    <row r="4" spans="1:9" s="2" customFormat="1" ht="18">
      <c r="A4" s="1"/>
      <c r="B4" s="10" t="e">
        <f>#REF!</f>
        <v>#REF!</v>
      </c>
      <c r="C4" s="9"/>
      <c r="D4" s="9"/>
      <c r="E4" s="9"/>
      <c r="F4" s="9"/>
      <c r="G4"/>
      <c r="H4"/>
      <c r="I4" s="1"/>
    </row>
    <row r="5" spans="1:9" s="2" customFormat="1" ht="21" customHeight="1">
      <c r="A5" s="1"/>
      <c r="B5" s="258" t="s">
        <v>188</v>
      </c>
      <c r="C5" s="258"/>
      <c r="D5" s="258"/>
      <c r="E5" s="258"/>
      <c r="F5" s="11"/>
      <c r="G5"/>
      <c r="H5"/>
      <c r="I5" s="1"/>
    </row>
    <row r="6" spans="1:9" s="2" customFormat="1" ht="6" customHeight="1">
      <c r="A6" s="12"/>
      <c r="B6" s="12"/>
      <c r="C6" s="12"/>
      <c r="D6" s="12"/>
      <c r="E6" s="12"/>
      <c r="F6" s="12"/>
      <c r="G6"/>
      <c r="H6"/>
      <c r="I6" s="1"/>
    </row>
    <row r="7" spans="1:9" ht="12.75">
      <c r="A7" s="4"/>
      <c r="B7" s="4"/>
      <c r="C7" s="4"/>
      <c r="D7" s="4"/>
      <c r="E7" s="4"/>
      <c r="F7" s="4"/>
      <c r="I7" s="4"/>
    </row>
    <row r="8" spans="1:9" ht="26.25">
      <c r="A8" s="4"/>
      <c r="B8" s="68" t="s">
        <v>121</v>
      </c>
      <c r="C8" s="4"/>
      <c r="D8" s="4"/>
      <c r="E8" s="4"/>
      <c r="F8" s="4"/>
      <c r="I8" s="4"/>
    </row>
    <row r="9" spans="1:9" ht="12.75">
      <c r="A9" s="4"/>
      <c r="B9" s="4"/>
      <c r="C9" s="4"/>
      <c r="D9" s="4"/>
      <c r="E9" s="4"/>
      <c r="F9" s="4"/>
      <c r="I9" s="4"/>
    </row>
    <row r="10" spans="1:9" ht="18">
      <c r="A10" s="4"/>
      <c r="B10" s="13" t="s">
        <v>122</v>
      </c>
      <c r="C10" s="4">
        <v>2007</v>
      </c>
      <c r="D10" s="4">
        <v>2008</v>
      </c>
      <c r="E10" s="4">
        <v>2009</v>
      </c>
      <c r="F10" s="4">
        <v>2010</v>
      </c>
      <c r="I10" s="109"/>
    </row>
    <row r="11" spans="1:9" ht="12.75">
      <c r="A11" s="4"/>
      <c r="B11" s="4"/>
      <c r="C11" s="4"/>
      <c r="D11" s="4"/>
      <c r="E11" s="4"/>
      <c r="F11" s="4"/>
      <c r="I11" s="4"/>
    </row>
    <row r="12" spans="1:9" ht="12.75">
      <c r="A12" s="4"/>
      <c r="B12" s="4" t="s">
        <v>123</v>
      </c>
      <c r="C12" s="81">
        <v>0</v>
      </c>
      <c r="D12" s="81">
        <f>C14</f>
        <v>0</v>
      </c>
      <c r="E12" s="81">
        <f>D14</f>
        <v>0</v>
      </c>
      <c r="F12" s="81">
        <f>E14</f>
        <v>0</v>
      </c>
      <c r="I12" s="4"/>
    </row>
    <row r="13" spans="1:9" ht="12.75">
      <c r="A13" s="4"/>
      <c r="B13" s="4" t="s">
        <v>172</v>
      </c>
      <c r="C13" s="86">
        <f>' Assumptions and Data'!D31</f>
        <v>0</v>
      </c>
      <c r="D13" s="86">
        <f>' Assumptions and Data'!F31</f>
        <v>0</v>
      </c>
      <c r="E13" s="86">
        <f>' Assumptions and Data'!G31</f>
        <v>0</v>
      </c>
      <c r="F13" s="86">
        <f>' Assumptions and Data'!H31</f>
        <v>0</v>
      </c>
      <c r="I13" s="4"/>
    </row>
    <row r="14" spans="1:9" ht="12.75">
      <c r="A14" s="4"/>
      <c r="B14" s="4" t="s">
        <v>124</v>
      </c>
      <c r="C14" s="81">
        <f>SUM(C12:C13)</f>
        <v>0</v>
      </c>
      <c r="D14" s="81">
        <f>SUM(D12:D13)</f>
        <v>0</v>
      </c>
      <c r="E14" s="81">
        <f>SUM(E12:E13)</f>
        <v>0</v>
      </c>
      <c r="F14" s="81">
        <f>SUM(F12:F13)</f>
        <v>0</v>
      </c>
      <c r="I14" s="4"/>
    </row>
    <row r="15" spans="1:9" ht="12.75">
      <c r="A15" s="4"/>
      <c r="B15" s="4"/>
      <c r="C15" s="75"/>
      <c r="D15" s="75"/>
      <c r="E15" s="75"/>
      <c r="F15" s="75"/>
      <c r="I15" s="4"/>
    </row>
    <row r="16" spans="1:9" ht="12.75">
      <c r="A16" s="4"/>
      <c r="B16" s="4" t="s">
        <v>125</v>
      </c>
      <c r="C16" s="81">
        <v>0</v>
      </c>
      <c r="D16" s="81">
        <f>C18</f>
        <v>0</v>
      </c>
      <c r="E16" s="81">
        <f>D18</f>
        <v>0</v>
      </c>
      <c r="F16" s="81">
        <f>E18</f>
        <v>0</v>
      </c>
      <c r="I16" s="4"/>
    </row>
    <row r="17" spans="1:9" ht="12.75">
      <c r="A17" s="4"/>
      <c r="B17" s="4" t="str">
        <f>"Amortization Year 1 ("&amp;' Assumptions and Data'!$C$38&amp;" Years  Straight Line)"</f>
        <v>Amortization Year 1 (40 Years  Straight Line)</v>
      </c>
      <c r="C17" s="30">
        <f>IF(C16+(C12/' Assumptions and Data'!$C$38)+(C13/' Assumptions and Data'!$C$38/2)&lt;C14,(C12/' Assumptions and Data'!$C$38)+(C13/' Assumptions and Data'!$C$38/2),C14-C16)</f>
        <v>0</v>
      </c>
      <c r="D17" s="30">
        <f>IF(D16+(D12/' Assumptions and Data'!$C$38)+(D13/' Assumptions and Data'!$C$38/2)&lt;D14,(D12/' Assumptions and Data'!$C$38)+(D13/' Assumptions and Data'!$C$38/2),D14-D16)</f>
        <v>0</v>
      </c>
      <c r="E17" s="30">
        <f>IF(E16+(E12/' Assumptions and Data'!$C$38)+(E13/' Assumptions and Data'!$C$38/2)&lt;E14,(E12/' Assumptions and Data'!$C$38)+(E13/' Assumptions and Data'!$C$38/2),E14-E16)</f>
        <v>0</v>
      </c>
      <c r="F17" s="30">
        <f>IF(F16+(F12/' Assumptions and Data'!$C$38)+(F13/' Assumptions and Data'!$C$38/2)&lt;F14,(F12/' Assumptions and Data'!$C$38)+(F13/' Assumptions and Data'!$C$38/2),F14-F16)</f>
        <v>0</v>
      </c>
      <c r="I17" s="4"/>
    </row>
    <row r="18" spans="1:9" ht="12.75">
      <c r="A18" s="4"/>
      <c r="B18" s="4" t="s">
        <v>126</v>
      </c>
      <c r="C18" s="81">
        <f>SUM(C16:C17)</f>
        <v>0</v>
      </c>
      <c r="D18" s="81">
        <f>SUM(D16:D17)</f>
        <v>0</v>
      </c>
      <c r="E18" s="81">
        <f>SUM(E16:E17)</f>
        <v>0</v>
      </c>
      <c r="F18" s="81">
        <f>SUM(F16:F17)</f>
        <v>0</v>
      </c>
      <c r="I18" s="4"/>
    </row>
    <row r="19" spans="1:9" ht="12.75">
      <c r="A19" s="4"/>
      <c r="B19" s="4"/>
      <c r="C19" s="110"/>
      <c r="D19" s="110"/>
      <c r="E19" s="110"/>
      <c r="F19" s="110"/>
      <c r="I19" s="4"/>
    </row>
    <row r="20" spans="1:9" ht="12.75">
      <c r="A20" s="4"/>
      <c r="B20" s="4" t="s">
        <v>127</v>
      </c>
      <c r="C20" s="30">
        <f>0</f>
        <v>0</v>
      </c>
      <c r="D20" s="30">
        <f>C21</f>
        <v>0</v>
      </c>
      <c r="E20" s="30">
        <f>D21</f>
        <v>0</v>
      </c>
      <c r="F20" s="30">
        <f>E21</f>
        <v>0</v>
      </c>
      <c r="I20" s="4"/>
    </row>
    <row r="21" spans="1:6" ht="12.75">
      <c r="A21" s="4"/>
      <c r="B21" s="4" t="s">
        <v>128</v>
      </c>
      <c r="C21" s="81">
        <f>C14-C18</f>
        <v>0</v>
      </c>
      <c r="D21" s="111">
        <f>D14-D18</f>
        <v>0</v>
      </c>
      <c r="E21" s="111">
        <f>E14-E18</f>
        <v>0</v>
      </c>
      <c r="F21" s="111">
        <f>F14-F18</f>
        <v>0</v>
      </c>
    </row>
    <row r="22" spans="1:6" ht="13.5" thickBot="1">
      <c r="A22" s="4"/>
      <c r="B22" s="4" t="s">
        <v>129</v>
      </c>
      <c r="C22" s="112">
        <f>(C21+C20)/2</f>
        <v>0</v>
      </c>
      <c r="D22" s="113">
        <f>(D21+D20)/2</f>
        <v>0</v>
      </c>
      <c r="E22" s="113">
        <f>(E21+E20)/2</f>
        <v>0</v>
      </c>
      <c r="F22" s="113">
        <f>(F21+F20)/2</f>
        <v>0</v>
      </c>
    </row>
    <row r="23" spans="1:9" ht="12.75">
      <c r="A23" s="4"/>
      <c r="B23" s="4"/>
      <c r="C23" s="75"/>
      <c r="D23" s="75"/>
      <c r="E23" s="4"/>
      <c r="F23" s="4"/>
      <c r="I23" s="4"/>
    </row>
    <row r="24" spans="1:9" ht="18">
      <c r="A24" s="4"/>
      <c r="B24" s="13" t="s">
        <v>130</v>
      </c>
      <c r="C24" s="4">
        <v>2007</v>
      </c>
      <c r="D24" s="4">
        <v>2008</v>
      </c>
      <c r="E24" s="4">
        <v>2009</v>
      </c>
      <c r="F24" s="4">
        <v>2010</v>
      </c>
      <c r="I24" s="4"/>
    </row>
    <row r="25" spans="1:9" ht="12.75">
      <c r="A25" s="4"/>
      <c r="B25" s="4"/>
      <c r="C25" s="4"/>
      <c r="D25" s="4"/>
      <c r="E25" s="4"/>
      <c r="F25" s="4"/>
      <c r="I25" s="4"/>
    </row>
    <row r="26" spans="1:9" ht="12.75">
      <c r="A26" s="4"/>
      <c r="B26" s="4" t="s">
        <v>123</v>
      </c>
      <c r="C26" s="81">
        <v>0</v>
      </c>
      <c r="D26" s="81">
        <f>C28</f>
        <v>0</v>
      </c>
      <c r="E26" s="81">
        <f>D28</f>
        <v>0</v>
      </c>
      <c r="F26" s="81">
        <f>E28</f>
        <v>0</v>
      </c>
      <c r="I26" s="4"/>
    </row>
    <row r="27" spans="1:9" ht="12.75">
      <c r="A27" s="4"/>
      <c r="B27" s="4" t="s">
        <v>173</v>
      </c>
      <c r="C27" s="86">
        <f>' Assumptions and Data'!D32</f>
        <v>0</v>
      </c>
      <c r="D27" s="86">
        <f>' Assumptions and Data'!F32</f>
        <v>0</v>
      </c>
      <c r="E27" s="86">
        <f>' Assumptions and Data'!G32</f>
        <v>0</v>
      </c>
      <c r="F27" s="86">
        <f>' Assumptions and Data'!H32</f>
        <v>0</v>
      </c>
      <c r="I27" s="4"/>
    </row>
    <row r="28" spans="1:9" ht="12.75">
      <c r="A28" s="4"/>
      <c r="B28" s="4" t="s">
        <v>124</v>
      </c>
      <c r="C28" s="81">
        <f>SUM(C26:C27)</f>
        <v>0</v>
      </c>
      <c r="D28" s="81">
        <f>SUM(D26:D27)</f>
        <v>0</v>
      </c>
      <c r="E28" s="81">
        <f>SUM(E26:E27)</f>
        <v>0</v>
      </c>
      <c r="F28" s="81">
        <f>SUM(F26:F27)</f>
        <v>0</v>
      </c>
      <c r="I28" s="4"/>
    </row>
    <row r="29" spans="1:9" ht="12.75">
      <c r="A29" s="4"/>
      <c r="B29" s="4"/>
      <c r="C29" s="76"/>
      <c r="D29" s="76"/>
      <c r="E29" s="76"/>
      <c r="F29" s="76"/>
      <c r="I29" s="4"/>
    </row>
    <row r="30" spans="1:9" ht="12.75">
      <c r="A30" s="4"/>
      <c r="B30" s="4" t="s">
        <v>125</v>
      </c>
      <c r="C30" s="81">
        <v>0</v>
      </c>
      <c r="D30" s="81">
        <f>C32</f>
        <v>0</v>
      </c>
      <c r="E30" s="81">
        <f>D32</f>
        <v>0</v>
      </c>
      <c r="F30" s="81">
        <f>E32</f>
        <v>0</v>
      </c>
      <c r="I30" s="4"/>
    </row>
    <row r="31" spans="1:9" ht="12.75">
      <c r="A31" s="4"/>
      <c r="B31" s="4" t="str">
        <f>"Amortization Year 1 ("&amp;' Assumptions and Data'!$C$39&amp;" Years  Straight Line)"</f>
        <v>Amortization Year 1 (5 Years  Straight Line)</v>
      </c>
      <c r="C31" s="30">
        <f>IF(C30+(C26/' Assumptions and Data'!$C$39)+(C27/' Assumptions and Data'!$C$39/2)&lt;C28,(C26/' Assumptions and Data'!$C$39)+(C27/' Assumptions and Data'!$C$39/2),C28-C30)</f>
        <v>0</v>
      </c>
      <c r="D31" s="30">
        <f>IF(D30+(D26/' Assumptions and Data'!$C$39)+(D27/' Assumptions and Data'!$C$39/2)&lt;D28,(D26/' Assumptions and Data'!$C$39)+(D27/' Assumptions and Data'!$C$39/2),D28-D30)</f>
        <v>0</v>
      </c>
      <c r="E31" s="30">
        <f>IF(E30+(E26/' Assumptions and Data'!$C$39)+(E27/' Assumptions and Data'!$C$39/2)&lt;E28,(E26/' Assumptions and Data'!$C$39)+(E27/' Assumptions and Data'!$C$39/2),E28-E30)</f>
        <v>0</v>
      </c>
      <c r="F31" s="30">
        <f>IF(F30+(F26/' Assumptions and Data'!$C$39)+(F27/' Assumptions and Data'!$C$39/2)&lt;F28,(F26/' Assumptions and Data'!$C$39)+(F27/' Assumptions and Data'!$C$39/2),F28-F30)</f>
        <v>0</v>
      </c>
      <c r="I31" s="4"/>
    </row>
    <row r="32" spans="1:9" ht="12.75">
      <c r="A32" s="4"/>
      <c r="B32" s="4" t="s">
        <v>126</v>
      </c>
      <c r="C32" s="81">
        <f>SUM(C30:C31)</f>
        <v>0</v>
      </c>
      <c r="D32" s="81">
        <f>SUM(D30:D31)</f>
        <v>0</v>
      </c>
      <c r="E32" s="81">
        <f>SUM(E30:E31)</f>
        <v>0</v>
      </c>
      <c r="F32" s="81">
        <f>SUM(F30:F31)</f>
        <v>0</v>
      </c>
      <c r="I32" s="4"/>
    </row>
    <row r="33" spans="1:9" ht="12.75">
      <c r="A33" s="4"/>
      <c r="B33" s="4"/>
      <c r="C33" s="81"/>
      <c r="D33" s="81"/>
      <c r="E33" s="81"/>
      <c r="F33" s="81"/>
      <c r="I33" s="4"/>
    </row>
    <row r="34" spans="1:9" ht="12.75">
      <c r="A34" s="4"/>
      <c r="B34" s="4" t="s">
        <v>127</v>
      </c>
      <c r="C34" s="30">
        <f>0</f>
        <v>0</v>
      </c>
      <c r="D34" s="30">
        <f>C35</f>
        <v>0</v>
      </c>
      <c r="E34" s="30">
        <f>D35</f>
        <v>0</v>
      </c>
      <c r="F34" s="30">
        <f>E35</f>
        <v>0</v>
      </c>
      <c r="I34" s="4"/>
    </row>
    <row r="35" spans="1:9" ht="12.75">
      <c r="A35" s="4"/>
      <c r="B35" s="4" t="s">
        <v>128</v>
      </c>
      <c r="C35" s="81">
        <f>C28-C32</f>
        <v>0</v>
      </c>
      <c r="D35" s="111">
        <f>D28-D32</f>
        <v>0</v>
      </c>
      <c r="E35" s="111">
        <f>E28-E32</f>
        <v>0</v>
      </c>
      <c r="F35" s="111">
        <f>F28-F32</f>
        <v>0</v>
      </c>
      <c r="I35" s="4"/>
    </row>
    <row r="36" spans="1:9" ht="13.5" thickBot="1">
      <c r="A36" s="4"/>
      <c r="B36" s="4" t="s">
        <v>129</v>
      </c>
      <c r="C36" s="112">
        <f>(C35+C34)/2</f>
        <v>0</v>
      </c>
      <c r="D36" s="114">
        <f>(D35+D34)/2</f>
        <v>0</v>
      </c>
      <c r="E36" s="114">
        <f>(E35+E34)/2</f>
        <v>0</v>
      </c>
      <c r="F36" s="114">
        <f>(F35+F34)/2</f>
        <v>0</v>
      </c>
      <c r="I36" s="4"/>
    </row>
    <row r="37" spans="1:9" ht="12.75">
      <c r="A37" s="4"/>
      <c r="B37" s="4"/>
      <c r="C37" s="4"/>
      <c r="D37" s="4"/>
      <c r="E37" s="4"/>
      <c r="F37" s="4"/>
      <c r="I37" s="4"/>
    </row>
    <row r="38" spans="1:9" ht="18">
      <c r="A38" s="4"/>
      <c r="B38" s="13" t="s">
        <v>131</v>
      </c>
      <c r="C38" s="4">
        <v>2007</v>
      </c>
      <c r="D38" s="4">
        <v>2008</v>
      </c>
      <c r="E38" s="4">
        <v>2009</v>
      </c>
      <c r="F38" s="4">
        <v>2010</v>
      </c>
      <c r="I38" s="4"/>
    </row>
    <row r="39" spans="1:9" ht="12.75">
      <c r="A39" s="4"/>
      <c r="B39" s="4"/>
      <c r="C39" s="4"/>
      <c r="D39" s="4"/>
      <c r="E39" s="4"/>
      <c r="F39" s="4"/>
      <c r="I39" s="4"/>
    </row>
    <row r="40" spans="1:9" ht="12.75">
      <c r="A40" s="4"/>
      <c r="B40" s="4" t="s">
        <v>123</v>
      </c>
      <c r="C40" s="81">
        <v>0</v>
      </c>
      <c r="D40" s="81">
        <f>C42</f>
        <v>0</v>
      </c>
      <c r="E40" s="81">
        <f>D42</f>
        <v>0</v>
      </c>
      <c r="F40" s="81">
        <f>E42</f>
        <v>0</v>
      </c>
      <c r="I40" s="4"/>
    </row>
    <row r="41" spans="1:9" ht="12.75">
      <c r="A41" s="4"/>
      <c r="B41" s="4" t="s">
        <v>172</v>
      </c>
      <c r="C41" s="86">
        <f>' Assumptions and Data'!D33</f>
        <v>0</v>
      </c>
      <c r="D41" s="86">
        <f>' Assumptions and Data'!F33</f>
        <v>0</v>
      </c>
      <c r="E41" s="86">
        <f>' Assumptions and Data'!G33</f>
        <v>0</v>
      </c>
      <c r="F41" s="86">
        <f>' Assumptions and Data'!H33</f>
        <v>0</v>
      </c>
      <c r="I41" s="4"/>
    </row>
    <row r="42" spans="1:9" ht="12.75">
      <c r="A42" s="4"/>
      <c r="B42" s="4" t="s">
        <v>124</v>
      </c>
      <c r="C42" s="81">
        <f>SUM(C40:C41)</f>
        <v>0</v>
      </c>
      <c r="D42" s="81">
        <f>SUM(D40:D41)</f>
        <v>0</v>
      </c>
      <c r="E42" s="81">
        <f>SUM(E40:E41)</f>
        <v>0</v>
      </c>
      <c r="F42" s="81">
        <f>SUM(F40:F41)</f>
        <v>0</v>
      </c>
      <c r="I42" s="4"/>
    </row>
    <row r="43" spans="1:9" ht="12.75">
      <c r="A43" s="4"/>
      <c r="B43" s="4"/>
      <c r="C43" s="76"/>
      <c r="D43" s="76"/>
      <c r="E43" s="76"/>
      <c r="F43" s="76"/>
      <c r="I43" s="4"/>
    </row>
    <row r="44" spans="1:9" ht="12.75">
      <c r="A44" s="4"/>
      <c r="B44" s="4" t="s">
        <v>125</v>
      </c>
      <c r="C44" s="81">
        <v>0</v>
      </c>
      <c r="D44" s="81">
        <f>C46</f>
        <v>0</v>
      </c>
      <c r="E44" s="81">
        <f>D46</f>
        <v>0</v>
      </c>
      <c r="F44" s="81">
        <f>E46</f>
        <v>0</v>
      </c>
      <c r="I44" s="4"/>
    </row>
    <row r="45" spans="1:9" ht="12.75">
      <c r="A45" s="4"/>
      <c r="B45" s="4" t="str">
        <f>"Amortization Year 1 ("&amp;' Assumptions and Data'!$C$40&amp;" Years Straight Line)"</f>
        <v>Amortization Year 1 (4 Years Straight Line)</v>
      </c>
      <c r="C45" s="30">
        <f>IF(C44+(C40/' Assumptions and Data'!$C$40)+(C41/' Assumptions and Data'!$C$40/2)&lt;C42,(C40/' Assumptions and Data'!$C$40)+(C41/' Assumptions and Data'!$C$40/2),C42-C44)</f>
        <v>0</v>
      </c>
      <c r="D45" s="30">
        <f>IF(D44+(D40/' Assumptions and Data'!$C$40)+(D41/' Assumptions and Data'!$C$40/2)&lt;D42,(D40/' Assumptions and Data'!$C$40)+(D41/' Assumptions and Data'!$C$40/2),D42-D44)</f>
        <v>0</v>
      </c>
      <c r="E45" s="30">
        <f>IF(E44+(E40/' Assumptions and Data'!$C$40)+(E41/' Assumptions and Data'!$C$40/2)&lt;E42,(E40/' Assumptions and Data'!$C$40)+(E41/' Assumptions and Data'!$C$40/2),E42-E44)</f>
        <v>0</v>
      </c>
      <c r="F45" s="30">
        <f>IF(F44+(F40/' Assumptions and Data'!$C$40)+(F41/' Assumptions and Data'!$C$40/2)&lt;F42,(F40/' Assumptions and Data'!$C$40)+(F41/' Assumptions and Data'!$C$40/2),F42-F44)</f>
        <v>0</v>
      </c>
      <c r="I45" s="4"/>
    </row>
    <row r="46" spans="1:9" ht="12.75">
      <c r="A46" s="4"/>
      <c r="B46" s="4" t="s">
        <v>126</v>
      </c>
      <c r="C46" s="81">
        <f>SUM(C44:C45)</f>
        <v>0</v>
      </c>
      <c r="D46" s="81">
        <f>SUM(D44:D45)</f>
        <v>0</v>
      </c>
      <c r="E46" s="81">
        <f>SUM(E44:E45)</f>
        <v>0</v>
      </c>
      <c r="F46" s="81">
        <f>SUM(F44:F45)</f>
        <v>0</v>
      </c>
      <c r="I46" s="4"/>
    </row>
    <row r="47" spans="1:9" ht="12.75">
      <c r="A47" s="4"/>
      <c r="B47" s="4"/>
      <c r="C47" s="81"/>
      <c r="D47" s="81"/>
      <c r="E47" s="81"/>
      <c r="F47" s="81"/>
      <c r="I47" s="4"/>
    </row>
    <row r="48" spans="1:9" ht="12.75">
      <c r="A48" s="4"/>
      <c r="B48" s="4" t="s">
        <v>127</v>
      </c>
      <c r="C48" s="30">
        <f>0</f>
        <v>0</v>
      </c>
      <c r="D48" s="30">
        <f>C49</f>
        <v>0</v>
      </c>
      <c r="E48" s="30">
        <f>D49</f>
        <v>0</v>
      </c>
      <c r="F48" s="30">
        <f>E49</f>
        <v>0</v>
      </c>
      <c r="I48" s="4"/>
    </row>
    <row r="49" spans="1:9" ht="12.75">
      <c r="A49" s="4"/>
      <c r="B49" s="4" t="s">
        <v>128</v>
      </c>
      <c r="C49" s="81">
        <f>C42-C46</f>
        <v>0</v>
      </c>
      <c r="D49" s="111">
        <f>D42-D46</f>
        <v>0</v>
      </c>
      <c r="E49" s="111">
        <f>E42-E46</f>
        <v>0</v>
      </c>
      <c r="F49" s="111">
        <f>F42-F46</f>
        <v>0</v>
      </c>
      <c r="I49" s="4"/>
    </row>
    <row r="50" spans="1:9" ht="13.5" thickBot="1">
      <c r="A50" s="4"/>
      <c r="B50" s="4" t="s">
        <v>129</v>
      </c>
      <c r="C50" s="112">
        <f>(C49+C48)/2</f>
        <v>0</v>
      </c>
      <c r="D50" s="114">
        <f>(D49+D48)/2</f>
        <v>0</v>
      </c>
      <c r="E50" s="114">
        <f>(E49+E48)/2</f>
        <v>0</v>
      </c>
      <c r="F50" s="114">
        <f>(F49+F48)/2</f>
        <v>0</v>
      </c>
      <c r="I50" s="4"/>
    </row>
    <row r="51" spans="1:9" ht="12.75">
      <c r="A51" s="4"/>
      <c r="B51" s="4"/>
      <c r="C51" s="75"/>
      <c r="D51" s="75"/>
      <c r="E51" s="4"/>
      <c r="F51" s="4"/>
      <c r="I51" s="4"/>
    </row>
    <row r="52" spans="1:9" ht="12.75">
      <c r="A52" s="4"/>
      <c r="B52" s="4"/>
      <c r="C52" s="75"/>
      <c r="D52" s="75"/>
      <c r="E52" s="4"/>
      <c r="F52" s="4"/>
      <c r="I52" s="4"/>
    </row>
    <row r="53" spans="1:9" ht="18">
      <c r="A53" s="4"/>
      <c r="B53" s="13" t="s">
        <v>132</v>
      </c>
      <c r="C53" s="4">
        <v>2007</v>
      </c>
      <c r="D53" s="4">
        <v>2008</v>
      </c>
      <c r="E53" s="4">
        <v>2009</v>
      </c>
      <c r="F53" s="4">
        <v>2010</v>
      </c>
      <c r="I53" s="4"/>
    </row>
    <row r="54" spans="1:9" ht="12.75">
      <c r="A54" s="4"/>
      <c r="B54" s="4"/>
      <c r="C54" s="4"/>
      <c r="D54" s="4"/>
      <c r="E54" s="4"/>
      <c r="F54" s="4"/>
      <c r="I54" s="4"/>
    </row>
    <row r="55" spans="1:9" ht="12.75">
      <c r="A55" s="4"/>
      <c r="B55" s="4" t="s">
        <v>123</v>
      </c>
      <c r="C55" s="81">
        <v>0</v>
      </c>
      <c r="D55" s="81" t="e">
        <f>C57</f>
        <v>#REF!</v>
      </c>
      <c r="E55" s="81" t="e">
        <f>D57</f>
        <v>#REF!</v>
      </c>
      <c r="F55" s="81" t="e">
        <f>E57</f>
        <v>#REF!</v>
      </c>
      <c r="I55" s="4"/>
    </row>
    <row r="56" spans="1:9" ht="12.75">
      <c r="A56" s="4"/>
      <c r="B56" s="4" t="s">
        <v>172</v>
      </c>
      <c r="C56" s="86" t="e">
        <f>' Assumptions and Data'!#REF!</f>
        <v>#REF!</v>
      </c>
      <c r="D56" s="86" t="e">
        <f>' Assumptions and Data'!#REF!</f>
        <v>#REF!</v>
      </c>
      <c r="E56" s="86" t="e">
        <f>' Assumptions and Data'!#REF!</f>
        <v>#REF!</v>
      </c>
      <c r="F56" s="86" t="e">
        <f>' Assumptions and Data'!#REF!</f>
        <v>#REF!</v>
      </c>
      <c r="I56" s="4"/>
    </row>
    <row r="57" spans="1:9" ht="12.75">
      <c r="A57" s="4"/>
      <c r="B57" s="4" t="s">
        <v>124</v>
      </c>
      <c r="C57" s="81" t="e">
        <f>SUM(C55:C56)</f>
        <v>#REF!</v>
      </c>
      <c r="D57" s="81" t="e">
        <f>SUM(D55:D56)</f>
        <v>#REF!</v>
      </c>
      <c r="E57" s="81" t="e">
        <f>SUM(E55:E56)</f>
        <v>#REF!</v>
      </c>
      <c r="F57" s="81" t="e">
        <f>SUM(F55:F56)</f>
        <v>#REF!</v>
      </c>
      <c r="I57" s="4"/>
    </row>
    <row r="58" spans="1:9" ht="12.75">
      <c r="A58" s="4"/>
      <c r="B58" s="4"/>
      <c r="C58" s="76"/>
      <c r="D58" s="76"/>
      <c r="E58" s="76"/>
      <c r="F58" s="76"/>
      <c r="I58" s="4"/>
    </row>
    <row r="59" spans="1:9" ht="12.75">
      <c r="A59" s="4"/>
      <c r="B59" s="4" t="s">
        <v>125</v>
      </c>
      <c r="C59" s="81">
        <v>0</v>
      </c>
      <c r="D59" s="81" t="e">
        <f>C61</f>
        <v>#REF!</v>
      </c>
      <c r="E59" s="81" t="e">
        <f>D61</f>
        <v>#REF!</v>
      </c>
      <c r="F59" s="81" t="e">
        <f>E61</f>
        <v>#REF!</v>
      </c>
      <c r="I59" s="4"/>
    </row>
    <row r="60" spans="1:9" ht="12.75">
      <c r="A60" s="4"/>
      <c r="B60" s="4" t="str">
        <f>"Amortization Year 1 ("&amp;' Assumptions and Data'!$C$41&amp;" Years Straight Line)"</f>
        <v>Amortization Year 1 (7 Years Straight Line)</v>
      </c>
      <c r="C60" s="30" t="e">
        <f>IF(C59+(C55/' Assumptions and Data'!$C$41)+(C56/' Assumptions and Data'!$C$41/2)&lt;C57,(C55/' Assumptions and Data'!$C$41)+(C56/' Assumptions and Data'!$C$41/2),C57-C59)</f>
        <v>#REF!</v>
      </c>
      <c r="D60" s="30" t="e">
        <f>IF(D59+(D55/' Assumptions and Data'!$C$41)+(D56/' Assumptions and Data'!$C$41/2)&lt;D57,(D55/' Assumptions and Data'!$C$41)+(D56/' Assumptions and Data'!$C$41/2),D57-D59)</f>
        <v>#REF!</v>
      </c>
      <c r="E60" s="30" t="e">
        <f>IF(E59+(E55/' Assumptions and Data'!$C$41)+(E56/' Assumptions and Data'!$C$41/2)&lt;E57,(E55/' Assumptions and Data'!$C$41)+(E56/' Assumptions and Data'!$C$41/2),E57-E59)</f>
        <v>#REF!</v>
      </c>
      <c r="F60" s="30" t="e">
        <f>IF(F59+(F55/' Assumptions and Data'!$C$41)+(F56/' Assumptions and Data'!$C$41/2)&lt;F57,(F55/' Assumptions and Data'!$C$41)+(F56/' Assumptions and Data'!$C$41/2),F57-F59)</f>
        <v>#REF!</v>
      </c>
      <c r="I60" s="4"/>
    </row>
    <row r="61" spans="1:9" ht="12.75">
      <c r="A61" s="4"/>
      <c r="B61" s="4" t="s">
        <v>126</v>
      </c>
      <c r="C61" s="81" t="e">
        <f>SUM(C59:C60)</f>
        <v>#REF!</v>
      </c>
      <c r="D61" s="81" t="e">
        <f>SUM(D59:D60)</f>
        <v>#REF!</v>
      </c>
      <c r="E61" s="81" t="e">
        <f>SUM(E59:E60)</f>
        <v>#REF!</v>
      </c>
      <c r="F61" s="81" t="e">
        <f>SUM(F59:F60)</f>
        <v>#REF!</v>
      </c>
      <c r="I61" s="4"/>
    </row>
    <row r="62" spans="1:9" ht="12.75">
      <c r="A62" s="4"/>
      <c r="B62" s="4"/>
      <c r="C62" s="81"/>
      <c r="D62" s="81"/>
      <c r="E62" s="81"/>
      <c r="F62" s="81"/>
      <c r="I62" s="4"/>
    </row>
    <row r="63" spans="1:9" ht="12.75">
      <c r="A63" s="4"/>
      <c r="B63" s="4" t="s">
        <v>127</v>
      </c>
      <c r="C63" s="30">
        <f>0</f>
        <v>0</v>
      </c>
      <c r="D63" s="30" t="e">
        <f>C64</f>
        <v>#REF!</v>
      </c>
      <c r="E63" s="30" t="e">
        <f>D64</f>
        <v>#REF!</v>
      </c>
      <c r="F63" s="30" t="e">
        <f>E64</f>
        <v>#REF!</v>
      </c>
      <c r="I63" s="4"/>
    </row>
    <row r="64" spans="1:9" ht="12.75">
      <c r="A64" s="4"/>
      <c r="B64" s="4" t="s">
        <v>128</v>
      </c>
      <c r="C64" s="81" t="e">
        <f>C57-C61</f>
        <v>#REF!</v>
      </c>
      <c r="D64" s="111" t="e">
        <f>D57-D61</f>
        <v>#REF!</v>
      </c>
      <c r="E64" s="111" t="e">
        <f>E57-E61</f>
        <v>#REF!</v>
      </c>
      <c r="F64" s="111" t="e">
        <f>F57-F61</f>
        <v>#REF!</v>
      </c>
      <c r="I64" s="4"/>
    </row>
    <row r="65" spans="1:9" ht="13.5" thickBot="1">
      <c r="A65" s="4"/>
      <c r="B65" s="4" t="s">
        <v>129</v>
      </c>
      <c r="C65" s="112" t="e">
        <f>(C64+C63)/2</f>
        <v>#REF!</v>
      </c>
      <c r="D65" s="114" t="e">
        <f>(D64+D63)/2</f>
        <v>#REF!</v>
      </c>
      <c r="E65" s="114" t="e">
        <f>(E64+E63)/2</f>
        <v>#REF!</v>
      </c>
      <c r="F65" s="114" t="e">
        <f>(F64+F63)/2</f>
        <v>#REF!</v>
      </c>
      <c r="I65" s="4"/>
    </row>
    <row r="66" spans="1:9" ht="12.75">
      <c r="A66" s="4"/>
      <c r="B66" s="4"/>
      <c r="C66" s="75"/>
      <c r="D66" s="75"/>
      <c r="E66" s="4"/>
      <c r="F66" s="4"/>
      <c r="I66" s="4"/>
    </row>
    <row r="67" spans="1:9" ht="18">
      <c r="A67" s="4"/>
      <c r="B67" s="13" t="s">
        <v>133</v>
      </c>
      <c r="C67" s="4">
        <v>2007</v>
      </c>
      <c r="D67" s="4">
        <v>2008</v>
      </c>
      <c r="E67" s="4">
        <v>2009</v>
      </c>
      <c r="F67" s="4">
        <v>2010</v>
      </c>
      <c r="I67" s="4"/>
    </row>
    <row r="68" spans="1:9" ht="12.75">
      <c r="A68" s="4"/>
      <c r="B68" s="4"/>
      <c r="C68" s="4"/>
      <c r="D68" s="4"/>
      <c r="E68" s="4"/>
      <c r="F68" s="4"/>
      <c r="I68" s="4"/>
    </row>
    <row r="69" spans="1:9" ht="12.75">
      <c r="A69" s="4"/>
      <c r="B69" s="4" t="s">
        <v>123</v>
      </c>
      <c r="C69" s="81">
        <v>0</v>
      </c>
      <c r="D69" s="81" t="e">
        <f>C71</f>
        <v>#REF!</v>
      </c>
      <c r="E69" s="81" t="e">
        <f>D71</f>
        <v>#REF!</v>
      </c>
      <c r="F69" s="81" t="e">
        <f>E71</f>
        <v>#REF!</v>
      </c>
      <c r="I69" s="4"/>
    </row>
    <row r="70" spans="1:9" ht="12.75">
      <c r="A70" s="4"/>
      <c r="B70" s="4" t="s">
        <v>172</v>
      </c>
      <c r="C70" s="86" t="e">
        <f>' Assumptions and Data'!#REF!</f>
        <v>#REF!</v>
      </c>
      <c r="D70" s="86" t="e">
        <f>' Assumptions and Data'!#REF!</f>
        <v>#REF!</v>
      </c>
      <c r="E70" s="86" t="e">
        <f>' Assumptions and Data'!#REF!</f>
        <v>#REF!</v>
      </c>
      <c r="F70" s="86" t="e">
        <f>' Assumptions and Data'!#REF!</f>
        <v>#REF!</v>
      </c>
      <c r="I70" s="4"/>
    </row>
    <row r="71" spans="1:9" ht="12.75">
      <c r="A71" s="4"/>
      <c r="B71" s="4" t="s">
        <v>124</v>
      </c>
      <c r="C71" s="81" t="e">
        <f>SUM(C69:C70)</f>
        <v>#REF!</v>
      </c>
      <c r="D71" s="81" t="e">
        <f>SUM(D69:D70)</f>
        <v>#REF!</v>
      </c>
      <c r="E71" s="81" t="e">
        <f>SUM(E69:E70)</f>
        <v>#REF!</v>
      </c>
      <c r="F71" s="81" t="e">
        <f>SUM(F69:F70)</f>
        <v>#REF!</v>
      </c>
      <c r="I71" s="4"/>
    </row>
    <row r="72" spans="1:9" ht="12.75">
      <c r="A72" s="4"/>
      <c r="B72" s="4"/>
      <c r="C72" s="76"/>
      <c r="D72" s="76"/>
      <c r="E72" s="76"/>
      <c r="F72" s="76"/>
      <c r="I72" s="4"/>
    </row>
    <row r="73" spans="1:9" ht="12.75">
      <c r="A73" s="4"/>
      <c r="B73" s="4" t="s">
        <v>125</v>
      </c>
      <c r="C73" s="81">
        <v>0</v>
      </c>
      <c r="D73" s="81" t="e">
        <f>C75</f>
        <v>#DIV/0!</v>
      </c>
      <c r="E73" s="81" t="e">
        <f>D75</f>
        <v>#DIV/0!</v>
      </c>
      <c r="F73" s="81" t="e">
        <f>E75</f>
        <v>#DIV/0!</v>
      </c>
      <c r="I73" s="4"/>
    </row>
    <row r="74" spans="1:9" ht="12.75">
      <c r="A74" s="4"/>
      <c r="B74" s="4" t="str">
        <f>"Amortization Year 1 ("&amp;' Assumptions and Data'!$C$42&amp;" Years Straight Line)"</f>
        <v>Amortization Year 1 ( Years Straight Line)</v>
      </c>
      <c r="C74" s="30" t="e">
        <f>IF(C73+(C69/' Assumptions and Data'!$C$42)+(C70/' Assumptions and Data'!$C$42/2)&lt;C71,(C69/' Assumptions and Data'!$C$42)+(C70/' Assumptions and Data'!$C$42/2),C71-C73)</f>
        <v>#DIV/0!</v>
      </c>
      <c r="D74" s="30" t="e">
        <f>IF(D73+(D69/' Assumptions and Data'!$C$42)+(D70/' Assumptions and Data'!$C$42/2)&lt;D71,(D69/' Assumptions and Data'!$C$42)+(D70/' Assumptions and Data'!$C$42/2),D71-D73)</f>
        <v>#DIV/0!</v>
      </c>
      <c r="E74" s="30" t="e">
        <f>IF(E73+(E69/' Assumptions and Data'!$C$42)+(E70/' Assumptions and Data'!$C$42/2)&lt;E71,(E69/' Assumptions and Data'!$C$42)+(E70/' Assumptions and Data'!$C$42/2),E71-E73)</f>
        <v>#DIV/0!</v>
      </c>
      <c r="F74" s="30" t="e">
        <f>IF(F73+(F69/' Assumptions and Data'!$C$42)+(F70/' Assumptions and Data'!$C$42/2)&lt;F71,(F69/' Assumptions and Data'!$C$42)+(F70/' Assumptions and Data'!$C$42/2),F71-F73)</f>
        <v>#DIV/0!</v>
      </c>
      <c r="I74" s="4"/>
    </row>
    <row r="75" spans="1:9" ht="12.75">
      <c r="A75" s="4"/>
      <c r="B75" s="4" t="s">
        <v>126</v>
      </c>
      <c r="C75" s="81" t="e">
        <f>SUM(C73:C74)</f>
        <v>#DIV/0!</v>
      </c>
      <c r="D75" s="81" t="e">
        <f>SUM(D73:D74)</f>
        <v>#DIV/0!</v>
      </c>
      <c r="E75" s="81" t="e">
        <f>SUM(E73:E74)</f>
        <v>#DIV/0!</v>
      </c>
      <c r="F75" s="81" t="e">
        <f>SUM(F73:F74)</f>
        <v>#DIV/0!</v>
      </c>
      <c r="I75" s="4"/>
    </row>
    <row r="76" spans="1:9" ht="12.75">
      <c r="A76" s="4"/>
      <c r="B76" s="4"/>
      <c r="C76" s="81"/>
      <c r="D76" s="81"/>
      <c r="E76" s="81"/>
      <c r="F76" s="81"/>
      <c r="I76" s="4"/>
    </row>
    <row r="77" spans="1:9" ht="12.75">
      <c r="A77" s="4"/>
      <c r="B77" s="4" t="s">
        <v>127</v>
      </c>
      <c r="C77" s="30">
        <f>0</f>
        <v>0</v>
      </c>
      <c r="D77" s="30" t="e">
        <f>C78</f>
        <v>#REF!</v>
      </c>
      <c r="E77" s="30" t="e">
        <f>D78</f>
        <v>#REF!</v>
      </c>
      <c r="F77" s="30" t="e">
        <f>E78</f>
        <v>#REF!</v>
      </c>
      <c r="I77" s="4"/>
    </row>
    <row r="78" spans="1:9" ht="12.75">
      <c r="A78" s="4"/>
      <c r="B78" s="4" t="s">
        <v>128</v>
      </c>
      <c r="C78" s="81" t="e">
        <f>C71-C75</f>
        <v>#REF!</v>
      </c>
      <c r="D78" s="111" t="e">
        <f>D71-D75</f>
        <v>#REF!</v>
      </c>
      <c r="E78" s="111" t="e">
        <f>E71-E75</f>
        <v>#REF!</v>
      </c>
      <c r="F78" s="111" t="e">
        <f>F71-F75</f>
        <v>#REF!</v>
      </c>
      <c r="I78" s="4"/>
    </row>
    <row r="79" spans="1:9" ht="13.5" thickBot="1">
      <c r="A79" s="4"/>
      <c r="B79" s="4" t="s">
        <v>129</v>
      </c>
      <c r="C79" s="112" t="e">
        <f>(C78+C77)/2</f>
        <v>#REF!</v>
      </c>
      <c r="D79" s="114" t="e">
        <f>(D78+D77)/2</f>
        <v>#REF!</v>
      </c>
      <c r="E79" s="114" t="e">
        <f>(E78+E77)/2</f>
        <v>#REF!</v>
      </c>
      <c r="F79" s="114" t="e">
        <f>(F78+F77)/2</f>
        <v>#REF!</v>
      </c>
      <c r="I79" s="4"/>
    </row>
    <row r="80" spans="1:9" ht="12.75">
      <c r="A80" s="4"/>
      <c r="B80" s="4"/>
      <c r="C80" s="75"/>
      <c r="D80" s="75"/>
      <c r="E80" s="4"/>
      <c r="F80" s="4"/>
      <c r="I80" s="4"/>
    </row>
    <row r="81" spans="1:9" ht="12.75">
      <c r="A81" s="4"/>
      <c r="B81" s="4"/>
      <c r="C81" s="75"/>
      <c r="D81" s="75"/>
      <c r="E81" s="4"/>
      <c r="F81" s="4"/>
      <c r="I81" s="4"/>
    </row>
    <row r="82" spans="1:9" ht="26.25">
      <c r="A82" s="4"/>
      <c r="B82" s="68" t="s">
        <v>134</v>
      </c>
      <c r="C82" s="75"/>
      <c r="D82" s="75"/>
      <c r="E82" s="4"/>
      <c r="F82" s="4"/>
      <c r="I82" s="4"/>
    </row>
    <row r="83" spans="1:9" ht="12.75">
      <c r="A83" s="4"/>
      <c r="B83" s="4"/>
      <c r="C83" s="75"/>
      <c r="D83" s="75"/>
      <c r="E83" s="4"/>
      <c r="F83" s="4"/>
      <c r="I83" s="4"/>
    </row>
    <row r="84" spans="1:9" ht="18">
      <c r="A84" s="4"/>
      <c r="B84" s="13" t="s">
        <v>135</v>
      </c>
      <c r="C84" s="4"/>
      <c r="D84" s="4"/>
      <c r="E84" s="4"/>
      <c r="F84" s="4"/>
      <c r="I84" s="4"/>
    </row>
    <row r="85" spans="1:9" ht="12.75">
      <c r="A85" s="4"/>
      <c r="B85" s="4" t="s">
        <v>136</v>
      </c>
      <c r="C85" s="4">
        <v>2007</v>
      </c>
      <c r="D85" s="4">
        <v>2008</v>
      </c>
      <c r="E85" s="4">
        <v>2009</v>
      </c>
      <c r="F85" s="4">
        <v>2010</v>
      </c>
      <c r="I85" s="4"/>
    </row>
    <row r="86" spans="1:9" ht="12.75">
      <c r="A86" s="4"/>
      <c r="B86" s="4"/>
      <c r="C86" s="4"/>
      <c r="D86" s="4"/>
      <c r="E86" s="4"/>
      <c r="F86" s="4"/>
      <c r="I86" s="4"/>
    </row>
    <row r="87" spans="1:9" ht="12.75">
      <c r="A87" s="4"/>
      <c r="B87" s="4" t="s">
        <v>137</v>
      </c>
      <c r="C87" s="81">
        <v>0</v>
      </c>
      <c r="D87" s="81">
        <f>C89-C93</f>
        <v>0</v>
      </c>
      <c r="E87" s="81">
        <f>D89-D93</f>
        <v>0</v>
      </c>
      <c r="F87" s="81">
        <f>E89-E93</f>
        <v>0</v>
      </c>
      <c r="I87" s="4"/>
    </row>
    <row r="88" spans="1:9" ht="12.75">
      <c r="A88" s="4"/>
      <c r="B88" s="4" t="s">
        <v>138</v>
      </c>
      <c r="C88" s="30">
        <f>C13</f>
        <v>0</v>
      </c>
      <c r="D88" s="30">
        <f>D13</f>
        <v>0</v>
      </c>
      <c r="E88" s="30">
        <f>E13</f>
        <v>0</v>
      </c>
      <c r="F88" s="30">
        <f>F13</f>
        <v>0</v>
      </c>
      <c r="I88" s="4"/>
    </row>
    <row r="89" spans="1:9" ht="12.75">
      <c r="A89" s="4"/>
      <c r="B89" s="4" t="s">
        <v>139</v>
      </c>
      <c r="C89" s="81">
        <f>SUM(C87:C88)</f>
        <v>0</v>
      </c>
      <c r="D89" s="81">
        <f>SUM(D87:D88)</f>
        <v>0</v>
      </c>
      <c r="E89" s="81">
        <f>SUM(E87:E88)</f>
        <v>0</v>
      </c>
      <c r="F89" s="81">
        <f>SUM(F87:F88)</f>
        <v>0</v>
      </c>
      <c r="I89" s="4"/>
    </row>
    <row r="90" spans="1:9" ht="12.75">
      <c r="A90" s="4"/>
      <c r="B90" s="4" t="s">
        <v>140</v>
      </c>
      <c r="C90" s="30">
        <f>SUM(C88:C88)/2</f>
        <v>0</v>
      </c>
      <c r="D90" s="30">
        <f>SUM(D88:D88)/2</f>
        <v>0</v>
      </c>
      <c r="E90" s="30">
        <f>SUM(E88:E88)/2</f>
        <v>0</v>
      </c>
      <c r="F90" s="30">
        <f>SUM(F88:F88)/2</f>
        <v>0</v>
      </c>
      <c r="I90" s="4"/>
    </row>
    <row r="91" spans="1:9" ht="12.75">
      <c r="A91" s="4"/>
      <c r="B91" s="4" t="s">
        <v>141</v>
      </c>
      <c r="C91" s="81">
        <f>C87+C90</f>
        <v>0</v>
      </c>
      <c r="D91" s="81">
        <f>D87+D90</f>
        <v>0</v>
      </c>
      <c r="E91" s="81">
        <f>E87+E90</f>
        <v>0</v>
      </c>
      <c r="F91" s="81">
        <f>F87+F90</f>
        <v>0</v>
      </c>
      <c r="I91" s="4"/>
    </row>
    <row r="92" spans="1:9" ht="12.75">
      <c r="A92" s="4"/>
      <c r="B92" s="4" t="s">
        <v>142</v>
      </c>
      <c r="C92" s="109">
        <v>0.08</v>
      </c>
      <c r="D92" s="109">
        <v>0.08</v>
      </c>
      <c r="E92" s="109">
        <v>0.08</v>
      </c>
      <c r="F92" s="109">
        <v>0.08</v>
      </c>
      <c r="I92" s="4"/>
    </row>
    <row r="93" spans="1:9" ht="12.75">
      <c r="A93" s="4"/>
      <c r="B93" s="4" t="s">
        <v>143</v>
      </c>
      <c r="C93" s="81">
        <f>IF((C91*C92)&lt;C91,(C91*C92),C91)</f>
        <v>0</v>
      </c>
      <c r="D93" s="81">
        <f>IF((D91*D92)&lt;D91,(D91*D92),D91)</f>
        <v>0</v>
      </c>
      <c r="E93" s="81">
        <f>IF((E91*E92)&lt;E91,(E91*E92),E91)</f>
        <v>0</v>
      </c>
      <c r="F93" s="81">
        <f>IF((F91*F92)&lt;F91,(F91*F92),F91)</f>
        <v>0</v>
      </c>
      <c r="I93" s="4"/>
    </row>
    <row r="94" spans="1:9" ht="13.5" thickBot="1">
      <c r="A94" s="4"/>
      <c r="B94" s="4" t="s">
        <v>144</v>
      </c>
      <c r="C94" s="112">
        <f>IF((C89-C93)&lt;0,0,(C89-C93))</f>
        <v>0</v>
      </c>
      <c r="D94" s="112">
        <f>IF((D89-D93)&lt;0,0,(D89-D93))</f>
        <v>0</v>
      </c>
      <c r="E94" s="112">
        <f>IF((E89-E93)&lt;0,0,(E89-E93))</f>
        <v>0</v>
      </c>
      <c r="F94" s="112">
        <f>IF((F89-F93)&lt;0,0,(F89-F93))</f>
        <v>0</v>
      </c>
      <c r="I94" s="4"/>
    </row>
    <row r="95" spans="1:9" ht="12.75">
      <c r="A95" s="4"/>
      <c r="B95" s="4"/>
      <c r="C95" s="4"/>
      <c r="D95" s="4"/>
      <c r="E95" s="4"/>
      <c r="F95" s="4"/>
      <c r="I95" s="4"/>
    </row>
    <row r="96" spans="1:9" ht="18">
      <c r="A96" s="4"/>
      <c r="B96" s="13" t="s">
        <v>145</v>
      </c>
      <c r="C96" s="4"/>
      <c r="D96" s="4"/>
      <c r="E96" s="4"/>
      <c r="F96" s="4"/>
      <c r="I96" s="4"/>
    </row>
    <row r="97" spans="1:9" ht="12.75">
      <c r="A97" s="4"/>
      <c r="B97" s="4" t="s">
        <v>146</v>
      </c>
      <c r="C97" s="4">
        <v>2007</v>
      </c>
      <c r="D97" s="4">
        <v>2008</v>
      </c>
      <c r="E97" s="4">
        <v>2009</v>
      </c>
      <c r="F97" s="4">
        <v>2010</v>
      </c>
      <c r="I97" s="4"/>
    </row>
    <row r="98" spans="1:9" ht="12.75">
      <c r="A98" s="4"/>
      <c r="B98" s="4"/>
      <c r="C98" s="4"/>
      <c r="D98" s="4"/>
      <c r="E98" s="4"/>
      <c r="F98" s="4"/>
      <c r="I98" s="4"/>
    </row>
    <row r="99" spans="1:9" ht="12.75">
      <c r="A99" s="4"/>
      <c r="B99" s="4" t="s">
        <v>137</v>
      </c>
      <c r="C99" s="81">
        <v>0</v>
      </c>
      <c r="D99" s="81">
        <f>C107</f>
        <v>0</v>
      </c>
      <c r="E99" s="81">
        <f>D107</f>
        <v>0</v>
      </c>
      <c r="F99" s="81">
        <f>E107</f>
        <v>0</v>
      </c>
      <c r="I99" s="4"/>
    </row>
    <row r="100" spans="1:9" ht="12.75">
      <c r="A100" s="4"/>
      <c r="B100" s="4" t="s">
        <v>147</v>
      </c>
      <c r="C100" s="30">
        <f>C27</f>
        <v>0</v>
      </c>
      <c r="D100" s="30">
        <f>D27</f>
        <v>0</v>
      </c>
      <c r="E100" s="30">
        <f>E27</f>
        <v>0</v>
      </c>
      <c r="F100" s="30">
        <f>F27</f>
        <v>0</v>
      </c>
      <c r="I100" s="4"/>
    </row>
    <row r="101" spans="1:9" ht="12.75">
      <c r="A101" s="4"/>
      <c r="B101" s="4" t="s">
        <v>148</v>
      </c>
      <c r="C101" s="30">
        <f>C41</f>
        <v>0</v>
      </c>
      <c r="D101" s="30">
        <f>D41</f>
        <v>0</v>
      </c>
      <c r="E101" s="30">
        <f>E41</f>
        <v>0</v>
      </c>
      <c r="F101" s="30">
        <f>F41</f>
        <v>0</v>
      </c>
      <c r="I101" s="4"/>
    </row>
    <row r="102" spans="1:9" ht="12.75">
      <c r="A102" s="4"/>
      <c r="B102" s="4" t="s">
        <v>139</v>
      </c>
      <c r="C102" s="81">
        <f>SUM(C99:C101)</f>
        <v>0</v>
      </c>
      <c r="D102" s="81">
        <f>SUM(D99:D101)</f>
        <v>0</v>
      </c>
      <c r="E102" s="81">
        <f>SUM(E99:E101)</f>
        <v>0</v>
      </c>
      <c r="F102" s="81">
        <f>SUM(F99:F101)</f>
        <v>0</v>
      </c>
      <c r="I102" s="4"/>
    </row>
    <row r="103" spans="1:9" ht="12.75">
      <c r="A103" s="4"/>
      <c r="B103" s="4" t="s">
        <v>140</v>
      </c>
      <c r="C103" s="30">
        <f>SUM(C100:C101)/2</f>
        <v>0</v>
      </c>
      <c r="D103" s="30">
        <f>SUM(D100:D101)/2</f>
        <v>0</v>
      </c>
      <c r="E103" s="30">
        <f>SUM(E100:E101)/2</f>
        <v>0</v>
      </c>
      <c r="F103" s="30">
        <f>SUM(F100:F101)/2</f>
        <v>0</v>
      </c>
      <c r="I103" s="4"/>
    </row>
    <row r="104" spans="1:9" ht="12.75">
      <c r="A104" s="4"/>
      <c r="B104" s="4" t="s">
        <v>141</v>
      </c>
      <c r="C104" s="81">
        <f>C99+C103</f>
        <v>0</v>
      </c>
      <c r="D104" s="81">
        <f>D99+D103</f>
        <v>0</v>
      </c>
      <c r="E104" s="81">
        <f>E99+E103</f>
        <v>0</v>
      </c>
      <c r="F104" s="81">
        <f>F99+F103</f>
        <v>0</v>
      </c>
      <c r="I104" s="4"/>
    </row>
    <row r="105" spans="1:9" ht="12.75">
      <c r="A105" s="4"/>
      <c r="B105" s="4" t="s">
        <v>149</v>
      </c>
      <c r="C105" s="115">
        <v>0.45</v>
      </c>
      <c r="D105" s="115">
        <v>0.45</v>
      </c>
      <c r="E105" s="115">
        <v>0.45</v>
      </c>
      <c r="F105" s="115">
        <v>0.45</v>
      </c>
      <c r="I105" s="4"/>
    </row>
    <row r="106" spans="1:9" ht="12.75">
      <c r="A106" s="4"/>
      <c r="B106" s="4" t="s">
        <v>143</v>
      </c>
      <c r="C106" s="81">
        <f>IF((C104*C105)&lt;C104,(C104*C105),C104)</f>
        <v>0</v>
      </c>
      <c r="D106" s="81">
        <f>IF((D104*D105)&lt;D104,(D104*D105),D104)</f>
        <v>0</v>
      </c>
      <c r="E106" s="81">
        <f>IF((E104*E105)&lt;E104,(E104*E105),E104)</f>
        <v>0</v>
      </c>
      <c r="F106" s="81">
        <f>IF((F104*F105)&lt;F104,(F104*F105),F104)</f>
        <v>0</v>
      </c>
      <c r="I106" s="4"/>
    </row>
    <row r="107" spans="1:9" ht="13.5" thickBot="1">
      <c r="A107" s="4"/>
      <c r="B107" s="4" t="s">
        <v>144</v>
      </c>
      <c r="C107" s="112">
        <f>IF((C102-C106)&lt;0,0,(C102-C106))</f>
        <v>0</v>
      </c>
      <c r="D107" s="112">
        <f>IF((D102-D106)&lt;0,0,(D102-D106))</f>
        <v>0</v>
      </c>
      <c r="E107" s="112">
        <f>IF((E102-E106)&lt;0,0,(E102-E106))</f>
        <v>0</v>
      </c>
      <c r="F107" s="112">
        <f>IF((F102-F106)&lt;0,0,(F102-F106))</f>
        <v>0</v>
      </c>
      <c r="I107" s="4"/>
    </row>
    <row r="109" spans="1:9" ht="18">
      <c r="A109" s="4"/>
      <c r="B109" s="13" t="s">
        <v>150</v>
      </c>
      <c r="C109" s="4"/>
      <c r="D109" s="4"/>
      <c r="E109" s="4"/>
      <c r="F109" s="4"/>
      <c r="I109" s="4"/>
    </row>
    <row r="110" spans="1:9" ht="12.75">
      <c r="A110" s="4"/>
      <c r="B110" s="4" t="s">
        <v>151</v>
      </c>
      <c r="C110" s="4">
        <v>2007</v>
      </c>
      <c r="D110" s="4">
        <v>2008</v>
      </c>
      <c r="E110" s="4">
        <v>2009</v>
      </c>
      <c r="F110" s="4">
        <v>2010</v>
      </c>
      <c r="I110" s="4"/>
    </row>
    <row r="111" spans="1:9" ht="12.75">
      <c r="A111" s="4"/>
      <c r="B111" s="4"/>
      <c r="C111" s="4"/>
      <c r="D111" s="4"/>
      <c r="E111" s="4"/>
      <c r="F111" s="4"/>
      <c r="I111" s="4"/>
    </row>
    <row r="112" spans="1:9" ht="12.75">
      <c r="A112" s="4"/>
      <c r="B112" s="4" t="s">
        <v>137</v>
      </c>
      <c r="C112" s="81">
        <v>0</v>
      </c>
      <c r="D112" s="81" t="e">
        <f>C120</f>
        <v>#REF!</v>
      </c>
      <c r="E112" s="81" t="e">
        <f>D120</f>
        <v>#REF!</v>
      </c>
      <c r="F112" s="81" t="e">
        <f>E120</f>
        <v>#REF!</v>
      </c>
      <c r="I112" s="4"/>
    </row>
    <row r="113" spans="1:9" ht="12.75">
      <c r="A113" s="4"/>
      <c r="B113" s="4" t="s">
        <v>152</v>
      </c>
      <c r="C113" s="30" t="e">
        <f>C56</f>
        <v>#REF!</v>
      </c>
      <c r="D113" s="30" t="e">
        <f>D56</f>
        <v>#REF!</v>
      </c>
      <c r="E113" s="30" t="e">
        <f>E56</f>
        <v>#REF!</v>
      </c>
      <c r="F113" s="30" t="e">
        <f>F56</f>
        <v>#REF!</v>
      </c>
      <c r="I113" s="4"/>
    </row>
    <row r="114" spans="1:9" ht="12.75">
      <c r="A114" s="4"/>
      <c r="B114" s="4" t="s">
        <v>153</v>
      </c>
      <c r="C114" s="30" t="e">
        <f>C70</f>
        <v>#REF!</v>
      </c>
      <c r="D114" s="30" t="e">
        <f>D70</f>
        <v>#REF!</v>
      </c>
      <c r="E114" s="30" t="e">
        <f>E70</f>
        <v>#REF!</v>
      </c>
      <c r="F114" s="30" t="e">
        <f>F70</f>
        <v>#REF!</v>
      </c>
      <c r="I114" s="4"/>
    </row>
    <row r="115" spans="1:9" ht="12.75">
      <c r="A115" s="4"/>
      <c r="B115" s="4" t="s">
        <v>139</v>
      </c>
      <c r="C115" s="81" t="e">
        <f>SUM(C112:C114)</f>
        <v>#REF!</v>
      </c>
      <c r="D115" s="81" t="e">
        <f>SUM(D112:D114)</f>
        <v>#REF!</v>
      </c>
      <c r="E115" s="81" t="e">
        <f>SUM(E112:E114)</f>
        <v>#REF!</v>
      </c>
      <c r="F115" s="81" t="e">
        <f>SUM(F112:F114)</f>
        <v>#REF!</v>
      </c>
      <c r="I115" s="4"/>
    </row>
    <row r="116" spans="1:9" ht="12.75">
      <c r="A116" s="4"/>
      <c r="B116" s="4" t="s">
        <v>140</v>
      </c>
      <c r="C116" s="30" t="e">
        <f>SUM(C113:C114)/2</f>
        <v>#REF!</v>
      </c>
      <c r="D116" s="30" t="e">
        <f>SUM(D113:D114)/2</f>
        <v>#REF!</v>
      </c>
      <c r="E116" s="30" t="e">
        <f>SUM(E113:E114)/2</f>
        <v>#REF!</v>
      </c>
      <c r="F116" s="30" t="e">
        <f>SUM(F113:F114)/2</f>
        <v>#REF!</v>
      </c>
      <c r="I116" s="4"/>
    </row>
    <row r="117" spans="1:9" ht="12.75">
      <c r="A117" s="4"/>
      <c r="B117" s="4" t="s">
        <v>141</v>
      </c>
      <c r="C117" s="81" t="e">
        <f>C112+C116</f>
        <v>#REF!</v>
      </c>
      <c r="D117" s="81" t="e">
        <f>D112+D116</f>
        <v>#REF!</v>
      </c>
      <c r="E117" s="81" t="e">
        <f>E112+E116</f>
        <v>#REF!</v>
      </c>
      <c r="F117" s="81" t="e">
        <f>F112+F116</f>
        <v>#REF!</v>
      </c>
      <c r="I117" s="4"/>
    </row>
    <row r="118" spans="1:9" ht="12.75">
      <c r="A118" s="4"/>
      <c r="B118" s="4" t="s">
        <v>154</v>
      </c>
      <c r="C118" s="115">
        <v>0.2</v>
      </c>
      <c r="D118" s="115">
        <v>0.2</v>
      </c>
      <c r="E118" s="115">
        <v>0.2</v>
      </c>
      <c r="F118" s="115">
        <v>0.2</v>
      </c>
      <c r="I118" s="4"/>
    </row>
    <row r="119" spans="1:9" ht="12.75">
      <c r="A119" s="4"/>
      <c r="B119" s="4" t="s">
        <v>143</v>
      </c>
      <c r="C119" s="81" t="e">
        <f>IF((C117*C118)&lt;C117,(C117*C118),C117)</f>
        <v>#REF!</v>
      </c>
      <c r="D119" s="81" t="e">
        <f>IF((D117*D118)&lt;D117,(D117*D118),D117)</f>
        <v>#REF!</v>
      </c>
      <c r="E119" s="81" t="e">
        <f>IF((E117*E118)&lt;E117,(E117*E118),E117)</f>
        <v>#REF!</v>
      </c>
      <c r="F119" s="81" t="e">
        <f>IF((F117*F118)&lt;F117,(F117*F118),F117)</f>
        <v>#REF!</v>
      </c>
      <c r="I119" s="4"/>
    </row>
    <row r="120" spans="1:9" ht="13.5" thickBot="1">
      <c r="A120" s="4"/>
      <c r="B120" s="4" t="s">
        <v>144</v>
      </c>
      <c r="C120" s="112" t="e">
        <f>IF((C115-C119)&lt;0,0,(C115-C119))</f>
        <v>#REF!</v>
      </c>
      <c r="D120" s="112" t="e">
        <f>IF((D115-D119)&lt;0,0,(D115-D119))</f>
        <v>#REF!</v>
      </c>
      <c r="E120" s="112" t="e">
        <f>IF((E115-E119)&lt;0,0,(E115-E119))</f>
        <v>#REF!</v>
      </c>
      <c r="F120" s="112" t="e">
        <f>IF((F115-F119)&lt;0,0,(F115-F119))</f>
        <v>#REF!</v>
      </c>
      <c r="I120" s="4"/>
    </row>
    <row r="124" ht="15">
      <c r="B124" s="8"/>
    </row>
    <row r="125" ht="15">
      <c r="B125" s="8"/>
    </row>
  </sheetData>
  <sheetProtection formatColumns="0" selectLockedCells="1"/>
  <mergeCells count="4">
    <mergeCell ref="B2:E2"/>
    <mergeCell ref="B3:E3"/>
    <mergeCell ref="B1:E1"/>
    <mergeCell ref="B5:E5"/>
  </mergeCells>
  <printOptions/>
  <pageMargins left="0.53" right="0.44" top="0.55" bottom="0.55" header="0.5" footer="0.5"/>
  <pageSetup fitToHeight="2" horizontalDpi="600" verticalDpi="600" orientation="landscape" scale="65" r:id="rId1"/>
  <rowBreaks count="1" manualBreakCount="1">
    <brk id="8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I146"/>
  <sheetViews>
    <sheetView view="pageLayout" zoomScaleNormal="85" workbookViewId="0" topLeftCell="B119">
      <selection activeCell="G25" sqref="G25"/>
    </sheetView>
  </sheetViews>
  <sheetFormatPr defaultColWidth="9.140625" defaultRowHeight="12.75" outlineLevelRow="1" outlineLevelCol="1"/>
  <cols>
    <col min="1" max="1" width="16.57421875" style="6" customWidth="1"/>
    <col min="2" max="2" width="52.421875" style="6" customWidth="1"/>
    <col min="3" max="3" width="16.28125" style="6" hidden="1" customWidth="1" outlineLevel="1"/>
    <col min="4" max="4" width="17.00390625" style="6" bestFit="1" customWidth="1" collapsed="1"/>
    <col min="5" max="5" width="17.421875" style="6" bestFit="1" customWidth="1"/>
    <col min="6" max="6" width="17.7109375" style="6" bestFit="1" customWidth="1"/>
    <col min="7" max="7" width="15.57421875" style="6" bestFit="1" customWidth="1"/>
    <col min="8" max="9" width="15.421875" style="6" bestFit="1" customWidth="1"/>
    <col min="10" max="16384" width="9.140625" style="6" customWidth="1"/>
  </cols>
  <sheetData>
    <row r="1" spans="1:9" s="2" customFormat="1" ht="20.25" customHeight="1">
      <c r="A1" s="1"/>
      <c r="B1" s="234"/>
      <c r="C1" s="234"/>
      <c r="D1" s="234"/>
      <c r="E1" s="234"/>
      <c r="F1" s="108"/>
      <c r="G1" s="6"/>
      <c r="H1" s="6"/>
      <c r="I1" s="1"/>
    </row>
    <row r="2" spans="1:9" s="2" customFormat="1" ht="18.75" customHeight="1">
      <c r="A2" s="1"/>
      <c r="B2" s="235" t="str">
        <f>' Assumptions and Data'!B2:E2</f>
        <v>PowerStream Inc.</v>
      </c>
      <c r="C2" s="235"/>
      <c r="D2" s="235"/>
      <c r="E2" s="235"/>
      <c r="F2" s="9"/>
      <c r="G2" s="6"/>
      <c r="H2" s="6"/>
      <c r="I2" s="1"/>
    </row>
    <row r="3" spans="1:9" s="2" customFormat="1" ht="18.75" customHeight="1">
      <c r="A3" s="1"/>
      <c r="B3" s="236" t="str">
        <f>' Assumptions and Data'!B3:E3</f>
        <v>EB-2013-0166</v>
      </c>
      <c r="C3" s="236"/>
      <c r="D3" s="236"/>
      <c r="E3" s="236"/>
      <c r="F3" s="9"/>
      <c r="G3" s="6"/>
      <c r="H3" s="6"/>
      <c r="I3" s="1"/>
    </row>
    <row r="4" spans="1:9" s="2" customFormat="1" ht="18">
      <c r="A4" s="1"/>
      <c r="B4" s="236" t="str">
        <f>' Assumptions and Data'!B4</f>
        <v>Smart Grid Disposition Rate Rider Calculation</v>
      </c>
      <c r="C4" s="236"/>
      <c r="D4" s="236"/>
      <c r="E4" s="236"/>
      <c r="F4" s="9"/>
      <c r="G4" s="6"/>
      <c r="H4" s="6"/>
      <c r="I4" s="1"/>
    </row>
    <row r="5" spans="1:9" s="2" customFormat="1" ht="21" customHeight="1">
      <c r="A5" s="1"/>
      <c r="B5" s="258"/>
      <c r="C5" s="258"/>
      <c r="D5" s="258"/>
      <c r="E5" s="258"/>
      <c r="F5" s="11"/>
      <c r="G5" s="6"/>
      <c r="H5" s="6"/>
      <c r="I5" s="1"/>
    </row>
    <row r="6" spans="1:9" s="2" customFormat="1" ht="6" customHeight="1">
      <c r="A6" s="12"/>
      <c r="B6" s="12"/>
      <c r="C6" s="12"/>
      <c r="D6" s="12"/>
      <c r="E6" s="12"/>
      <c r="F6" s="12"/>
      <c r="G6" s="6"/>
      <c r="H6" s="6"/>
      <c r="I6" s="1"/>
    </row>
    <row r="7" spans="1:9" ht="12.75">
      <c r="A7" s="4"/>
      <c r="B7" s="4"/>
      <c r="C7" s="4"/>
      <c r="D7" s="4"/>
      <c r="E7" s="4"/>
      <c r="F7" s="4"/>
      <c r="I7" s="4"/>
    </row>
    <row r="8" spans="1:9" ht="26.25">
      <c r="A8" s="4"/>
      <c r="B8" s="68" t="s">
        <v>129</v>
      </c>
      <c r="C8" s="4"/>
      <c r="D8" s="4"/>
      <c r="E8" s="4"/>
      <c r="F8" s="4"/>
      <c r="I8" s="4"/>
    </row>
    <row r="9" spans="1:9" ht="12.75">
      <c r="A9" s="4"/>
      <c r="B9" s="4"/>
      <c r="C9" s="4"/>
      <c r="D9" s="4"/>
      <c r="E9" s="4"/>
      <c r="F9" s="4"/>
      <c r="I9" s="4"/>
    </row>
    <row r="10" spans="1:9" ht="18">
      <c r="A10" s="4"/>
      <c r="B10" s="13" t="s">
        <v>190</v>
      </c>
      <c r="C10" s="142">
        <f>' Assumptions and Data'!C26</f>
        <v>2010</v>
      </c>
      <c r="D10" s="142">
        <f>' Assumptions and Data'!D26</f>
        <v>2011</v>
      </c>
      <c r="E10" s="142">
        <f>' Assumptions and Data'!E26</f>
        <v>2012</v>
      </c>
      <c r="F10" s="142">
        <f>' Assumptions and Data'!F26</f>
        <v>2013</v>
      </c>
      <c r="G10" s="142">
        <f>' Assumptions and Data'!G26</f>
        <v>2014</v>
      </c>
      <c r="H10" s="142">
        <f>' Assumptions and Data'!H26</f>
        <v>2015</v>
      </c>
      <c r="I10" s="142">
        <f>' Assumptions and Data'!I26</f>
        <v>2016</v>
      </c>
    </row>
    <row r="11" spans="1:9" ht="12.75">
      <c r="A11" s="4"/>
      <c r="B11" s="4"/>
      <c r="C11" s="4"/>
      <c r="D11" s="4"/>
      <c r="E11" s="4"/>
      <c r="F11" s="4"/>
      <c r="I11" s="4"/>
    </row>
    <row r="12" spans="1:9" ht="12.75">
      <c r="A12" s="4"/>
      <c r="B12" s="4" t="s">
        <v>123</v>
      </c>
      <c r="C12" s="81">
        <v>0</v>
      </c>
      <c r="D12" s="81">
        <f aca="true" t="shared" si="0" ref="D12:I12">C14</f>
        <v>0</v>
      </c>
      <c r="E12" s="81">
        <f t="shared" si="0"/>
        <v>0</v>
      </c>
      <c r="F12" s="81">
        <f t="shared" si="0"/>
        <v>64105</v>
      </c>
      <c r="G12" s="81">
        <f t="shared" si="0"/>
        <v>64105</v>
      </c>
      <c r="H12" s="81">
        <f t="shared" si="0"/>
        <v>64105</v>
      </c>
      <c r="I12" s="81">
        <f t="shared" si="0"/>
        <v>64105</v>
      </c>
    </row>
    <row r="13" spans="1:9" ht="12.75">
      <c r="A13" s="4"/>
      <c r="B13" s="69" t="s">
        <v>191</v>
      </c>
      <c r="C13" s="146">
        <f>' Assumptions and Data'!C31</f>
        <v>0</v>
      </c>
      <c r="D13" s="146">
        <f>' Assumptions and Data'!D31</f>
        <v>0</v>
      </c>
      <c r="E13" s="146">
        <f>+' Assumptions and Data'!E31</f>
        <v>64105</v>
      </c>
      <c r="F13" s="146"/>
      <c r="G13" s="146"/>
      <c r="H13" s="146"/>
      <c r="I13" s="146"/>
    </row>
    <row r="14" spans="1:9" ht="12.75">
      <c r="A14" s="4"/>
      <c r="B14" s="4" t="s">
        <v>124</v>
      </c>
      <c r="C14" s="81">
        <f aca="true" t="shared" si="1" ref="C14:I14">SUM(C12:C13)</f>
        <v>0</v>
      </c>
      <c r="D14" s="81">
        <f t="shared" si="1"/>
        <v>0</v>
      </c>
      <c r="E14" s="81">
        <f t="shared" si="1"/>
        <v>64105</v>
      </c>
      <c r="F14" s="81">
        <f t="shared" si="1"/>
        <v>64105</v>
      </c>
      <c r="G14" s="81">
        <f t="shared" si="1"/>
        <v>64105</v>
      </c>
      <c r="H14" s="81">
        <f t="shared" si="1"/>
        <v>64105</v>
      </c>
      <c r="I14" s="81">
        <f t="shared" si="1"/>
        <v>64105</v>
      </c>
    </row>
    <row r="15" spans="1:9" ht="12.75">
      <c r="A15" s="4"/>
      <c r="B15" s="4"/>
      <c r="C15" s="75"/>
      <c r="D15" s="75"/>
      <c r="E15" s="75"/>
      <c r="F15" s="75"/>
      <c r="I15" s="4"/>
    </row>
    <row r="16" spans="1:9" ht="12.75">
      <c r="A16" s="4"/>
      <c r="B16" s="4" t="s">
        <v>125</v>
      </c>
      <c r="C16" s="81">
        <v>0</v>
      </c>
      <c r="D16" s="81">
        <f aca="true" t="shared" si="2" ref="D16:I16">C18</f>
        <v>0</v>
      </c>
      <c r="E16" s="81">
        <f t="shared" si="2"/>
        <v>0</v>
      </c>
      <c r="F16" s="81">
        <f t="shared" si="2"/>
        <v>801.3125</v>
      </c>
      <c r="G16" s="81">
        <f t="shared" si="2"/>
        <v>2403.9375</v>
      </c>
      <c r="H16" s="81">
        <f t="shared" si="2"/>
        <v>4006.5625</v>
      </c>
      <c r="I16" s="81">
        <f t="shared" si="2"/>
        <v>5609.1875</v>
      </c>
    </row>
    <row r="17" spans="1:9" ht="12.75">
      <c r="A17" s="4"/>
      <c r="B17" s="4" t="str">
        <f>"Amortization Year 1 ("&amp;' Assumptions and Data'!$C$38&amp;" Years  Straight Line)"</f>
        <v>Amortization Year 1 (40 Years  Straight Line)</v>
      </c>
      <c r="C17" s="174">
        <f>IF(C16+(C12/' Assumptions and Data'!$C$38)+(C13/' Assumptions and Data'!$C$38/2)&lt;C14,(C12/' Assumptions and Data'!$C$38)+(C13/' Assumptions and Data'!$C$38/2),C14-C16)</f>
        <v>0</v>
      </c>
      <c r="D17" s="174">
        <f>IF(D16+(D12/' Assumptions and Data'!$C$38)+(D13/' Assumptions and Data'!$C$38/2)&lt;D14,(D12/' Assumptions and Data'!$C$38)+(D13/' Assumptions and Data'!$C$38/2),D14-D16)</f>
        <v>0</v>
      </c>
      <c r="E17" s="174">
        <f>IF(E16+(E12/' Assumptions and Data'!$C$38)+(E13/' Assumptions and Data'!$C$38/2)&lt;E14,(E12/' Assumptions and Data'!$C$38)+(E13/' Assumptions and Data'!$C$38/2),E14-E16)</f>
        <v>801.3125</v>
      </c>
      <c r="F17" s="174">
        <f>IF(F16+(F12/' Assumptions and Data'!$C$38)+(F13/' Assumptions and Data'!$C$38/2)&lt;F14,(F12/' Assumptions and Data'!$C$38)+(F13/' Assumptions and Data'!$C$38/2),F14-F16)</f>
        <v>1602.625</v>
      </c>
      <c r="G17" s="174">
        <f>IF(G16+(G12/' Assumptions and Data'!$C$38)+(G13/' Assumptions and Data'!$C$38/2)&lt;G14,(G12/' Assumptions and Data'!$C$38)+(G13/' Assumptions and Data'!$C$38/2),G14-G16)</f>
        <v>1602.625</v>
      </c>
      <c r="H17" s="174">
        <f>IF(H16+(H12/' Assumptions and Data'!$C$38)+(H13/' Assumptions and Data'!$C$38/2)&lt;H14,(H12/' Assumptions and Data'!$C$38)+(H13/' Assumptions and Data'!$C$38/2),H14-H16)</f>
        <v>1602.625</v>
      </c>
      <c r="I17" s="174">
        <f>IF(I16+(I12/' Assumptions and Data'!$C$38)+(I13/' Assumptions and Data'!$C$38/2)&lt;I14,(I12/' Assumptions and Data'!$C$38)+(I13/' Assumptions and Data'!$C$38/2),I14-I16)</f>
        <v>1602.625</v>
      </c>
    </row>
    <row r="18" spans="1:9" ht="12.75">
      <c r="A18" s="4"/>
      <c r="B18" s="4" t="s">
        <v>126</v>
      </c>
      <c r="C18" s="81">
        <f aca="true" t="shared" si="3" ref="C18:I18">SUM(C16:C17)</f>
        <v>0</v>
      </c>
      <c r="D18" s="81">
        <f t="shared" si="3"/>
        <v>0</v>
      </c>
      <c r="E18" s="81">
        <f t="shared" si="3"/>
        <v>801.3125</v>
      </c>
      <c r="F18" s="81">
        <f t="shared" si="3"/>
        <v>2403.9375</v>
      </c>
      <c r="G18" s="81">
        <f t="shared" si="3"/>
        <v>4006.5625</v>
      </c>
      <c r="H18" s="81">
        <f t="shared" si="3"/>
        <v>5609.1875</v>
      </c>
      <c r="I18" s="81">
        <f t="shared" si="3"/>
        <v>7211.8125</v>
      </c>
    </row>
    <row r="19" spans="1:9" ht="12.75">
      <c r="A19" s="4"/>
      <c r="B19" s="4"/>
      <c r="C19" s="110"/>
      <c r="D19" s="110"/>
      <c r="E19" s="110"/>
      <c r="F19" s="110"/>
      <c r="I19" s="4"/>
    </row>
    <row r="20" spans="1:9" ht="12.75">
      <c r="A20" s="4"/>
      <c r="B20" s="4" t="s">
        <v>127</v>
      </c>
      <c r="C20" s="148">
        <f>0</f>
        <v>0</v>
      </c>
      <c r="D20" s="148">
        <f aca="true" t="shared" si="4" ref="D20:I20">C21</f>
        <v>0</v>
      </c>
      <c r="E20" s="148">
        <f t="shared" si="4"/>
        <v>0</v>
      </c>
      <c r="F20" s="148">
        <f t="shared" si="4"/>
        <v>63303.6875</v>
      </c>
      <c r="G20" s="148">
        <f t="shared" si="4"/>
        <v>61701.0625</v>
      </c>
      <c r="H20" s="148">
        <f t="shared" si="4"/>
        <v>60098.4375</v>
      </c>
      <c r="I20" s="148">
        <f t="shared" si="4"/>
        <v>58495.8125</v>
      </c>
    </row>
    <row r="21" spans="1:9" ht="12.75">
      <c r="A21" s="4"/>
      <c r="B21" s="4" t="s">
        <v>128</v>
      </c>
      <c r="C21" s="149">
        <f aca="true" t="shared" si="5" ref="C21:I21">C14-C18</f>
        <v>0</v>
      </c>
      <c r="D21" s="149">
        <f t="shared" si="5"/>
        <v>0</v>
      </c>
      <c r="E21" s="149">
        <f t="shared" si="5"/>
        <v>63303.6875</v>
      </c>
      <c r="F21" s="149">
        <f t="shared" si="5"/>
        <v>61701.0625</v>
      </c>
      <c r="G21" s="149">
        <f t="shared" si="5"/>
        <v>60098.4375</v>
      </c>
      <c r="H21" s="149">
        <f t="shared" si="5"/>
        <v>58495.8125</v>
      </c>
      <c r="I21" s="149">
        <f t="shared" si="5"/>
        <v>56893.1875</v>
      </c>
    </row>
    <row r="22" spans="1:9" ht="13.5" thickBot="1">
      <c r="A22" s="4"/>
      <c r="B22" s="4" t="s">
        <v>129</v>
      </c>
      <c r="C22" s="150">
        <f aca="true" t="shared" si="6" ref="C22:I22">(C21+C20)/2</f>
        <v>0</v>
      </c>
      <c r="D22" s="151">
        <f t="shared" si="6"/>
        <v>0</v>
      </c>
      <c r="E22" s="151">
        <f t="shared" si="6"/>
        <v>31651.84375</v>
      </c>
      <c r="F22" s="151">
        <f t="shared" si="6"/>
        <v>62502.375</v>
      </c>
      <c r="G22" s="151">
        <f t="shared" si="6"/>
        <v>60899.75</v>
      </c>
      <c r="H22" s="151">
        <f t="shared" si="6"/>
        <v>59297.125</v>
      </c>
      <c r="I22" s="151">
        <f t="shared" si="6"/>
        <v>57694.5</v>
      </c>
    </row>
    <row r="23" spans="1:9" ht="12.75">
      <c r="A23" s="4"/>
      <c r="B23" s="4"/>
      <c r="C23" s="75"/>
      <c r="D23" s="75"/>
      <c r="E23" s="4"/>
      <c r="F23" s="4"/>
      <c r="I23" s="4"/>
    </row>
    <row r="24" spans="1:9" ht="18">
      <c r="A24" s="4"/>
      <c r="B24" s="13" t="str">
        <f>"Net Fixed Assets - "&amp;' Assumptions and Data'!B32</f>
        <v>Net Fixed Assets - Computer Hardware</v>
      </c>
      <c r="C24" s="7">
        <f>C10</f>
        <v>2010</v>
      </c>
      <c r="D24" s="7">
        <f aca="true" t="shared" si="7" ref="D24:I24">D10</f>
        <v>2011</v>
      </c>
      <c r="E24" s="7">
        <f t="shared" si="7"/>
        <v>2012</v>
      </c>
      <c r="F24" s="7">
        <f t="shared" si="7"/>
        <v>2013</v>
      </c>
      <c r="G24" s="7">
        <f t="shared" si="7"/>
        <v>2014</v>
      </c>
      <c r="H24" s="7">
        <f t="shared" si="7"/>
        <v>2015</v>
      </c>
      <c r="I24" s="7">
        <f t="shared" si="7"/>
        <v>2016</v>
      </c>
    </row>
    <row r="25" spans="1:9" ht="12.75">
      <c r="A25" s="4"/>
      <c r="B25" s="4"/>
      <c r="C25" s="4"/>
      <c r="D25" s="4"/>
      <c r="E25" s="4"/>
      <c r="F25" s="4"/>
      <c r="I25" s="4"/>
    </row>
    <row r="26" spans="1:9" ht="12.75">
      <c r="A26" s="4"/>
      <c r="B26" s="4" t="s">
        <v>123</v>
      </c>
      <c r="C26" s="81">
        <v>0</v>
      </c>
      <c r="D26" s="81">
        <f aca="true" t="shared" si="8" ref="D26:I26">C28</f>
        <v>0</v>
      </c>
      <c r="E26" s="81">
        <f t="shared" si="8"/>
        <v>0</v>
      </c>
      <c r="F26" s="81">
        <f t="shared" si="8"/>
        <v>0</v>
      </c>
      <c r="G26" s="81">
        <f t="shared" si="8"/>
        <v>0</v>
      </c>
      <c r="H26" s="81">
        <f t="shared" si="8"/>
        <v>0</v>
      </c>
      <c r="I26" s="81">
        <f t="shared" si="8"/>
        <v>0</v>
      </c>
    </row>
    <row r="27" spans="1:9" ht="12.75">
      <c r="A27" s="4"/>
      <c r="B27" s="69" t="s">
        <v>192</v>
      </c>
      <c r="C27" s="146">
        <f>' Assumptions and Data'!C32</f>
        <v>0</v>
      </c>
      <c r="D27" s="146">
        <f>' Assumptions and Data'!D32</f>
        <v>0</v>
      </c>
      <c r="E27" s="146"/>
      <c r="F27" s="146">
        <f>' Assumptions and Data'!F32</f>
        <v>0</v>
      </c>
      <c r="G27" s="146">
        <f>' Assumptions and Data'!G32</f>
        <v>0</v>
      </c>
      <c r="H27" s="146">
        <f>' Assumptions and Data'!H32</f>
        <v>0</v>
      </c>
      <c r="I27" s="146">
        <f>' Assumptions and Data'!I32</f>
        <v>0</v>
      </c>
    </row>
    <row r="28" spans="1:9" ht="12.75">
      <c r="A28" s="4"/>
      <c r="B28" s="4" t="s">
        <v>124</v>
      </c>
      <c r="C28" s="81">
        <f aca="true" t="shared" si="9" ref="C28:I28">SUM(C26:C27)</f>
        <v>0</v>
      </c>
      <c r="D28" s="81">
        <f t="shared" si="9"/>
        <v>0</v>
      </c>
      <c r="E28" s="81">
        <f t="shared" si="9"/>
        <v>0</v>
      </c>
      <c r="F28" s="81">
        <f t="shared" si="9"/>
        <v>0</v>
      </c>
      <c r="G28" s="81">
        <f t="shared" si="9"/>
        <v>0</v>
      </c>
      <c r="H28" s="81">
        <f t="shared" si="9"/>
        <v>0</v>
      </c>
      <c r="I28" s="81">
        <f t="shared" si="9"/>
        <v>0</v>
      </c>
    </row>
    <row r="29" spans="1:9" ht="12.75">
      <c r="A29" s="4"/>
      <c r="B29" s="4"/>
      <c r="C29" s="76"/>
      <c r="D29" s="76"/>
      <c r="E29" s="76"/>
      <c r="F29" s="76"/>
      <c r="I29" s="4"/>
    </row>
    <row r="30" spans="1:9" ht="12.75">
      <c r="A30" s="4"/>
      <c r="B30" s="4" t="s">
        <v>125</v>
      </c>
      <c r="C30" s="81">
        <v>0</v>
      </c>
      <c r="D30" s="81">
        <f aca="true" t="shared" si="10" ref="D30:I30">C32</f>
        <v>0</v>
      </c>
      <c r="E30" s="81">
        <f t="shared" si="10"/>
        <v>0</v>
      </c>
      <c r="F30" s="81">
        <f t="shared" si="10"/>
        <v>0</v>
      </c>
      <c r="G30" s="81">
        <f t="shared" si="10"/>
        <v>0</v>
      </c>
      <c r="H30" s="81">
        <f t="shared" si="10"/>
        <v>0</v>
      </c>
      <c r="I30" s="81">
        <f t="shared" si="10"/>
        <v>0</v>
      </c>
    </row>
    <row r="31" spans="1:9" ht="12.75">
      <c r="A31" s="4"/>
      <c r="B31" s="69" t="str">
        <f>"Amortization Year 1 ("&amp;' Assumptions and Data'!$C$39&amp;" Years  Straight Line)"</f>
        <v>Amortization Year 1 (5 Years  Straight Line)</v>
      </c>
      <c r="C31" s="174">
        <f>IF(C30+(C26/' Assumptions and Data'!$C$39)+(C27/' Assumptions and Data'!$C$39/2)&lt;C28,(C26/' Assumptions and Data'!$C$39)+(C27/' Assumptions and Data'!$C$39/2),C28-C30)</f>
        <v>0</v>
      </c>
      <c r="D31" s="174">
        <f>IF(D30+(D26/' Assumptions and Data'!$C$39)+(D27/' Assumptions and Data'!$C$39/2)&lt;D28,(D26/' Assumptions and Data'!$C$39)+(D27/' Assumptions and Data'!$C$39/2),D28-D30)</f>
        <v>0</v>
      </c>
      <c r="E31" s="174">
        <f>IF(E30+(E26/' Assumptions and Data'!$C$39)+(E27/' Assumptions and Data'!$C$39/2)&lt;E28,(E26/' Assumptions and Data'!$C$39)+(E27/' Assumptions and Data'!$C$39/2),E28-E30)</f>
        <v>0</v>
      </c>
      <c r="F31" s="174">
        <f>IF(F30+(F26/' Assumptions and Data'!$C$39)+(F27/' Assumptions and Data'!$C$39/2)&lt;F28,(F26/' Assumptions and Data'!$C$39)+(F27/' Assumptions and Data'!$C$39/2),F28-F30)</f>
        <v>0</v>
      </c>
      <c r="G31" s="174">
        <f>IF(G30+(G26/' Assumptions and Data'!$C$39)+(G27/' Assumptions and Data'!$C$39/2)&lt;G28,(G26/' Assumptions and Data'!$C$39)+(G27/' Assumptions and Data'!$C$39/2),G28-G30)</f>
        <v>0</v>
      </c>
      <c r="H31" s="174">
        <f>IF(H30+(H26/' Assumptions and Data'!$C$39)+(H27/' Assumptions and Data'!$C$39/2)&lt;H28,(H26/' Assumptions and Data'!$C$39)+(H27/' Assumptions and Data'!$C$39/2),H28-H30)</f>
        <v>0</v>
      </c>
      <c r="I31" s="174">
        <f>IF(I30+(I26/' Assumptions and Data'!$C$39)+(I27/' Assumptions and Data'!$C$39/2)&lt;I28,(I26/' Assumptions and Data'!$C$39)+(I27/' Assumptions and Data'!$C$39/2),I28-I30)</f>
        <v>0</v>
      </c>
    </row>
    <row r="32" spans="1:9" ht="12.75">
      <c r="A32" s="4"/>
      <c r="B32" s="4" t="s">
        <v>126</v>
      </c>
      <c r="C32" s="81">
        <f aca="true" t="shared" si="11" ref="C32:I32">SUM(C30:C31)</f>
        <v>0</v>
      </c>
      <c r="D32" s="81">
        <f t="shared" si="11"/>
        <v>0</v>
      </c>
      <c r="E32" s="81">
        <f t="shared" si="11"/>
        <v>0</v>
      </c>
      <c r="F32" s="81">
        <f t="shared" si="11"/>
        <v>0</v>
      </c>
      <c r="G32" s="81">
        <f t="shared" si="11"/>
        <v>0</v>
      </c>
      <c r="H32" s="81">
        <f t="shared" si="11"/>
        <v>0</v>
      </c>
      <c r="I32" s="81">
        <f t="shared" si="11"/>
        <v>0</v>
      </c>
    </row>
    <row r="33" spans="1:9" ht="12.75">
      <c r="A33" s="4"/>
      <c r="B33" s="4"/>
      <c r="C33" s="81"/>
      <c r="D33" s="81"/>
      <c r="E33" s="81"/>
      <c r="F33" s="81"/>
      <c r="I33" s="4"/>
    </row>
    <row r="34" spans="1:9" ht="12.75">
      <c r="A34" s="4"/>
      <c r="B34" s="4" t="s">
        <v>127</v>
      </c>
      <c r="C34" s="30">
        <f>0</f>
        <v>0</v>
      </c>
      <c r="D34" s="30">
        <f aca="true" t="shared" si="12" ref="D34:I34">C35</f>
        <v>0</v>
      </c>
      <c r="E34" s="30">
        <f t="shared" si="12"/>
        <v>0</v>
      </c>
      <c r="F34" s="30">
        <f t="shared" si="12"/>
        <v>0</v>
      </c>
      <c r="G34" s="30">
        <f t="shared" si="12"/>
        <v>0</v>
      </c>
      <c r="H34" s="30">
        <f t="shared" si="12"/>
        <v>0</v>
      </c>
      <c r="I34" s="30">
        <f t="shared" si="12"/>
        <v>0</v>
      </c>
    </row>
    <row r="35" spans="1:9" ht="12.75">
      <c r="A35" s="4"/>
      <c r="B35" s="4" t="s">
        <v>128</v>
      </c>
      <c r="C35" s="149">
        <f aca="true" t="shared" si="13" ref="C35:I35">C28-C32</f>
        <v>0</v>
      </c>
      <c r="D35" s="149">
        <f t="shared" si="13"/>
        <v>0</v>
      </c>
      <c r="E35" s="149">
        <f t="shared" si="13"/>
        <v>0</v>
      </c>
      <c r="F35" s="149">
        <f t="shared" si="13"/>
        <v>0</v>
      </c>
      <c r="G35" s="149">
        <f t="shared" si="13"/>
        <v>0</v>
      </c>
      <c r="H35" s="149">
        <f t="shared" si="13"/>
        <v>0</v>
      </c>
      <c r="I35" s="149">
        <f t="shared" si="13"/>
        <v>0</v>
      </c>
    </row>
    <row r="36" spans="1:9" ht="13.5" thickBot="1">
      <c r="A36" s="4"/>
      <c r="B36" s="4" t="s">
        <v>129</v>
      </c>
      <c r="C36" s="150">
        <f aca="true" t="shared" si="14" ref="C36:I36">(C35+C34)/2</f>
        <v>0</v>
      </c>
      <c r="D36" s="150">
        <f t="shared" si="14"/>
        <v>0</v>
      </c>
      <c r="E36" s="150">
        <f t="shared" si="14"/>
        <v>0</v>
      </c>
      <c r="F36" s="150">
        <f t="shared" si="14"/>
        <v>0</v>
      </c>
      <c r="G36" s="150">
        <f t="shared" si="14"/>
        <v>0</v>
      </c>
      <c r="H36" s="150">
        <f t="shared" si="14"/>
        <v>0</v>
      </c>
      <c r="I36" s="150">
        <f t="shared" si="14"/>
        <v>0</v>
      </c>
    </row>
    <row r="37" spans="1:9" ht="12.75">
      <c r="A37" s="4"/>
      <c r="B37" s="4"/>
      <c r="C37" s="4"/>
      <c r="D37" s="4"/>
      <c r="E37" s="4"/>
      <c r="F37" s="4"/>
      <c r="I37" s="4"/>
    </row>
    <row r="38" spans="1:9" ht="18">
      <c r="A38" s="4"/>
      <c r="B38" s="13" t="str">
        <f>"Net Fixed Assets - "&amp;' Assumptions and Data'!B33</f>
        <v>Net Fixed Assets - Computer Software</v>
      </c>
      <c r="C38" s="7">
        <f>C24</f>
        <v>2010</v>
      </c>
      <c r="D38" s="7">
        <f aca="true" t="shared" si="15" ref="D38:I38">D24</f>
        <v>2011</v>
      </c>
      <c r="E38" s="7">
        <f t="shared" si="15"/>
        <v>2012</v>
      </c>
      <c r="F38" s="7">
        <f t="shared" si="15"/>
        <v>2013</v>
      </c>
      <c r="G38" s="7">
        <f t="shared" si="15"/>
        <v>2014</v>
      </c>
      <c r="H38" s="7">
        <f t="shared" si="15"/>
        <v>2015</v>
      </c>
      <c r="I38" s="7">
        <f t="shared" si="15"/>
        <v>2016</v>
      </c>
    </row>
    <row r="39" spans="1:9" ht="12.75">
      <c r="A39" s="4"/>
      <c r="B39" s="4"/>
      <c r="C39" s="4"/>
      <c r="D39" s="4"/>
      <c r="E39" s="4"/>
      <c r="F39" s="4"/>
      <c r="I39" s="4"/>
    </row>
    <row r="40" spans="1:9" ht="12.75">
      <c r="A40" s="4"/>
      <c r="B40" s="4" t="s">
        <v>123</v>
      </c>
      <c r="C40" s="81">
        <v>0</v>
      </c>
      <c r="D40" s="81">
        <f aca="true" t="shared" si="16" ref="D40:I40">C42</f>
        <v>0</v>
      </c>
      <c r="E40" s="81">
        <f t="shared" si="16"/>
        <v>0</v>
      </c>
      <c r="F40" s="81">
        <f t="shared" si="16"/>
        <v>0</v>
      </c>
      <c r="G40" s="81">
        <f t="shared" si="16"/>
        <v>0</v>
      </c>
      <c r="H40" s="81">
        <f t="shared" si="16"/>
        <v>0</v>
      </c>
      <c r="I40" s="81">
        <f t="shared" si="16"/>
        <v>0</v>
      </c>
    </row>
    <row r="41" spans="1:9" ht="12.75">
      <c r="A41" s="4"/>
      <c r="B41" s="69" t="s">
        <v>192</v>
      </c>
      <c r="C41" s="145">
        <f>' Assumptions and Data'!C33</f>
        <v>0</v>
      </c>
      <c r="D41" s="145">
        <f>' Assumptions and Data'!D33</f>
        <v>0</v>
      </c>
      <c r="E41" s="145">
        <f>' Assumptions and Data'!E33</f>
        <v>0</v>
      </c>
      <c r="F41" s="145">
        <f>' Assumptions and Data'!F33</f>
        <v>0</v>
      </c>
      <c r="G41" s="145">
        <f>' Assumptions and Data'!G33</f>
        <v>0</v>
      </c>
      <c r="H41" s="145">
        <f>' Assumptions and Data'!H33</f>
        <v>0</v>
      </c>
      <c r="I41" s="145">
        <f>' Assumptions and Data'!I33</f>
        <v>0</v>
      </c>
    </row>
    <row r="42" spans="1:9" ht="12.75">
      <c r="A42" s="4"/>
      <c r="B42" s="4" t="s">
        <v>124</v>
      </c>
      <c r="C42" s="81">
        <f aca="true" t="shared" si="17" ref="C42:I42">SUM(C40:C41)</f>
        <v>0</v>
      </c>
      <c r="D42" s="81">
        <f t="shared" si="17"/>
        <v>0</v>
      </c>
      <c r="E42" s="81">
        <f t="shared" si="17"/>
        <v>0</v>
      </c>
      <c r="F42" s="81">
        <f t="shared" si="17"/>
        <v>0</v>
      </c>
      <c r="G42" s="81">
        <f t="shared" si="17"/>
        <v>0</v>
      </c>
      <c r="H42" s="81">
        <f t="shared" si="17"/>
        <v>0</v>
      </c>
      <c r="I42" s="81">
        <f t="shared" si="17"/>
        <v>0</v>
      </c>
    </row>
    <row r="43" spans="1:9" ht="12.75">
      <c r="A43" s="4"/>
      <c r="B43" s="4"/>
      <c r="C43" s="76"/>
      <c r="D43" s="76"/>
      <c r="E43" s="76"/>
      <c r="F43" s="76"/>
      <c r="G43" s="76"/>
      <c r="H43" s="76"/>
      <c r="I43" s="76"/>
    </row>
    <row r="44" spans="1:9" ht="12.75">
      <c r="A44" s="4"/>
      <c r="B44" s="4" t="s">
        <v>125</v>
      </c>
      <c r="C44" s="81">
        <v>0</v>
      </c>
      <c r="D44" s="81">
        <f aca="true" t="shared" si="18" ref="D44:I44">C46</f>
        <v>0</v>
      </c>
      <c r="E44" s="81">
        <f t="shared" si="18"/>
        <v>0</v>
      </c>
      <c r="F44" s="81">
        <f t="shared" si="18"/>
        <v>0</v>
      </c>
      <c r="G44" s="81">
        <f t="shared" si="18"/>
        <v>0</v>
      </c>
      <c r="H44" s="81">
        <f t="shared" si="18"/>
        <v>0</v>
      </c>
      <c r="I44" s="81">
        <f t="shared" si="18"/>
        <v>0</v>
      </c>
    </row>
    <row r="45" spans="1:9" ht="12.75">
      <c r="A45" s="4"/>
      <c r="B45" s="69" t="str">
        <f>"Amortization Year 1 ("&amp;' Assumptions and Data'!$C$40&amp;" Years Straight Line)"</f>
        <v>Amortization Year 1 (4 Years Straight Line)</v>
      </c>
      <c r="C45" s="174">
        <f>IF(C44+(C40/' Assumptions and Data'!$C$40)+(C41/' Assumptions and Data'!$C$40/2)&lt;C42,(C40/' Assumptions and Data'!$C$40)+(C41/' Assumptions and Data'!$C$40/2),C42-C44)</f>
        <v>0</v>
      </c>
      <c r="D45" s="174">
        <f>IF(D44+(D40/' Assumptions and Data'!$C$40)+(D41/' Assumptions and Data'!$C$40/2)&lt;D42,(D40/' Assumptions and Data'!$C$40)+(D41/' Assumptions and Data'!$C$40/2),D42-D44)</f>
        <v>0</v>
      </c>
      <c r="E45" s="174">
        <f>IF(E44+(E40/' Assumptions and Data'!$C$40)+(E41/' Assumptions and Data'!$C$40/2)&lt;E42,(E40/' Assumptions and Data'!$C$40)+(E41/' Assumptions and Data'!$C$40/2),E42-E44)</f>
        <v>0</v>
      </c>
      <c r="F45" s="174">
        <f>IF(F44+(F40/' Assumptions and Data'!$C$40)+(F41/' Assumptions and Data'!$C$40/2)&lt;F42,(F40/' Assumptions and Data'!$C$40)+(F41/' Assumptions and Data'!$C$40/2),F42-F44)</f>
        <v>0</v>
      </c>
      <c r="G45" s="174">
        <f>IF(G44+(G40/' Assumptions and Data'!$C$40)+(G41/' Assumptions and Data'!$C$40/2)&lt;G42,(G40/' Assumptions and Data'!$C$40)+(G41/' Assumptions and Data'!$C$40/2),G42-G44)</f>
        <v>0</v>
      </c>
      <c r="H45" s="174">
        <f>IF(H44+(H40/' Assumptions and Data'!$C$40)+(H41/' Assumptions and Data'!$C$40/2)&lt;H42,(H40/' Assumptions and Data'!$C$40)+(H41/' Assumptions and Data'!$C$40/2),H42-H44)</f>
        <v>0</v>
      </c>
      <c r="I45" s="174">
        <f>IF(I44+(I40/' Assumptions and Data'!$C$40)+(I41/' Assumptions and Data'!$C$40/2)&lt;I42,(I40/' Assumptions and Data'!$C$40)+(I41/' Assumptions and Data'!$C$40/2),I42-I44)</f>
        <v>0</v>
      </c>
    </row>
    <row r="46" spans="1:9" ht="12.75">
      <c r="A46" s="4"/>
      <c r="B46" s="4" t="s">
        <v>126</v>
      </c>
      <c r="C46" s="81">
        <f aca="true" t="shared" si="19" ref="C46:I46">SUM(C44:C45)</f>
        <v>0</v>
      </c>
      <c r="D46" s="81">
        <f t="shared" si="19"/>
        <v>0</v>
      </c>
      <c r="E46" s="81">
        <f t="shared" si="19"/>
        <v>0</v>
      </c>
      <c r="F46" s="81">
        <f t="shared" si="19"/>
        <v>0</v>
      </c>
      <c r="G46" s="81">
        <f t="shared" si="19"/>
        <v>0</v>
      </c>
      <c r="H46" s="81">
        <f t="shared" si="19"/>
        <v>0</v>
      </c>
      <c r="I46" s="81">
        <f t="shared" si="19"/>
        <v>0</v>
      </c>
    </row>
    <row r="47" spans="1:9" ht="12.75">
      <c r="A47" s="4"/>
      <c r="B47" s="4"/>
      <c r="C47" s="81"/>
      <c r="D47" s="81"/>
      <c r="E47" s="81"/>
      <c r="F47" s="81"/>
      <c r="G47" s="81"/>
      <c r="H47" s="81"/>
      <c r="I47" s="81"/>
    </row>
    <row r="48" spans="1:9" ht="12.75">
      <c r="A48" s="4"/>
      <c r="B48" s="4" t="s">
        <v>127</v>
      </c>
      <c r="C48" s="148">
        <f>0</f>
        <v>0</v>
      </c>
      <c r="D48" s="148">
        <f aca="true" t="shared" si="20" ref="D48:I48">C49</f>
        <v>0</v>
      </c>
      <c r="E48" s="148">
        <f t="shared" si="20"/>
        <v>0</v>
      </c>
      <c r="F48" s="148">
        <f t="shared" si="20"/>
        <v>0</v>
      </c>
      <c r="G48" s="148">
        <f t="shared" si="20"/>
        <v>0</v>
      </c>
      <c r="H48" s="148">
        <f t="shared" si="20"/>
        <v>0</v>
      </c>
      <c r="I48" s="148">
        <f t="shared" si="20"/>
        <v>0</v>
      </c>
    </row>
    <row r="49" spans="1:9" ht="12.75">
      <c r="A49" s="4"/>
      <c r="B49" s="4" t="s">
        <v>128</v>
      </c>
      <c r="C49" s="149">
        <f aca="true" t="shared" si="21" ref="C49:I49">C42-C46</f>
        <v>0</v>
      </c>
      <c r="D49" s="149">
        <f t="shared" si="21"/>
        <v>0</v>
      </c>
      <c r="E49" s="149">
        <f t="shared" si="21"/>
        <v>0</v>
      </c>
      <c r="F49" s="149">
        <f t="shared" si="21"/>
        <v>0</v>
      </c>
      <c r="G49" s="149">
        <f t="shared" si="21"/>
        <v>0</v>
      </c>
      <c r="H49" s="149">
        <f t="shared" si="21"/>
        <v>0</v>
      </c>
      <c r="I49" s="149">
        <f t="shared" si="21"/>
        <v>0</v>
      </c>
    </row>
    <row r="50" spans="1:9" ht="13.5" thickBot="1">
      <c r="A50" s="4"/>
      <c r="B50" s="4" t="s">
        <v>129</v>
      </c>
      <c r="C50" s="150">
        <f aca="true" t="shared" si="22" ref="C50:I50">(C49+C48)/2</f>
        <v>0</v>
      </c>
      <c r="D50" s="150">
        <f t="shared" si="22"/>
        <v>0</v>
      </c>
      <c r="E50" s="150">
        <f t="shared" si="22"/>
        <v>0</v>
      </c>
      <c r="F50" s="150">
        <f t="shared" si="22"/>
        <v>0</v>
      </c>
      <c r="G50" s="150">
        <f t="shared" si="22"/>
        <v>0</v>
      </c>
      <c r="H50" s="150">
        <f t="shared" si="22"/>
        <v>0</v>
      </c>
      <c r="I50" s="150">
        <f t="shared" si="22"/>
        <v>0</v>
      </c>
    </row>
    <row r="51" spans="1:9" ht="12.75">
      <c r="A51" s="4"/>
      <c r="B51" s="4"/>
      <c r="C51" s="75"/>
      <c r="D51" s="75"/>
      <c r="E51" s="4"/>
      <c r="F51" s="4"/>
      <c r="I51" s="4"/>
    </row>
    <row r="52" spans="1:9" ht="12.75">
      <c r="A52" s="4"/>
      <c r="B52" s="4"/>
      <c r="C52" s="75"/>
      <c r="D52" s="75"/>
      <c r="E52" s="4"/>
      <c r="F52" s="4"/>
      <c r="I52" s="4"/>
    </row>
    <row r="53" spans="1:9" ht="18">
      <c r="A53" s="4"/>
      <c r="B53" s="13" t="str">
        <f>+" Net Fixed Assets - "&amp;' Assumptions and Data'!B34</f>
        <v> Net Fixed Assets - Vehicles</v>
      </c>
      <c r="C53" s="7">
        <f>C38</f>
        <v>2010</v>
      </c>
      <c r="D53" s="7">
        <f aca="true" t="shared" si="23" ref="D53:I53">D38</f>
        <v>2011</v>
      </c>
      <c r="E53" s="7">
        <f t="shared" si="23"/>
        <v>2012</v>
      </c>
      <c r="F53" s="7">
        <f t="shared" si="23"/>
        <v>2013</v>
      </c>
      <c r="G53" s="7">
        <f t="shared" si="23"/>
        <v>2014</v>
      </c>
      <c r="H53" s="7">
        <f t="shared" si="23"/>
        <v>2015</v>
      </c>
      <c r="I53" s="7">
        <f t="shared" si="23"/>
        <v>2016</v>
      </c>
    </row>
    <row r="54" spans="1:9" ht="12.75">
      <c r="A54" s="4"/>
      <c r="B54" s="4"/>
      <c r="C54" s="4"/>
      <c r="D54" s="4"/>
      <c r="E54" s="4"/>
      <c r="F54" s="4"/>
      <c r="I54" s="4"/>
    </row>
    <row r="55" spans="1:9" ht="12.75">
      <c r="A55" s="4"/>
      <c r="B55" s="4" t="s">
        <v>123</v>
      </c>
      <c r="C55" s="81">
        <v>0</v>
      </c>
      <c r="D55" s="81">
        <f aca="true" t="shared" si="24" ref="D55:I55">C57</f>
        <v>0</v>
      </c>
      <c r="E55" s="81">
        <f t="shared" si="24"/>
        <v>0</v>
      </c>
      <c r="F55" s="81">
        <f t="shared" si="24"/>
        <v>40898</v>
      </c>
      <c r="G55" s="81">
        <f t="shared" si="24"/>
        <v>40898</v>
      </c>
      <c r="H55" s="81">
        <f t="shared" si="24"/>
        <v>40898</v>
      </c>
      <c r="I55" s="81">
        <f t="shared" si="24"/>
        <v>40898</v>
      </c>
    </row>
    <row r="56" spans="1:9" ht="12.75">
      <c r="A56" s="4"/>
      <c r="B56" s="69" t="s">
        <v>192</v>
      </c>
      <c r="C56" s="145">
        <f>' Assumptions and Data'!C34</f>
        <v>0</v>
      </c>
      <c r="D56" s="145">
        <f>' Assumptions and Data'!D34</f>
        <v>0</v>
      </c>
      <c r="E56" s="145">
        <f>' Assumptions and Data'!E34</f>
        <v>40898</v>
      </c>
      <c r="F56" s="145">
        <f>' Assumptions and Data'!F34</f>
        <v>0</v>
      </c>
      <c r="G56" s="145">
        <f>' Assumptions and Data'!G34</f>
        <v>0</v>
      </c>
      <c r="H56" s="145">
        <f>' Assumptions and Data'!H34</f>
        <v>0</v>
      </c>
      <c r="I56" s="145">
        <f>' Assumptions and Data'!I34</f>
        <v>0</v>
      </c>
    </row>
    <row r="57" spans="1:9" ht="12.75">
      <c r="A57" s="4"/>
      <c r="B57" s="4" t="s">
        <v>124</v>
      </c>
      <c r="C57" s="81">
        <f aca="true" t="shared" si="25" ref="C57:I57">SUM(C55:C56)</f>
        <v>0</v>
      </c>
      <c r="D57" s="81">
        <f t="shared" si="25"/>
        <v>0</v>
      </c>
      <c r="E57" s="81">
        <f t="shared" si="25"/>
        <v>40898</v>
      </c>
      <c r="F57" s="81">
        <f t="shared" si="25"/>
        <v>40898</v>
      </c>
      <c r="G57" s="81">
        <f t="shared" si="25"/>
        <v>40898</v>
      </c>
      <c r="H57" s="81">
        <f t="shared" si="25"/>
        <v>40898</v>
      </c>
      <c r="I57" s="81">
        <f t="shared" si="25"/>
        <v>40898</v>
      </c>
    </row>
    <row r="58" spans="1:9" ht="12.75">
      <c r="A58" s="4"/>
      <c r="B58" s="4"/>
      <c r="C58" s="76"/>
      <c r="D58" s="76"/>
      <c r="E58" s="76"/>
      <c r="F58" s="76"/>
      <c r="I58" s="4"/>
    </row>
    <row r="59" spans="1:9" ht="12.75">
      <c r="A59" s="4"/>
      <c r="B59" s="4" t="s">
        <v>125</v>
      </c>
      <c r="C59" s="81">
        <v>0</v>
      </c>
      <c r="D59" s="81">
        <f aca="true" t="shared" si="26" ref="D59:I59">C61</f>
        <v>0</v>
      </c>
      <c r="E59" s="81">
        <f t="shared" si="26"/>
        <v>0</v>
      </c>
      <c r="F59" s="81">
        <f t="shared" si="26"/>
        <v>2921.285714285714</v>
      </c>
      <c r="G59" s="81">
        <f t="shared" si="26"/>
        <v>8763.857142857143</v>
      </c>
      <c r="H59" s="81">
        <f t="shared" si="26"/>
        <v>14606.428571428572</v>
      </c>
      <c r="I59" s="81">
        <f t="shared" si="26"/>
        <v>20449</v>
      </c>
    </row>
    <row r="60" spans="1:9" ht="12.75">
      <c r="A60" s="4"/>
      <c r="B60" s="175" t="str">
        <f>"Amortization Year 1 ("&amp;' Assumptions and Data'!$C$41&amp;" Years Straight Line)"</f>
        <v>Amortization Year 1 (7 Years Straight Line)</v>
      </c>
      <c r="C60" s="174">
        <f>IF(C59+(C55/' Assumptions and Data'!$C$41)+(C56/' Assumptions and Data'!$C$41/2)&lt;C57,(C55/' Assumptions and Data'!$C$41)+(C56/' Assumptions and Data'!$C$41/2),C57-C59)</f>
        <v>0</v>
      </c>
      <c r="D60" s="174">
        <f>IF(D59+(D55/' Assumptions and Data'!$C$41)+(D56/' Assumptions and Data'!$C$41/2)&lt;D57,(D55/' Assumptions and Data'!$C$41)+(D56/' Assumptions and Data'!$C$41/2),D57-D59)</f>
        <v>0</v>
      </c>
      <c r="E60" s="174">
        <f>IF(E59+(E55/' Assumptions and Data'!$C$41)+(E56/' Assumptions and Data'!$C$41/2)&lt;E57,(E55/' Assumptions and Data'!$C$41)+(E56/' Assumptions and Data'!$C$41/2),E57-E59)</f>
        <v>2921.285714285714</v>
      </c>
      <c r="F60" s="174">
        <f>IF(F59+(F55/' Assumptions and Data'!$C$41)+(F56/' Assumptions and Data'!$C$41/2)&lt;F57,(F55/' Assumptions and Data'!$C$41)+(F56/' Assumptions and Data'!$C$41/2),F57-F59)</f>
        <v>5842.571428571428</v>
      </c>
      <c r="G60" s="174">
        <f>IF(G59+(G55/' Assumptions and Data'!$C$41)+(G56/' Assumptions and Data'!$C$41/2)&lt;G57,(G55/' Assumptions and Data'!$C$41)+(G56/' Assumptions and Data'!$C$41/2),G57-G59)</f>
        <v>5842.571428571428</v>
      </c>
      <c r="H60" s="174">
        <f>IF(H59+(H55/' Assumptions and Data'!$C$41)+(H56/' Assumptions and Data'!$C$41/2)&lt;H57,(H55/' Assumptions and Data'!$C$41)+(H56/' Assumptions and Data'!$C$41/2),H57-H59)</f>
        <v>5842.571428571428</v>
      </c>
      <c r="I60" s="174">
        <f>IF(I59+(I55/' Assumptions and Data'!$C$41)+(I56/' Assumptions and Data'!$C$41/2)&lt;I57,(I55/' Assumptions and Data'!$C$41)+(I56/' Assumptions and Data'!$C$41/2),I57-I59)</f>
        <v>5842.571428571428</v>
      </c>
    </row>
    <row r="61" spans="1:9" ht="12.75">
      <c r="A61" s="4"/>
      <c r="B61" s="4" t="s">
        <v>126</v>
      </c>
      <c r="C61" s="81">
        <f aca="true" t="shared" si="27" ref="C61:I61">SUM(C59:C60)</f>
        <v>0</v>
      </c>
      <c r="D61" s="81">
        <f t="shared" si="27"/>
        <v>0</v>
      </c>
      <c r="E61" s="81">
        <f t="shared" si="27"/>
        <v>2921.285714285714</v>
      </c>
      <c r="F61" s="81">
        <f t="shared" si="27"/>
        <v>8763.857142857143</v>
      </c>
      <c r="G61" s="81">
        <f t="shared" si="27"/>
        <v>14606.428571428572</v>
      </c>
      <c r="H61" s="81">
        <f t="shared" si="27"/>
        <v>20449</v>
      </c>
      <c r="I61" s="81">
        <f t="shared" si="27"/>
        <v>26291.571428571428</v>
      </c>
    </row>
    <row r="62" spans="1:9" ht="12.75">
      <c r="A62" s="4"/>
      <c r="B62" s="4"/>
      <c r="C62" s="81"/>
      <c r="D62" s="81"/>
      <c r="E62" s="81"/>
      <c r="F62" s="81"/>
      <c r="I62" s="4"/>
    </row>
    <row r="63" spans="1:9" ht="12.75">
      <c r="A63" s="4"/>
      <c r="B63" s="4" t="s">
        <v>127</v>
      </c>
      <c r="C63" s="30">
        <f>0</f>
        <v>0</v>
      </c>
      <c r="D63" s="30">
        <f aca="true" t="shared" si="28" ref="D63:I63">C64</f>
        <v>0</v>
      </c>
      <c r="E63" s="30">
        <f t="shared" si="28"/>
        <v>0</v>
      </c>
      <c r="F63" s="30">
        <f t="shared" si="28"/>
        <v>37976.71428571428</v>
      </c>
      <c r="G63" s="30">
        <f t="shared" si="28"/>
        <v>32134.142857142855</v>
      </c>
      <c r="H63" s="30">
        <f t="shared" si="28"/>
        <v>26291.571428571428</v>
      </c>
      <c r="I63" s="30">
        <f t="shared" si="28"/>
        <v>20449</v>
      </c>
    </row>
    <row r="64" spans="1:9" ht="12.75">
      <c r="A64" s="4"/>
      <c r="B64" s="4" t="s">
        <v>128</v>
      </c>
      <c r="C64" s="81">
        <f aca="true" t="shared" si="29" ref="C64:I64">C57-C61</f>
        <v>0</v>
      </c>
      <c r="D64" s="149">
        <f t="shared" si="29"/>
        <v>0</v>
      </c>
      <c r="E64" s="149">
        <f t="shared" si="29"/>
        <v>37976.71428571428</v>
      </c>
      <c r="F64" s="149">
        <f t="shared" si="29"/>
        <v>32134.142857142855</v>
      </c>
      <c r="G64" s="149">
        <f t="shared" si="29"/>
        <v>26291.571428571428</v>
      </c>
      <c r="H64" s="149">
        <f t="shared" si="29"/>
        <v>20449</v>
      </c>
      <c r="I64" s="149">
        <f t="shared" si="29"/>
        <v>14606.428571428572</v>
      </c>
    </row>
    <row r="65" spans="1:9" ht="13.5" thickBot="1">
      <c r="A65" s="4"/>
      <c r="B65" s="4" t="s">
        <v>129</v>
      </c>
      <c r="C65" s="112">
        <f aca="true" t="shared" si="30" ref="C65:I65">(C64+C63)/2</f>
        <v>0</v>
      </c>
      <c r="D65" s="150">
        <f t="shared" si="30"/>
        <v>0</v>
      </c>
      <c r="E65" s="150">
        <f t="shared" si="30"/>
        <v>18988.35714285714</v>
      </c>
      <c r="F65" s="150">
        <f t="shared" si="30"/>
        <v>35055.428571428565</v>
      </c>
      <c r="G65" s="150">
        <f t="shared" si="30"/>
        <v>29212.85714285714</v>
      </c>
      <c r="H65" s="150">
        <f t="shared" si="30"/>
        <v>23370.285714285714</v>
      </c>
      <c r="I65" s="150">
        <f t="shared" si="30"/>
        <v>17527.714285714286</v>
      </c>
    </row>
    <row r="66" spans="1:9" ht="12.75">
      <c r="A66" s="4"/>
      <c r="B66" s="4"/>
      <c r="C66" s="75"/>
      <c r="D66" s="75"/>
      <c r="E66" s="4"/>
      <c r="F66" s="4"/>
      <c r="I66" s="4"/>
    </row>
    <row r="67" spans="1:9" ht="18" hidden="1" outlineLevel="1">
      <c r="A67" s="4"/>
      <c r="B67" s="13" t="s">
        <v>133</v>
      </c>
      <c r="C67" s="7">
        <f>C53</f>
        <v>2010</v>
      </c>
      <c r="D67" s="7">
        <f aca="true" t="shared" si="31" ref="D67:I67">D53</f>
        <v>2011</v>
      </c>
      <c r="E67" s="7">
        <f t="shared" si="31"/>
        <v>2012</v>
      </c>
      <c r="F67" s="7">
        <f t="shared" si="31"/>
        <v>2013</v>
      </c>
      <c r="G67" s="7">
        <f t="shared" si="31"/>
        <v>2014</v>
      </c>
      <c r="H67" s="7">
        <f t="shared" si="31"/>
        <v>2015</v>
      </c>
      <c r="I67" s="7">
        <f t="shared" si="31"/>
        <v>2016</v>
      </c>
    </row>
    <row r="68" spans="1:9" ht="12.75" hidden="1" outlineLevel="1">
      <c r="A68" s="4"/>
      <c r="B68" s="4"/>
      <c r="C68" s="4"/>
      <c r="D68" s="4"/>
      <c r="E68" s="4"/>
      <c r="F68" s="4"/>
      <c r="I68" s="4"/>
    </row>
    <row r="69" spans="1:9" ht="12.75" hidden="1" outlineLevel="1">
      <c r="A69" s="4"/>
      <c r="B69" s="4" t="s">
        <v>123</v>
      </c>
      <c r="C69" s="81">
        <v>0</v>
      </c>
      <c r="D69" s="81">
        <f aca="true" t="shared" si="32" ref="D69:I69">C71</f>
        <v>0</v>
      </c>
      <c r="E69" s="81">
        <f t="shared" si="32"/>
        <v>0</v>
      </c>
      <c r="F69" s="81">
        <f t="shared" si="32"/>
        <v>0</v>
      </c>
      <c r="G69" s="81">
        <f t="shared" si="32"/>
        <v>0</v>
      </c>
      <c r="H69" s="81">
        <f t="shared" si="32"/>
        <v>0</v>
      </c>
      <c r="I69" s="81">
        <f t="shared" si="32"/>
        <v>0</v>
      </c>
    </row>
    <row r="70" spans="1:9" ht="12.75" hidden="1" outlineLevel="1">
      <c r="A70" s="4"/>
      <c r="B70" s="69" t="s">
        <v>192</v>
      </c>
      <c r="C70" s="145">
        <v>0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145">
        <v>0</v>
      </c>
    </row>
    <row r="71" spans="1:9" ht="12.75" hidden="1" outlineLevel="1">
      <c r="A71" s="4"/>
      <c r="B71" s="4" t="s">
        <v>124</v>
      </c>
      <c r="C71" s="81">
        <f aca="true" t="shared" si="33" ref="C71:I71">SUM(C69:C70)</f>
        <v>0</v>
      </c>
      <c r="D71" s="81">
        <f t="shared" si="33"/>
        <v>0</v>
      </c>
      <c r="E71" s="81">
        <f t="shared" si="33"/>
        <v>0</v>
      </c>
      <c r="F71" s="81">
        <f t="shared" si="33"/>
        <v>0</v>
      </c>
      <c r="G71" s="81">
        <f t="shared" si="33"/>
        <v>0</v>
      </c>
      <c r="H71" s="81">
        <f t="shared" si="33"/>
        <v>0</v>
      </c>
      <c r="I71" s="81">
        <f t="shared" si="33"/>
        <v>0</v>
      </c>
    </row>
    <row r="72" spans="1:9" ht="12.75" hidden="1" outlineLevel="1">
      <c r="A72" s="4"/>
      <c r="B72" s="4"/>
      <c r="C72" s="76"/>
      <c r="D72" s="76"/>
      <c r="E72" s="76"/>
      <c r="F72" s="76"/>
      <c r="G72" s="76"/>
      <c r="H72" s="76"/>
      <c r="I72" s="76"/>
    </row>
    <row r="73" spans="1:9" ht="12.75" hidden="1" outlineLevel="1">
      <c r="A73" s="4"/>
      <c r="B73" s="4" t="s">
        <v>125</v>
      </c>
      <c r="C73" s="81">
        <v>0</v>
      </c>
      <c r="D73" s="81" t="e">
        <f aca="true" t="shared" si="34" ref="D73:I73">C75</f>
        <v>#DIV/0!</v>
      </c>
      <c r="E73" s="81" t="e">
        <f t="shared" si="34"/>
        <v>#DIV/0!</v>
      </c>
      <c r="F73" s="81" t="e">
        <f t="shared" si="34"/>
        <v>#DIV/0!</v>
      </c>
      <c r="G73" s="81" t="e">
        <f t="shared" si="34"/>
        <v>#DIV/0!</v>
      </c>
      <c r="H73" s="81" t="e">
        <f t="shared" si="34"/>
        <v>#DIV/0!</v>
      </c>
      <c r="I73" s="81" t="e">
        <f t="shared" si="34"/>
        <v>#DIV/0!</v>
      </c>
    </row>
    <row r="74" spans="1:9" ht="12.75" hidden="1" outlineLevel="1">
      <c r="A74" s="4"/>
      <c r="B74" s="143" t="str">
        <f>"Amortization Year 1 ("&amp;' Assumptions and Data'!$C$42&amp;" Years Straight Line)"</f>
        <v>Amortization Year 1 ( Years Straight Line)</v>
      </c>
      <c r="C74" s="147" t="e">
        <f>IF(C73+(C69/' Assumptions and Data'!$C$42)+(C70/' Assumptions and Data'!$C$42/2)&lt;C71,(C69/' Assumptions and Data'!$C$42)+(C70/' Assumptions and Data'!$C$42/2),C71-C73)</f>
        <v>#DIV/0!</v>
      </c>
      <c r="D74" s="147" t="e">
        <f>IF(D73+(D69/' Assumptions and Data'!$C$42)+(D70/' Assumptions and Data'!$C$42/2)&lt;D71,(D69/' Assumptions and Data'!$C$42)+(D70/' Assumptions and Data'!$C$42/2),D71-D73)</f>
        <v>#DIV/0!</v>
      </c>
      <c r="E74" s="147" t="e">
        <f>IF(E73+(E69/' Assumptions and Data'!$C$42)+(E70/' Assumptions and Data'!$C$42/2)&lt;E71,(E69/' Assumptions and Data'!$C$42)+(E70/' Assumptions and Data'!$C$42/2),E71-E73)</f>
        <v>#DIV/0!</v>
      </c>
      <c r="F74" s="147" t="e">
        <f>IF(F73+(F69/' Assumptions and Data'!$C$42)+(F70/' Assumptions and Data'!$C$42/2)&lt;F71,(F69/' Assumptions and Data'!$C$42)+(F70/' Assumptions and Data'!$C$42/2),F71-F73)</f>
        <v>#DIV/0!</v>
      </c>
      <c r="G74" s="147" t="e">
        <f>IF(G73+(G69/' Assumptions and Data'!$C$42)+(G70/' Assumptions and Data'!$C$42/2)&lt;G71,(G69/' Assumptions and Data'!$C$42)+(G70/' Assumptions and Data'!$C$42/2),G71-G73)</f>
        <v>#DIV/0!</v>
      </c>
      <c r="H74" s="147" t="e">
        <f>IF(H73+(H69/' Assumptions and Data'!$C$42)+(H70/' Assumptions and Data'!$C$42/2)&lt;H71,(H69/' Assumptions and Data'!$C$42)+(H70/' Assumptions and Data'!$C$42/2),H71-H73)</f>
        <v>#DIV/0!</v>
      </c>
      <c r="I74" s="147" t="e">
        <f>IF(I73+(I69/' Assumptions and Data'!$C$42)+(I70/' Assumptions and Data'!$C$42/2)&lt;I71,(I69/' Assumptions and Data'!$C$42)+(I70/' Assumptions and Data'!$C$42/2),I71-I73)</f>
        <v>#DIV/0!</v>
      </c>
    </row>
    <row r="75" spans="1:9" ht="12.75" hidden="1" outlineLevel="1">
      <c r="A75" s="4"/>
      <c r="B75" s="4" t="s">
        <v>126</v>
      </c>
      <c r="C75" s="81" t="e">
        <f aca="true" t="shared" si="35" ref="C75:I75">SUM(C73:C74)</f>
        <v>#DIV/0!</v>
      </c>
      <c r="D75" s="81" t="e">
        <f t="shared" si="35"/>
        <v>#DIV/0!</v>
      </c>
      <c r="E75" s="81" t="e">
        <f t="shared" si="35"/>
        <v>#DIV/0!</v>
      </c>
      <c r="F75" s="81" t="e">
        <f t="shared" si="35"/>
        <v>#DIV/0!</v>
      </c>
      <c r="G75" s="81" t="e">
        <f t="shared" si="35"/>
        <v>#DIV/0!</v>
      </c>
      <c r="H75" s="81" t="e">
        <f t="shared" si="35"/>
        <v>#DIV/0!</v>
      </c>
      <c r="I75" s="81" t="e">
        <f t="shared" si="35"/>
        <v>#DIV/0!</v>
      </c>
    </row>
    <row r="76" spans="1:9" ht="12.75" hidden="1" outlineLevel="1">
      <c r="A76" s="4"/>
      <c r="B76" s="4"/>
      <c r="C76" s="81"/>
      <c r="D76" s="81"/>
      <c r="E76" s="81"/>
      <c r="F76" s="81"/>
      <c r="G76" s="81"/>
      <c r="H76" s="81"/>
      <c r="I76" s="81"/>
    </row>
    <row r="77" spans="1:9" ht="12.75" hidden="1" outlineLevel="1">
      <c r="A77" s="4"/>
      <c r="B77" s="4" t="s">
        <v>127</v>
      </c>
      <c r="C77" s="30">
        <f>0</f>
        <v>0</v>
      </c>
      <c r="D77" s="30" t="e">
        <f aca="true" t="shared" si="36" ref="D77:I77">C78</f>
        <v>#DIV/0!</v>
      </c>
      <c r="E77" s="30" t="e">
        <f t="shared" si="36"/>
        <v>#DIV/0!</v>
      </c>
      <c r="F77" s="30" t="e">
        <f t="shared" si="36"/>
        <v>#DIV/0!</v>
      </c>
      <c r="G77" s="30" t="e">
        <f t="shared" si="36"/>
        <v>#DIV/0!</v>
      </c>
      <c r="H77" s="30" t="e">
        <f t="shared" si="36"/>
        <v>#DIV/0!</v>
      </c>
      <c r="I77" s="30" t="e">
        <f t="shared" si="36"/>
        <v>#DIV/0!</v>
      </c>
    </row>
    <row r="78" spans="1:9" ht="12.75" hidden="1" outlineLevel="1">
      <c r="A78" s="4"/>
      <c r="B78" s="4" t="s">
        <v>128</v>
      </c>
      <c r="C78" s="81" t="e">
        <f aca="true" t="shared" si="37" ref="C78:I78">C71-C75</f>
        <v>#DIV/0!</v>
      </c>
      <c r="D78" s="111" t="e">
        <f t="shared" si="37"/>
        <v>#DIV/0!</v>
      </c>
      <c r="E78" s="111" t="e">
        <f t="shared" si="37"/>
        <v>#DIV/0!</v>
      </c>
      <c r="F78" s="111" t="e">
        <f t="shared" si="37"/>
        <v>#DIV/0!</v>
      </c>
      <c r="G78" s="111" t="e">
        <f t="shared" si="37"/>
        <v>#DIV/0!</v>
      </c>
      <c r="H78" s="111" t="e">
        <f t="shared" si="37"/>
        <v>#DIV/0!</v>
      </c>
      <c r="I78" s="111" t="e">
        <f t="shared" si="37"/>
        <v>#DIV/0!</v>
      </c>
    </row>
    <row r="79" spans="1:9" ht="13.5" hidden="1" outlineLevel="1" thickBot="1">
      <c r="A79" s="4"/>
      <c r="B79" s="4" t="s">
        <v>129</v>
      </c>
      <c r="C79" s="112" t="e">
        <f aca="true" t="shared" si="38" ref="C79:I79">(C78+C77)/2</f>
        <v>#DIV/0!</v>
      </c>
      <c r="D79" s="114" t="e">
        <f t="shared" si="38"/>
        <v>#DIV/0!</v>
      </c>
      <c r="E79" s="114" t="e">
        <f t="shared" si="38"/>
        <v>#DIV/0!</v>
      </c>
      <c r="F79" s="114" t="e">
        <f t="shared" si="38"/>
        <v>#DIV/0!</v>
      </c>
      <c r="G79" s="114" t="e">
        <f t="shared" si="38"/>
        <v>#DIV/0!</v>
      </c>
      <c r="H79" s="114" t="e">
        <f t="shared" si="38"/>
        <v>#DIV/0!</v>
      </c>
      <c r="I79" s="114" t="e">
        <f t="shared" si="38"/>
        <v>#DIV/0!</v>
      </c>
    </row>
    <row r="80" spans="1:9" ht="12.75" collapsed="1">
      <c r="A80" s="4"/>
      <c r="B80" s="4"/>
      <c r="C80" s="75"/>
      <c r="D80" s="75"/>
      <c r="E80" s="4"/>
      <c r="F80" s="4"/>
      <c r="I80" s="4"/>
    </row>
    <row r="81" spans="1:9" ht="12.75">
      <c r="A81" s="4"/>
      <c r="B81" s="4"/>
      <c r="C81" s="75"/>
      <c r="D81" s="75"/>
      <c r="E81" s="4"/>
      <c r="F81" s="4"/>
      <c r="I81" s="4"/>
    </row>
    <row r="82" spans="1:9" ht="26.25">
      <c r="A82" s="4"/>
      <c r="B82" s="68" t="s">
        <v>134</v>
      </c>
      <c r="C82" s="75"/>
      <c r="D82" s="75"/>
      <c r="E82" s="4"/>
      <c r="F82" s="4"/>
      <c r="I82" s="4"/>
    </row>
    <row r="83" spans="1:9" ht="12.75">
      <c r="A83" s="4"/>
      <c r="B83" s="4"/>
      <c r="C83" s="75"/>
      <c r="D83" s="75"/>
      <c r="E83" s="4"/>
      <c r="F83" s="4"/>
      <c r="I83" s="4"/>
    </row>
    <row r="84" spans="1:9" ht="18">
      <c r="A84" s="4"/>
      <c r="B84" s="13" t="s">
        <v>212</v>
      </c>
      <c r="C84" s="4"/>
      <c r="D84" s="4"/>
      <c r="E84" s="4"/>
      <c r="F84" s="4"/>
      <c r="I84" s="4"/>
    </row>
    <row r="85" spans="1:9" ht="12.75">
      <c r="A85" s="4"/>
      <c r="B85" s="69" t="s">
        <v>136</v>
      </c>
      <c r="C85" s="7">
        <f>C67</f>
        <v>2010</v>
      </c>
      <c r="D85" s="7">
        <f aca="true" t="shared" si="39" ref="D85:I85">D67</f>
        <v>2011</v>
      </c>
      <c r="E85" s="7">
        <f t="shared" si="39"/>
        <v>2012</v>
      </c>
      <c r="F85" s="7">
        <f t="shared" si="39"/>
        <v>2013</v>
      </c>
      <c r="G85" s="7">
        <f t="shared" si="39"/>
        <v>2014</v>
      </c>
      <c r="H85" s="7">
        <f t="shared" si="39"/>
        <v>2015</v>
      </c>
      <c r="I85" s="7">
        <f t="shared" si="39"/>
        <v>2016</v>
      </c>
    </row>
    <row r="86" spans="1:9" ht="12.75">
      <c r="A86" s="4"/>
      <c r="B86" s="69"/>
      <c r="C86" s="4"/>
      <c r="D86" s="4"/>
      <c r="E86" s="4"/>
      <c r="F86" s="4"/>
      <c r="I86" s="4"/>
    </row>
    <row r="87" spans="1:9" ht="12.75">
      <c r="A87" s="4"/>
      <c r="B87" s="69" t="s">
        <v>137</v>
      </c>
      <c r="C87" s="81">
        <v>0</v>
      </c>
      <c r="D87" s="81">
        <f aca="true" t="shared" si="40" ref="D87:I87">C89-C93</f>
        <v>0</v>
      </c>
      <c r="E87" s="81">
        <f t="shared" si="40"/>
        <v>0</v>
      </c>
      <c r="F87" s="81">
        <f t="shared" si="40"/>
        <v>61540.8</v>
      </c>
      <c r="G87" s="81">
        <f t="shared" si="40"/>
        <v>56617.536</v>
      </c>
      <c r="H87" s="81">
        <f t="shared" si="40"/>
        <v>52088.13312</v>
      </c>
      <c r="I87" s="81">
        <f t="shared" si="40"/>
        <v>47921.0824704</v>
      </c>
    </row>
    <row r="88" spans="1:9" ht="12.75">
      <c r="A88" s="4"/>
      <c r="B88" s="69" t="s">
        <v>138</v>
      </c>
      <c r="C88" s="30">
        <f aca="true" t="shared" si="41" ref="C88:I88">C13</f>
        <v>0</v>
      </c>
      <c r="D88" s="30">
        <f t="shared" si="41"/>
        <v>0</v>
      </c>
      <c r="E88" s="30">
        <f t="shared" si="41"/>
        <v>64105</v>
      </c>
      <c r="F88" s="30">
        <f t="shared" si="41"/>
        <v>0</v>
      </c>
      <c r="G88" s="30">
        <f t="shared" si="41"/>
        <v>0</v>
      </c>
      <c r="H88" s="30">
        <f t="shared" si="41"/>
        <v>0</v>
      </c>
      <c r="I88" s="30">
        <f t="shared" si="41"/>
        <v>0</v>
      </c>
    </row>
    <row r="89" spans="1:9" ht="12.75">
      <c r="A89" s="4"/>
      <c r="B89" s="69" t="s">
        <v>139</v>
      </c>
      <c r="C89" s="81">
        <f aca="true" t="shared" si="42" ref="C89:I89">SUM(C87:C88)</f>
        <v>0</v>
      </c>
      <c r="D89" s="81">
        <f t="shared" si="42"/>
        <v>0</v>
      </c>
      <c r="E89" s="81">
        <f t="shared" si="42"/>
        <v>64105</v>
      </c>
      <c r="F89" s="81">
        <f t="shared" si="42"/>
        <v>61540.8</v>
      </c>
      <c r="G89" s="81">
        <f t="shared" si="42"/>
        <v>56617.536</v>
      </c>
      <c r="H89" s="81">
        <f t="shared" si="42"/>
        <v>52088.13312</v>
      </c>
      <c r="I89" s="81">
        <f t="shared" si="42"/>
        <v>47921.0824704</v>
      </c>
    </row>
    <row r="90" spans="1:9" ht="12.75">
      <c r="A90" s="4"/>
      <c r="B90" s="69" t="s">
        <v>140</v>
      </c>
      <c r="C90" s="30">
        <f aca="true" t="shared" si="43" ref="C90:I90">SUM(C88:C88)/2</f>
        <v>0</v>
      </c>
      <c r="D90" s="30">
        <f t="shared" si="43"/>
        <v>0</v>
      </c>
      <c r="E90" s="30">
        <f t="shared" si="43"/>
        <v>32052.5</v>
      </c>
      <c r="F90" s="30">
        <f t="shared" si="43"/>
        <v>0</v>
      </c>
      <c r="G90" s="30">
        <f t="shared" si="43"/>
        <v>0</v>
      </c>
      <c r="H90" s="30">
        <f t="shared" si="43"/>
        <v>0</v>
      </c>
      <c r="I90" s="30">
        <f t="shared" si="43"/>
        <v>0</v>
      </c>
    </row>
    <row r="91" spans="1:9" ht="12.75">
      <c r="A91" s="4"/>
      <c r="B91" s="69" t="s">
        <v>141</v>
      </c>
      <c r="C91" s="81">
        <f aca="true" t="shared" si="44" ref="C91:I91">C87+C90</f>
        <v>0</v>
      </c>
      <c r="D91" s="81">
        <f t="shared" si="44"/>
        <v>0</v>
      </c>
      <c r="E91" s="81">
        <f t="shared" si="44"/>
        <v>32052.5</v>
      </c>
      <c r="F91" s="81">
        <f t="shared" si="44"/>
        <v>61540.8</v>
      </c>
      <c r="G91" s="81">
        <f t="shared" si="44"/>
        <v>56617.536</v>
      </c>
      <c r="H91" s="81">
        <f t="shared" si="44"/>
        <v>52088.13312</v>
      </c>
      <c r="I91" s="81">
        <f t="shared" si="44"/>
        <v>47921.0824704</v>
      </c>
    </row>
    <row r="92" spans="1:9" ht="12.75">
      <c r="A92" s="4"/>
      <c r="B92" s="69" t="str">
        <f>B85</f>
        <v>CCA Class 47 (8%)</v>
      </c>
      <c r="C92" s="109">
        <f>' Assumptions and Data'!$F$38/100</f>
        <v>0.08</v>
      </c>
      <c r="D92" s="109">
        <f>' Assumptions and Data'!$F$38/100</f>
        <v>0.08</v>
      </c>
      <c r="E92" s="109">
        <f>' Assumptions and Data'!$F$38/100</f>
        <v>0.08</v>
      </c>
      <c r="F92" s="109">
        <f>' Assumptions and Data'!$F$38/100</f>
        <v>0.08</v>
      </c>
      <c r="G92" s="109">
        <f>' Assumptions and Data'!$F$38/100</f>
        <v>0.08</v>
      </c>
      <c r="H92" s="109">
        <f>' Assumptions and Data'!$F$38/100</f>
        <v>0.08</v>
      </c>
      <c r="I92" s="109">
        <f>' Assumptions and Data'!$F$38/100</f>
        <v>0.08</v>
      </c>
    </row>
    <row r="93" spans="1:9" ht="12.75">
      <c r="A93" s="4"/>
      <c r="B93" s="69" t="s">
        <v>143</v>
      </c>
      <c r="C93" s="81">
        <f aca="true" t="shared" si="45" ref="C93:I93">IF((C91*C92)&lt;C91,(C91*C92),C91)</f>
        <v>0</v>
      </c>
      <c r="D93" s="81">
        <f t="shared" si="45"/>
        <v>0</v>
      </c>
      <c r="E93" s="81">
        <f t="shared" si="45"/>
        <v>2564.2000000000003</v>
      </c>
      <c r="F93" s="81">
        <f t="shared" si="45"/>
        <v>4923.264</v>
      </c>
      <c r="G93" s="81">
        <f t="shared" si="45"/>
        <v>4529.402880000001</v>
      </c>
      <c r="H93" s="81">
        <f t="shared" si="45"/>
        <v>4167.0506496</v>
      </c>
      <c r="I93" s="81">
        <f t="shared" si="45"/>
        <v>3833.686597632</v>
      </c>
    </row>
    <row r="94" spans="1:9" ht="13.5" thickBot="1">
      <c r="A94" s="4"/>
      <c r="B94" s="69" t="s">
        <v>144</v>
      </c>
      <c r="C94" s="112">
        <f aca="true" t="shared" si="46" ref="C94:I94">IF((C89-C93)&lt;0,0,(C89-C93))</f>
        <v>0</v>
      </c>
      <c r="D94" s="112">
        <f t="shared" si="46"/>
        <v>0</v>
      </c>
      <c r="E94" s="112">
        <f t="shared" si="46"/>
        <v>61540.8</v>
      </c>
      <c r="F94" s="112">
        <f t="shared" si="46"/>
        <v>56617.536</v>
      </c>
      <c r="G94" s="112">
        <f t="shared" si="46"/>
        <v>52088.13312</v>
      </c>
      <c r="H94" s="112">
        <f t="shared" si="46"/>
        <v>47921.0824704</v>
      </c>
      <c r="I94" s="112">
        <f t="shared" si="46"/>
        <v>44087.395872768</v>
      </c>
    </row>
    <row r="95" spans="1:9" ht="12.75">
      <c r="A95" s="4"/>
      <c r="B95" s="143"/>
      <c r="C95" s="4"/>
      <c r="D95" s="4"/>
      <c r="E95" s="4"/>
      <c r="F95" s="4"/>
      <c r="I95" s="4"/>
    </row>
    <row r="96" spans="1:9" ht="18">
      <c r="A96" s="4"/>
      <c r="B96" s="13" t="str">
        <f>"UCC  - "&amp;' Assumptions and Data'!B33</f>
        <v>UCC  - Computer Software</v>
      </c>
      <c r="C96" s="4"/>
      <c r="D96" s="4"/>
      <c r="E96" s="4"/>
      <c r="F96" s="4"/>
      <c r="I96" s="4"/>
    </row>
    <row r="97" spans="1:9" ht="12.75">
      <c r="A97" s="4"/>
      <c r="B97" s="69" t="str">
        <f>"CCA Class "&amp;' Assumptions and Data'!E40&amp;" ( "&amp;' Assumptions and Data'!F40&amp;"%)"</f>
        <v>CCA Class 12 ( 100%)</v>
      </c>
      <c r="C97" s="7">
        <f>C10</f>
        <v>2010</v>
      </c>
      <c r="D97" s="7">
        <f aca="true" t="shared" si="47" ref="D97:I97">D10</f>
        <v>2011</v>
      </c>
      <c r="E97" s="7">
        <f t="shared" si="47"/>
        <v>2012</v>
      </c>
      <c r="F97" s="7">
        <f t="shared" si="47"/>
        <v>2013</v>
      </c>
      <c r="G97" s="7">
        <f t="shared" si="47"/>
        <v>2014</v>
      </c>
      <c r="H97" s="7">
        <f t="shared" si="47"/>
        <v>2015</v>
      </c>
      <c r="I97" s="7">
        <f t="shared" si="47"/>
        <v>2016</v>
      </c>
    </row>
    <row r="98" spans="1:9" ht="12.75">
      <c r="A98" s="4"/>
      <c r="B98" s="143"/>
      <c r="C98" s="4"/>
      <c r="D98" s="4"/>
      <c r="E98" s="4"/>
      <c r="F98" s="4"/>
      <c r="I98" s="4"/>
    </row>
    <row r="99" spans="1:9" ht="12.75">
      <c r="A99" s="4"/>
      <c r="B99" s="69" t="s">
        <v>137</v>
      </c>
      <c r="C99" s="149">
        <v>0</v>
      </c>
      <c r="D99" s="149">
        <f aca="true" t="shared" si="48" ref="D99:I99">C107</f>
        <v>0</v>
      </c>
      <c r="E99" s="149">
        <f t="shared" si="48"/>
        <v>0</v>
      </c>
      <c r="F99" s="149">
        <f t="shared" si="48"/>
        <v>0</v>
      </c>
      <c r="G99" s="149">
        <f t="shared" si="48"/>
        <v>0</v>
      </c>
      <c r="H99" s="149">
        <f t="shared" si="48"/>
        <v>0</v>
      </c>
      <c r="I99" s="149">
        <f t="shared" si="48"/>
        <v>0</v>
      </c>
    </row>
    <row r="100" spans="1:9" ht="12.75">
      <c r="A100" s="4"/>
      <c r="B100" s="69"/>
      <c r="C100" s="148"/>
      <c r="D100" s="148"/>
      <c r="E100" s="148"/>
      <c r="F100" s="148"/>
      <c r="G100" s="148"/>
      <c r="H100" s="148"/>
      <c r="I100" s="148"/>
    </row>
    <row r="101" spans="1:9" ht="12.75">
      <c r="A101" s="4"/>
      <c r="B101" s="69" t="s">
        <v>148</v>
      </c>
      <c r="C101" s="148">
        <f>C41</f>
        <v>0</v>
      </c>
      <c r="D101" s="148">
        <f aca="true" t="shared" si="49" ref="D101:I101">D41</f>
        <v>0</v>
      </c>
      <c r="E101" s="148">
        <f t="shared" si="49"/>
        <v>0</v>
      </c>
      <c r="F101" s="148">
        <f t="shared" si="49"/>
        <v>0</v>
      </c>
      <c r="G101" s="148">
        <f t="shared" si="49"/>
        <v>0</v>
      </c>
      <c r="H101" s="148">
        <f t="shared" si="49"/>
        <v>0</v>
      </c>
      <c r="I101" s="148">
        <f t="shared" si="49"/>
        <v>0</v>
      </c>
    </row>
    <row r="102" spans="1:9" ht="12.75">
      <c r="A102" s="4"/>
      <c r="B102" s="69" t="s">
        <v>139</v>
      </c>
      <c r="C102" s="149">
        <f aca="true" t="shared" si="50" ref="C102:I102">SUM(C99:C101)</f>
        <v>0</v>
      </c>
      <c r="D102" s="149">
        <f t="shared" si="50"/>
        <v>0</v>
      </c>
      <c r="E102" s="149">
        <f t="shared" si="50"/>
        <v>0</v>
      </c>
      <c r="F102" s="149">
        <f t="shared" si="50"/>
        <v>0</v>
      </c>
      <c r="G102" s="149">
        <f t="shared" si="50"/>
        <v>0</v>
      </c>
      <c r="H102" s="149">
        <f t="shared" si="50"/>
        <v>0</v>
      </c>
      <c r="I102" s="149">
        <f t="shared" si="50"/>
        <v>0</v>
      </c>
    </row>
    <row r="103" spans="1:9" ht="12.75">
      <c r="A103" s="4"/>
      <c r="B103" s="69" t="s">
        <v>140</v>
      </c>
      <c r="C103" s="148">
        <f aca="true" t="shared" si="51" ref="C103:I103">SUM(C100:C101)/2</f>
        <v>0</v>
      </c>
      <c r="D103" s="148">
        <f t="shared" si="51"/>
        <v>0</v>
      </c>
      <c r="E103" s="148">
        <f t="shared" si="51"/>
        <v>0</v>
      </c>
      <c r="F103" s="148">
        <f t="shared" si="51"/>
        <v>0</v>
      </c>
      <c r="G103" s="148">
        <f t="shared" si="51"/>
        <v>0</v>
      </c>
      <c r="H103" s="148">
        <f t="shared" si="51"/>
        <v>0</v>
      </c>
      <c r="I103" s="148">
        <f t="shared" si="51"/>
        <v>0</v>
      </c>
    </row>
    <row r="104" spans="1:9" ht="12.75">
      <c r="A104" s="4"/>
      <c r="B104" s="69" t="s">
        <v>141</v>
      </c>
      <c r="C104" s="149">
        <f aca="true" t="shared" si="52" ref="C104:I104">C99+C103</f>
        <v>0</v>
      </c>
      <c r="D104" s="149">
        <f t="shared" si="52"/>
        <v>0</v>
      </c>
      <c r="E104" s="149">
        <f t="shared" si="52"/>
        <v>0</v>
      </c>
      <c r="F104" s="149">
        <f t="shared" si="52"/>
        <v>0</v>
      </c>
      <c r="G104" s="149">
        <f t="shared" si="52"/>
        <v>0</v>
      </c>
      <c r="H104" s="149">
        <f t="shared" si="52"/>
        <v>0</v>
      </c>
      <c r="I104" s="149">
        <f t="shared" si="52"/>
        <v>0</v>
      </c>
    </row>
    <row r="105" spans="1:9" ht="12.75">
      <c r="A105" s="4"/>
      <c r="B105" s="69" t="str">
        <f>B97</f>
        <v>CCA Class 12 ( 100%)</v>
      </c>
      <c r="C105" s="176">
        <f>' Assumptions and Data'!$F$40/100</f>
        <v>1</v>
      </c>
      <c r="D105" s="176">
        <f>' Assumptions and Data'!$F$40/100</f>
        <v>1</v>
      </c>
      <c r="E105" s="176">
        <f>' Assumptions and Data'!$F$40/100</f>
        <v>1</v>
      </c>
      <c r="F105" s="176">
        <f>' Assumptions and Data'!$F$40/100</f>
        <v>1</v>
      </c>
      <c r="G105" s="176">
        <f>' Assumptions and Data'!$F$40/100</f>
        <v>1</v>
      </c>
      <c r="H105" s="176">
        <f>' Assumptions and Data'!$F$40/100</f>
        <v>1</v>
      </c>
      <c r="I105" s="176">
        <f>' Assumptions and Data'!$F$40/100</f>
        <v>1</v>
      </c>
    </row>
    <row r="106" spans="1:9" ht="12.75">
      <c r="A106" s="4"/>
      <c r="B106" s="69" t="s">
        <v>143</v>
      </c>
      <c r="C106" s="149">
        <f aca="true" t="shared" si="53" ref="C106:I106">IF((C104*C105)&lt;C104,(C104*C105),C104)</f>
        <v>0</v>
      </c>
      <c r="D106" s="149">
        <f t="shared" si="53"/>
        <v>0</v>
      </c>
      <c r="E106" s="149">
        <f t="shared" si="53"/>
        <v>0</v>
      </c>
      <c r="F106" s="149">
        <f t="shared" si="53"/>
        <v>0</v>
      </c>
      <c r="G106" s="149">
        <f t="shared" si="53"/>
        <v>0</v>
      </c>
      <c r="H106" s="149">
        <f t="shared" si="53"/>
        <v>0</v>
      </c>
      <c r="I106" s="149">
        <f t="shared" si="53"/>
        <v>0</v>
      </c>
    </row>
    <row r="107" spans="1:9" ht="13.5" thickBot="1">
      <c r="A107" s="4"/>
      <c r="B107" s="69" t="s">
        <v>144</v>
      </c>
      <c r="C107" s="150">
        <f aca="true" t="shared" si="54" ref="C107:I107">IF((C102-C106)&lt;0,0,(C102-C106))</f>
        <v>0</v>
      </c>
      <c r="D107" s="150">
        <f t="shared" si="54"/>
        <v>0</v>
      </c>
      <c r="E107" s="150">
        <f t="shared" si="54"/>
        <v>0</v>
      </c>
      <c r="F107" s="150">
        <f t="shared" si="54"/>
        <v>0</v>
      </c>
      <c r="G107" s="150">
        <f t="shared" si="54"/>
        <v>0</v>
      </c>
      <c r="H107" s="150">
        <f t="shared" si="54"/>
        <v>0</v>
      </c>
      <c r="I107" s="150">
        <f t="shared" si="54"/>
        <v>0</v>
      </c>
    </row>
    <row r="108" spans="1:9" ht="12.75">
      <c r="A108" s="4"/>
      <c r="B108" s="69"/>
      <c r="C108" s="191"/>
      <c r="D108" s="191"/>
      <c r="E108" s="191"/>
      <c r="F108" s="191"/>
      <c r="G108" s="191"/>
      <c r="H108" s="191"/>
      <c r="I108" s="191"/>
    </row>
    <row r="109" spans="1:9" ht="18">
      <c r="A109" s="4"/>
      <c r="B109" s="13" t="str">
        <f>"UCC  - "&amp;' Assumptions and Data'!B32</f>
        <v>UCC  - Computer Hardware</v>
      </c>
      <c r="C109" s="4"/>
      <c r="D109" s="4"/>
      <c r="E109" s="4"/>
      <c r="F109" s="4"/>
      <c r="I109" s="4"/>
    </row>
    <row r="110" spans="1:9" ht="12.75">
      <c r="A110" s="4"/>
      <c r="B110" s="69" t="str">
        <f>"CCA Class "&amp;' Assumptions and Data'!E39&amp;" ( "&amp;' Assumptions and Data'!F39&amp;"%)"</f>
        <v>CCA Class 50 ( 55%)</v>
      </c>
      <c r="C110" s="7">
        <f>C85</f>
        <v>2010</v>
      </c>
      <c r="D110" s="7">
        <f aca="true" t="shared" si="55" ref="D110:I110">D85</f>
        <v>2011</v>
      </c>
      <c r="E110" s="7">
        <f t="shared" si="55"/>
        <v>2012</v>
      </c>
      <c r="F110" s="7">
        <f t="shared" si="55"/>
        <v>2013</v>
      </c>
      <c r="G110" s="7">
        <f t="shared" si="55"/>
        <v>2014</v>
      </c>
      <c r="H110" s="7">
        <f t="shared" si="55"/>
        <v>2015</v>
      </c>
      <c r="I110" s="7">
        <f t="shared" si="55"/>
        <v>2016</v>
      </c>
    </row>
    <row r="111" spans="1:9" ht="12.75">
      <c r="A111" s="4"/>
      <c r="B111" s="143"/>
      <c r="C111" s="4"/>
      <c r="D111" s="4"/>
      <c r="E111" s="4"/>
      <c r="F111" s="4"/>
      <c r="I111" s="4"/>
    </row>
    <row r="112" spans="1:9" ht="12.75">
      <c r="A112" s="4"/>
      <c r="B112" s="69" t="s">
        <v>137</v>
      </c>
      <c r="C112" s="149">
        <v>0</v>
      </c>
      <c r="D112" s="149">
        <f aca="true" t="shared" si="56" ref="D112:I112">C120</f>
        <v>0</v>
      </c>
      <c r="E112" s="149">
        <f t="shared" si="56"/>
        <v>0</v>
      </c>
      <c r="F112" s="149">
        <f t="shared" si="56"/>
        <v>0</v>
      </c>
      <c r="G112" s="149">
        <f t="shared" si="56"/>
        <v>0</v>
      </c>
      <c r="H112" s="149">
        <f t="shared" si="56"/>
        <v>0</v>
      </c>
      <c r="I112" s="149">
        <f t="shared" si="56"/>
        <v>0</v>
      </c>
    </row>
    <row r="113" spans="1:9" ht="12.75">
      <c r="A113" s="4"/>
      <c r="B113" s="69" t="s">
        <v>147</v>
      </c>
      <c r="C113" s="148">
        <f aca="true" t="shared" si="57" ref="C113:I113">C27</f>
        <v>0</v>
      </c>
      <c r="D113" s="148">
        <f t="shared" si="57"/>
        <v>0</v>
      </c>
      <c r="E113" s="148">
        <f t="shared" si="57"/>
        <v>0</v>
      </c>
      <c r="F113" s="148">
        <f t="shared" si="57"/>
        <v>0</v>
      </c>
      <c r="G113" s="148">
        <f t="shared" si="57"/>
        <v>0</v>
      </c>
      <c r="H113" s="148">
        <f t="shared" si="57"/>
        <v>0</v>
      </c>
      <c r="I113" s="148">
        <f t="shared" si="57"/>
        <v>0</v>
      </c>
    </row>
    <row r="114" spans="1:9" ht="12.75">
      <c r="A114" s="4"/>
      <c r="B114" s="69" t="s">
        <v>148</v>
      </c>
      <c r="C114" s="148"/>
      <c r="D114" s="148"/>
      <c r="E114" s="148"/>
      <c r="F114" s="148"/>
      <c r="G114" s="148"/>
      <c r="H114" s="148"/>
      <c r="I114" s="148"/>
    </row>
    <row r="115" spans="1:9" ht="12.75">
      <c r="A115" s="4"/>
      <c r="B115" s="69" t="s">
        <v>139</v>
      </c>
      <c r="C115" s="149">
        <f aca="true" t="shared" si="58" ref="C115:I115">SUM(C112:C114)</f>
        <v>0</v>
      </c>
      <c r="D115" s="149">
        <f t="shared" si="58"/>
        <v>0</v>
      </c>
      <c r="E115" s="149">
        <f t="shared" si="58"/>
        <v>0</v>
      </c>
      <c r="F115" s="149">
        <f t="shared" si="58"/>
        <v>0</v>
      </c>
      <c r="G115" s="149">
        <f t="shared" si="58"/>
        <v>0</v>
      </c>
      <c r="H115" s="149">
        <f t="shared" si="58"/>
        <v>0</v>
      </c>
      <c r="I115" s="149">
        <f t="shared" si="58"/>
        <v>0</v>
      </c>
    </row>
    <row r="116" spans="1:9" ht="12.75">
      <c r="A116" s="4"/>
      <c r="B116" s="69" t="s">
        <v>140</v>
      </c>
      <c r="C116" s="148">
        <f aca="true" t="shared" si="59" ref="C116:I116">SUM(C113:C114)/2</f>
        <v>0</v>
      </c>
      <c r="D116" s="148">
        <f t="shared" si="59"/>
        <v>0</v>
      </c>
      <c r="E116" s="148">
        <f t="shared" si="59"/>
        <v>0</v>
      </c>
      <c r="F116" s="148">
        <f t="shared" si="59"/>
        <v>0</v>
      </c>
      <c r="G116" s="148">
        <f t="shared" si="59"/>
        <v>0</v>
      </c>
      <c r="H116" s="148">
        <f t="shared" si="59"/>
        <v>0</v>
      </c>
      <c r="I116" s="148">
        <f t="shared" si="59"/>
        <v>0</v>
      </c>
    </row>
    <row r="117" spans="1:9" ht="12.75">
      <c r="A117" s="4"/>
      <c r="B117" s="69" t="s">
        <v>141</v>
      </c>
      <c r="C117" s="149">
        <f aca="true" t="shared" si="60" ref="C117:I117">C112+C116</f>
        <v>0</v>
      </c>
      <c r="D117" s="149">
        <f t="shared" si="60"/>
        <v>0</v>
      </c>
      <c r="E117" s="149">
        <f t="shared" si="60"/>
        <v>0</v>
      </c>
      <c r="F117" s="149">
        <f t="shared" si="60"/>
        <v>0</v>
      </c>
      <c r="G117" s="149">
        <f t="shared" si="60"/>
        <v>0</v>
      </c>
      <c r="H117" s="149">
        <f t="shared" si="60"/>
        <v>0</v>
      </c>
      <c r="I117" s="149">
        <f t="shared" si="60"/>
        <v>0</v>
      </c>
    </row>
    <row r="118" spans="1:9" ht="12.75">
      <c r="A118" s="4"/>
      <c r="B118" s="69" t="str">
        <f>B110</f>
        <v>CCA Class 50 ( 55%)</v>
      </c>
      <c r="C118" s="176">
        <f>' Assumptions and Data'!$F$39/100</f>
        <v>0.55</v>
      </c>
      <c r="D118" s="176">
        <f>' Assumptions and Data'!$F$39/100</f>
        <v>0.55</v>
      </c>
      <c r="E118" s="176">
        <f>' Assumptions and Data'!$F$39/100</f>
        <v>0.55</v>
      </c>
      <c r="F118" s="176">
        <f>' Assumptions and Data'!$F$39/100</f>
        <v>0.55</v>
      </c>
      <c r="G118" s="176">
        <f>' Assumptions and Data'!$F$39/100</f>
        <v>0.55</v>
      </c>
      <c r="H118" s="176">
        <f>' Assumptions and Data'!$F$39/100</f>
        <v>0.55</v>
      </c>
      <c r="I118" s="176">
        <f>' Assumptions and Data'!$F$39/100</f>
        <v>0.55</v>
      </c>
    </row>
    <row r="119" spans="1:9" ht="12.75">
      <c r="A119" s="4"/>
      <c r="B119" s="69" t="s">
        <v>143</v>
      </c>
      <c r="C119" s="149">
        <f aca="true" t="shared" si="61" ref="C119:I119">IF((C117*C118)&lt;C117,(C117*C118),C117)</f>
        <v>0</v>
      </c>
      <c r="D119" s="149">
        <f t="shared" si="61"/>
        <v>0</v>
      </c>
      <c r="E119" s="149">
        <f t="shared" si="61"/>
        <v>0</v>
      </c>
      <c r="F119" s="149">
        <f t="shared" si="61"/>
        <v>0</v>
      </c>
      <c r="G119" s="149">
        <f t="shared" si="61"/>
        <v>0</v>
      </c>
      <c r="H119" s="149">
        <f t="shared" si="61"/>
        <v>0</v>
      </c>
      <c r="I119" s="149">
        <f t="shared" si="61"/>
        <v>0</v>
      </c>
    </row>
    <row r="120" spans="1:9" ht="13.5" thickBot="1">
      <c r="A120" s="4"/>
      <c r="B120" s="69" t="s">
        <v>144</v>
      </c>
      <c r="C120" s="150">
        <f aca="true" t="shared" si="62" ref="C120:I120">IF((C115-C119)&lt;0,0,(C115-C119))</f>
        <v>0</v>
      </c>
      <c r="D120" s="150">
        <f t="shared" si="62"/>
        <v>0</v>
      </c>
      <c r="E120" s="150">
        <f t="shared" si="62"/>
        <v>0</v>
      </c>
      <c r="F120" s="150">
        <f t="shared" si="62"/>
        <v>0</v>
      </c>
      <c r="G120" s="150">
        <f t="shared" si="62"/>
        <v>0</v>
      </c>
      <c r="H120" s="150">
        <f t="shared" si="62"/>
        <v>0</v>
      </c>
      <c r="I120" s="150">
        <f t="shared" si="62"/>
        <v>0</v>
      </c>
    </row>
    <row r="121" ht="12.75">
      <c r="B121" s="144"/>
    </row>
    <row r="122" spans="1:9" ht="18">
      <c r="A122" s="4"/>
      <c r="B122" s="13" t="str">
        <f>"UCC - "&amp;' Assumptions and Data'!B34</f>
        <v>UCC - Vehicles</v>
      </c>
      <c r="C122" s="4"/>
      <c r="D122" s="4"/>
      <c r="E122" s="4"/>
      <c r="F122" s="4"/>
      <c r="I122" s="4"/>
    </row>
    <row r="123" spans="1:9" ht="12.75">
      <c r="A123" s="4"/>
      <c r="B123" s="69" t="str">
        <f>"CCA Class "&amp;' Assumptions and Data'!E41&amp;" ( "&amp;' Assumptions and Data'!F41&amp;"%)"</f>
        <v>CCA Class 10 ( 30%)</v>
      </c>
      <c r="C123" s="7">
        <f>C110</f>
        <v>2010</v>
      </c>
      <c r="D123" s="7">
        <f aca="true" t="shared" si="63" ref="D123:I123">D110</f>
        <v>2011</v>
      </c>
      <c r="E123" s="7">
        <f t="shared" si="63"/>
        <v>2012</v>
      </c>
      <c r="F123" s="7">
        <f t="shared" si="63"/>
        <v>2013</v>
      </c>
      <c r="G123" s="7">
        <f t="shared" si="63"/>
        <v>2014</v>
      </c>
      <c r="H123" s="7">
        <f t="shared" si="63"/>
        <v>2015</v>
      </c>
      <c r="I123" s="7">
        <f t="shared" si="63"/>
        <v>2016</v>
      </c>
    </row>
    <row r="124" spans="1:9" ht="12.75">
      <c r="A124" s="4"/>
      <c r="B124" s="143"/>
      <c r="C124" s="4"/>
      <c r="D124" s="4"/>
      <c r="E124" s="4"/>
      <c r="F124" s="4"/>
      <c r="I124" s="4"/>
    </row>
    <row r="125" spans="1:9" ht="12.75">
      <c r="A125" s="4"/>
      <c r="B125" s="69" t="s">
        <v>137</v>
      </c>
      <c r="C125" s="81">
        <v>0</v>
      </c>
      <c r="D125" s="81">
        <f aca="true" t="shared" si="64" ref="D125:I125">C133</f>
        <v>0</v>
      </c>
      <c r="E125" s="81">
        <f t="shared" si="64"/>
        <v>0</v>
      </c>
      <c r="F125" s="81">
        <f t="shared" si="64"/>
        <v>34763.3</v>
      </c>
      <c r="G125" s="81">
        <f t="shared" si="64"/>
        <v>24334.310000000005</v>
      </c>
      <c r="H125" s="81">
        <f t="shared" si="64"/>
        <v>17034.017000000003</v>
      </c>
      <c r="I125" s="81">
        <f t="shared" si="64"/>
        <v>11923.811900000002</v>
      </c>
    </row>
    <row r="126" spans="1:9" ht="12.75">
      <c r="A126" s="4"/>
      <c r="B126" s="69" t="s">
        <v>213</v>
      </c>
      <c r="C126" s="30">
        <f aca="true" t="shared" si="65" ref="C126:I126">C56</f>
        <v>0</v>
      </c>
      <c r="D126" s="30">
        <f t="shared" si="65"/>
        <v>0</v>
      </c>
      <c r="E126" s="30">
        <f t="shared" si="65"/>
        <v>40898</v>
      </c>
      <c r="F126" s="30">
        <f t="shared" si="65"/>
        <v>0</v>
      </c>
      <c r="G126" s="30">
        <f t="shared" si="65"/>
        <v>0</v>
      </c>
      <c r="H126" s="30">
        <f t="shared" si="65"/>
        <v>0</v>
      </c>
      <c r="I126" s="30">
        <f t="shared" si="65"/>
        <v>0</v>
      </c>
    </row>
    <row r="127" spans="1:9" ht="12.75">
      <c r="A127" s="4"/>
      <c r="B127" s="69" t="s">
        <v>153</v>
      </c>
      <c r="C127" s="30">
        <f aca="true" t="shared" si="66" ref="C127:I127">C70</f>
        <v>0</v>
      </c>
      <c r="D127" s="30">
        <f t="shared" si="66"/>
        <v>0</v>
      </c>
      <c r="E127" s="30">
        <f t="shared" si="66"/>
        <v>0</v>
      </c>
      <c r="F127" s="30">
        <f t="shared" si="66"/>
        <v>0</v>
      </c>
      <c r="G127" s="30">
        <f t="shared" si="66"/>
        <v>0</v>
      </c>
      <c r="H127" s="30">
        <f t="shared" si="66"/>
        <v>0</v>
      </c>
      <c r="I127" s="30">
        <f t="shared" si="66"/>
        <v>0</v>
      </c>
    </row>
    <row r="128" spans="1:9" ht="12.75">
      <c r="A128" s="4"/>
      <c r="B128" s="69" t="s">
        <v>139</v>
      </c>
      <c r="C128" s="81">
        <f aca="true" t="shared" si="67" ref="C128:I128">SUM(C125:C127)</f>
        <v>0</v>
      </c>
      <c r="D128" s="81">
        <f t="shared" si="67"/>
        <v>0</v>
      </c>
      <c r="E128" s="81">
        <f t="shared" si="67"/>
        <v>40898</v>
      </c>
      <c r="F128" s="81">
        <f t="shared" si="67"/>
        <v>34763.3</v>
      </c>
      <c r="G128" s="81">
        <f t="shared" si="67"/>
        <v>24334.310000000005</v>
      </c>
      <c r="H128" s="81">
        <f t="shared" si="67"/>
        <v>17034.017000000003</v>
      </c>
      <c r="I128" s="81">
        <f t="shared" si="67"/>
        <v>11923.811900000002</v>
      </c>
    </row>
    <row r="129" spans="1:9" ht="12.75">
      <c r="A129" s="4"/>
      <c r="B129" s="69" t="s">
        <v>140</v>
      </c>
      <c r="C129" s="30">
        <f aca="true" t="shared" si="68" ref="C129:I129">SUM(C126:C127)/2</f>
        <v>0</v>
      </c>
      <c r="D129" s="30">
        <f t="shared" si="68"/>
        <v>0</v>
      </c>
      <c r="E129" s="30">
        <f t="shared" si="68"/>
        <v>20449</v>
      </c>
      <c r="F129" s="30">
        <f t="shared" si="68"/>
        <v>0</v>
      </c>
      <c r="G129" s="30">
        <f t="shared" si="68"/>
        <v>0</v>
      </c>
      <c r="H129" s="30">
        <f t="shared" si="68"/>
        <v>0</v>
      </c>
      <c r="I129" s="30">
        <f t="shared" si="68"/>
        <v>0</v>
      </c>
    </row>
    <row r="130" spans="1:9" ht="12.75">
      <c r="A130" s="4"/>
      <c r="B130" s="69" t="s">
        <v>141</v>
      </c>
      <c r="C130" s="81">
        <f aca="true" t="shared" si="69" ref="C130:I130">C125+C129</f>
        <v>0</v>
      </c>
      <c r="D130" s="81">
        <f t="shared" si="69"/>
        <v>0</v>
      </c>
      <c r="E130" s="81">
        <f t="shared" si="69"/>
        <v>20449</v>
      </c>
      <c r="F130" s="81">
        <f t="shared" si="69"/>
        <v>34763.3</v>
      </c>
      <c r="G130" s="81">
        <f t="shared" si="69"/>
        <v>24334.310000000005</v>
      </c>
      <c r="H130" s="81">
        <f t="shared" si="69"/>
        <v>17034.017000000003</v>
      </c>
      <c r="I130" s="81">
        <f t="shared" si="69"/>
        <v>11923.811900000002</v>
      </c>
    </row>
    <row r="131" spans="1:9" ht="12.75">
      <c r="A131" s="4"/>
      <c r="B131" s="69" t="str">
        <f>B123</f>
        <v>CCA Class 10 ( 30%)</v>
      </c>
      <c r="C131" s="115">
        <f>' Assumptions and Data'!$F$41/100</f>
        <v>0.3</v>
      </c>
      <c r="D131" s="115">
        <f>' Assumptions and Data'!$F$41/100</f>
        <v>0.3</v>
      </c>
      <c r="E131" s="115">
        <f>' Assumptions and Data'!$F$41/100</f>
        <v>0.3</v>
      </c>
      <c r="F131" s="115">
        <f>' Assumptions and Data'!$F$41/100</f>
        <v>0.3</v>
      </c>
      <c r="G131" s="115">
        <f>' Assumptions and Data'!$F$41/100</f>
        <v>0.3</v>
      </c>
      <c r="H131" s="115">
        <f>' Assumptions and Data'!$F$41/100</f>
        <v>0.3</v>
      </c>
      <c r="I131" s="115">
        <f>' Assumptions and Data'!$F$41/100</f>
        <v>0.3</v>
      </c>
    </row>
    <row r="132" spans="1:9" ht="12.75">
      <c r="A132" s="4"/>
      <c r="B132" s="69" t="s">
        <v>143</v>
      </c>
      <c r="C132" s="81">
        <f aca="true" t="shared" si="70" ref="C132:I132">IF((C130*C131)&lt;C130,(C130*C131),C130)</f>
        <v>0</v>
      </c>
      <c r="D132" s="81">
        <f t="shared" si="70"/>
        <v>0</v>
      </c>
      <c r="E132" s="81">
        <f t="shared" si="70"/>
        <v>6134.7</v>
      </c>
      <c r="F132" s="81">
        <f t="shared" si="70"/>
        <v>10428.99</v>
      </c>
      <c r="G132" s="81">
        <f t="shared" si="70"/>
        <v>7300.2930000000015</v>
      </c>
      <c r="H132" s="81">
        <f t="shared" si="70"/>
        <v>5110.205100000001</v>
      </c>
      <c r="I132" s="81">
        <f t="shared" si="70"/>
        <v>3577.1435700000006</v>
      </c>
    </row>
    <row r="133" spans="1:9" ht="13.5" thickBot="1">
      <c r="A133" s="4"/>
      <c r="B133" s="69" t="s">
        <v>144</v>
      </c>
      <c r="C133" s="112">
        <f aca="true" t="shared" si="71" ref="C133:I133">IF((C128-C132)&lt;0,0,(C128-C132))</f>
        <v>0</v>
      </c>
      <c r="D133" s="112">
        <f t="shared" si="71"/>
        <v>0</v>
      </c>
      <c r="E133" s="112">
        <f t="shared" si="71"/>
        <v>34763.3</v>
      </c>
      <c r="F133" s="112">
        <f t="shared" si="71"/>
        <v>24334.310000000005</v>
      </c>
      <c r="G133" s="112">
        <f t="shared" si="71"/>
        <v>17034.017000000003</v>
      </c>
      <c r="H133" s="112">
        <f t="shared" si="71"/>
        <v>11923.811900000002</v>
      </c>
      <c r="I133" s="112">
        <f t="shared" si="71"/>
        <v>8346.668330000002</v>
      </c>
    </row>
    <row r="135" spans="1:9" s="179" customFormat="1" ht="18">
      <c r="A135" s="177"/>
      <c r="B135" s="178"/>
      <c r="C135" s="177"/>
      <c r="D135" s="177"/>
      <c r="E135" s="177"/>
      <c r="F135" s="177"/>
      <c r="I135" s="177"/>
    </row>
    <row r="136" spans="1:9" s="179" customFormat="1" ht="12.75">
      <c r="A136" s="177"/>
      <c r="B136" s="180"/>
      <c r="C136" s="181"/>
      <c r="D136" s="181"/>
      <c r="E136" s="181"/>
      <c r="F136" s="181"/>
      <c r="G136" s="181"/>
      <c r="H136" s="181"/>
      <c r="I136" s="181"/>
    </row>
    <row r="137" spans="1:9" s="179" customFormat="1" ht="12.75">
      <c r="A137" s="177"/>
      <c r="B137" s="180"/>
      <c r="C137" s="177"/>
      <c r="D137" s="177"/>
      <c r="E137" s="177"/>
      <c r="F137" s="177"/>
      <c r="I137" s="177"/>
    </row>
    <row r="138" spans="1:9" s="179" customFormat="1" ht="12.75">
      <c r="A138" s="177"/>
      <c r="B138" s="182"/>
      <c r="C138" s="183"/>
      <c r="D138" s="183"/>
      <c r="E138" s="183"/>
      <c r="F138" s="183"/>
      <c r="G138" s="183"/>
      <c r="H138" s="183"/>
      <c r="I138" s="183"/>
    </row>
    <row r="139" spans="1:9" s="179" customFormat="1" ht="12.75">
      <c r="A139" s="177"/>
      <c r="B139" s="182"/>
      <c r="C139" s="183"/>
      <c r="D139" s="183"/>
      <c r="E139" s="183"/>
      <c r="F139" s="183"/>
      <c r="G139" s="183"/>
      <c r="H139" s="183"/>
      <c r="I139" s="183"/>
    </row>
    <row r="140" spans="1:9" s="179" customFormat="1" ht="12.75">
      <c r="A140" s="177"/>
      <c r="B140" s="182"/>
      <c r="C140" s="183"/>
      <c r="D140" s="183"/>
      <c r="E140" s="183"/>
      <c r="F140" s="183"/>
      <c r="G140" s="183"/>
      <c r="H140" s="183"/>
      <c r="I140" s="183"/>
    </row>
    <row r="141" spans="1:9" s="179" customFormat="1" ht="12.75">
      <c r="A141" s="177"/>
      <c r="B141" s="182"/>
      <c r="C141" s="183"/>
      <c r="D141" s="183"/>
      <c r="E141" s="183"/>
      <c r="F141" s="183"/>
      <c r="G141" s="183"/>
      <c r="H141" s="183"/>
      <c r="I141" s="183"/>
    </row>
    <row r="142" spans="1:9" s="179" customFormat="1" ht="12.75">
      <c r="A142" s="177"/>
      <c r="B142" s="182"/>
      <c r="C142" s="183"/>
      <c r="D142" s="183"/>
      <c r="E142" s="183"/>
      <c r="F142" s="183"/>
      <c r="G142" s="183"/>
      <c r="H142" s="183"/>
      <c r="I142" s="183"/>
    </row>
    <row r="143" spans="1:9" s="179" customFormat="1" ht="12.75">
      <c r="A143" s="177"/>
      <c r="B143" s="182"/>
      <c r="C143" s="183"/>
      <c r="D143" s="183"/>
      <c r="E143" s="183"/>
      <c r="F143" s="183"/>
      <c r="G143" s="183"/>
      <c r="H143" s="183"/>
      <c r="I143" s="183"/>
    </row>
    <row r="144" spans="1:9" s="179" customFormat="1" ht="12.75">
      <c r="A144" s="177"/>
      <c r="B144" s="180"/>
      <c r="C144" s="184"/>
      <c r="D144" s="184"/>
      <c r="E144" s="184"/>
      <c r="F144" s="184"/>
      <c r="G144" s="184"/>
      <c r="H144" s="184"/>
      <c r="I144" s="184"/>
    </row>
    <row r="145" spans="1:9" s="179" customFormat="1" ht="12.75">
      <c r="A145" s="177"/>
      <c r="B145" s="182"/>
      <c r="C145" s="183"/>
      <c r="D145" s="183"/>
      <c r="E145" s="183"/>
      <c r="F145" s="183"/>
      <c r="G145" s="183"/>
      <c r="H145" s="183"/>
      <c r="I145" s="183"/>
    </row>
    <row r="146" spans="1:9" s="179" customFormat="1" ht="12.75">
      <c r="A146" s="177"/>
      <c r="B146" s="182"/>
      <c r="C146" s="183"/>
      <c r="D146" s="183"/>
      <c r="E146" s="183"/>
      <c r="F146" s="183"/>
      <c r="G146" s="183"/>
      <c r="H146" s="183"/>
      <c r="I146" s="183"/>
    </row>
    <row r="147" s="179" customFormat="1" ht="12.75"/>
  </sheetData>
  <sheetProtection formatColumns="0" selectLockedCells="1"/>
  <mergeCells count="5">
    <mergeCell ref="B2:E2"/>
    <mergeCell ref="B3:E3"/>
    <mergeCell ref="B1:E1"/>
    <mergeCell ref="B5:E5"/>
    <mergeCell ref="B4:E4"/>
  </mergeCells>
  <printOptions horizontalCentered="1"/>
  <pageMargins left="0.53" right="0.44" top="0.55" bottom="0.55" header="0.5" footer="0.28"/>
  <pageSetup fitToHeight="2" horizontalDpi="600" verticalDpi="600" orientation="landscape" scale="54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W61"/>
  <sheetViews>
    <sheetView tabSelected="1" zoomScale="85" zoomScaleNormal="85" zoomScaleSheetLayoutView="100" zoomScalePageLayoutView="0" workbookViewId="0" topLeftCell="A10">
      <selection activeCell="G25" sqref="G25"/>
    </sheetView>
  </sheetViews>
  <sheetFormatPr defaultColWidth="9.140625" defaultRowHeight="12.75"/>
  <cols>
    <col min="1" max="1" width="2.421875" style="6" customWidth="1"/>
    <col min="2" max="2" width="67.8515625" style="6" bestFit="1" customWidth="1"/>
    <col min="3" max="3" width="6.421875" style="6" bestFit="1" customWidth="1"/>
    <col min="4" max="4" width="6.140625" style="6" bestFit="1" customWidth="1"/>
    <col min="5" max="5" width="6.140625" style="6" customWidth="1"/>
    <col min="6" max="6" width="6.421875" style="6" bestFit="1" customWidth="1"/>
    <col min="7" max="7" width="6.140625" style="99" bestFit="1" customWidth="1"/>
    <col min="8" max="8" width="6.140625" style="6" bestFit="1" customWidth="1"/>
    <col min="9" max="11" width="10.00390625" style="6" bestFit="1" customWidth="1"/>
    <col min="12" max="14" width="9.00390625" style="6" bestFit="1" customWidth="1"/>
    <col min="15" max="17" width="9.00390625" style="6" customWidth="1"/>
    <col min="18" max="19" width="9.00390625" style="6" bestFit="1" customWidth="1"/>
    <col min="20" max="23" width="9.00390625" style="6" customWidth="1"/>
    <col min="24" max="16384" width="9.140625" style="6" customWidth="1"/>
  </cols>
  <sheetData>
    <row r="1" spans="1:7" s="2" customFormat="1" ht="20.25" customHeight="1">
      <c r="A1" s="1"/>
      <c r="B1" s="234"/>
      <c r="C1" s="234"/>
      <c r="D1" s="234"/>
      <c r="E1" s="234"/>
      <c r="F1" s="1"/>
      <c r="G1" s="67"/>
    </row>
    <row r="2" spans="1:7" s="2" customFormat="1" ht="18.75" customHeight="1">
      <c r="A2" s="1"/>
      <c r="B2" s="235" t="s">
        <v>0</v>
      </c>
      <c r="C2" s="235"/>
      <c r="D2" s="235"/>
      <c r="E2" s="235"/>
      <c r="F2" s="1"/>
      <c r="G2" s="67"/>
    </row>
    <row r="3" spans="1:7" s="2" customFormat="1" ht="18.75" customHeight="1">
      <c r="A3" s="1"/>
      <c r="B3" s="236" t="s">
        <v>230</v>
      </c>
      <c r="C3" s="236"/>
      <c r="D3" s="236"/>
      <c r="E3" s="236"/>
      <c r="F3" s="1"/>
      <c r="G3" s="67"/>
    </row>
    <row r="4" spans="1:7" s="2" customFormat="1" ht="18" customHeight="1">
      <c r="A4" s="1"/>
      <c r="B4" s="230" t="s">
        <v>231</v>
      </c>
      <c r="C4" s="230"/>
      <c r="D4" s="230"/>
      <c r="E4" s="230"/>
      <c r="F4" s="1"/>
      <c r="G4" s="67"/>
    </row>
    <row r="5" spans="1:7" s="2" customFormat="1" ht="21" customHeight="1">
      <c r="A5" s="1"/>
      <c r="B5" s="257"/>
      <c r="C5" s="257"/>
      <c r="D5" s="257"/>
      <c r="E5" s="11"/>
      <c r="F5" s="1"/>
      <c r="G5" s="67"/>
    </row>
    <row r="6" spans="1:7" s="2" customFormat="1" ht="6" customHeight="1">
      <c r="A6" s="12"/>
      <c r="B6" s="12"/>
      <c r="C6" s="12"/>
      <c r="D6" s="12"/>
      <c r="E6" s="12"/>
      <c r="F6" s="12"/>
      <c r="G6" s="12"/>
    </row>
    <row r="7" spans="1:7" ht="12.75">
      <c r="A7" s="4"/>
      <c r="B7" s="4"/>
      <c r="C7" s="4"/>
      <c r="D7" s="4"/>
      <c r="E7" s="4"/>
      <c r="F7" s="4"/>
      <c r="G7" s="67"/>
    </row>
    <row r="8" spans="1:7" ht="26.25">
      <c r="A8" s="68" t="s">
        <v>193</v>
      </c>
      <c r="B8" s="4"/>
      <c r="C8" s="4"/>
      <c r="D8" s="4"/>
      <c r="E8" s="4"/>
      <c r="F8" s="4"/>
      <c r="G8" s="67"/>
    </row>
    <row r="9" spans="1:7" ht="13.5" thickBot="1">
      <c r="A9" s="4"/>
      <c r="B9" s="4"/>
      <c r="C9" s="4"/>
      <c r="D9" s="4"/>
      <c r="E9" s="4"/>
      <c r="F9" s="4"/>
      <c r="G9" s="67"/>
    </row>
    <row r="10" spans="1:23" ht="18.75" thickBot="1">
      <c r="A10" s="4"/>
      <c r="B10" s="13" t="s">
        <v>78</v>
      </c>
      <c r="C10" s="252">
        <v>2010</v>
      </c>
      <c r="D10" s="253"/>
      <c r="E10" s="254"/>
      <c r="F10" s="252">
        <v>2011</v>
      </c>
      <c r="G10" s="253"/>
      <c r="H10" s="254"/>
      <c r="I10" s="262">
        <v>2012</v>
      </c>
      <c r="J10" s="263"/>
      <c r="K10" s="264"/>
      <c r="L10" s="259">
        <v>2013</v>
      </c>
      <c r="M10" s="260"/>
      <c r="N10" s="261"/>
      <c r="O10" s="259">
        <v>2014</v>
      </c>
      <c r="P10" s="260"/>
      <c r="Q10" s="261"/>
      <c r="R10" s="259">
        <v>2015</v>
      </c>
      <c r="S10" s="260"/>
      <c r="T10" s="261"/>
      <c r="U10" s="259">
        <v>2016</v>
      </c>
      <c r="V10" s="260"/>
      <c r="W10" s="261"/>
    </row>
    <row r="11" spans="1:23" ht="12.75">
      <c r="A11" s="4"/>
      <c r="B11" s="232" t="str">
        <f>"Net Fixed Assets  "&amp;' Assumptions and Data'!B31</f>
        <v>Net Fixed Assets  Smart Grid Distribution Assets</v>
      </c>
      <c r="C11" s="121">
        <f>'Nt Fix Ass &amp;UCC'!C22</f>
        <v>0</v>
      </c>
      <c r="D11" s="122"/>
      <c r="E11" s="123"/>
      <c r="F11" s="121">
        <f>'Nt Fix Ass &amp;UCC'!D22</f>
        <v>0</v>
      </c>
      <c r="G11" s="122"/>
      <c r="H11" s="123"/>
      <c r="I11" s="121">
        <f>'Nt Fix Ass &amp;UCC'!E22</f>
        <v>31651.84375</v>
      </c>
      <c r="J11" s="122"/>
      <c r="K11" s="123"/>
      <c r="L11" s="121">
        <f>'Nt Fix Ass &amp;UCC'!F22</f>
        <v>62502.375</v>
      </c>
      <c r="M11" s="122"/>
      <c r="N11" s="123"/>
      <c r="O11" s="121">
        <f>'Nt Fix Ass &amp;UCC'!G22</f>
        <v>60899.75</v>
      </c>
      <c r="P11" s="122"/>
      <c r="Q11" s="123"/>
      <c r="R11" s="121">
        <f>'Nt Fix Ass &amp;UCC'!H22</f>
        <v>59297.125</v>
      </c>
      <c r="S11" s="122"/>
      <c r="T11" s="123"/>
      <c r="U11" s="121">
        <f>'Nt Fix Ass &amp;UCC'!I22</f>
        <v>57694.5</v>
      </c>
      <c r="V11" s="122"/>
      <c r="W11" s="123"/>
    </row>
    <row r="12" spans="1:23" ht="12.75">
      <c r="A12" s="4"/>
      <c r="B12" s="232" t="str">
        <f>"Net Fixed Assets  "&amp;' Assumptions and Data'!B32</f>
        <v>Net Fixed Assets  Computer Hardware</v>
      </c>
      <c r="C12" s="124">
        <f>'Nt Fix Ass &amp;UCC'!C36</f>
        <v>0</v>
      </c>
      <c r="D12" s="75"/>
      <c r="E12" s="84"/>
      <c r="F12" s="124">
        <f>'Nt Fix Ass &amp;UCC'!D36</f>
        <v>0</v>
      </c>
      <c r="G12" s="75"/>
      <c r="H12" s="84"/>
      <c r="I12" s="124">
        <f>'Nt Fix Ass &amp;UCC'!E36</f>
        <v>0</v>
      </c>
      <c r="J12" s="75"/>
      <c r="K12" s="84"/>
      <c r="L12" s="124">
        <f>'Nt Fix Ass &amp;UCC'!F36</f>
        <v>0</v>
      </c>
      <c r="M12" s="75"/>
      <c r="N12" s="84"/>
      <c r="O12" s="124">
        <f>'Nt Fix Ass &amp;UCC'!G36</f>
        <v>0</v>
      </c>
      <c r="P12" s="75"/>
      <c r="Q12" s="84"/>
      <c r="R12" s="124">
        <f>'Nt Fix Ass &amp;UCC'!H36</f>
        <v>0</v>
      </c>
      <c r="S12" s="75"/>
      <c r="T12" s="84"/>
      <c r="U12" s="124">
        <f>'Nt Fix Ass &amp;UCC'!I36</f>
        <v>0</v>
      </c>
      <c r="V12" s="75"/>
      <c r="W12" s="84"/>
    </row>
    <row r="13" spans="1:23" ht="12.75">
      <c r="A13" s="4"/>
      <c r="B13" s="232" t="str">
        <f>"Net Fixed Assets  "&amp;' Assumptions and Data'!B33</f>
        <v>Net Fixed Assets  Computer Software</v>
      </c>
      <c r="C13" s="124">
        <f>'Nt Fix Ass &amp;UCC'!C50</f>
        <v>0</v>
      </c>
      <c r="D13" s="125"/>
      <c r="E13" s="84"/>
      <c r="F13" s="124">
        <f>'Nt Fix Ass &amp;UCC'!D50</f>
        <v>0</v>
      </c>
      <c r="G13" s="125"/>
      <c r="H13" s="84"/>
      <c r="I13" s="124">
        <f>'Nt Fix Ass &amp;UCC'!E50</f>
        <v>0</v>
      </c>
      <c r="J13" s="125"/>
      <c r="K13" s="84"/>
      <c r="L13" s="124">
        <f>'Nt Fix Ass &amp;UCC'!F50</f>
        <v>0</v>
      </c>
      <c r="M13" s="125"/>
      <c r="N13" s="84"/>
      <c r="O13" s="124">
        <f>'Nt Fix Ass &amp;UCC'!G50</f>
        <v>0</v>
      </c>
      <c r="P13" s="125"/>
      <c r="Q13" s="84"/>
      <c r="R13" s="124">
        <f>'Nt Fix Ass &amp;UCC'!H50</f>
        <v>0</v>
      </c>
      <c r="S13" s="125"/>
      <c r="T13" s="84"/>
      <c r="U13" s="124">
        <f>'Nt Fix Ass &amp;UCC'!I50</f>
        <v>0</v>
      </c>
      <c r="V13" s="125"/>
      <c r="W13" s="84"/>
    </row>
    <row r="14" spans="1:23" ht="12.75">
      <c r="A14" s="4"/>
      <c r="B14" s="232" t="str">
        <f>"Net Fixed Assets  "&amp;' Assumptions and Data'!B34</f>
        <v>Net Fixed Assets  Vehicles</v>
      </c>
      <c r="C14" s="124">
        <f>'Nt Fix Ass &amp;UCC'!C65</f>
        <v>0</v>
      </c>
      <c r="D14" s="125"/>
      <c r="E14" s="84"/>
      <c r="F14" s="124">
        <f>'Nt Fix Ass &amp;UCC'!D65</f>
        <v>0</v>
      </c>
      <c r="G14" s="125"/>
      <c r="H14" s="84"/>
      <c r="I14" s="124">
        <f>'Nt Fix Ass &amp;UCC'!E65</f>
        <v>18988.35714285714</v>
      </c>
      <c r="J14" s="125"/>
      <c r="K14" s="84"/>
      <c r="L14" s="124">
        <f>'Nt Fix Ass &amp;UCC'!F65</f>
        <v>35055.428571428565</v>
      </c>
      <c r="M14" s="125"/>
      <c r="N14" s="84"/>
      <c r="O14" s="124">
        <f>'Nt Fix Ass &amp;UCC'!G65</f>
        <v>29212.85714285714</v>
      </c>
      <c r="P14" s="125"/>
      <c r="Q14" s="84"/>
      <c r="R14" s="124">
        <f>'Nt Fix Ass &amp;UCC'!H65</f>
        <v>23370.285714285714</v>
      </c>
      <c r="S14" s="125"/>
      <c r="T14" s="84"/>
      <c r="U14" s="124">
        <f>'Nt Fix Ass &amp;UCC'!I65</f>
        <v>17527.714285714286</v>
      </c>
      <c r="V14" s="125"/>
      <c r="W14" s="84"/>
    </row>
    <row r="15" spans="1:23" ht="12.75">
      <c r="A15" s="4"/>
      <c r="B15" s="69"/>
      <c r="C15" s="124"/>
      <c r="D15" s="125"/>
      <c r="E15" s="84"/>
      <c r="F15" s="124"/>
      <c r="G15" s="125"/>
      <c r="H15" s="84"/>
      <c r="I15" s="124"/>
      <c r="J15" s="125"/>
      <c r="K15" s="84"/>
      <c r="L15" s="124"/>
      <c r="M15" s="125"/>
      <c r="N15" s="84"/>
      <c r="O15" s="124"/>
      <c r="P15" s="125"/>
      <c r="Q15" s="84"/>
      <c r="R15" s="124"/>
      <c r="S15" s="125"/>
      <c r="T15" s="84"/>
      <c r="U15" s="124"/>
      <c r="V15" s="125"/>
      <c r="W15" s="84"/>
    </row>
    <row r="16" spans="1:23" ht="12.75">
      <c r="A16" s="4"/>
      <c r="B16" s="69" t="s">
        <v>84</v>
      </c>
      <c r="C16" s="126">
        <f>SUM(C11:C15)</f>
        <v>0</v>
      </c>
      <c r="D16" s="125">
        <f>C16</f>
        <v>0</v>
      </c>
      <c r="E16" s="84"/>
      <c r="F16" s="126">
        <f>SUM(F11:F15)</f>
        <v>0</v>
      </c>
      <c r="G16" s="125">
        <f>F16</f>
        <v>0</v>
      </c>
      <c r="H16" s="84"/>
      <c r="I16" s="126">
        <f>SUM(I11:I15)</f>
        <v>50640.200892857145</v>
      </c>
      <c r="J16" s="125">
        <f>I16</f>
        <v>50640.200892857145</v>
      </c>
      <c r="K16" s="84"/>
      <c r="L16" s="126">
        <f>SUM(L11:L15)</f>
        <v>97557.80357142857</v>
      </c>
      <c r="M16" s="125">
        <f>L16</f>
        <v>97557.80357142857</v>
      </c>
      <c r="N16" s="84"/>
      <c r="O16" s="126">
        <f>SUM(O11:O15)</f>
        <v>90112.60714285714</v>
      </c>
      <c r="P16" s="125">
        <f>O16</f>
        <v>90112.60714285714</v>
      </c>
      <c r="Q16" s="84"/>
      <c r="R16" s="126">
        <f>SUM(R11:R15)</f>
        <v>82667.41071428571</v>
      </c>
      <c r="S16" s="125">
        <f>R16</f>
        <v>82667.41071428571</v>
      </c>
      <c r="T16" s="84"/>
      <c r="U16" s="126">
        <f>SUM(U11:U15)</f>
        <v>75222.21428571429</v>
      </c>
      <c r="V16" s="125">
        <f>U16</f>
        <v>75222.21428571429</v>
      </c>
      <c r="W16" s="84"/>
    </row>
    <row r="17" spans="1:23" ht="12.75">
      <c r="A17" s="4"/>
      <c r="B17" s="69"/>
      <c r="C17" s="127"/>
      <c r="D17" s="75"/>
      <c r="E17" s="84"/>
      <c r="F17" s="127"/>
      <c r="G17" s="75"/>
      <c r="H17" s="84"/>
      <c r="I17" s="127"/>
      <c r="J17" s="75"/>
      <c r="K17" s="84"/>
      <c r="L17" s="127"/>
      <c r="M17" s="75"/>
      <c r="N17" s="84"/>
      <c r="O17" s="127"/>
      <c r="P17" s="75"/>
      <c r="Q17" s="84"/>
      <c r="R17" s="127"/>
      <c r="S17" s="75"/>
      <c r="T17" s="84"/>
      <c r="U17" s="127"/>
      <c r="V17" s="75"/>
      <c r="W17" s="84"/>
    </row>
    <row r="18" spans="1:23" ht="18">
      <c r="A18" s="4"/>
      <c r="B18" s="13" t="s">
        <v>85</v>
      </c>
      <c r="C18" s="127"/>
      <c r="D18" s="75"/>
      <c r="E18" s="84"/>
      <c r="F18" s="127"/>
      <c r="G18" s="75"/>
      <c r="H18" s="84"/>
      <c r="I18" s="127"/>
      <c r="J18" s="75"/>
      <c r="K18" s="84"/>
      <c r="L18" s="127"/>
      <c r="M18" s="75"/>
      <c r="N18" s="84"/>
      <c r="O18" s="127"/>
      <c r="P18" s="75"/>
      <c r="Q18" s="84"/>
      <c r="R18" s="127"/>
      <c r="S18" s="75"/>
      <c r="T18" s="84"/>
      <c r="U18" s="127"/>
      <c r="V18" s="75"/>
      <c r="W18" s="84"/>
    </row>
    <row r="19" spans="1:23" ht="12.75">
      <c r="A19" s="4"/>
      <c r="B19" s="27" t="s">
        <v>41</v>
      </c>
      <c r="C19" s="128">
        <f>E34</f>
        <v>0</v>
      </c>
      <c r="D19" s="125"/>
      <c r="E19" s="88"/>
      <c r="F19" s="128">
        <f>H34</f>
        <v>0</v>
      </c>
      <c r="G19" s="125"/>
      <c r="H19" s="88"/>
      <c r="I19" s="128">
        <f>K34</f>
        <v>803499</v>
      </c>
      <c r="J19" s="125"/>
      <c r="K19" s="88"/>
      <c r="L19" s="128">
        <f>N34</f>
        <v>0</v>
      </c>
      <c r="M19" s="125"/>
      <c r="N19" s="88"/>
      <c r="O19" s="128">
        <f>Q34</f>
        <v>0</v>
      </c>
      <c r="P19" s="125"/>
      <c r="Q19" s="88"/>
      <c r="R19" s="128">
        <f>T34</f>
        <v>0</v>
      </c>
      <c r="S19" s="125"/>
      <c r="T19" s="88"/>
      <c r="U19" s="128">
        <f>W34</f>
        <v>0</v>
      </c>
      <c r="V19" s="125"/>
      <c r="W19" s="88"/>
    </row>
    <row r="20" spans="1:23" ht="12.75">
      <c r="A20" s="4"/>
      <c r="B20" s="27" t="str">
        <f>"Working Capital "&amp;' Assumptions and Data'!C13*100&amp;" %"</f>
        <v>Working Capital 13 %</v>
      </c>
      <c r="C20" s="128">
        <f>C19*' Assumptions and Data'!$C$13</f>
        <v>0</v>
      </c>
      <c r="D20" s="125">
        <f>C20</f>
        <v>0</v>
      </c>
      <c r="E20" s="88"/>
      <c r="F20" s="128">
        <f>F19*' Assumptions and Data'!$C$13</f>
        <v>0</v>
      </c>
      <c r="G20" s="125">
        <f>F20</f>
        <v>0</v>
      </c>
      <c r="H20" s="88"/>
      <c r="I20" s="128">
        <f>I19*' Assumptions and Data'!$C$13</f>
        <v>104454.87000000001</v>
      </c>
      <c r="J20" s="125">
        <f>I20</f>
        <v>104454.87000000001</v>
      </c>
      <c r="K20" s="88"/>
      <c r="L20" s="128">
        <f>L19*' Assumptions and Data'!$C$13</f>
        <v>0</v>
      </c>
      <c r="M20" s="125">
        <f>L20</f>
        <v>0</v>
      </c>
      <c r="N20" s="88"/>
      <c r="O20" s="128">
        <f>O19*' Assumptions and Data'!$C$13</f>
        <v>0</v>
      </c>
      <c r="P20" s="125">
        <f>O20</f>
        <v>0</v>
      </c>
      <c r="Q20" s="88"/>
      <c r="R20" s="128">
        <f>R19*' Assumptions and Data'!$C$13</f>
        <v>0</v>
      </c>
      <c r="S20" s="125">
        <f>R20</f>
        <v>0</v>
      </c>
      <c r="T20" s="88"/>
      <c r="U20" s="128">
        <f>U19*' Assumptions and Data'!$C$13</f>
        <v>0</v>
      </c>
      <c r="V20" s="125">
        <f>U20</f>
        <v>0</v>
      </c>
      <c r="W20" s="88"/>
    </row>
    <row r="21" spans="1:23" ht="12.75">
      <c r="A21" s="4"/>
      <c r="B21" s="69"/>
      <c r="C21" s="128"/>
      <c r="D21" s="125"/>
      <c r="E21" s="88"/>
      <c r="F21" s="128"/>
      <c r="G21" s="125"/>
      <c r="H21" s="88"/>
      <c r="I21" s="128"/>
      <c r="J21" s="125"/>
      <c r="K21" s="88"/>
      <c r="L21" s="128"/>
      <c r="M21" s="125"/>
      <c r="N21" s="88"/>
      <c r="O21" s="128"/>
      <c r="P21" s="125"/>
      <c r="Q21" s="88"/>
      <c r="R21" s="128"/>
      <c r="S21" s="125"/>
      <c r="T21" s="88"/>
      <c r="U21" s="128"/>
      <c r="V21" s="125"/>
      <c r="W21" s="88"/>
    </row>
    <row r="22" spans="1:23" ht="15.75">
      <c r="A22" s="4"/>
      <c r="B22" s="154" t="s">
        <v>220</v>
      </c>
      <c r="C22" s="128"/>
      <c r="D22" s="110">
        <f>SUM(D12:D20)</f>
        <v>0</v>
      </c>
      <c r="E22" s="88"/>
      <c r="F22" s="128"/>
      <c r="G22" s="110">
        <f>SUM(G12:G20)</f>
        <v>0</v>
      </c>
      <c r="H22" s="88"/>
      <c r="I22" s="128"/>
      <c r="J22" s="110">
        <f>SUM(J12:J20)</f>
        <v>155095.07089285715</v>
      </c>
      <c r="K22" s="88"/>
      <c r="L22" s="128"/>
      <c r="M22" s="110">
        <f>SUM(M12:M20)</f>
        <v>97557.80357142857</v>
      </c>
      <c r="N22" s="88"/>
      <c r="O22" s="128"/>
      <c r="P22" s="110">
        <f>SUM(P12:P20)</f>
        <v>90112.60714285714</v>
      </c>
      <c r="Q22" s="88"/>
      <c r="R22" s="128"/>
      <c r="S22" s="110">
        <f>SUM(S12:S20)</f>
        <v>82667.41071428571</v>
      </c>
      <c r="T22" s="88"/>
      <c r="U22" s="128"/>
      <c r="V22" s="110">
        <f>SUM(V12:V20)</f>
        <v>75222.21428571429</v>
      </c>
      <c r="W22" s="88"/>
    </row>
    <row r="23" spans="1:23" ht="12.75">
      <c r="A23" s="4"/>
      <c r="B23" s="69"/>
      <c r="C23" s="127"/>
      <c r="D23" s="75"/>
      <c r="E23" s="84"/>
      <c r="F23" s="127"/>
      <c r="G23" s="75"/>
      <c r="H23" s="84"/>
      <c r="I23" s="127"/>
      <c r="J23" s="75"/>
      <c r="K23" s="84"/>
      <c r="L23" s="127"/>
      <c r="M23" s="75"/>
      <c r="N23" s="84"/>
      <c r="O23" s="127"/>
      <c r="P23" s="75"/>
      <c r="Q23" s="84"/>
      <c r="R23" s="127"/>
      <c r="S23" s="75"/>
      <c r="T23" s="84"/>
      <c r="U23" s="127"/>
      <c r="V23" s="75"/>
      <c r="W23" s="84"/>
    </row>
    <row r="24" spans="1:23" ht="18">
      <c r="A24" s="4"/>
      <c r="B24" s="13" t="s">
        <v>43</v>
      </c>
      <c r="C24" s="127"/>
      <c r="D24" s="75"/>
      <c r="E24" s="84"/>
      <c r="F24" s="127"/>
      <c r="G24" s="75"/>
      <c r="H24" s="84"/>
      <c r="I24" s="127"/>
      <c r="J24" s="75"/>
      <c r="K24" s="84"/>
      <c r="L24" s="127"/>
      <c r="M24" s="75"/>
      <c r="N24" s="84"/>
      <c r="O24" s="127"/>
      <c r="P24" s="75"/>
      <c r="Q24" s="84"/>
      <c r="R24" s="127"/>
      <c r="S24" s="75"/>
      <c r="T24" s="84"/>
      <c r="U24" s="127"/>
      <c r="V24" s="75"/>
      <c r="W24" s="84"/>
    </row>
    <row r="25" spans="1:23" ht="12.75">
      <c r="A25" s="4"/>
      <c r="B25" s="27" t="s">
        <v>218</v>
      </c>
      <c r="C25" s="137">
        <f>' Assumptions and Data'!$C$7</f>
        <v>0.6</v>
      </c>
      <c r="D25" s="125">
        <f>D22*C25</f>
        <v>0</v>
      </c>
      <c r="E25" s="84"/>
      <c r="F25" s="137">
        <f>' Assumptions and Data'!$C$7</f>
        <v>0.6</v>
      </c>
      <c r="G25" s="125">
        <f>G22*F25</f>
        <v>0</v>
      </c>
      <c r="H25" s="84"/>
      <c r="I25" s="137">
        <f>' Assumptions and Data'!$C$7</f>
        <v>0.6</v>
      </c>
      <c r="J25" s="125">
        <f>J22*I25</f>
        <v>93057.0425357143</v>
      </c>
      <c r="K25" s="84"/>
      <c r="L25" s="137">
        <f>' Assumptions and Data'!$C$7</f>
        <v>0.6</v>
      </c>
      <c r="M25" s="125">
        <f>M22*L25</f>
        <v>58534.682142857135</v>
      </c>
      <c r="N25" s="84"/>
      <c r="O25" s="137">
        <f>' Assumptions and Data'!$C$7</f>
        <v>0.6</v>
      </c>
      <c r="P25" s="125">
        <f>P22*O25</f>
        <v>54067.56428571429</v>
      </c>
      <c r="Q25" s="84"/>
      <c r="R25" s="137">
        <f>' Assumptions and Data'!$C$7</f>
        <v>0.6</v>
      </c>
      <c r="S25" s="125">
        <f>S22*R25</f>
        <v>49600.44642857143</v>
      </c>
      <c r="T25" s="84"/>
      <c r="U25" s="137">
        <f>' Assumptions and Data'!$C$7</f>
        <v>0.6</v>
      </c>
      <c r="V25" s="125">
        <f>V22*U25</f>
        <v>45133.328571428574</v>
      </c>
      <c r="W25" s="84"/>
    </row>
    <row r="26" spans="1:23" ht="12.75">
      <c r="A26" s="4"/>
      <c r="B26" s="27" t="s">
        <v>216</v>
      </c>
      <c r="C26" s="137">
        <f>' Assumptions and Data'!$C$8</f>
        <v>0.4</v>
      </c>
      <c r="D26" s="125">
        <f>D22*C26</f>
        <v>0</v>
      </c>
      <c r="E26" s="84"/>
      <c r="F26" s="137">
        <f>' Assumptions and Data'!$C$8</f>
        <v>0.4</v>
      </c>
      <c r="G26" s="125">
        <f>G22*F26</f>
        <v>0</v>
      </c>
      <c r="H26" s="84"/>
      <c r="I26" s="137">
        <f>' Assumptions and Data'!$C$8</f>
        <v>0.4</v>
      </c>
      <c r="J26" s="125">
        <f>J22*I26</f>
        <v>62038.028357142866</v>
      </c>
      <c r="K26" s="84"/>
      <c r="L26" s="137">
        <f>' Assumptions and Data'!$C$8</f>
        <v>0.4</v>
      </c>
      <c r="M26" s="125">
        <f>M22*L26</f>
        <v>39023.12142857143</v>
      </c>
      <c r="N26" s="84"/>
      <c r="O26" s="137">
        <f>' Assumptions and Data'!$C$8</f>
        <v>0.4</v>
      </c>
      <c r="P26" s="125">
        <f>P22*O26</f>
        <v>36045.04285714286</v>
      </c>
      <c r="Q26" s="84"/>
      <c r="R26" s="137">
        <f>' Assumptions and Data'!$C$8</f>
        <v>0.4</v>
      </c>
      <c r="S26" s="125">
        <f>S22*R26</f>
        <v>33066.96428571428</v>
      </c>
      <c r="T26" s="84"/>
      <c r="U26" s="137">
        <f>' Assumptions and Data'!$C$8</f>
        <v>0.4</v>
      </c>
      <c r="V26" s="125">
        <f>V22*U26</f>
        <v>30088.885714285716</v>
      </c>
      <c r="W26" s="84"/>
    </row>
    <row r="27" spans="1:23" ht="12.75">
      <c r="A27" s="4"/>
      <c r="B27" s="69"/>
      <c r="C27" s="127"/>
      <c r="D27" s="110">
        <f>SUM(D25:D26)</f>
        <v>0</v>
      </c>
      <c r="E27" s="84"/>
      <c r="F27" s="127"/>
      <c r="G27" s="110">
        <f>SUM(G25:G26)</f>
        <v>0</v>
      </c>
      <c r="H27" s="84"/>
      <c r="I27" s="127"/>
      <c r="J27" s="110">
        <f>SUM(J25:J26)</f>
        <v>155095.07089285715</v>
      </c>
      <c r="K27" s="84"/>
      <c r="L27" s="127"/>
      <c r="M27" s="110">
        <f>SUM(M25:M26)</f>
        <v>97557.80357142857</v>
      </c>
      <c r="N27" s="84"/>
      <c r="O27" s="127"/>
      <c r="P27" s="110">
        <f>SUM(P25:P26)</f>
        <v>90112.60714285714</v>
      </c>
      <c r="Q27" s="84"/>
      <c r="R27" s="127"/>
      <c r="S27" s="110">
        <f>SUM(S25:S26)</f>
        <v>82667.41071428571</v>
      </c>
      <c r="T27" s="84"/>
      <c r="U27" s="127"/>
      <c r="V27" s="110">
        <f>SUM(V25:V26)</f>
        <v>75222.21428571429</v>
      </c>
      <c r="W27" s="84"/>
    </row>
    <row r="28" spans="1:23" ht="12.75">
      <c r="A28" s="4"/>
      <c r="B28" s="69"/>
      <c r="C28" s="127"/>
      <c r="D28" s="75"/>
      <c r="E28" s="84"/>
      <c r="F28" s="127"/>
      <c r="G28" s="75"/>
      <c r="H28" s="84"/>
      <c r="I28" s="127"/>
      <c r="J28" s="75"/>
      <c r="K28" s="84"/>
      <c r="L28" s="127"/>
      <c r="M28" s="75"/>
      <c r="N28" s="84"/>
      <c r="O28" s="127"/>
      <c r="P28" s="75"/>
      <c r="Q28" s="84"/>
      <c r="R28" s="127"/>
      <c r="S28" s="75"/>
      <c r="T28" s="84"/>
      <c r="U28" s="127"/>
      <c r="V28" s="75"/>
      <c r="W28" s="84"/>
    </row>
    <row r="29" spans="1:23" ht="12.75">
      <c r="A29" s="4"/>
      <c r="B29" s="27" t="s">
        <v>217</v>
      </c>
      <c r="C29" s="138">
        <f>' Assumptions and Data'!$C$9</f>
        <v>0.0401</v>
      </c>
      <c r="D29" s="125">
        <f>D25*C29</f>
        <v>0</v>
      </c>
      <c r="E29" s="88"/>
      <c r="F29" s="138">
        <f>' Assumptions and Data'!$C$9</f>
        <v>0.0401</v>
      </c>
      <c r="G29" s="125">
        <f>G25*F29</f>
        <v>0</v>
      </c>
      <c r="H29" s="88"/>
      <c r="I29" s="138">
        <f>' Assumptions and Data'!$C$9</f>
        <v>0.0401</v>
      </c>
      <c r="J29" s="125">
        <f>J25*I29</f>
        <v>3731.587405682143</v>
      </c>
      <c r="K29" s="88"/>
      <c r="L29" s="138">
        <f>' Assumptions and Data'!$C$9</f>
        <v>0.0401</v>
      </c>
      <c r="M29" s="125">
        <f>M25*L29</f>
        <v>2347.240753928571</v>
      </c>
      <c r="N29" s="88"/>
      <c r="O29" s="138">
        <f>' Assumptions and Data'!$C$9</f>
        <v>0.0401</v>
      </c>
      <c r="P29" s="125">
        <f>P25*O29</f>
        <v>2168.109327857143</v>
      </c>
      <c r="Q29" s="88"/>
      <c r="R29" s="138">
        <f>' Assumptions and Data'!$C$9</f>
        <v>0.0401</v>
      </c>
      <c r="S29" s="125">
        <f>S25*R29</f>
        <v>1988.977901785714</v>
      </c>
      <c r="T29" s="88"/>
      <c r="U29" s="138">
        <f>' Assumptions and Data'!$C$9</f>
        <v>0.0401</v>
      </c>
      <c r="V29" s="125">
        <f>V25*U29</f>
        <v>1809.8464757142856</v>
      </c>
      <c r="W29" s="88"/>
    </row>
    <row r="30" spans="1:23" ht="12.75">
      <c r="A30" s="4"/>
      <c r="B30" s="27" t="s">
        <v>219</v>
      </c>
      <c r="C30" s="138">
        <f>' Assumptions and Data'!$C$10</f>
        <v>0.0893</v>
      </c>
      <c r="D30" s="125">
        <f>D26*C30</f>
        <v>0</v>
      </c>
      <c r="E30" s="88"/>
      <c r="F30" s="138">
        <f>' Assumptions and Data'!$C$10</f>
        <v>0.0893</v>
      </c>
      <c r="G30" s="125">
        <f>G26*F30</f>
        <v>0</v>
      </c>
      <c r="H30" s="88"/>
      <c r="I30" s="138">
        <f>' Assumptions and Data'!$C$10</f>
        <v>0.0893</v>
      </c>
      <c r="J30" s="125">
        <f>J26*I30</f>
        <v>5539.995932292858</v>
      </c>
      <c r="K30" s="88"/>
      <c r="L30" s="138">
        <f>' Assumptions and Data'!$C$10</f>
        <v>0.0893</v>
      </c>
      <c r="M30" s="125">
        <f>M26*L30</f>
        <v>3484.764743571429</v>
      </c>
      <c r="N30" s="88"/>
      <c r="O30" s="138">
        <f>' Assumptions and Data'!$C$10</f>
        <v>0.0893</v>
      </c>
      <c r="P30" s="125">
        <f>P26*O30</f>
        <v>3218.8223271428574</v>
      </c>
      <c r="Q30" s="88"/>
      <c r="R30" s="138">
        <f>' Assumptions and Data'!$C$10</f>
        <v>0.0893</v>
      </c>
      <c r="S30" s="125">
        <f>S26*R30</f>
        <v>2952.8799107142854</v>
      </c>
      <c r="T30" s="88"/>
      <c r="U30" s="138">
        <f>' Assumptions and Data'!$C$10</f>
        <v>0.0893</v>
      </c>
      <c r="V30" s="125">
        <f>V26*U30</f>
        <v>2686.9374942857144</v>
      </c>
      <c r="W30" s="88"/>
    </row>
    <row r="31" spans="1:23" ht="15.75">
      <c r="A31" s="4"/>
      <c r="B31" s="21" t="s">
        <v>43</v>
      </c>
      <c r="C31" s="127"/>
      <c r="D31" s="110">
        <f>SUM(D29:D30)</f>
        <v>0</v>
      </c>
      <c r="E31" s="88">
        <f>D31</f>
        <v>0</v>
      </c>
      <c r="F31" s="127"/>
      <c r="G31" s="110">
        <f>SUM(G29:G30)</f>
        <v>0</v>
      </c>
      <c r="H31" s="88">
        <f>G31</f>
        <v>0</v>
      </c>
      <c r="I31" s="127"/>
      <c r="J31" s="110">
        <f>SUM(J29:J30)</f>
        <v>9271.583337975</v>
      </c>
      <c r="K31" s="88">
        <f>J31</f>
        <v>9271.583337975</v>
      </c>
      <c r="L31" s="127"/>
      <c r="M31" s="110">
        <f>SUM(M29:M30)</f>
        <v>5832.0054975</v>
      </c>
      <c r="N31" s="88">
        <f>M31</f>
        <v>5832.0054975</v>
      </c>
      <c r="O31" s="127"/>
      <c r="P31" s="110">
        <f>SUM(P29:P30)</f>
        <v>5386.931655</v>
      </c>
      <c r="Q31" s="88">
        <f>P31</f>
        <v>5386.931655</v>
      </c>
      <c r="R31" s="127"/>
      <c r="S31" s="110">
        <f>SUM(S29:S30)</f>
        <v>4941.857812499999</v>
      </c>
      <c r="T31" s="88">
        <f>S31</f>
        <v>4941.857812499999</v>
      </c>
      <c r="U31" s="127"/>
      <c r="V31" s="110">
        <f>SUM(V29:V30)</f>
        <v>4496.78397</v>
      </c>
      <c r="W31" s="88">
        <f>V31</f>
        <v>4496.78397</v>
      </c>
    </row>
    <row r="32" spans="1:23" ht="15.75">
      <c r="A32" s="4"/>
      <c r="B32" s="21"/>
      <c r="C32" s="127"/>
      <c r="D32" s="75"/>
      <c r="E32" s="84"/>
      <c r="F32" s="127"/>
      <c r="G32" s="75"/>
      <c r="H32" s="84"/>
      <c r="I32" s="127"/>
      <c r="J32" s="75"/>
      <c r="K32" s="84"/>
      <c r="L32" s="127"/>
      <c r="M32" s="75"/>
      <c r="N32" s="84"/>
      <c r="O32" s="127"/>
      <c r="P32" s="75"/>
      <c r="Q32" s="84"/>
      <c r="R32" s="127"/>
      <c r="S32" s="75"/>
      <c r="T32" s="84"/>
      <c r="U32" s="127"/>
      <c r="V32" s="75"/>
      <c r="W32" s="84"/>
    </row>
    <row r="33" spans="1:23" ht="18">
      <c r="A33" s="4"/>
      <c r="B33" s="13" t="s">
        <v>44</v>
      </c>
      <c r="C33" s="127"/>
      <c r="D33" s="75"/>
      <c r="E33" s="84"/>
      <c r="F33" s="127"/>
      <c r="G33" s="75"/>
      <c r="H33" s="84"/>
      <c r="I33" s="127"/>
      <c r="J33" s="75"/>
      <c r="K33" s="84"/>
      <c r="L33" s="127"/>
      <c r="M33" s="75"/>
      <c r="N33" s="84"/>
      <c r="O33" s="127"/>
      <c r="P33" s="75"/>
      <c r="Q33" s="84"/>
      <c r="R33" s="127"/>
      <c r="S33" s="75"/>
      <c r="T33" s="84"/>
      <c r="U33" s="127"/>
      <c r="V33" s="75"/>
      <c r="W33" s="84"/>
    </row>
    <row r="34" spans="1:23" ht="12.75">
      <c r="A34" s="4"/>
      <c r="B34" s="27" t="s">
        <v>215</v>
      </c>
      <c r="C34" s="127"/>
      <c r="D34" s="125"/>
      <c r="E34" s="129">
        <f>' Assumptions and Data'!C47</f>
        <v>0</v>
      </c>
      <c r="F34" s="127"/>
      <c r="G34" s="125"/>
      <c r="H34" s="129">
        <f>' Assumptions and Data'!D47</f>
        <v>0</v>
      </c>
      <c r="I34" s="127"/>
      <c r="J34" s="125"/>
      <c r="K34" s="129">
        <f>' Assumptions and Data'!E47</f>
        <v>803499</v>
      </c>
      <c r="L34" s="127"/>
      <c r="M34" s="125"/>
      <c r="N34" s="129">
        <f>' Assumptions and Data'!F47</f>
        <v>0</v>
      </c>
      <c r="O34" s="127"/>
      <c r="P34" s="125"/>
      <c r="Q34" s="129">
        <f>' Assumptions and Data'!G47</f>
        <v>0</v>
      </c>
      <c r="R34" s="127"/>
      <c r="S34" s="125"/>
      <c r="T34" s="129">
        <f>' Assumptions and Data'!H47</f>
        <v>0</v>
      </c>
      <c r="U34" s="127"/>
      <c r="V34" s="125"/>
      <c r="W34" s="129">
        <f>' Assumptions and Data'!I47</f>
        <v>0</v>
      </c>
    </row>
    <row r="35" spans="1:23" ht="12.75">
      <c r="A35" s="4"/>
      <c r="B35" s="69"/>
      <c r="C35" s="127"/>
      <c r="D35" s="75"/>
      <c r="E35" s="84"/>
      <c r="F35" s="127"/>
      <c r="G35" s="75"/>
      <c r="H35" s="84"/>
      <c r="I35" s="127"/>
      <c r="J35" s="75"/>
      <c r="K35" s="84"/>
      <c r="L35" s="127"/>
      <c r="M35" s="75"/>
      <c r="N35" s="84"/>
      <c r="O35" s="127"/>
      <c r="P35" s="75"/>
      <c r="Q35" s="84"/>
      <c r="R35" s="127"/>
      <c r="S35" s="75"/>
      <c r="T35" s="84"/>
      <c r="U35" s="127"/>
      <c r="V35" s="75"/>
      <c r="W35" s="84"/>
    </row>
    <row r="36" spans="1:23" ht="18">
      <c r="A36" s="4"/>
      <c r="B36" s="13" t="s">
        <v>46</v>
      </c>
      <c r="C36" s="127"/>
      <c r="D36" s="75"/>
      <c r="E36" s="84"/>
      <c r="F36" s="127"/>
      <c r="G36" s="75"/>
      <c r="H36" s="84"/>
      <c r="I36" s="127"/>
      <c r="J36" s="75"/>
      <c r="K36" s="84"/>
      <c r="L36" s="127"/>
      <c r="M36" s="75"/>
      <c r="N36" s="84"/>
      <c r="O36" s="127"/>
      <c r="P36" s="75"/>
      <c r="Q36" s="84"/>
      <c r="R36" s="127"/>
      <c r="S36" s="75"/>
      <c r="T36" s="84"/>
      <c r="U36" s="127"/>
      <c r="V36" s="75"/>
      <c r="W36" s="84"/>
    </row>
    <row r="37" spans="1:23" ht="12.75">
      <c r="A37" s="4"/>
      <c r="B37" s="27" t="str">
        <f>"Amortization Expenses - "&amp;' Assumptions and Data'!B31</f>
        <v>Amortization Expenses - Smart Grid Distribution Assets</v>
      </c>
      <c r="C37" s="127"/>
      <c r="D37" s="130">
        <f>SUM('Nt Fix Ass &amp;UCC'!C17:C17)</f>
        <v>0</v>
      </c>
      <c r="E37" s="88"/>
      <c r="F37" s="127"/>
      <c r="G37" s="130">
        <f>SUM('Nt Fix Ass &amp;UCC'!D17:D17)</f>
        <v>0</v>
      </c>
      <c r="H37" s="88"/>
      <c r="I37" s="127"/>
      <c r="J37" s="130">
        <f>SUM('Nt Fix Ass &amp;UCC'!E17:E17)</f>
        <v>801.3125</v>
      </c>
      <c r="K37" s="88"/>
      <c r="L37" s="127"/>
      <c r="M37" s="130">
        <f>SUM('Nt Fix Ass &amp;UCC'!F17:F17)</f>
        <v>1602.625</v>
      </c>
      <c r="N37" s="88"/>
      <c r="O37" s="127"/>
      <c r="P37" s="130">
        <f>SUM('Nt Fix Ass &amp;UCC'!G17:G17)</f>
        <v>1602.625</v>
      </c>
      <c r="Q37" s="88"/>
      <c r="R37" s="127"/>
      <c r="S37" s="130">
        <f>SUM('Nt Fix Ass &amp;UCC'!H17:H17)</f>
        <v>1602.625</v>
      </c>
      <c r="T37" s="88"/>
      <c r="U37" s="127"/>
      <c r="V37" s="130">
        <f>SUM('Nt Fix Ass &amp;UCC'!I17:I17)</f>
        <v>1602.625</v>
      </c>
      <c r="W37" s="88"/>
    </row>
    <row r="38" spans="1:23" ht="12.75">
      <c r="A38" s="4"/>
      <c r="B38" s="27" t="str">
        <f>"Amortization Expenses - "&amp;' Assumptions and Data'!B32</f>
        <v>Amortization Expenses - Computer Hardware</v>
      </c>
      <c r="C38" s="127"/>
      <c r="D38" s="130">
        <f>SUM('Nt Fix Ass &amp;UCC'!C31:C31)</f>
        <v>0</v>
      </c>
      <c r="E38" s="88"/>
      <c r="F38" s="127"/>
      <c r="G38" s="130">
        <f>SUM('Nt Fix Ass &amp;UCC'!D31:D31)</f>
        <v>0</v>
      </c>
      <c r="H38" s="88"/>
      <c r="I38" s="127"/>
      <c r="J38" s="130">
        <f>SUM('Nt Fix Ass &amp;UCC'!E31:E31)</f>
        <v>0</v>
      </c>
      <c r="K38" s="88"/>
      <c r="L38" s="127"/>
      <c r="M38" s="130">
        <f>SUM('Nt Fix Ass &amp;UCC'!F31:F31)</f>
        <v>0</v>
      </c>
      <c r="N38" s="88"/>
      <c r="O38" s="127"/>
      <c r="P38" s="130">
        <f>SUM('Nt Fix Ass &amp;UCC'!G31:G31)</f>
        <v>0</v>
      </c>
      <c r="Q38" s="88"/>
      <c r="R38" s="127"/>
      <c r="S38" s="130">
        <f>SUM('Nt Fix Ass &amp;UCC'!H31:H31)</f>
        <v>0</v>
      </c>
      <c r="T38" s="88"/>
      <c r="U38" s="127"/>
      <c r="V38" s="130">
        <f>SUM('Nt Fix Ass &amp;UCC'!I31:I31)</f>
        <v>0</v>
      </c>
      <c r="W38" s="88"/>
    </row>
    <row r="39" spans="1:23" ht="12.75">
      <c r="A39" s="4"/>
      <c r="B39" s="27" t="str">
        <f>"Amortization Expenses - "&amp;' Assumptions and Data'!B33</f>
        <v>Amortization Expenses - Computer Software</v>
      </c>
      <c r="C39" s="127"/>
      <c r="D39" s="130">
        <f>SUM('Nt Fix Ass &amp;UCC'!C45:C45)</f>
        <v>0</v>
      </c>
      <c r="E39" s="88"/>
      <c r="F39" s="127"/>
      <c r="G39" s="130">
        <f>SUM('Nt Fix Ass &amp;UCC'!D45:D45)</f>
        <v>0</v>
      </c>
      <c r="H39" s="88"/>
      <c r="I39" s="127"/>
      <c r="J39" s="130">
        <f>SUM('Nt Fix Ass &amp;UCC'!E45:E45)</f>
        <v>0</v>
      </c>
      <c r="K39" s="88"/>
      <c r="L39" s="127"/>
      <c r="M39" s="130">
        <f>SUM('Nt Fix Ass &amp;UCC'!F45:F45)</f>
        <v>0</v>
      </c>
      <c r="N39" s="88"/>
      <c r="O39" s="127"/>
      <c r="P39" s="130">
        <f>SUM('Nt Fix Ass &amp;UCC'!G45:G45)</f>
        <v>0</v>
      </c>
      <c r="Q39" s="88"/>
      <c r="R39" s="127"/>
      <c r="S39" s="130">
        <f>SUM('Nt Fix Ass &amp;UCC'!H45:H45)</f>
        <v>0</v>
      </c>
      <c r="T39" s="88"/>
      <c r="U39" s="127"/>
      <c r="V39" s="130">
        <f>SUM('Nt Fix Ass &amp;UCC'!I45:I45)</f>
        <v>0</v>
      </c>
      <c r="W39" s="88"/>
    </row>
    <row r="40" spans="1:23" ht="12.75">
      <c r="A40" s="4"/>
      <c r="B40" s="27" t="str">
        <f>"Amortization Expenses - "&amp;' Assumptions and Data'!B34</f>
        <v>Amortization Expenses - Vehicles</v>
      </c>
      <c r="C40" s="127"/>
      <c r="D40" s="130">
        <f>SUM('Nt Fix Ass &amp;UCC'!C60:C60)</f>
        <v>0</v>
      </c>
      <c r="E40" s="88"/>
      <c r="F40" s="127"/>
      <c r="G40" s="130">
        <f>SUM('Nt Fix Ass &amp;UCC'!D60:D60)</f>
        <v>0</v>
      </c>
      <c r="H40" s="88"/>
      <c r="I40" s="127"/>
      <c r="J40" s="130">
        <f>SUM('Nt Fix Ass &amp;UCC'!E60:E60)</f>
        <v>2921.285714285714</v>
      </c>
      <c r="K40" s="88"/>
      <c r="L40" s="127"/>
      <c r="M40" s="130">
        <f>SUM('Nt Fix Ass &amp;UCC'!F60:F60)</f>
        <v>5842.571428571428</v>
      </c>
      <c r="N40" s="88"/>
      <c r="O40" s="127"/>
      <c r="P40" s="130">
        <f>SUM('Nt Fix Ass &amp;UCC'!G60:G60)</f>
        <v>5842.571428571428</v>
      </c>
      <c r="Q40" s="88"/>
      <c r="R40" s="127"/>
      <c r="S40" s="130">
        <f>SUM('Nt Fix Ass &amp;UCC'!H60:H60)</f>
        <v>5842.571428571428</v>
      </c>
      <c r="T40" s="88"/>
      <c r="U40" s="127"/>
      <c r="V40" s="130">
        <f>SUM('Nt Fix Ass &amp;UCC'!I60:I60)</f>
        <v>5842.571428571428</v>
      </c>
      <c r="W40" s="88"/>
    </row>
    <row r="41" spans="1:23" ht="12.75">
      <c r="A41" s="4"/>
      <c r="B41" s="27"/>
      <c r="C41" s="127"/>
      <c r="D41" s="130"/>
      <c r="E41" s="88"/>
      <c r="F41" s="127"/>
      <c r="G41" s="130"/>
      <c r="H41" s="88"/>
      <c r="I41" s="127"/>
      <c r="J41" s="130"/>
      <c r="K41" s="88"/>
      <c r="L41" s="127"/>
      <c r="M41" s="130"/>
      <c r="N41" s="88"/>
      <c r="O41" s="127"/>
      <c r="P41" s="130"/>
      <c r="Q41" s="88"/>
      <c r="R41" s="127"/>
      <c r="S41" s="130"/>
      <c r="T41" s="88"/>
      <c r="U41" s="127"/>
      <c r="V41" s="130"/>
      <c r="W41" s="88"/>
    </row>
    <row r="42" spans="1:23" s="188" customFormat="1" ht="15.75">
      <c r="A42" s="69"/>
      <c r="B42" s="154" t="s">
        <v>92</v>
      </c>
      <c r="C42" s="186"/>
      <c r="D42" s="187"/>
      <c r="E42" s="132">
        <f>SUM(D37:D41)</f>
        <v>0</v>
      </c>
      <c r="F42" s="186"/>
      <c r="G42" s="187"/>
      <c r="H42" s="132">
        <f>SUM(G37:G41)</f>
        <v>0</v>
      </c>
      <c r="I42" s="186"/>
      <c r="J42" s="187"/>
      <c r="K42" s="132">
        <f>SUM(J37:J41)</f>
        <v>3722.598214285714</v>
      </c>
      <c r="L42" s="186"/>
      <c r="M42" s="187"/>
      <c r="N42" s="132">
        <f>SUM(M37:M41)</f>
        <v>7445.196428571428</v>
      </c>
      <c r="O42" s="186"/>
      <c r="P42" s="187"/>
      <c r="Q42" s="132">
        <f>SUM(P37:P41)</f>
        <v>7445.196428571428</v>
      </c>
      <c r="R42" s="186"/>
      <c r="S42" s="187"/>
      <c r="T42" s="132">
        <f>SUM(S37:S41)</f>
        <v>7445.196428571428</v>
      </c>
      <c r="U42" s="186"/>
      <c r="V42" s="187"/>
      <c r="W42" s="132">
        <f>SUM(V37:V41)</f>
        <v>7445.196428571428</v>
      </c>
    </row>
    <row r="43" spans="1:23" ht="12.75">
      <c r="A43" s="4"/>
      <c r="B43" s="69"/>
      <c r="C43" s="127"/>
      <c r="D43" s="125"/>
      <c r="E43" s="88"/>
      <c r="F43" s="127"/>
      <c r="G43" s="125"/>
      <c r="H43" s="88"/>
      <c r="I43" s="127"/>
      <c r="J43" s="125"/>
      <c r="K43" s="88"/>
      <c r="L43" s="127"/>
      <c r="M43" s="125"/>
      <c r="N43" s="88"/>
      <c r="O43" s="127"/>
      <c r="P43" s="125"/>
      <c r="Q43" s="88"/>
      <c r="R43" s="127"/>
      <c r="S43" s="125"/>
      <c r="T43" s="88"/>
      <c r="U43" s="127"/>
      <c r="V43" s="125"/>
      <c r="W43" s="88"/>
    </row>
    <row r="44" spans="1:23" ht="15.75">
      <c r="A44" s="4"/>
      <c r="B44" s="21" t="s">
        <v>48</v>
      </c>
      <c r="C44" s="127"/>
      <c r="D44" s="125"/>
      <c r="E44" s="131">
        <f>SUM(E31,E42,E34)</f>
        <v>0</v>
      </c>
      <c r="F44" s="127"/>
      <c r="G44" s="125"/>
      <c r="H44" s="131">
        <f>SUM(H31,H42,H34)</f>
        <v>0</v>
      </c>
      <c r="I44" s="127"/>
      <c r="J44" s="125"/>
      <c r="K44" s="131">
        <f>SUM(K31,K42,K34)</f>
        <v>816493.1815522608</v>
      </c>
      <c r="L44" s="127"/>
      <c r="M44" s="125"/>
      <c r="N44" s="131">
        <f>SUM(N31,N42,N34)</f>
        <v>13277.20192607143</v>
      </c>
      <c r="O44" s="127"/>
      <c r="P44" s="125"/>
      <c r="Q44" s="131">
        <f>SUM(Q31,Q42,Q34)</f>
        <v>12832.128083571428</v>
      </c>
      <c r="R44" s="127"/>
      <c r="S44" s="125"/>
      <c r="T44" s="131">
        <f>SUM(T31,T42,T34)</f>
        <v>12387.054241071428</v>
      </c>
      <c r="U44" s="127"/>
      <c r="V44" s="125"/>
      <c r="W44" s="131">
        <f>SUM(W31,W42,W34)</f>
        <v>11941.980398571428</v>
      </c>
    </row>
    <row r="45" spans="1:23" ht="15.75">
      <c r="A45" s="4"/>
      <c r="B45" s="21"/>
      <c r="C45" s="127"/>
      <c r="D45" s="125"/>
      <c r="E45" s="88"/>
      <c r="F45" s="127"/>
      <c r="G45" s="125"/>
      <c r="H45" s="88"/>
      <c r="I45" s="127"/>
      <c r="J45" s="125"/>
      <c r="K45" s="88"/>
      <c r="L45" s="127"/>
      <c r="M45" s="125"/>
      <c r="N45" s="88"/>
      <c r="O45" s="127"/>
      <c r="P45" s="125"/>
      <c r="Q45" s="88"/>
      <c r="R45" s="127"/>
      <c r="S45" s="125"/>
      <c r="T45" s="88"/>
      <c r="U45" s="127"/>
      <c r="V45" s="125"/>
      <c r="W45" s="88"/>
    </row>
    <row r="46" spans="1:23" ht="18">
      <c r="A46" s="4"/>
      <c r="B46" s="13" t="s">
        <v>93</v>
      </c>
      <c r="C46" s="127"/>
      <c r="D46" s="125"/>
      <c r="E46" s="88"/>
      <c r="F46" s="127"/>
      <c r="G46" s="125"/>
      <c r="H46" s="88"/>
      <c r="I46" s="127"/>
      <c r="J46" s="125"/>
      <c r="K46" s="88"/>
      <c r="L46" s="127"/>
      <c r="M46" s="125"/>
      <c r="N46" s="88"/>
      <c r="O46" s="127"/>
      <c r="P46" s="125"/>
      <c r="Q46" s="88"/>
      <c r="R46" s="127"/>
      <c r="S46" s="125"/>
      <c r="T46" s="88"/>
      <c r="U46" s="127"/>
      <c r="V46" s="125"/>
      <c r="W46" s="88"/>
    </row>
    <row r="47" spans="1:23" ht="12.75">
      <c r="A47" s="4"/>
      <c r="B47" s="27" t="s">
        <v>45</v>
      </c>
      <c r="C47" s="127"/>
      <c r="D47" s="125"/>
      <c r="E47" s="88">
        <f>-E34</f>
        <v>0</v>
      </c>
      <c r="F47" s="127"/>
      <c r="G47" s="125"/>
      <c r="H47" s="88">
        <f>-H34</f>
        <v>0</v>
      </c>
      <c r="I47" s="127"/>
      <c r="J47" s="125"/>
      <c r="K47" s="88">
        <f>-K34</f>
        <v>-803499</v>
      </c>
      <c r="L47" s="127"/>
      <c r="M47" s="125"/>
      <c r="N47" s="88">
        <f>-N34</f>
        <v>0</v>
      </c>
      <c r="O47" s="127"/>
      <c r="P47" s="125"/>
      <c r="Q47" s="88">
        <f>-Q34</f>
        <v>0</v>
      </c>
      <c r="R47" s="127"/>
      <c r="S47" s="125"/>
      <c r="T47" s="88">
        <f>-T34</f>
        <v>0</v>
      </c>
      <c r="U47" s="127"/>
      <c r="V47" s="125"/>
      <c r="W47" s="88">
        <f>-W34</f>
        <v>0</v>
      </c>
    </row>
    <row r="48" spans="1:23" ht="12.75">
      <c r="A48" s="4"/>
      <c r="B48" s="27" t="s">
        <v>94</v>
      </c>
      <c r="C48" s="127"/>
      <c r="D48" s="125"/>
      <c r="E48" s="88">
        <f>-E42</f>
        <v>0</v>
      </c>
      <c r="F48" s="127"/>
      <c r="G48" s="125"/>
      <c r="H48" s="88">
        <f>-H42</f>
        <v>0</v>
      </c>
      <c r="I48" s="127"/>
      <c r="J48" s="125"/>
      <c r="K48" s="88">
        <f>-K42</f>
        <v>-3722.598214285714</v>
      </c>
      <c r="L48" s="127"/>
      <c r="M48" s="125"/>
      <c r="N48" s="88">
        <f>-N42</f>
        <v>-7445.196428571428</v>
      </c>
      <c r="O48" s="127"/>
      <c r="P48" s="125"/>
      <c r="Q48" s="88">
        <f>-Q42</f>
        <v>-7445.196428571428</v>
      </c>
      <c r="R48" s="127"/>
      <c r="S48" s="125"/>
      <c r="T48" s="88">
        <f>-T42</f>
        <v>-7445.196428571428</v>
      </c>
      <c r="U48" s="127"/>
      <c r="V48" s="125"/>
      <c r="W48" s="88">
        <f>-W42</f>
        <v>-7445.196428571428</v>
      </c>
    </row>
    <row r="49" spans="1:23" ht="12.75">
      <c r="A49" s="4"/>
      <c r="B49" s="27" t="s">
        <v>95</v>
      </c>
      <c r="C49" s="127"/>
      <c r="D49" s="125"/>
      <c r="E49" s="88">
        <f>-D29</f>
        <v>0</v>
      </c>
      <c r="F49" s="127"/>
      <c r="G49" s="125"/>
      <c r="H49" s="88">
        <f>-G29</f>
        <v>0</v>
      </c>
      <c r="I49" s="127"/>
      <c r="J49" s="125"/>
      <c r="K49" s="88">
        <f>-J29</f>
        <v>-3731.587405682143</v>
      </c>
      <c r="L49" s="127"/>
      <c r="M49" s="125"/>
      <c r="N49" s="88">
        <f>-M29</f>
        <v>-2347.240753928571</v>
      </c>
      <c r="O49" s="127"/>
      <c r="P49" s="125"/>
      <c r="Q49" s="88">
        <f>-P29</f>
        <v>-2168.109327857143</v>
      </c>
      <c r="R49" s="127"/>
      <c r="S49" s="125"/>
      <c r="T49" s="88">
        <f>-S29</f>
        <v>-1988.977901785714</v>
      </c>
      <c r="U49" s="127"/>
      <c r="V49" s="125"/>
      <c r="W49" s="88">
        <f>-V29</f>
        <v>-1809.8464757142856</v>
      </c>
    </row>
    <row r="50" spans="1:23" s="188" customFormat="1" ht="15.75">
      <c r="A50" s="69"/>
      <c r="B50" s="154" t="s">
        <v>96</v>
      </c>
      <c r="C50" s="186"/>
      <c r="D50" s="187"/>
      <c r="E50" s="189">
        <f>SUM(E44:E49)</f>
        <v>0</v>
      </c>
      <c r="F50" s="186"/>
      <c r="G50" s="187"/>
      <c r="H50" s="189">
        <f>SUM(H44:H49)</f>
        <v>0</v>
      </c>
      <c r="I50" s="186"/>
      <c r="J50" s="187"/>
      <c r="K50" s="189">
        <f>SUM(K44:K49)</f>
        <v>5539.995932292908</v>
      </c>
      <c r="L50" s="186"/>
      <c r="M50" s="187"/>
      <c r="N50" s="189">
        <f>SUM(N44:N49)</f>
        <v>3484.7647435714302</v>
      </c>
      <c r="O50" s="186"/>
      <c r="P50" s="187"/>
      <c r="Q50" s="189">
        <f>SUM(Q44:Q49)</f>
        <v>3218.8223271428565</v>
      </c>
      <c r="R50" s="186"/>
      <c r="S50" s="187"/>
      <c r="T50" s="189">
        <f>SUM(T44:T49)</f>
        <v>2952.8799107142854</v>
      </c>
      <c r="U50" s="186"/>
      <c r="V50" s="187"/>
      <c r="W50" s="189">
        <f>SUM(W44:W49)</f>
        <v>2686.937494285714</v>
      </c>
    </row>
    <row r="51" spans="1:23" ht="15.75">
      <c r="A51" s="4"/>
      <c r="B51" s="21"/>
      <c r="C51" s="127"/>
      <c r="D51" s="125"/>
      <c r="E51" s="132"/>
      <c r="F51" s="127"/>
      <c r="G51" s="125"/>
      <c r="H51" s="132"/>
      <c r="I51" s="127"/>
      <c r="J51" s="125"/>
      <c r="K51" s="132"/>
      <c r="L51" s="127"/>
      <c r="M51" s="125"/>
      <c r="N51" s="132"/>
      <c r="O51" s="127"/>
      <c r="P51" s="125"/>
      <c r="Q51" s="132"/>
      <c r="R51" s="127"/>
      <c r="S51" s="125"/>
      <c r="T51" s="132"/>
      <c r="U51" s="127"/>
      <c r="V51" s="125"/>
      <c r="W51" s="132"/>
    </row>
    <row r="52" spans="1:23" s="188" customFormat="1" ht="15.75">
      <c r="A52" s="69"/>
      <c r="B52" s="154" t="s">
        <v>221</v>
      </c>
      <c r="C52" s="186"/>
      <c r="D52" s="187"/>
      <c r="E52" s="132">
        <f>' PILs'!C47</f>
        <v>0</v>
      </c>
      <c r="F52" s="186"/>
      <c r="G52" s="187"/>
      <c r="H52" s="132">
        <f>' PILs'!D47</f>
        <v>0</v>
      </c>
      <c r="I52" s="186"/>
      <c r="J52" s="187"/>
      <c r="K52" s="132">
        <f>' PILs'!E47</f>
        <v>203.23666509297232</v>
      </c>
      <c r="L52" s="186"/>
      <c r="M52" s="187"/>
      <c r="N52" s="132">
        <f>' PILs'!F47</f>
        <v>-1594.4321080029147</v>
      </c>
      <c r="O52" s="186"/>
      <c r="P52" s="187"/>
      <c r="Q52" s="132">
        <f>' PILs'!G47</f>
        <v>-420.27814685131284</v>
      </c>
      <c r="R52" s="186"/>
      <c r="S52" s="187"/>
      <c r="T52" s="132">
        <f>' PILs'!H47</f>
        <v>404.10538267580114</v>
      </c>
      <c r="U52" s="186"/>
      <c r="V52" s="187"/>
      <c r="W52" s="132">
        <f>' PILs'!I47</f>
        <v>981.1503335165473</v>
      </c>
    </row>
    <row r="53" spans="1:23" ht="12.75">
      <c r="A53" s="4"/>
      <c r="B53" s="69"/>
      <c r="C53" s="127"/>
      <c r="D53" s="125"/>
      <c r="E53" s="132"/>
      <c r="F53" s="127"/>
      <c r="G53" s="125"/>
      <c r="H53" s="132"/>
      <c r="I53" s="127"/>
      <c r="J53" s="125"/>
      <c r="K53" s="132"/>
      <c r="L53" s="127"/>
      <c r="M53" s="125"/>
      <c r="N53" s="132"/>
      <c r="O53" s="127"/>
      <c r="P53" s="125"/>
      <c r="Q53" s="132"/>
      <c r="R53" s="127"/>
      <c r="S53" s="125"/>
      <c r="T53" s="132"/>
      <c r="U53" s="127"/>
      <c r="V53" s="125"/>
      <c r="W53" s="132"/>
    </row>
    <row r="54" spans="1:23" ht="12.75">
      <c r="A54" s="4"/>
      <c r="B54" s="27" t="str">
        <f>B44</f>
        <v>Revenue Requirement Before PILs</v>
      </c>
      <c r="C54" s="127"/>
      <c r="D54" s="125"/>
      <c r="E54" s="132">
        <f>E44</f>
        <v>0</v>
      </c>
      <c r="F54" s="127"/>
      <c r="G54" s="125"/>
      <c r="H54" s="132">
        <f>H44</f>
        <v>0</v>
      </c>
      <c r="I54" s="127"/>
      <c r="J54" s="125"/>
      <c r="K54" s="132">
        <f>K44</f>
        <v>816493.1815522608</v>
      </c>
      <c r="L54" s="127"/>
      <c r="M54" s="125"/>
      <c r="N54" s="132">
        <f>N44</f>
        <v>13277.20192607143</v>
      </c>
      <c r="O54" s="127"/>
      <c r="P54" s="125"/>
      <c r="Q54" s="132">
        <f>Q44</f>
        <v>12832.128083571428</v>
      </c>
      <c r="R54" s="127"/>
      <c r="S54" s="125"/>
      <c r="T54" s="132">
        <f>T44</f>
        <v>12387.054241071428</v>
      </c>
      <c r="U54" s="127"/>
      <c r="V54" s="125"/>
      <c r="W54" s="132">
        <f>W44</f>
        <v>11941.980398571428</v>
      </c>
    </row>
    <row r="55" spans="1:23" s="188" customFormat="1" ht="12.75">
      <c r="A55" s="69"/>
      <c r="B55" s="27" t="s">
        <v>228</v>
      </c>
      <c r="C55" s="186"/>
      <c r="D55" s="187"/>
      <c r="E55" s="132">
        <f>E52</f>
        <v>0</v>
      </c>
      <c r="F55" s="186"/>
      <c r="G55" s="187"/>
      <c r="H55" s="132">
        <f>H52</f>
        <v>0</v>
      </c>
      <c r="I55" s="186"/>
      <c r="J55" s="187"/>
      <c r="K55" s="132">
        <f>K52</f>
        <v>203.23666509297232</v>
      </c>
      <c r="L55" s="186"/>
      <c r="M55" s="187"/>
      <c r="N55" s="132">
        <f>N52</f>
        <v>-1594.4321080029147</v>
      </c>
      <c r="O55" s="186"/>
      <c r="P55" s="187"/>
      <c r="Q55" s="132">
        <f>Q52</f>
        <v>-420.27814685131284</v>
      </c>
      <c r="R55" s="186"/>
      <c r="S55" s="187"/>
      <c r="T55" s="132">
        <f>T52</f>
        <v>404.10538267580114</v>
      </c>
      <c r="U55" s="186"/>
      <c r="V55" s="187"/>
      <c r="W55" s="132">
        <f>W52</f>
        <v>981.1503335165473</v>
      </c>
    </row>
    <row r="56" spans="1:23" ht="16.5" thickBot="1">
      <c r="A56" s="4"/>
      <c r="B56" s="154" t="s">
        <v>225</v>
      </c>
      <c r="C56" s="127"/>
      <c r="D56" s="125"/>
      <c r="E56" s="133">
        <f>SUM(E54:E55)</f>
        <v>0</v>
      </c>
      <c r="F56" s="127"/>
      <c r="G56" s="125"/>
      <c r="H56" s="133">
        <f>SUM(H54:H55)</f>
        <v>0</v>
      </c>
      <c r="I56" s="127"/>
      <c r="J56" s="125"/>
      <c r="K56" s="229">
        <f>SUM(K54:K55)</f>
        <v>816696.4182173538</v>
      </c>
      <c r="L56" s="127"/>
      <c r="M56" s="125"/>
      <c r="N56" s="229">
        <f>SUM(N54:N55)</f>
        <v>11682.769818068515</v>
      </c>
      <c r="O56" s="127"/>
      <c r="P56" s="125"/>
      <c r="Q56" s="229">
        <f>SUM(Q54:Q55)</f>
        <v>12411.849936720115</v>
      </c>
      <c r="R56" s="127"/>
      <c r="S56" s="125"/>
      <c r="T56" s="133">
        <f>SUM(T54:T55)</f>
        <v>12791.15962374723</v>
      </c>
      <c r="U56" s="127"/>
      <c r="V56" s="125"/>
      <c r="W56" s="133">
        <f>SUM(W54:W55)</f>
        <v>12923.130732087975</v>
      </c>
    </row>
    <row r="57" spans="1:23" ht="18.75" thickBot="1">
      <c r="A57" s="5"/>
      <c r="B57" s="231"/>
      <c r="C57" s="95"/>
      <c r="D57" s="96"/>
      <c r="E57" s="226"/>
      <c r="F57" s="227"/>
      <c r="G57" s="223"/>
      <c r="H57" s="225"/>
      <c r="I57" s="228"/>
      <c r="J57" s="224"/>
      <c r="K57" s="225"/>
      <c r="L57" s="228"/>
      <c r="M57" s="224"/>
      <c r="N57" s="225"/>
      <c r="O57" s="228"/>
      <c r="P57" s="224"/>
      <c r="Q57" s="225"/>
      <c r="R57" s="228"/>
      <c r="S57" s="224"/>
      <c r="T57" s="225"/>
      <c r="U57" s="228"/>
      <c r="V57" s="224"/>
      <c r="W57" s="225"/>
    </row>
    <row r="58" spans="1:7" ht="12.75">
      <c r="A58" s="4"/>
      <c r="B58" s="4"/>
      <c r="C58" s="4"/>
      <c r="D58" s="4"/>
      <c r="E58" s="4"/>
      <c r="F58" s="4"/>
      <c r="G58" s="67"/>
    </row>
    <row r="59" spans="1:7" ht="12.75">
      <c r="A59" s="4"/>
      <c r="B59" s="4"/>
      <c r="C59" s="4"/>
      <c r="D59" s="4"/>
      <c r="E59" s="4"/>
      <c r="F59" s="4"/>
      <c r="G59" s="67"/>
    </row>
    <row r="60" spans="1:7" ht="21.75" customHeight="1">
      <c r="A60" s="4"/>
      <c r="B60" s="4"/>
      <c r="C60" s="4"/>
      <c r="D60" s="4"/>
      <c r="E60" s="4"/>
      <c r="F60" s="4"/>
      <c r="G60" s="67"/>
    </row>
    <row r="61" spans="1:7" ht="45.75" customHeight="1">
      <c r="A61" s="4"/>
      <c r="B61" s="69"/>
      <c r="C61" s="4"/>
      <c r="D61" s="4"/>
      <c r="E61" s="4"/>
      <c r="F61" s="4"/>
      <c r="G61" s="67"/>
    </row>
  </sheetData>
  <sheetProtection formatColumns="0" selectLockedCells="1"/>
  <mergeCells count="11">
    <mergeCell ref="B1:E1"/>
    <mergeCell ref="B5:D5"/>
    <mergeCell ref="O10:Q10"/>
    <mergeCell ref="C10:E10"/>
    <mergeCell ref="B2:E2"/>
    <mergeCell ref="R10:T10"/>
    <mergeCell ref="U10:W10"/>
    <mergeCell ref="F10:H10"/>
    <mergeCell ref="I10:K10"/>
    <mergeCell ref="L10:N10"/>
    <mergeCell ref="B3:E3"/>
  </mergeCells>
  <printOptions horizontalCentered="1"/>
  <pageMargins left="0.18" right="0.18" top="0.31" bottom="0.31" header="0.21" footer="0.16"/>
  <pageSetup fitToHeight="1" fitToWidth="1" horizontalDpi="600" verticalDpi="600" orientation="landscape" scale="54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47"/>
  <sheetViews>
    <sheetView zoomScale="85" zoomScaleNormal="85" zoomScalePageLayoutView="0" workbookViewId="0" topLeftCell="A1">
      <selection activeCell="G25" sqref="G25"/>
    </sheetView>
  </sheetViews>
  <sheetFormatPr defaultColWidth="9.140625" defaultRowHeight="12.75" outlineLevelRow="1"/>
  <cols>
    <col min="1" max="1" width="6.28125" style="6" customWidth="1"/>
    <col min="2" max="2" width="35.00390625" style="6" customWidth="1"/>
    <col min="3" max="3" width="15.7109375" style="6" customWidth="1"/>
    <col min="4" max="4" width="15.28125" style="6" bestFit="1" customWidth="1"/>
    <col min="5" max="9" width="15.7109375" style="6" customWidth="1"/>
    <col min="10" max="16384" width="9.140625" style="6" customWidth="1"/>
  </cols>
  <sheetData>
    <row r="1" spans="1:6" s="2" customFormat="1" ht="20.25" customHeight="1">
      <c r="A1" s="1"/>
      <c r="B1" s="234"/>
      <c r="C1" s="234"/>
      <c r="D1" s="234"/>
      <c r="E1" s="234"/>
      <c r="F1" s="1"/>
    </row>
    <row r="2" spans="1:6" s="2" customFormat="1" ht="18.75" customHeight="1">
      <c r="A2" s="1"/>
      <c r="B2" s="235" t="s">
        <v>0</v>
      </c>
      <c r="C2" s="235"/>
      <c r="D2" s="235"/>
      <c r="E2" s="235"/>
      <c r="F2" s="1"/>
    </row>
    <row r="3" spans="1:6" s="2" customFormat="1" ht="18.75" customHeight="1">
      <c r="A3" s="1"/>
      <c r="B3" s="236" t="s">
        <v>230</v>
      </c>
      <c r="C3" s="236"/>
      <c r="D3" s="236"/>
      <c r="E3" s="236"/>
      <c r="F3" s="1"/>
    </row>
    <row r="4" spans="1:6" s="2" customFormat="1" ht="18">
      <c r="A4" s="1"/>
      <c r="B4" s="236" t="s">
        <v>231</v>
      </c>
      <c r="C4" s="236"/>
      <c r="D4" s="236"/>
      <c r="E4" s="236"/>
      <c r="F4" s="1"/>
    </row>
    <row r="5" spans="1:6" s="2" customFormat="1" ht="21" customHeight="1">
      <c r="A5" s="1"/>
      <c r="B5" s="257"/>
      <c r="C5" s="257"/>
      <c r="D5" s="257"/>
      <c r="E5" s="257"/>
      <c r="F5" s="1"/>
    </row>
    <row r="6" spans="1:9" s="2" customFormat="1" ht="6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6" ht="12.75">
      <c r="A7" s="4"/>
      <c r="B7" s="4"/>
      <c r="C7" s="4"/>
      <c r="D7" s="4"/>
      <c r="E7" s="4"/>
      <c r="F7" s="4"/>
    </row>
    <row r="8" spans="1:6" ht="26.25">
      <c r="A8" s="4"/>
      <c r="B8" s="68" t="s">
        <v>101</v>
      </c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9" ht="12.75">
      <c r="A10" s="4"/>
      <c r="B10" s="4"/>
      <c r="C10" s="152">
        <f>' Assumptions and Data'!C26</f>
        <v>2010</v>
      </c>
      <c r="D10" s="152">
        <f>' Assumptions and Data'!D26</f>
        <v>2011</v>
      </c>
      <c r="E10" s="152">
        <f>' Assumptions and Data'!E26</f>
        <v>2012</v>
      </c>
      <c r="F10" s="152">
        <f>' Assumptions and Data'!F26</f>
        <v>2013</v>
      </c>
      <c r="G10" s="152">
        <f>' Assumptions and Data'!G26</f>
        <v>2014</v>
      </c>
      <c r="H10" s="152">
        <f>' Assumptions and Data'!H26</f>
        <v>2015</v>
      </c>
      <c r="I10" s="152">
        <f>' Assumptions and Data'!I26</f>
        <v>2016</v>
      </c>
    </row>
    <row r="11" spans="1:6" ht="12.75">
      <c r="A11" s="4"/>
      <c r="B11" s="17" t="s">
        <v>102</v>
      </c>
      <c r="C11" s="4"/>
      <c r="D11" s="4"/>
      <c r="E11" s="4"/>
      <c r="F11" s="4"/>
    </row>
    <row r="12" spans="1:9" ht="12.75">
      <c r="A12" s="4"/>
      <c r="B12" s="4" t="s">
        <v>103</v>
      </c>
      <c r="C12" s="134">
        <f>'Revenue Requirement Calculation'!E50</f>
        <v>0</v>
      </c>
      <c r="D12" s="134">
        <f>'Revenue Requirement Calculation'!H50</f>
        <v>0</v>
      </c>
      <c r="E12" s="134">
        <f>'Revenue Requirement Calculation'!K50</f>
        <v>5539.995932292908</v>
      </c>
      <c r="F12" s="134">
        <f>'Revenue Requirement Calculation'!N50</f>
        <v>3484.7647435714302</v>
      </c>
      <c r="G12" s="134">
        <f>'Revenue Requirement Calculation'!Q50</f>
        <v>3218.8223271428565</v>
      </c>
      <c r="H12" s="134">
        <f>'Revenue Requirement Calculation'!T50</f>
        <v>2952.8799107142854</v>
      </c>
      <c r="I12" s="134">
        <f>'Revenue Requirement Calculation'!W50</f>
        <v>2686.937494285714</v>
      </c>
    </row>
    <row r="13" spans="1:9" ht="12.75">
      <c r="A13" s="4"/>
      <c r="B13" s="4" t="s">
        <v>170</v>
      </c>
      <c r="C13" s="134">
        <f>-'Revenue Requirement Calculation'!E48</f>
        <v>0</v>
      </c>
      <c r="D13" s="134">
        <f>-'Revenue Requirement Calculation'!H48</f>
        <v>0</v>
      </c>
      <c r="E13" s="134">
        <f>-'Revenue Requirement Calculation'!K48</f>
        <v>3722.598214285714</v>
      </c>
      <c r="F13" s="134">
        <f>-'Revenue Requirement Calculation'!N48</f>
        <v>7445.196428571428</v>
      </c>
      <c r="G13" s="134">
        <f>-'Revenue Requirement Calculation'!Q48</f>
        <v>7445.196428571428</v>
      </c>
      <c r="H13" s="134">
        <f>-'Revenue Requirement Calculation'!T48</f>
        <v>7445.196428571428</v>
      </c>
      <c r="I13" s="134">
        <f>-'Revenue Requirement Calculation'!W48</f>
        <v>7445.196428571428</v>
      </c>
    </row>
    <row r="14" spans="1:9" ht="12.75">
      <c r="A14" s="4"/>
      <c r="B14" s="69" t="s">
        <v>222</v>
      </c>
      <c r="C14" s="134">
        <f>-'Nt Fix Ass &amp;UCC'!C93</f>
        <v>0</v>
      </c>
      <c r="D14" s="134">
        <f>-'Nt Fix Ass &amp;UCC'!D93</f>
        <v>0</v>
      </c>
      <c r="E14" s="134">
        <f>-'Nt Fix Ass &amp;UCC'!E93</f>
        <v>-2564.2000000000003</v>
      </c>
      <c r="F14" s="134">
        <f>-'Nt Fix Ass &amp;UCC'!F93</f>
        <v>-4923.264</v>
      </c>
      <c r="G14" s="134">
        <f>-'Nt Fix Ass &amp;UCC'!G93</f>
        <v>-4529.402880000001</v>
      </c>
      <c r="H14" s="134">
        <f>-'Nt Fix Ass &amp;UCC'!H93</f>
        <v>-4167.0506496</v>
      </c>
      <c r="I14" s="134">
        <f>-'Nt Fix Ass &amp;UCC'!I93</f>
        <v>-3833.686597632</v>
      </c>
    </row>
    <row r="15" spans="1:9" ht="12.75">
      <c r="A15" s="4"/>
      <c r="B15" s="69" t="s">
        <v>226</v>
      </c>
      <c r="C15" s="134">
        <f>'Nt Fix Ass &amp;UCC'!C106</f>
        <v>0</v>
      </c>
      <c r="D15" s="134">
        <f>'Nt Fix Ass &amp;UCC'!D106</f>
        <v>0</v>
      </c>
      <c r="E15" s="134">
        <f>'Nt Fix Ass &amp;UCC'!E106</f>
        <v>0</v>
      </c>
      <c r="F15" s="134">
        <f>'Nt Fix Ass &amp;UCC'!F106</f>
        <v>0</v>
      </c>
      <c r="G15" s="134">
        <f>'Nt Fix Ass &amp;UCC'!G106</f>
        <v>0</v>
      </c>
      <c r="H15" s="134">
        <f>'Nt Fix Ass &amp;UCC'!H106</f>
        <v>0</v>
      </c>
      <c r="I15" s="134">
        <f>'Nt Fix Ass &amp;UCC'!I106</f>
        <v>0</v>
      </c>
    </row>
    <row r="16" spans="1:9" ht="12.75">
      <c r="A16" s="4"/>
      <c r="B16" s="69" t="s">
        <v>224</v>
      </c>
      <c r="C16" s="134">
        <f>-'Nt Fix Ass &amp;UCC'!C119</f>
        <v>0</v>
      </c>
      <c r="D16" s="134">
        <f>-'Nt Fix Ass &amp;UCC'!D119</f>
        <v>0</v>
      </c>
      <c r="E16" s="134">
        <f>-'Nt Fix Ass &amp;UCC'!E119</f>
        <v>0</v>
      </c>
      <c r="F16" s="134">
        <f>-'Nt Fix Ass &amp;UCC'!F119</f>
        <v>0</v>
      </c>
      <c r="G16" s="134">
        <f>-'Nt Fix Ass &amp;UCC'!G119</f>
        <v>0</v>
      </c>
      <c r="H16" s="134">
        <f>-'Nt Fix Ass &amp;UCC'!H119</f>
        <v>0</v>
      </c>
      <c r="I16" s="134">
        <f>-'Nt Fix Ass &amp;UCC'!I119</f>
        <v>0</v>
      </c>
    </row>
    <row r="17" spans="1:9" ht="12.75">
      <c r="A17" s="4"/>
      <c r="B17" s="69" t="s">
        <v>223</v>
      </c>
      <c r="C17" s="134">
        <f>-'Nt Fix Ass &amp;UCC'!C132</f>
        <v>0</v>
      </c>
      <c r="D17" s="134">
        <f>-'Nt Fix Ass &amp;UCC'!D132</f>
        <v>0</v>
      </c>
      <c r="E17" s="134">
        <f>-'Nt Fix Ass &amp;UCC'!E132</f>
        <v>-6134.7</v>
      </c>
      <c r="F17" s="134">
        <f>-'Nt Fix Ass &amp;UCC'!F132</f>
        <v>-10428.99</v>
      </c>
      <c r="G17" s="134">
        <f>-'Nt Fix Ass &amp;UCC'!G132</f>
        <v>-7300.2930000000015</v>
      </c>
      <c r="H17" s="134">
        <f>-'Nt Fix Ass &amp;UCC'!H132</f>
        <v>-5110.205100000001</v>
      </c>
      <c r="I17" s="134">
        <f>-'Nt Fix Ass &amp;UCC'!I132</f>
        <v>-3577.1435700000006</v>
      </c>
    </row>
    <row r="18" spans="1:9" ht="12.75">
      <c r="A18" s="4"/>
      <c r="B18" s="69" t="s">
        <v>229</v>
      </c>
      <c r="C18" s="110">
        <f aca="true" t="shared" si="0" ref="C18:I18">SUM(C12:C17)</f>
        <v>0</v>
      </c>
      <c r="D18" s="110">
        <f t="shared" si="0"/>
        <v>0</v>
      </c>
      <c r="E18" s="110">
        <f t="shared" si="0"/>
        <v>563.6941465786213</v>
      </c>
      <c r="F18" s="110">
        <f t="shared" si="0"/>
        <v>-4422.292827857141</v>
      </c>
      <c r="G18" s="110">
        <f t="shared" si="0"/>
        <v>-1165.6771242857167</v>
      </c>
      <c r="H18" s="110">
        <f t="shared" si="0"/>
        <v>1120.8205896857125</v>
      </c>
      <c r="I18" s="110">
        <f t="shared" si="0"/>
        <v>2721.3037552251403</v>
      </c>
    </row>
    <row r="19" spans="1:9" ht="12.75">
      <c r="A19" s="4"/>
      <c r="B19" s="69" t="s">
        <v>200</v>
      </c>
      <c r="C19" s="163">
        <f>' Assumptions and Data'!C27</f>
        <v>0.31</v>
      </c>
      <c r="D19" s="163">
        <f>' Assumptions and Data'!D27</f>
        <v>0.265</v>
      </c>
      <c r="E19" s="163">
        <f>' Assumptions and Data'!E27</f>
        <v>0.265</v>
      </c>
      <c r="F19" s="163">
        <f>' Assumptions and Data'!F27</f>
        <v>0.265</v>
      </c>
      <c r="G19" s="163">
        <f>' Assumptions and Data'!G27</f>
        <v>0.265</v>
      </c>
      <c r="H19" s="163">
        <f>' Assumptions and Data'!H27</f>
        <v>0.265</v>
      </c>
      <c r="I19" s="163">
        <f>' Assumptions and Data'!I27</f>
        <v>0.265</v>
      </c>
    </row>
    <row r="20" spans="1:9" ht="12.75">
      <c r="A20" s="4"/>
      <c r="B20" s="4" t="s">
        <v>108</v>
      </c>
      <c r="C20" s="110">
        <f aca="true" t="shared" si="1" ref="C20:I20">C18*C19</f>
        <v>0</v>
      </c>
      <c r="D20" s="110">
        <f t="shared" si="1"/>
        <v>0</v>
      </c>
      <c r="E20" s="110">
        <f t="shared" si="1"/>
        <v>149.37894884333465</v>
      </c>
      <c r="F20" s="110">
        <f t="shared" si="1"/>
        <v>-1171.9075993821423</v>
      </c>
      <c r="G20" s="110">
        <f t="shared" si="1"/>
        <v>-308.90443793571495</v>
      </c>
      <c r="H20" s="110">
        <f t="shared" si="1"/>
        <v>297.01745626671385</v>
      </c>
      <c r="I20" s="110">
        <f t="shared" si="1"/>
        <v>721.1454951346623</v>
      </c>
    </row>
    <row r="21" spans="1:6" ht="12.75">
      <c r="A21" s="4"/>
      <c r="B21" s="4"/>
      <c r="C21" s="4"/>
      <c r="D21" s="4"/>
      <c r="E21" s="4"/>
      <c r="F21" s="4"/>
    </row>
    <row r="22" spans="1:6" ht="12.75" hidden="1" outlineLevel="1">
      <c r="A22" s="4"/>
      <c r="B22" s="17" t="s">
        <v>109</v>
      </c>
      <c r="C22" s="4"/>
      <c r="D22" s="4"/>
      <c r="E22" s="4"/>
      <c r="F22" s="4"/>
    </row>
    <row r="23" spans="1:9" ht="12.75" hidden="1" outlineLevel="1">
      <c r="A23" s="4"/>
      <c r="B23" s="69" t="str">
        <f>' Assumptions and Data'!B31</f>
        <v>Smart Grid Distribution Assets</v>
      </c>
      <c r="C23" s="134">
        <f>'Nt Fix Ass &amp;UCC'!C21</f>
        <v>0</v>
      </c>
      <c r="D23" s="134">
        <f>'Nt Fix Ass &amp;UCC'!D21</f>
        <v>0</v>
      </c>
      <c r="E23" s="134">
        <f>'Nt Fix Ass &amp;UCC'!E21</f>
        <v>63303.6875</v>
      </c>
      <c r="F23" s="134">
        <f>'Nt Fix Ass &amp;UCC'!F21</f>
        <v>61701.0625</v>
      </c>
      <c r="G23" s="134">
        <f>'Nt Fix Ass &amp;UCC'!G21</f>
        <v>60098.4375</v>
      </c>
      <c r="H23" s="134">
        <f>'Nt Fix Ass &amp;UCC'!H21</f>
        <v>58495.8125</v>
      </c>
      <c r="I23" s="134">
        <f>'Nt Fix Ass &amp;UCC'!I21</f>
        <v>56893.1875</v>
      </c>
    </row>
    <row r="24" spans="1:9" ht="12.75" hidden="1" outlineLevel="1">
      <c r="A24" s="4"/>
      <c r="B24" s="69" t="str">
        <f>' Assumptions and Data'!B32</f>
        <v>Computer Hardware</v>
      </c>
      <c r="C24" s="134">
        <f>'Nt Fix Ass &amp;UCC'!C35</f>
        <v>0</v>
      </c>
      <c r="D24" s="134">
        <f>'Nt Fix Ass &amp;UCC'!D35</f>
        <v>0</v>
      </c>
      <c r="E24" s="134">
        <f>'Nt Fix Ass &amp;UCC'!E35</f>
        <v>0</v>
      </c>
      <c r="F24" s="134">
        <f>'Nt Fix Ass &amp;UCC'!F35</f>
        <v>0</v>
      </c>
      <c r="G24" s="134">
        <f>'Nt Fix Ass &amp;UCC'!G35</f>
        <v>0</v>
      </c>
      <c r="H24" s="134">
        <f>'Nt Fix Ass &amp;UCC'!H35</f>
        <v>0</v>
      </c>
      <c r="I24" s="134">
        <f>'Nt Fix Ass &amp;UCC'!I35</f>
        <v>0</v>
      </c>
    </row>
    <row r="25" spans="1:9" ht="12.75" hidden="1" outlineLevel="1">
      <c r="A25" s="4"/>
      <c r="B25" s="69" t="str">
        <f>' Assumptions and Data'!B33</f>
        <v>Computer Software</v>
      </c>
      <c r="C25" s="130">
        <f>'Nt Fix Ass &amp;UCC'!C49</f>
        <v>0</v>
      </c>
      <c r="D25" s="130">
        <f>'Nt Fix Ass &amp;UCC'!D49</f>
        <v>0</v>
      </c>
      <c r="E25" s="130">
        <f>'Nt Fix Ass &amp;UCC'!E49</f>
        <v>0</v>
      </c>
      <c r="F25" s="130">
        <f>'Nt Fix Ass &amp;UCC'!F49</f>
        <v>0</v>
      </c>
      <c r="G25" s="130">
        <f>'Nt Fix Ass &amp;UCC'!G49</f>
        <v>0</v>
      </c>
      <c r="H25" s="130">
        <f>'Nt Fix Ass &amp;UCC'!H49</f>
        <v>0</v>
      </c>
      <c r="I25" s="130">
        <f>'Nt Fix Ass &amp;UCC'!I49</f>
        <v>0</v>
      </c>
    </row>
    <row r="26" spans="1:9" ht="12.75" hidden="1" outlineLevel="1">
      <c r="A26" s="4"/>
      <c r="B26" s="69" t="str">
        <f>' Assumptions and Data'!B34</f>
        <v>Vehicles</v>
      </c>
      <c r="C26" s="130">
        <f>'Nt Fix Ass &amp;UCC'!C64</f>
        <v>0</v>
      </c>
      <c r="D26" s="130">
        <f>'Nt Fix Ass &amp;UCC'!D64</f>
        <v>0</v>
      </c>
      <c r="E26" s="130">
        <f>'Nt Fix Ass &amp;UCC'!E64</f>
        <v>37976.71428571428</v>
      </c>
      <c r="F26" s="130">
        <f>'Nt Fix Ass &amp;UCC'!F64</f>
        <v>32134.142857142855</v>
      </c>
      <c r="G26" s="130">
        <f>'Nt Fix Ass &amp;UCC'!G64</f>
        <v>26291.571428571428</v>
      </c>
      <c r="H26" s="130">
        <f>'Nt Fix Ass &amp;UCC'!H64</f>
        <v>20449</v>
      </c>
      <c r="I26" s="130">
        <f>'Nt Fix Ass &amp;UCC'!I64</f>
        <v>14606.428571428572</v>
      </c>
    </row>
    <row r="27" spans="1:9" ht="12.75" hidden="1" outlineLevel="1">
      <c r="A27" s="4"/>
      <c r="B27" s="69"/>
      <c r="C27" s="135"/>
      <c r="D27" s="135"/>
      <c r="E27" s="135"/>
      <c r="F27" s="135"/>
      <c r="G27" s="135"/>
      <c r="H27" s="135"/>
      <c r="I27" s="135"/>
    </row>
    <row r="28" spans="1:9" ht="12.75" hidden="1" outlineLevel="1">
      <c r="A28" s="4"/>
      <c r="B28" s="4" t="s">
        <v>110</v>
      </c>
      <c r="C28" s="20">
        <f aca="true" t="shared" si="2" ref="C28:I28">SUM(C23:C25)</f>
        <v>0</v>
      </c>
      <c r="D28" s="20">
        <f t="shared" si="2"/>
        <v>0</v>
      </c>
      <c r="E28" s="20">
        <f t="shared" si="2"/>
        <v>63303.6875</v>
      </c>
      <c r="F28" s="20">
        <f t="shared" si="2"/>
        <v>61701.0625</v>
      </c>
      <c r="G28" s="20">
        <f t="shared" si="2"/>
        <v>60098.4375</v>
      </c>
      <c r="H28" s="20">
        <f t="shared" si="2"/>
        <v>58495.8125</v>
      </c>
      <c r="I28" s="20">
        <f t="shared" si="2"/>
        <v>56893.1875</v>
      </c>
    </row>
    <row r="29" spans="1:9" ht="12.75" hidden="1" outlineLevel="1">
      <c r="A29" s="4"/>
      <c r="B29" s="4" t="s">
        <v>111</v>
      </c>
      <c r="C29" s="20">
        <v>0</v>
      </c>
      <c r="D29" s="20">
        <v>0</v>
      </c>
      <c r="E29" s="20">
        <v>0</v>
      </c>
      <c r="F29" s="20">
        <v>0</v>
      </c>
      <c r="G29" s="20">
        <v>1</v>
      </c>
      <c r="H29" s="20">
        <v>2</v>
      </c>
      <c r="I29" s="20">
        <v>3</v>
      </c>
    </row>
    <row r="30" spans="1:9" ht="12.75" hidden="1" outlineLevel="1">
      <c r="A30" s="4"/>
      <c r="B30" s="4" t="s">
        <v>112</v>
      </c>
      <c r="C30" s="110">
        <f aca="true" t="shared" si="3" ref="C30:I30">C28-C29</f>
        <v>0</v>
      </c>
      <c r="D30" s="110">
        <f t="shared" si="3"/>
        <v>0</v>
      </c>
      <c r="E30" s="110">
        <f t="shared" si="3"/>
        <v>63303.6875</v>
      </c>
      <c r="F30" s="110">
        <f t="shared" si="3"/>
        <v>61701.0625</v>
      </c>
      <c r="G30" s="110">
        <f t="shared" si="3"/>
        <v>60097.4375</v>
      </c>
      <c r="H30" s="110">
        <f t="shared" si="3"/>
        <v>58493.8125</v>
      </c>
      <c r="I30" s="110">
        <f t="shared" si="3"/>
        <v>56890.1875</v>
      </c>
    </row>
    <row r="31" spans="1:9" ht="12.75" hidden="1" outlineLevel="1">
      <c r="A31" s="4"/>
      <c r="B31" s="4" t="s">
        <v>113</v>
      </c>
      <c r="C31" s="103">
        <v>0.00075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</row>
    <row r="32" spans="1:9" ht="12.75" hidden="1" outlineLevel="1">
      <c r="A32" s="4"/>
      <c r="B32" s="4" t="s">
        <v>114</v>
      </c>
      <c r="C32" s="110">
        <f>C30*C31</f>
        <v>0</v>
      </c>
      <c r="D32" s="110">
        <f>D30*D31</f>
        <v>0</v>
      </c>
      <c r="E32" s="110">
        <f>E30*E31</f>
        <v>0</v>
      </c>
      <c r="F32" s="110">
        <f>F30*F31/2</f>
        <v>0</v>
      </c>
      <c r="G32" s="110">
        <f>G30*G31/2</f>
        <v>0</v>
      </c>
      <c r="H32" s="110">
        <f>H30*H31/2</f>
        <v>0</v>
      </c>
      <c r="I32" s="110">
        <f>I30*I31/2</f>
        <v>0</v>
      </c>
    </row>
    <row r="33" spans="1:6" ht="12.75" collapsed="1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5.75">
      <c r="A35" s="4"/>
      <c r="B35" s="104" t="s">
        <v>115</v>
      </c>
      <c r="C35" s="4"/>
      <c r="D35" s="4"/>
      <c r="E35" s="4"/>
      <c r="F35" s="4"/>
    </row>
    <row r="36" spans="1:9" ht="12.75">
      <c r="A36" s="4"/>
      <c r="B36" s="4"/>
      <c r="C36" s="4" t="s">
        <v>116</v>
      </c>
      <c r="D36" s="4" t="s">
        <v>116</v>
      </c>
      <c r="E36" s="4" t="s">
        <v>116</v>
      </c>
      <c r="F36" s="4" t="s">
        <v>116</v>
      </c>
      <c r="G36" s="4" t="s">
        <v>116</v>
      </c>
      <c r="H36" s="4" t="s">
        <v>116</v>
      </c>
      <c r="I36" s="4" t="s">
        <v>116</v>
      </c>
    </row>
    <row r="37" spans="1:9" ht="12.75">
      <c r="A37" s="4"/>
      <c r="B37" s="4" t="s">
        <v>117</v>
      </c>
      <c r="C37" s="20">
        <f aca="true" t="shared" si="4" ref="C37:I37">C20</f>
        <v>0</v>
      </c>
      <c r="D37" s="20">
        <f t="shared" si="4"/>
        <v>0</v>
      </c>
      <c r="E37" s="20">
        <f t="shared" si="4"/>
        <v>149.37894884333465</v>
      </c>
      <c r="F37" s="20">
        <f t="shared" si="4"/>
        <v>-1171.9075993821423</v>
      </c>
      <c r="G37" s="20">
        <f t="shared" si="4"/>
        <v>-308.90443793571495</v>
      </c>
      <c r="H37" s="20">
        <f t="shared" si="4"/>
        <v>297.01745626671385</v>
      </c>
      <c r="I37" s="20">
        <f t="shared" si="4"/>
        <v>721.1454951346623</v>
      </c>
    </row>
    <row r="38" spans="1:9" ht="12.75">
      <c r="A38" s="4"/>
      <c r="B38" s="4" t="s">
        <v>118</v>
      </c>
      <c r="C38" s="20">
        <f aca="true" t="shared" si="5" ref="C38:I38">C32</f>
        <v>0</v>
      </c>
      <c r="D38" s="20">
        <f t="shared" si="5"/>
        <v>0</v>
      </c>
      <c r="E38" s="20">
        <f t="shared" si="5"/>
        <v>0</v>
      </c>
      <c r="F38" s="20">
        <f t="shared" si="5"/>
        <v>0</v>
      </c>
      <c r="G38" s="20">
        <f t="shared" si="5"/>
        <v>0</v>
      </c>
      <c r="H38" s="20">
        <f t="shared" si="5"/>
        <v>0</v>
      </c>
      <c r="I38" s="20">
        <f t="shared" si="5"/>
        <v>0</v>
      </c>
    </row>
    <row r="39" spans="1:9" ht="12.75">
      <c r="A39" s="4"/>
      <c r="B39" s="4" t="s">
        <v>119</v>
      </c>
      <c r="C39" s="110">
        <f aca="true" t="shared" si="6" ref="C39:I39">SUM(C37:C38)</f>
        <v>0</v>
      </c>
      <c r="D39" s="110">
        <f t="shared" si="6"/>
        <v>0</v>
      </c>
      <c r="E39" s="110">
        <f t="shared" si="6"/>
        <v>149.37894884333465</v>
      </c>
      <c r="F39" s="110">
        <f t="shared" si="6"/>
        <v>-1171.9075993821423</v>
      </c>
      <c r="G39" s="110">
        <f t="shared" si="6"/>
        <v>-308.90443793571495</v>
      </c>
      <c r="H39" s="110">
        <f t="shared" si="6"/>
        <v>297.01745626671385</v>
      </c>
      <c r="I39" s="110">
        <f t="shared" si="6"/>
        <v>721.1454951346623</v>
      </c>
    </row>
    <row r="40" ht="13.5" customHeight="1"/>
    <row r="41" spans="3:9" ht="12.75">
      <c r="C41" s="7" t="s">
        <v>115</v>
      </c>
      <c r="D41" s="7" t="s">
        <v>115</v>
      </c>
      <c r="E41" s="7" t="s">
        <v>115</v>
      </c>
      <c r="F41" s="7" t="s">
        <v>115</v>
      </c>
      <c r="G41" s="7" t="s">
        <v>115</v>
      </c>
      <c r="H41" s="7" t="s">
        <v>115</v>
      </c>
      <c r="I41" s="7" t="s">
        <v>115</v>
      </c>
    </row>
    <row r="42" spans="3:9" ht="12.75">
      <c r="C42" s="105">
        <f>C$19</f>
        <v>0.31</v>
      </c>
      <c r="D42" s="105">
        <f aca="true" t="shared" si="7" ref="D42:I42">D$19</f>
        <v>0.265</v>
      </c>
      <c r="E42" s="105">
        <f t="shared" si="7"/>
        <v>0.265</v>
      </c>
      <c r="F42" s="105">
        <f t="shared" si="7"/>
        <v>0.265</v>
      </c>
      <c r="G42" s="105">
        <f t="shared" si="7"/>
        <v>0.265</v>
      </c>
      <c r="H42" s="105">
        <f t="shared" si="7"/>
        <v>0.265</v>
      </c>
      <c r="I42" s="105">
        <f t="shared" si="7"/>
        <v>0.265</v>
      </c>
    </row>
    <row r="44" spans="3:9" ht="12.75">
      <c r="C44" s="106" t="s">
        <v>120</v>
      </c>
      <c r="D44" s="106" t="s">
        <v>120</v>
      </c>
      <c r="E44" s="106" t="s">
        <v>120</v>
      </c>
      <c r="F44" s="106" t="s">
        <v>120</v>
      </c>
      <c r="G44" s="106" t="s">
        <v>120</v>
      </c>
      <c r="H44" s="106" t="s">
        <v>120</v>
      </c>
      <c r="I44" s="106" t="s">
        <v>120</v>
      </c>
    </row>
    <row r="45" spans="2:9" ht="12.75">
      <c r="B45" s="4" t="s">
        <v>117</v>
      </c>
      <c r="C45" s="20">
        <f aca="true" t="shared" si="8" ref="C45:I45">C37/(1-C42)</f>
        <v>0</v>
      </c>
      <c r="D45" s="20">
        <f t="shared" si="8"/>
        <v>0</v>
      </c>
      <c r="E45" s="20">
        <f t="shared" si="8"/>
        <v>203.23666509297232</v>
      </c>
      <c r="F45" s="20">
        <f t="shared" si="8"/>
        <v>-1594.4321080029147</v>
      </c>
      <c r="G45" s="20">
        <f t="shared" si="8"/>
        <v>-420.27814685131284</v>
      </c>
      <c r="H45" s="20">
        <f t="shared" si="8"/>
        <v>404.10538267580114</v>
      </c>
      <c r="I45" s="20">
        <f t="shared" si="8"/>
        <v>981.1503335165473</v>
      </c>
    </row>
    <row r="46" spans="2:9" ht="12.75">
      <c r="B46" s="4" t="s">
        <v>118</v>
      </c>
      <c r="C46" s="20">
        <f aca="true" t="shared" si="9" ref="C46:I46">C38</f>
        <v>0</v>
      </c>
      <c r="D46" s="20">
        <f t="shared" si="9"/>
        <v>0</v>
      </c>
      <c r="E46" s="20">
        <f t="shared" si="9"/>
        <v>0</v>
      </c>
      <c r="F46" s="20">
        <f t="shared" si="9"/>
        <v>0</v>
      </c>
      <c r="G46" s="20">
        <f t="shared" si="9"/>
        <v>0</v>
      </c>
      <c r="H46" s="20">
        <f t="shared" si="9"/>
        <v>0</v>
      </c>
      <c r="I46" s="20">
        <f t="shared" si="9"/>
        <v>0</v>
      </c>
    </row>
    <row r="47" spans="2:9" ht="12.75">
      <c r="B47" s="4" t="s">
        <v>119</v>
      </c>
      <c r="C47" s="190">
        <f aca="true" t="shared" si="10" ref="C47:I47">SUM(C45:C46)</f>
        <v>0</v>
      </c>
      <c r="D47" s="190">
        <f t="shared" si="10"/>
        <v>0</v>
      </c>
      <c r="E47" s="190">
        <f t="shared" si="10"/>
        <v>203.23666509297232</v>
      </c>
      <c r="F47" s="190">
        <f t="shared" si="10"/>
        <v>-1594.4321080029147</v>
      </c>
      <c r="G47" s="190">
        <f t="shared" si="10"/>
        <v>-420.27814685131284</v>
      </c>
      <c r="H47" s="190">
        <f t="shared" si="10"/>
        <v>404.10538267580114</v>
      </c>
      <c r="I47" s="190">
        <f t="shared" si="10"/>
        <v>981.1503335165473</v>
      </c>
    </row>
  </sheetData>
  <sheetProtection formatColumns="0" selectLockedCells="1"/>
  <mergeCells count="5">
    <mergeCell ref="B2:E2"/>
    <mergeCell ref="B3:E3"/>
    <mergeCell ref="B1:E1"/>
    <mergeCell ref="B5:E5"/>
    <mergeCell ref="B4:E4"/>
  </mergeCells>
  <printOptions horizontalCentered="1"/>
  <pageMargins left="0.42" right="0.44" top="0.64" bottom="0.33" header="0.5" footer="0.16"/>
  <pageSetup fitToHeight="1" fitToWidth="1" horizontalDpi="600" verticalDpi="600" orientation="landscape" scale="91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35"/>
  <sheetViews>
    <sheetView zoomScalePageLayoutView="0" workbookViewId="0" topLeftCell="A16">
      <selection activeCell="F35" sqref="F35"/>
    </sheetView>
  </sheetViews>
  <sheetFormatPr defaultColWidth="11.421875" defaultRowHeight="12.75"/>
  <cols>
    <col min="1" max="1" width="23.8515625" style="31" customWidth="1"/>
    <col min="2" max="2" width="14.140625" style="31" bestFit="1" customWidth="1"/>
    <col min="3" max="3" width="12.28125" style="31" bestFit="1" customWidth="1"/>
    <col min="4" max="4" width="15.421875" style="31" bestFit="1" customWidth="1"/>
    <col min="5" max="5" width="11.421875" style="31" customWidth="1"/>
    <col min="6" max="6" width="12.7109375" style="31" customWidth="1"/>
    <col min="7" max="7" width="14.140625" style="31" bestFit="1" customWidth="1"/>
    <col min="8" max="16384" width="11.421875" style="31" customWidth="1"/>
  </cols>
  <sheetData>
    <row r="1" spans="1:7" ht="27" thickBot="1">
      <c r="A1" s="241" t="s">
        <v>155</v>
      </c>
      <c r="B1" s="242"/>
      <c r="C1" s="242"/>
      <c r="D1" s="242"/>
      <c r="E1" s="242"/>
      <c r="F1" s="242"/>
      <c r="G1" s="243"/>
    </row>
    <row r="2" spans="1:7" ht="26.25">
      <c r="A2" s="244" t="e">
        <f>#REF!</f>
        <v>#REF!</v>
      </c>
      <c r="B2" s="244"/>
      <c r="C2" s="244"/>
      <c r="D2" s="244"/>
      <c r="E2" s="244"/>
      <c r="F2" s="244"/>
      <c r="G2" s="244"/>
    </row>
    <row r="3" spans="2:7" ht="15">
      <c r="B3" s="31" t="s">
        <v>62</v>
      </c>
      <c r="C3" s="31" t="s">
        <v>156</v>
      </c>
      <c r="D3" s="31" t="s">
        <v>66</v>
      </c>
      <c r="E3" s="31" t="s">
        <v>67</v>
      </c>
      <c r="F3" s="31" t="s">
        <v>68</v>
      </c>
      <c r="G3" s="31" t="s">
        <v>69</v>
      </c>
    </row>
    <row r="4" spans="1:7" ht="15">
      <c r="A4" s="60">
        <v>38718</v>
      </c>
      <c r="B4" s="37">
        <v>0</v>
      </c>
      <c r="C4" s="37">
        <v>0</v>
      </c>
      <c r="D4" s="37">
        <v>0</v>
      </c>
      <c r="E4" s="61">
        <v>0.0704</v>
      </c>
      <c r="F4" s="37">
        <f aca="true" t="shared" si="0" ref="F4:F31">(B4*E4)/12</f>
        <v>0</v>
      </c>
      <c r="G4" s="37">
        <f aca="true" t="shared" si="1" ref="G4:G31">SUM(B4:D4,F4)</f>
        <v>0</v>
      </c>
    </row>
    <row r="5" spans="1:7" ht="15">
      <c r="A5" s="60">
        <v>38749</v>
      </c>
      <c r="B5" s="38">
        <f aca="true" t="shared" si="2" ref="B5:B31">G4</f>
        <v>0</v>
      </c>
      <c r="C5" s="37">
        <v>0</v>
      </c>
      <c r="D5" s="37">
        <v>0</v>
      </c>
      <c r="E5" s="61">
        <v>0.0704</v>
      </c>
      <c r="F5" s="37">
        <f t="shared" si="0"/>
        <v>0</v>
      </c>
      <c r="G5" s="37">
        <f t="shared" si="1"/>
        <v>0</v>
      </c>
    </row>
    <row r="6" spans="1:7" ht="15">
      <c r="A6" s="60">
        <v>38777</v>
      </c>
      <c r="B6" s="38">
        <f t="shared" si="2"/>
        <v>0</v>
      </c>
      <c r="C6" s="37">
        <v>0</v>
      </c>
      <c r="D6" s="37">
        <v>0</v>
      </c>
      <c r="E6" s="61">
        <v>0.0704</v>
      </c>
      <c r="F6" s="37">
        <f t="shared" si="0"/>
        <v>0</v>
      </c>
      <c r="G6" s="37">
        <f t="shared" si="1"/>
        <v>0</v>
      </c>
    </row>
    <row r="7" spans="1:7" ht="15">
      <c r="A7" s="60">
        <v>38808</v>
      </c>
      <c r="B7" s="38">
        <f t="shared" si="2"/>
        <v>0</v>
      </c>
      <c r="C7" s="37">
        <v>0</v>
      </c>
      <c r="D7" s="37">
        <v>0</v>
      </c>
      <c r="E7" s="62">
        <v>0.0414</v>
      </c>
      <c r="F7" s="37">
        <f t="shared" si="0"/>
        <v>0</v>
      </c>
      <c r="G7" s="37">
        <f t="shared" si="1"/>
        <v>0</v>
      </c>
    </row>
    <row r="8" spans="1:7" ht="15">
      <c r="A8" s="60">
        <v>38838</v>
      </c>
      <c r="B8" s="38">
        <f t="shared" si="2"/>
        <v>0</v>
      </c>
      <c r="C8" s="37">
        <v>0</v>
      </c>
      <c r="D8" s="37">
        <v>0</v>
      </c>
      <c r="E8" s="62">
        <v>0.0414</v>
      </c>
      <c r="F8" s="37">
        <f t="shared" si="0"/>
        <v>0</v>
      </c>
      <c r="G8" s="37">
        <f t="shared" si="1"/>
        <v>0</v>
      </c>
    </row>
    <row r="9" spans="1:7" ht="15">
      <c r="A9" s="60">
        <v>38869</v>
      </c>
      <c r="B9" s="38">
        <f t="shared" si="2"/>
        <v>0</v>
      </c>
      <c r="C9" s="37">
        <v>0</v>
      </c>
      <c r="D9" s="37">
        <v>0</v>
      </c>
      <c r="E9" s="62">
        <v>0.0414</v>
      </c>
      <c r="F9" s="37">
        <f t="shared" si="0"/>
        <v>0</v>
      </c>
      <c r="G9" s="37">
        <f t="shared" si="1"/>
        <v>0</v>
      </c>
    </row>
    <row r="10" spans="1:7" ht="15">
      <c r="A10" s="60">
        <v>38899</v>
      </c>
      <c r="B10" s="38">
        <f t="shared" si="2"/>
        <v>0</v>
      </c>
      <c r="C10" s="37">
        <v>0</v>
      </c>
      <c r="D10" s="37">
        <v>0</v>
      </c>
      <c r="E10" s="62">
        <v>0.0459</v>
      </c>
      <c r="F10" s="37">
        <f t="shared" si="0"/>
        <v>0</v>
      </c>
      <c r="G10" s="37">
        <f t="shared" si="1"/>
        <v>0</v>
      </c>
    </row>
    <row r="11" spans="1:7" ht="15">
      <c r="A11" s="60">
        <v>38930</v>
      </c>
      <c r="B11" s="38">
        <f t="shared" si="2"/>
        <v>0</v>
      </c>
      <c r="C11" s="37">
        <v>0</v>
      </c>
      <c r="D11" s="37">
        <v>0</v>
      </c>
      <c r="E11" s="62">
        <v>0.0459</v>
      </c>
      <c r="F11" s="37">
        <f t="shared" si="0"/>
        <v>0</v>
      </c>
      <c r="G11" s="37">
        <f t="shared" si="1"/>
        <v>0</v>
      </c>
    </row>
    <row r="12" spans="1:7" ht="15">
      <c r="A12" s="60">
        <v>38961</v>
      </c>
      <c r="B12" s="38">
        <f t="shared" si="2"/>
        <v>0</v>
      </c>
      <c r="C12" s="37">
        <v>0</v>
      </c>
      <c r="D12" s="37">
        <v>0</v>
      </c>
      <c r="E12" s="62">
        <v>0.0459</v>
      </c>
      <c r="F12" s="37">
        <f t="shared" si="0"/>
        <v>0</v>
      </c>
      <c r="G12" s="37">
        <f t="shared" si="1"/>
        <v>0</v>
      </c>
    </row>
    <row r="13" spans="1:7" ht="15">
      <c r="A13" s="60">
        <v>38991</v>
      </c>
      <c r="B13" s="38">
        <f t="shared" si="2"/>
        <v>0</v>
      </c>
      <c r="C13" s="37">
        <v>0</v>
      </c>
      <c r="D13" s="37">
        <v>0</v>
      </c>
      <c r="E13" s="62">
        <v>0.0459</v>
      </c>
      <c r="F13" s="37">
        <f t="shared" si="0"/>
        <v>0</v>
      </c>
      <c r="G13" s="37">
        <f t="shared" si="1"/>
        <v>0</v>
      </c>
    </row>
    <row r="14" spans="1:7" ht="15">
      <c r="A14" s="60">
        <v>39022</v>
      </c>
      <c r="B14" s="38">
        <f t="shared" si="2"/>
        <v>0</v>
      </c>
      <c r="C14" s="37">
        <v>0</v>
      </c>
      <c r="D14" s="37">
        <v>0</v>
      </c>
      <c r="E14" s="62">
        <v>0.0459</v>
      </c>
      <c r="F14" s="37">
        <f t="shared" si="0"/>
        <v>0</v>
      </c>
      <c r="G14" s="37">
        <f t="shared" si="1"/>
        <v>0</v>
      </c>
    </row>
    <row r="15" spans="1:7" ht="15">
      <c r="A15" s="60">
        <v>39052</v>
      </c>
      <c r="B15" s="38">
        <f t="shared" si="2"/>
        <v>0</v>
      </c>
      <c r="C15" s="37">
        <v>0</v>
      </c>
      <c r="D15" s="37">
        <v>0</v>
      </c>
      <c r="E15" s="62">
        <v>0.0459</v>
      </c>
      <c r="F15" s="37">
        <f t="shared" si="0"/>
        <v>0</v>
      </c>
      <c r="G15" s="37">
        <f t="shared" si="1"/>
        <v>0</v>
      </c>
    </row>
    <row r="16" spans="1:7" ht="15">
      <c r="A16" s="60">
        <v>39083</v>
      </c>
      <c r="B16" s="38">
        <f t="shared" si="2"/>
        <v>0</v>
      </c>
      <c r="C16" s="37">
        <v>0</v>
      </c>
      <c r="D16" s="37">
        <v>0</v>
      </c>
      <c r="E16" s="62">
        <v>0.0459</v>
      </c>
      <c r="F16" s="37">
        <f t="shared" si="0"/>
        <v>0</v>
      </c>
      <c r="G16" s="37">
        <f t="shared" si="1"/>
        <v>0</v>
      </c>
    </row>
    <row r="17" spans="1:7" ht="15">
      <c r="A17" s="60">
        <v>39114</v>
      </c>
      <c r="B17" s="38">
        <f t="shared" si="2"/>
        <v>0</v>
      </c>
      <c r="C17" s="37">
        <v>0</v>
      </c>
      <c r="D17" s="37">
        <v>0</v>
      </c>
      <c r="E17" s="62">
        <v>0.0459</v>
      </c>
      <c r="F17" s="37">
        <f t="shared" si="0"/>
        <v>0</v>
      </c>
      <c r="G17" s="37">
        <f t="shared" si="1"/>
        <v>0</v>
      </c>
    </row>
    <row r="18" spans="1:7" ht="15">
      <c r="A18" s="60">
        <v>39142</v>
      </c>
      <c r="B18" s="38">
        <f t="shared" si="2"/>
        <v>0</v>
      </c>
      <c r="C18" s="37">
        <v>0</v>
      </c>
      <c r="D18" s="37">
        <v>0</v>
      </c>
      <c r="E18" s="62">
        <v>0.0459</v>
      </c>
      <c r="F18" s="37">
        <f t="shared" si="0"/>
        <v>0</v>
      </c>
      <c r="G18" s="37">
        <f t="shared" si="1"/>
        <v>0</v>
      </c>
    </row>
    <row r="19" spans="1:7" ht="15">
      <c r="A19" s="60">
        <v>39173</v>
      </c>
      <c r="B19" s="38">
        <f t="shared" si="2"/>
        <v>0</v>
      </c>
      <c r="C19" s="37">
        <v>0</v>
      </c>
      <c r="D19" s="37">
        <v>0</v>
      </c>
      <c r="E19" s="62">
        <v>0.0459</v>
      </c>
      <c r="F19" s="37">
        <f t="shared" si="0"/>
        <v>0</v>
      </c>
      <c r="G19" s="37">
        <f t="shared" si="1"/>
        <v>0</v>
      </c>
    </row>
    <row r="20" spans="1:7" ht="15">
      <c r="A20" s="60">
        <v>39203</v>
      </c>
      <c r="B20" s="38">
        <f t="shared" si="2"/>
        <v>0</v>
      </c>
      <c r="C20" s="37">
        <v>0</v>
      </c>
      <c r="D20" s="37">
        <v>0</v>
      </c>
      <c r="E20" s="62">
        <v>0.0459</v>
      </c>
      <c r="F20" s="37">
        <f t="shared" si="0"/>
        <v>0</v>
      </c>
      <c r="G20" s="37">
        <f t="shared" si="1"/>
        <v>0</v>
      </c>
    </row>
    <row r="21" spans="1:7" ht="15">
      <c r="A21" s="60">
        <v>39234</v>
      </c>
      <c r="B21" s="38">
        <f t="shared" si="2"/>
        <v>0</v>
      </c>
      <c r="C21" s="37">
        <v>0</v>
      </c>
      <c r="D21" s="37">
        <v>0</v>
      </c>
      <c r="E21" s="62">
        <v>0.0459</v>
      </c>
      <c r="F21" s="37">
        <f t="shared" si="0"/>
        <v>0</v>
      </c>
      <c r="G21" s="37">
        <f t="shared" si="1"/>
        <v>0</v>
      </c>
    </row>
    <row r="22" spans="1:7" ht="15">
      <c r="A22" s="60">
        <v>39264</v>
      </c>
      <c r="B22" s="38">
        <f t="shared" si="2"/>
        <v>0</v>
      </c>
      <c r="C22" s="37">
        <v>0</v>
      </c>
      <c r="D22" s="37">
        <v>0</v>
      </c>
      <c r="E22" s="62">
        <v>0.0459</v>
      </c>
      <c r="F22" s="37">
        <f t="shared" si="0"/>
        <v>0</v>
      </c>
      <c r="G22" s="37">
        <f t="shared" si="1"/>
        <v>0</v>
      </c>
    </row>
    <row r="23" spans="1:7" ht="15">
      <c r="A23" s="60">
        <v>39295</v>
      </c>
      <c r="B23" s="38">
        <f t="shared" si="2"/>
        <v>0</v>
      </c>
      <c r="C23" s="37">
        <v>0</v>
      </c>
      <c r="D23" s="37">
        <v>0</v>
      </c>
      <c r="E23" s="62">
        <v>0.0459</v>
      </c>
      <c r="F23" s="37">
        <f t="shared" si="0"/>
        <v>0</v>
      </c>
      <c r="G23" s="37">
        <f t="shared" si="1"/>
        <v>0</v>
      </c>
    </row>
    <row r="24" spans="1:7" ht="15">
      <c r="A24" s="60">
        <v>39326</v>
      </c>
      <c r="B24" s="38">
        <f t="shared" si="2"/>
        <v>0</v>
      </c>
      <c r="C24" s="37">
        <v>0</v>
      </c>
      <c r="D24" s="37">
        <v>0</v>
      </c>
      <c r="E24" s="62">
        <v>0.0459</v>
      </c>
      <c r="F24" s="37">
        <f t="shared" si="0"/>
        <v>0</v>
      </c>
      <c r="G24" s="37">
        <f t="shared" si="1"/>
        <v>0</v>
      </c>
    </row>
    <row r="25" spans="1:7" ht="15">
      <c r="A25" s="60">
        <v>39356</v>
      </c>
      <c r="B25" s="38">
        <f t="shared" si="2"/>
        <v>0</v>
      </c>
      <c r="C25" s="37">
        <v>0</v>
      </c>
      <c r="D25" s="37">
        <v>0</v>
      </c>
      <c r="E25" s="62">
        <v>0.0459</v>
      </c>
      <c r="F25" s="37">
        <f t="shared" si="0"/>
        <v>0</v>
      </c>
      <c r="G25" s="37">
        <f t="shared" si="1"/>
        <v>0</v>
      </c>
    </row>
    <row r="26" spans="1:7" ht="15">
      <c r="A26" s="60">
        <v>39387</v>
      </c>
      <c r="B26" s="38">
        <f t="shared" si="2"/>
        <v>0</v>
      </c>
      <c r="C26" s="37">
        <v>0</v>
      </c>
      <c r="D26" s="37">
        <v>0</v>
      </c>
      <c r="E26" s="62">
        <v>0.0459</v>
      </c>
      <c r="F26" s="37">
        <f t="shared" si="0"/>
        <v>0</v>
      </c>
      <c r="G26" s="37">
        <f t="shared" si="1"/>
        <v>0</v>
      </c>
    </row>
    <row r="27" spans="1:7" ht="15">
      <c r="A27" s="60">
        <v>39417</v>
      </c>
      <c r="B27" s="38">
        <f t="shared" si="2"/>
        <v>0</v>
      </c>
      <c r="C27" s="37">
        <v>0</v>
      </c>
      <c r="D27" s="37">
        <v>0</v>
      </c>
      <c r="E27" s="62">
        <v>0.0459</v>
      </c>
      <c r="F27" s="37">
        <f t="shared" si="0"/>
        <v>0</v>
      </c>
      <c r="G27" s="37">
        <f t="shared" si="1"/>
        <v>0</v>
      </c>
    </row>
    <row r="28" spans="1:7" ht="15">
      <c r="A28" s="60">
        <v>39448</v>
      </c>
      <c r="B28" s="38">
        <f t="shared" si="2"/>
        <v>0</v>
      </c>
      <c r="C28" s="136" t="e">
        <f>'4. Smart Meter Rev &amp; Adder'!I47/12</f>
        <v>#REF!</v>
      </c>
      <c r="D28" s="37">
        <v>0</v>
      </c>
      <c r="E28" s="62">
        <v>0.0459</v>
      </c>
      <c r="F28" s="37">
        <f t="shared" si="0"/>
        <v>0</v>
      </c>
      <c r="G28" s="37" t="e">
        <f t="shared" si="1"/>
        <v>#REF!</v>
      </c>
    </row>
    <row r="29" spans="1:7" ht="15">
      <c r="A29" s="60">
        <v>39479</v>
      </c>
      <c r="B29" s="38" t="e">
        <f t="shared" si="2"/>
        <v>#REF!</v>
      </c>
      <c r="C29" s="38" t="e">
        <f>C28</f>
        <v>#REF!</v>
      </c>
      <c r="D29" s="37">
        <v>0</v>
      </c>
      <c r="E29" s="62">
        <v>0.0459</v>
      </c>
      <c r="F29" s="37" t="e">
        <f t="shared" si="0"/>
        <v>#REF!</v>
      </c>
      <c r="G29" s="37" t="e">
        <f t="shared" si="1"/>
        <v>#REF!</v>
      </c>
    </row>
    <row r="30" spans="1:7" ht="15">
      <c r="A30" s="60">
        <v>39508</v>
      </c>
      <c r="B30" s="38" t="e">
        <f t="shared" si="2"/>
        <v>#REF!</v>
      </c>
      <c r="C30" s="38" t="e">
        <f>C29</f>
        <v>#REF!</v>
      </c>
      <c r="D30" s="37">
        <v>0</v>
      </c>
      <c r="E30" s="62">
        <v>0.0459</v>
      </c>
      <c r="F30" s="37" t="e">
        <f t="shared" si="0"/>
        <v>#REF!</v>
      </c>
      <c r="G30" s="37" t="e">
        <f t="shared" si="1"/>
        <v>#REF!</v>
      </c>
    </row>
    <row r="31" spans="1:7" ht="15">
      <c r="A31" s="60">
        <v>39539</v>
      </c>
      <c r="B31" s="38" t="e">
        <f t="shared" si="2"/>
        <v>#REF!</v>
      </c>
      <c r="C31" s="38" t="e">
        <f>C30</f>
        <v>#REF!</v>
      </c>
      <c r="D31" s="37">
        <v>0</v>
      </c>
      <c r="E31" s="62">
        <v>0.0459</v>
      </c>
      <c r="F31" s="37" t="e">
        <f t="shared" si="0"/>
        <v>#REF!</v>
      </c>
      <c r="G31" s="37" t="e">
        <f t="shared" si="1"/>
        <v>#REF!</v>
      </c>
    </row>
    <row r="32" spans="1:6" ht="16.5" thickBot="1">
      <c r="A32" s="41" t="s">
        <v>157</v>
      </c>
      <c r="F32" s="45" t="e">
        <f>SUM(F4:F31)</f>
        <v>#REF!</v>
      </c>
    </row>
    <row r="34" spans="2:4" ht="15">
      <c r="B34" s="65" t="s">
        <v>158</v>
      </c>
      <c r="C34" s="51" t="s">
        <v>159</v>
      </c>
      <c r="D34" s="65" t="s">
        <v>160</v>
      </c>
    </row>
    <row r="35" spans="2:4" ht="15">
      <c r="B35" s="38" t="e">
        <f>C28</f>
        <v>#REF!</v>
      </c>
      <c r="C35" s="51">
        <v>12</v>
      </c>
      <c r="D35" s="37" t="e">
        <f>B35*C35</f>
        <v>#REF!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zoomScale="85" zoomScaleNormal="85" zoomScalePageLayoutView="0" workbookViewId="0" topLeftCell="A1">
      <selection activeCell="G25" sqref="G25"/>
    </sheetView>
  </sheetViews>
  <sheetFormatPr defaultColWidth="9.140625" defaultRowHeight="12.75"/>
  <cols>
    <col min="1" max="1" width="37.421875" style="200" customWidth="1"/>
    <col min="2" max="6" width="19.28125" style="200" customWidth="1"/>
    <col min="7" max="7" width="18.421875" style="200" customWidth="1"/>
    <col min="8" max="8" width="15.57421875" style="200" customWidth="1"/>
    <col min="9" max="16384" width="9.140625" style="200" customWidth="1"/>
  </cols>
  <sheetData>
    <row r="2" spans="1:2" ht="20.25">
      <c r="A2" s="235" t="s">
        <v>0</v>
      </c>
      <c r="B2" s="235"/>
    </row>
    <row r="3" spans="1:2" ht="18">
      <c r="A3" s="236" t="s">
        <v>230</v>
      </c>
      <c r="B3" s="236"/>
    </row>
    <row r="4" spans="1:2" ht="18">
      <c r="A4" s="236" t="s">
        <v>249</v>
      </c>
      <c r="B4" s="236"/>
    </row>
    <row r="5" ht="13.5" customHeight="1"/>
    <row r="6" spans="1:2" ht="13.5" customHeight="1" thickBot="1">
      <c r="A6" s="204" t="s">
        <v>243</v>
      </c>
      <c r="B6" s="220">
        <f>SUM('Revenue Requirement Calculation'!K56:Q56)</f>
        <v>840791.0379721423</v>
      </c>
    </row>
    <row r="7" ht="13.5" customHeight="1" thickTop="1"/>
    <row r="8" spans="1:8" s="192" customFormat="1" ht="22.5" customHeight="1" thickBot="1">
      <c r="A8" s="205"/>
      <c r="B8" s="206"/>
      <c r="C8" s="207"/>
      <c r="D8" s="265" t="s">
        <v>244</v>
      </c>
      <c r="E8" s="265" t="s">
        <v>245</v>
      </c>
      <c r="F8" s="265" t="s">
        <v>246</v>
      </c>
      <c r="G8" s="265" t="s">
        <v>247</v>
      </c>
      <c r="H8" s="265" t="s">
        <v>248</v>
      </c>
    </row>
    <row r="9" spans="1:8" s="193" customFormat="1" ht="39" customHeight="1" thickBot="1">
      <c r="A9" s="208" t="s">
        <v>232</v>
      </c>
      <c r="B9" s="209" t="s">
        <v>241</v>
      </c>
      <c r="C9" s="209" t="s">
        <v>242</v>
      </c>
      <c r="D9" s="266"/>
      <c r="E9" s="266"/>
      <c r="F9" s="266"/>
      <c r="G9" s="266" t="s">
        <v>247</v>
      </c>
      <c r="H9" s="266"/>
    </row>
    <row r="10" spans="1:8" s="192" customFormat="1" ht="13.5" thickBot="1">
      <c r="A10" s="192" t="s">
        <v>233</v>
      </c>
      <c r="B10" s="201">
        <v>82880696.67819916</v>
      </c>
      <c r="C10" s="211">
        <f>B10/$B$19</f>
        <v>0.5374019708283722</v>
      </c>
      <c r="D10" s="210">
        <f>$D$19*C10</f>
        <v>451842.760861062</v>
      </c>
      <c r="E10" s="194">
        <v>308309</v>
      </c>
      <c r="F10" s="212">
        <f>D10/E10</f>
        <v>1.4655516409221332</v>
      </c>
      <c r="G10" s="195">
        <v>12</v>
      </c>
      <c r="H10" s="218">
        <f>F10/G10</f>
        <v>0.12212930341017776</v>
      </c>
    </row>
    <row r="11" spans="1:8" s="192" customFormat="1" ht="13.5" thickBot="1">
      <c r="A11" s="192" t="s">
        <v>234</v>
      </c>
      <c r="B11" s="202">
        <v>23667310.52572208</v>
      </c>
      <c r="C11" s="211">
        <f>B11/$B$19</f>
        <v>0.1534598504898388</v>
      </c>
      <c r="D11" s="210">
        <f>$D$19*C11</f>
        <v>129027.66698040134</v>
      </c>
      <c r="E11" s="196">
        <v>31199</v>
      </c>
      <c r="F11" s="212">
        <f aca="true" t="shared" si="0" ref="F11:F17">D11/E11</f>
        <v>4.13563469920194</v>
      </c>
      <c r="G11" s="197">
        <v>12</v>
      </c>
      <c r="H11" s="218">
        <f aca="true" t="shared" si="1" ref="H11:H17">F11/G11</f>
        <v>0.34463622493349505</v>
      </c>
    </row>
    <row r="12" spans="1:8" s="192" customFormat="1" ht="13.5" thickBot="1">
      <c r="A12" s="192" t="s">
        <v>235</v>
      </c>
      <c r="B12" s="202">
        <v>44578212.34173467</v>
      </c>
      <c r="C12" s="211">
        <f>B12/$B$19</f>
        <v>0.2890470293881512</v>
      </c>
      <c r="D12" s="210">
        <f>$D$19*C12</f>
        <v>243028.15186202797</v>
      </c>
      <c r="E12" s="196">
        <v>4662</v>
      </c>
      <c r="F12" s="212">
        <f t="shared" si="0"/>
        <v>52.1295907039957</v>
      </c>
      <c r="G12" s="197">
        <v>12</v>
      </c>
      <c r="H12" s="218">
        <f t="shared" si="1"/>
        <v>4.344132558666309</v>
      </c>
    </row>
    <row r="13" spans="1:8" s="192" customFormat="1" ht="13.5" thickBot="1">
      <c r="A13" s="192" t="s">
        <v>236</v>
      </c>
      <c r="B13" s="202">
        <v>286079.39245425834</v>
      </c>
      <c r="C13" s="211">
        <f>B13/$B$19</f>
        <v>0.00185495097749029</v>
      </c>
      <c r="D13" s="210">
        <f>$D$19*C13</f>
        <v>1559.626157751501</v>
      </c>
      <c r="E13" s="196">
        <v>2</v>
      </c>
      <c r="F13" s="212">
        <f>D13/E13</f>
        <v>779.8130788757505</v>
      </c>
      <c r="G13" s="197">
        <v>12</v>
      </c>
      <c r="H13" s="218">
        <f t="shared" si="1"/>
        <v>64.98442323964588</v>
      </c>
    </row>
    <row r="14" spans="1:8" s="192" customFormat="1" ht="13.5" thickBot="1">
      <c r="A14" s="192" t="s">
        <v>237</v>
      </c>
      <c r="B14" s="202"/>
      <c r="C14" s="211"/>
      <c r="D14" s="210"/>
      <c r="E14" s="196"/>
      <c r="F14" s="212"/>
      <c r="G14" s="197"/>
      <c r="H14" s="218"/>
    </row>
    <row r="15" spans="1:8" s="192" customFormat="1" ht="13.5" thickBot="1">
      <c r="A15" s="192" t="s">
        <v>238</v>
      </c>
      <c r="B15" s="202">
        <v>430379.73676883924</v>
      </c>
      <c r="C15" s="211">
        <f>B15/$B$19</f>
        <v>0.002790600562181419</v>
      </c>
      <c r="D15" s="210">
        <f>$D$19*C15</f>
        <v>2346.311943242159</v>
      </c>
      <c r="E15" s="196">
        <v>2814</v>
      </c>
      <c r="F15" s="212">
        <f t="shared" si="0"/>
        <v>0.8337995533909591</v>
      </c>
      <c r="G15" s="197">
        <v>12</v>
      </c>
      <c r="H15" s="218">
        <f t="shared" si="1"/>
        <v>0.06948329611591327</v>
      </c>
    </row>
    <row r="16" spans="1:8" s="192" customFormat="1" ht="13.5" thickBot="1">
      <c r="A16" s="192" t="s">
        <v>239</v>
      </c>
      <c r="B16" s="202">
        <v>14476.123055439384</v>
      </c>
      <c r="C16" s="211">
        <f>B16/$B$19</f>
        <v>9.38637990719674E-05</v>
      </c>
      <c r="D16" s="210">
        <f>$D$19*C16</f>
        <v>78.91984104972808</v>
      </c>
      <c r="E16" s="196">
        <v>120</v>
      </c>
      <c r="F16" s="212">
        <f t="shared" si="0"/>
        <v>0.6576653420810673</v>
      </c>
      <c r="G16" s="197">
        <v>12</v>
      </c>
      <c r="H16" s="218">
        <f t="shared" si="1"/>
        <v>0.05480544517342228</v>
      </c>
    </row>
    <row r="17" spans="1:8" s="192" customFormat="1" ht="13.5" thickBot="1">
      <c r="A17" s="192" t="s">
        <v>240</v>
      </c>
      <c r="B17" s="203">
        <v>2367617.6762782047</v>
      </c>
      <c r="C17" s="211">
        <f>B17/$B$19</f>
        <v>0.015351733954894213</v>
      </c>
      <c r="D17" s="210">
        <f>$D$19*C17</f>
        <v>12907.600326607688</v>
      </c>
      <c r="E17" s="198">
        <v>83370</v>
      </c>
      <c r="F17" s="212">
        <f t="shared" si="0"/>
        <v>0.15482308176331638</v>
      </c>
      <c r="G17" s="199">
        <v>12</v>
      </c>
      <c r="H17" s="218">
        <f t="shared" si="1"/>
        <v>0.012901923480276365</v>
      </c>
    </row>
    <row r="18" s="192" customFormat="1" ht="12.75">
      <c r="C18" s="213"/>
    </row>
    <row r="19" spans="1:7" s="192" customFormat="1" ht="15.75" thickBot="1">
      <c r="A19" s="219" t="s">
        <v>3</v>
      </c>
      <c r="B19" s="214">
        <f>SUM(B10:B17)</f>
        <v>154224772.47421265</v>
      </c>
      <c r="C19" s="215">
        <f>SUM(C10:C18)</f>
        <v>1</v>
      </c>
      <c r="D19" s="220">
        <f>B6</f>
        <v>840791.0379721423</v>
      </c>
      <c r="E19" s="216">
        <f>SUM(E10:E17)</f>
        <v>430476</v>
      </c>
      <c r="F19" s="222"/>
      <c r="G19" s="217"/>
    </row>
    <row r="20" ht="13.5" thickTop="1">
      <c r="F20" s="221"/>
    </row>
  </sheetData>
  <sheetProtection/>
  <mergeCells count="8">
    <mergeCell ref="G8:G9"/>
    <mergeCell ref="H8:H9"/>
    <mergeCell ref="A2:B2"/>
    <mergeCell ref="A3:B3"/>
    <mergeCell ref="A4:B4"/>
    <mergeCell ref="D8:D9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70"/>
  <sheetViews>
    <sheetView zoomScale="75" zoomScaleNormal="75" zoomScalePageLayoutView="0" workbookViewId="0" topLeftCell="C1">
      <selection activeCell="A59" sqref="A59"/>
    </sheetView>
  </sheetViews>
  <sheetFormatPr defaultColWidth="11.421875" defaultRowHeight="12.75"/>
  <cols>
    <col min="1" max="1" width="79.140625" style="31" bestFit="1" customWidth="1"/>
    <col min="2" max="3" width="14.28125" style="31" bestFit="1" customWidth="1"/>
    <col min="4" max="4" width="15.57421875" style="31" bestFit="1" customWidth="1"/>
    <col min="5" max="5" width="20.140625" style="31" bestFit="1" customWidth="1"/>
    <col min="6" max="6" width="3.421875" style="31" customWidth="1"/>
    <col min="7" max="8" width="17.57421875" style="31" bestFit="1" customWidth="1"/>
    <col min="9" max="9" width="15.57421875" style="31" bestFit="1" customWidth="1"/>
    <col min="10" max="16384" width="11.421875" style="31" customWidth="1"/>
  </cols>
  <sheetData>
    <row r="1" spans="1:7" ht="27" thickBot="1">
      <c r="A1" s="241" t="s">
        <v>21</v>
      </c>
      <c r="B1" s="242"/>
      <c r="C1" s="242"/>
      <c r="D1" s="242"/>
      <c r="E1" s="242"/>
      <c r="F1" s="242"/>
      <c r="G1" s="243"/>
    </row>
    <row r="2" spans="1:7" ht="26.25">
      <c r="A2" s="244" t="e">
        <f>#REF!</f>
        <v>#REF!</v>
      </c>
      <c r="B2" s="244"/>
      <c r="C2" s="244"/>
      <c r="D2" s="244"/>
      <c r="E2" s="244"/>
      <c r="F2" s="244"/>
      <c r="G2" s="244"/>
    </row>
    <row r="3" spans="1:5" ht="16.5" customHeight="1">
      <c r="A3" s="32"/>
      <c r="B3" s="32"/>
      <c r="C3" s="32"/>
      <c r="D3" s="32"/>
      <c r="E3" s="32"/>
    </row>
    <row r="4" spans="1:9" ht="15.75">
      <c r="A4" s="33" t="s">
        <v>22</v>
      </c>
      <c r="B4" s="34" t="s">
        <v>23</v>
      </c>
      <c r="C4" s="34" t="s">
        <v>24</v>
      </c>
      <c r="D4" s="34" t="s">
        <v>25</v>
      </c>
      <c r="E4" s="34" t="s">
        <v>26</v>
      </c>
      <c r="F4"/>
      <c r="G4" s="245" t="s">
        <v>27</v>
      </c>
      <c r="H4" s="246"/>
      <c r="I4" s="247"/>
    </row>
    <row r="5" spans="1:9" ht="15.75">
      <c r="A5" s="35" t="s">
        <v>28</v>
      </c>
      <c r="G5" s="117">
        <v>2006</v>
      </c>
      <c r="H5" s="117">
        <v>2007</v>
      </c>
      <c r="I5" s="118" t="s">
        <v>3</v>
      </c>
    </row>
    <row r="6" spans="1:9" ht="15">
      <c r="A6" s="36" t="s">
        <v>29</v>
      </c>
      <c r="B6" s="37">
        <f>'9A. SM Avg Nt Fix Ass &amp;UCC'!C13</f>
        <v>0</v>
      </c>
      <c r="C6" s="37"/>
      <c r="D6" s="37">
        <f>'12. 2007A SM Nt Fix Ass &amp;UCC'!C13</f>
        <v>0</v>
      </c>
      <c r="E6" s="37">
        <f>SUM(B6:D6)</f>
        <v>0</v>
      </c>
      <c r="G6" s="38">
        <f>B6</f>
        <v>0</v>
      </c>
      <c r="H6" s="38">
        <f>D6</f>
        <v>0</v>
      </c>
      <c r="I6" s="38">
        <f>H6</f>
        <v>0</v>
      </c>
    </row>
    <row r="7" spans="1:9" ht="15">
      <c r="A7" s="36" t="s">
        <v>13</v>
      </c>
      <c r="B7" s="37">
        <f>'9A. SM Avg Nt Fix Ass &amp;UCC'!C27</f>
        <v>0</v>
      </c>
      <c r="C7" s="37"/>
      <c r="D7" s="37">
        <f>'12. 2007A SM Nt Fix Ass &amp;UCC'!C27</f>
        <v>0</v>
      </c>
      <c r="E7" s="37">
        <f>SUM(B7:D7)</f>
        <v>0</v>
      </c>
      <c r="G7" s="38">
        <f>B7</f>
        <v>0</v>
      </c>
      <c r="H7" s="38">
        <f>D7</f>
        <v>0</v>
      </c>
      <c r="I7" s="38">
        <f>H7</f>
        <v>0</v>
      </c>
    </row>
    <row r="8" spans="1:9" ht="15">
      <c r="A8" s="36" t="s">
        <v>14</v>
      </c>
      <c r="B8" s="37">
        <f>'9A. SM Avg Nt Fix Ass &amp;UCC'!C41</f>
        <v>0</v>
      </c>
      <c r="C8" s="37"/>
      <c r="D8" s="37">
        <f>'12. 2007A SM Nt Fix Ass &amp;UCC'!C41</f>
        <v>0</v>
      </c>
      <c r="E8" s="37">
        <f>SUM(B8:D8)</f>
        <v>0</v>
      </c>
      <c r="G8" s="38">
        <f>B8</f>
        <v>0</v>
      </c>
      <c r="H8" s="38">
        <f>D8</f>
        <v>0</v>
      </c>
      <c r="I8" s="38">
        <f>H8</f>
        <v>0</v>
      </c>
    </row>
    <row r="9" spans="1:9" ht="15">
      <c r="A9" s="36" t="s">
        <v>1</v>
      </c>
      <c r="B9" s="37" t="e">
        <f>'9A. SM Avg Nt Fix Ass &amp;UCC'!C56</f>
        <v>#REF!</v>
      </c>
      <c r="C9"/>
      <c r="D9" s="37" t="e">
        <f>'12. 2007A SM Nt Fix Ass &amp;UCC'!C56</f>
        <v>#REF!</v>
      </c>
      <c r="E9" s="37" t="e">
        <f>SUM(B9:D9)</f>
        <v>#REF!</v>
      </c>
      <c r="G9" s="38" t="e">
        <f>B9</f>
        <v>#REF!</v>
      </c>
      <c r="H9" s="38" t="e">
        <f>D9</f>
        <v>#REF!</v>
      </c>
      <c r="I9" s="38" t="e">
        <f>H9</f>
        <v>#REF!</v>
      </c>
    </row>
    <row r="10" spans="1:9" ht="15">
      <c r="A10" s="39" t="s">
        <v>162</v>
      </c>
      <c r="B10" s="37" t="e">
        <f>'9A. SM Avg Nt Fix Ass &amp;UCC'!C70</f>
        <v>#REF!</v>
      </c>
      <c r="C10"/>
      <c r="D10" s="37" t="e">
        <f>'12. 2007A SM Nt Fix Ass &amp;UCC'!C70</f>
        <v>#REF!</v>
      </c>
      <c r="E10" s="37">
        <v>0</v>
      </c>
      <c r="G10" s="38" t="e">
        <f>B10</f>
        <v>#REF!</v>
      </c>
      <c r="H10" s="38" t="e">
        <f>D10</f>
        <v>#REF!</v>
      </c>
      <c r="I10" s="38" t="e">
        <f>H10</f>
        <v>#REF!</v>
      </c>
    </row>
    <row r="11" spans="1:9" ht="15.75">
      <c r="A11" s="35" t="s">
        <v>4</v>
      </c>
      <c r="B11" s="40" t="e">
        <f>SUM(B6:B10)</f>
        <v>#REF!</v>
      </c>
      <c r="C11"/>
      <c r="D11" s="40" t="e">
        <f>SUM(D6:D10)</f>
        <v>#REF!</v>
      </c>
      <c r="E11" s="40" t="e">
        <f>SUM(E6:E10)</f>
        <v>#REF!</v>
      </c>
      <c r="G11" s="40" t="e">
        <f>SUM(G6:G10)</f>
        <v>#REF!</v>
      </c>
      <c r="H11" s="40" t="e">
        <f>SUM(H6:H10)</f>
        <v>#REF!</v>
      </c>
      <c r="I11" s="40" t="e">
        <f>SUM(I6:I10)</f>
        <v>#REF!</v>
      </c>
    </row>
    <row r="12" spans="2:5" ht="15">
      <c r="B12" s="37"/>
      <c r="C12"/>
      <c r="D12" s="37"/>
      <c r="E12" s="37"/>
    </row>
    <row r="13" spans="1:5" ht="15.75">
      <c r="A13" s="41" t="s">
        <v>5</v>
      </c>
      <c r="B13" s="37"/>
      <c r="C13"/>
      <c r="D13" s="37"/>
      <c r="E13" s="37"/>
    </row>
    <row r="14" spans="1:5" ht="15">
      <c r="A14" s="36" t="s">
        <v>30</v>
      </c>
      <c r="B14" s="37" t="e">
        <f>#REF!</f>
        <v>#REF!</v>
      </c>
      <c r="C14"/>
      <c r="D14" s="37">
        <v>0</v>
      </c>
      <c r="E14" s="37" t="e">
        <f>SUM(B14:D14)</f>
        <v>#REF!</v>
      </c>
    </row>
    <row r="15" spans="1:5" ht="15">
      <c r="A15" s="36" t="s">
        <v>31</v>
      </c>
      <c r="B15" s="37" t="e">
        <f>#REF!</f>
        <v>#REF!</v>
      </c>
      <c r="C15"/>
      <c r="D15" s="37">
        <v>0</v>
      </c>
      <c r="E15" s="37" t="e">
        <f>SUM(B15:D15)</f>
        <v>#REF!</v>
      </c>
    </row>
    <row r="16" spans="1:5" ht="15">
      <c r="A16" s="36" t="s">
        <v>32</v>
      </c>
      <c r="B16" s="37" t="e">
        <f>#REF!</f>
        <v>#REF!</v>
      </c>
      <c r="C16"/>
      <c r="D16" s="37">
        <v>0</v>
      </c>
      <c r="E16" s="37" t="e">
        <f>SUM(B16:D16)</f>
        <v>#REF!</v>
      </c>
    </row>
    <row r="17" spans="1:5" ht="15">
      <c r="A17" s="36" t="s">
        <v>33</v>
      </c>
      <c r="B17" s="37" t="e">
        <f>#REF!</f>
        <v>#REF!</v>
      </c>
      <c r="C17"/>
      <c r="D17" s="37">
        <v>0</v>
      </c>
      <c r="E17" s="37" t="e">
        <f>SUM(B17:D17)</f>
        <v>#REF!</v>
      </c>
    </row>
    <row r="18" spans="1:5" ht="15">
      <c r="A18" s="36" t="s">
        <v>34</v>
      </c>
      <c r="B18" s="37" t="e">
        <f>#REF!</f>
        <v>#REF!</v>
      </c>
      <c r="C18"/>
      <c r="D18" s="37">
        <f>' Assumptions and Data'!C47</f>
        <v>0</v>
      </c>
      <c r="E18" s="37" t="e">
        <f>SUM(B18:D18)</f>
        <v>#REF!</v>
      </c>
    </row>
    <row r="19" spans="1:5" ht="15.75">
      <c r="A19" s="41" t="s">
        <v>6</v>
      </c>
      <c r="B19" s="40" t="e">
        <f>SUM(B14:B18)</f>
        <v>#REF!</v>
      </c>
      <c r="C19"/>
      <c r="D19" s="40">
        <f>SUM(D14:D18)</f>
        <v>0</v>
      </c>
      <c r="E19" s="40" t="e">
        <f>SUM(E14:E18)</f>
        <v>#REF!</v>
      </c>
    </row>
    <row r="20" ht="15"/>
    <row r="21" spans="1:9" ht="15.75">
      <c r="A21" s="42" t="s">
        <v>35</v>
      </c>
      <c r="B21" s="43" t="s">
        <v>23</v>
      </c>
      <c r="C21" s="43" t="s">
        <v>24</v>
      </c>
      <c r="D21" s="43" t="s">
        <v>25</v>
      </c>
      <c r="E21" s="43" t="s">
        <v>26</v>
      </c>
      <c r="G21" s="238" t="s">
        <v>27</v>
      </c>
      <c r="H21" s="239"/>
      <c r="I21" s="240"/>
    </row>
    <row r="22" spans="1:9" ht="15.75">
      <c r="A22" s="41" t="s">
        <v>36</v>
      </c>
      <c r="G22" s="117">
        <v>2006</v>
      </c>
      <c r="H22" s="117">
        <v>2007</v>
      </c>
      <c r="I22" s="118" t="s">
        <v>3</v>
      </c>
    </row>
    <row r="23" spans="1:9" ht="15">
      <c r="A23" s="36" t="s">
        <v>37</v>
      </c>
      <c r="B23" s="37">
        <f>SUM('9A. SM Avg Nt Fix Ass &amp;UCC'!C20,'9A. SM Avg Nt Fix Ass &amp;UCC'!C34,'9A. SM Avg Nt Fix Ass &amp;UCC'!C48,'9A. SM Avg Nt Fix Ass &amp;UCC'!C63,'9A. SM Avg Nt Fix Ass &amp;UCC'!C77)</f>
        <v>0</v>
      </c>
      <c r="C23" s="37">
        <f>SUM('9A. SM Avg Nt Fix Ass &amp;UCC'!C20,'9A. SM Avg Nt Fix Ass &amp;UCC'!C34,'9A. SM Avg Nt Fix Ass &amp;UCC'!C48,'9A. SM Avg Nt Fix Ass &amp;UCC'!C63,'9A. SM Avg Nt Fix Ass &amp;UCC'!C77,)</f>
        <v>0</v>
      </c>
      <c r="D23" s="37">
        <f>SUM('12. 2007A SM Nt Fix Ass &amp;UCC'!C20,'12. 2007A SM Nt Fix Ass &amp;UCC'!C34,'12. 2007A SM Nt Fix Ass &amp;UCC'!C48,'12. 2007A SM Nt Fix Ass &amp;UCC'!C63,'12. 2007A SM Nt Fix Ass &amp;UCC'!C77)</f>
        <v>0</v>
      </c>
      <c r="G23" s="37">
        <f>SUM('9A. SM Avg Nt Fix Ass &amp;UCC'!C20,'9A. SM Avg Nt Fix Ass &amp;UCC'!C34,'9A. SM Avg Nt Fix Ass &amp;UCC'!C48,'9A. SM Avg Nt Fix Ass &amp;UCC'!C63,'9A. SM Avg Nt Fix Ass &amp;UCC'!C77,)</f>
        <v>0</v>
      </c>
      <c r="H23" s="37">
        <f>SUM('12. 2007A SM Nt Fix Ass &amp;UCC'!C20,'12. 2007A SM Nt Fix Ass &amp;UCC'!C34,'12. 2007A SM Nt Fix Ass &amp;UCC'!C48,'12. 2007A SM Nt Fix Ass &amp;UCC'!C63,'12. 2007A SM Nt Fix Ass &amp;UCC'!C77)</f>
        <v>0</v>
      </c>
      <c r="I23" s="38">
        <f>SUM(G23:H23)</f>
        <v>0</v>
      </c>
    </row>
    <row r="24" spans="1:9" ht="15">
      <c r="A24" s="36" t="s">
        <v>38</v>
      </c>
      <c r="B24" s="37" t="e">
        <f>SUM('9A. SM Avg Nt Fix Ass &amp;UCC'!C21,'9A. SM Avg Nt Fix Ass &amp;UCC'!C35,'9A. SM Avg Nt Fix Ass &amp;UCC'!C49,'9A. SM Avg Nt Fix Ass &amp;UCC'!C64,'9A. SM Avg Nt Fix Ass &amp;UCC'!C78)</f>
        <v>#REF!</v>
      </c>
      <c r="C24" s="37" t="e">
        <f>SUM('9A. SM Avg Nt Fix Ass &amp;UCC'!C21,'9A. SM Avg Nt Fix Ass &amp;UCC'!C35,'9A. SM Avg Nt Fix Ass &amp;UCC'!C49,'9A. SM Avg Nt Fix Ass &amp;UCC'!C64,'9A. SM Avg Nt Fix Ass &amp;UCC'!C78)</f>
        <v>#REF!</v>
      </c>
      <c r="D24" s="37" t="e">
        <f>SUM('12. 2007A SM Nt Fix Ass &amp;UCC'!C21,'12. 2007A SM Nt Fix Ass &amp;UCC'!C35,'12. 2007A SM Nt Fix Ass &amp;UCC'!C49,'12. 2007A SM Nt Fix Ass &amp;UCC'!C64,'12. 2007A SM Nt Fix Ass &amp;UCC'!C78)</f>
        <v>#REF!</v>
      </c>
      <c r="G24" s="37" t="e">
        <f>SUM('9A. SM Avg Nt Fix Ass &amp;UCC'!C21,'9A. SM Avg Nt Fix Ass &amp;UCC'!C35,'9A. SM Avg Nt Fix Ass &amp;UCC'!C49,'9A. SM Avg Nt Fix Ass &amp;UCC'!C64,'9A. SM Avg Nt Fix Ass &amp;UCC'!C78,)</f>
        <v>#REF!</v>
      </c>
      <c r="H24" s="37" t="e">
        <f>SUM('12. 2007A SM Nt Fix Ass &amp;UCC'!C21,'12. 2007A SM Nt Fix Ass &amp;UCC'!C35,'12. 2007A SM Nt Fix Ass &amp;UCC'!C49,'12. 2007A SM Nt Fix Ass &amp;UCC'!C64,'12. 2007A SM Nt Fix Ass &amp;UCC'!C78)</f>
        <v>#REF!</v>
      </c>
      <c r="I24" s="38" t="e">
        <f>SUM(G24:H24)</f>
        <v>#REF!</v>
      </c>
    </row>
    <row r="25" spans="1:9" ht="15.75">
      <c r="A25" s="41" t="s">
        <v>39</v>
      </c>
      <c r="B25" s="40" t="e">
        <f>(B23+B24)/2</f>
        <v>#REF!</v>
      </c>
      <c r="C25" s="40" t="e">
        <f>(C23+C24)/2</f>
        <v>#REF!</v>
      </c>
      <c r="D25" s="40" t="e">
        <f>(D23+D24)/2</f>
        <v>#REF!</v>
      </c>
      <c r="G25" s="40" t="e">
        <f>(G23+G24)/2</f>
        <v>#REF!</v>
      </c>
      <c r="H25" s="40" t="e">
        <f>(H23+H24)/2</f>
        <v>#REF!</v>
      </c>
      <c r="I25" s="40" t="e">
        <f>(I23+I24)/2</f>
        <v>#REF!</v>
      </c>
    </row>
    <row r="26" spans="2:4" ht="15">
      <c r="B26" s="37"/>
      <c r="C26" s="37"/>
      <c r="D26" s="37"/>
    </row>
    <row r="27" spans="1:5" ht="15">
      <c r="A27" s="36" t="s">
        <v>40</v>
      </c>
      <c r="B27" s="37"/>
      <c r="C27" s="37"/>
      <c r="D27" s="37"/>
      <c r="E27" s="37"/>
    </row>
    <row r="28" spans="1:9" ht="15">
      <c r="A28" s="36" t="s">
        <v>41</v>
      </c>
      <c r="B28" s="37" t="e">
        <f>B19</f>
        <v>#REF!</v>
      </c>
      <c r="C28" s="37">
        <f>C19</f>
        <v>0</v>
      </c>
      <c r="D28" s="37">
        <f>D19</f>
        <v>0</v>
      </c>
      <c r="G28" s="37">
        <f>G19</f>
        <v>0</v>
      </c>
      <c r="H28" s="37">
        <f>H19</f>
        <v>0</v>
      </c>
      <c r="I28" s="38">
        <f>SUM(G28:H28)</f>
        <v>0</v>
      </c>
    </row>
    <row r="29" spans="1:9" ht="15">
      <c r="A29" s="36" t="str">
        <f>"Working Capital Allowance "&amp;' Assumptions and Data'!C13*100&amp;"% (from approved 2006 EDR application)"</f>
        <v>Working Capital Allowance 13% (from approved 2006 EDR application)</v>
      </c>
      <c r="B29" s="40" t="e">
        <f>B28*' Assumptions and Data'!$C$13</f>
        <v>#REF!</v>
      </c>
      <c r="C29" s="40">
        <f>C28*' Assumptions and Data'!$C$13</f>
        <v>0</v>
      </c>
      <c r="D29" s="40">
        <f>D28*' Assumptions and Data'!$C$13</f>
        <v>0</v>
      </c>
      <c r="G29" s="40">
        <f>G28*' Assumptions and Data'!$C$13</f>
        <v>0</v>
      </c>
      <c r="H29" s="40">
        <f>H28*' Assumptions and Data'!$C$13</f>
        <v>0</v>
      </c>
      <c r="I29" s="40">
        <f>I28*' Assumptions and Data'!$C$13</f>
        <v>0</v>
      </c>
    </row>
    <row r="30" ht="15"/>
    <row r="31" spans="1:9" ht="15.75">
      <c r="A31" s="41" t="s">
        <v>42</v>
      </c>
      <c r="B31" s="44" t="e">
        <f>B25+B29</f>
        <v>#REF!</v>
      </c>
      <c r="C31" s="44" t="e">
        <f>C25+C29</f>
        <v>#REF!</v>
      </c>
      <c r="D31" s="44" t="e">
        <f>D25+D29</f>
        <v>#REF!</v>
      </c>
      <c r="G31" s="44" t="e">
        <f>G25+G29</f>
        <v>#REF!</v>
      </c>
      <c r="H31" s="44" t="e">
        <f>H25+H29</f>
        <v>#REF!</v>
      </c>
      <c r="I31" s="44" t="e">
        <f>I25+I29</f>
        <v>#REF!</v>
      </c>
    </row>
    <row r="32" ht="15"/>
    <row r="33" ht="15.75">
      <c r="A33" s="41" t="s">
        <v>43</v>
      </c>
    </row>
    <row r="34" spans="1:9" ht="15">
      <c r="A34" s="36" t="str">
        <f>"Deemed Debt  "&amp;' Assumptions and Data'!$C$7*100&amp;"%  Times Weighted Debt Rate "&amp;' Assumptions and Data'!$C$9*100&amp;"%"</f>
        <v>Deemed Debt  60%  Times Weighted Debt Rate 4.01%</v>
      </c>
      <c r="B34" s="38" t="e">
        <f>B31*' Assumptions and Data'!$C$7*' Assumptions and Data'!$C$9</f>
        <v>#REF!</v>
      </c>
      <c r="C34" s="38" t="e">
        <f>C31*' Assumptions and Data'!$C$7*' Assumptions and Data'!$C$9</f>
        <v>#REF!</v>
      </c>
      <c r="D34" s="38" t="e">
        <f>D31*' Assumptions and Data'!$C$7*' Assumptions and Data'!$C$9</f>
        <v>#REF!</v>
      </c>
      <c r="E34" s="38" t="e">
        <f>SUM(B34:D34)</f>
        <v>#REF!</v>
      </c>
      <c r="F34" s="38"/>
      <c r="G34" s="38" t="e">
        <f>G31*' Assumptions and Data'!$C$7*' Assumptions and Data'!$C$9</f>
        <v>#REF!</v>
      </c>
      <c r="H34" s="38" t="e">
        <f>H31*' Assumptions and Data'!$C$7*' Assumptions and Data'!$C$9</f>
        <v>#REF!</v>
      </c>
      <c r="I34" s="38" t="e">
        <f>I31*' Assumptions and Data'!$C$7*' Assumptions and Data'!$C$9</f>
        <v>#REF!</v>
      </c>
    </row>
    <row r="35" spans="1:9" ht="15">
      <c r="A35" s="36" t="str">
        <f>"Deemed Equity "&amp;' Assumptions and Data'!$C$8*100&amp;"%  Times ROE "&amp;' Assumptions and Data'!$C$10*100&amp;"%"</f>
        <v>Deemed Equity 40%  Times ROE 8.93%</v>
      </c>
      <c r="B35" s="38" t="e">
        <f>B31*' Assumptions and Data'!$C$8*' Assumptions and Data'!$C$10</f>
        <v>#REF!</v>
      </c>
      <c r="C35" s="38" t="e">
        <f>C31*' Assumptions and Data'!$C$8*' Assumptions and Data'!$C$10</f>
        <v>#REF!</v>
      </c>
      <c r="D35" s="38" t="e">
        <f>D31*' Assumptions and Data'!$C$8*' Assumptions and Data'!$C$10</f>
        <v>#REF!</v>
      </c>
      <c r="E35" s="38" t="e">
        <f>SUM(B35:D35)</f>
        <v>#REF!</v>
      </c>
      <c r="F35" s="38"/>
      <c r="G35" s="38" t="e">
        <f>G31*' Assumptions and Data'!$C$8*' Assumptions and Data'!$C$10</f>
        <v>#REF!</v>
      </c>
      <c r="H35" s="38" t="e">
        <f>H31*' Assumptions and Data'!$C$8*' Assumptions and Data'!$C$10</f>
        <v>#REF!</v>
      </c>
      <c r="I35" s="38" t="e">
        <f>I31*' Assumptions and Data'!$C$8*' Assumptions and Data'!$C$10</f>
        <v>#REF!</v>
      </c>
    </row>
    <row r="36" spans="1:9" ht="15.75">
      <c r="A36" s="41" t="s">
        <v>43</v>
      </c>
      <c r="B36" s="44" t="e">
        <f>SUM(B34:B35)</f>
        <v>#REF!</v>
      </c>
      <c r="C36" s="44" t="e">
        <f>SUM(C34:C35)</f>
        <v>#REF!</v>
      </c>
      <c r="D36" s="44" t="e">
        <f>SUM(D34:D35)</f>
        <v>#REF!</v>
      </c>
      <c r="E36" s="44" t="e">
        <f>SUM(E34:E35)</f>
        <v>#REF!</v>
      </c>
      <c r="G36" s="44" t="e">
        <f>SUM(G34:G35)</f>
        <v>#REF!</v>
      </c>
      <c r="H36" s="44" t="e">
        <f>SUM(H34:H35)</f>
        <v>#REF!</v>
      </c>
      <c r="I36" s="44" t="e">
        <f>SUM(I34:I35)</f>
        <v>#REF!</v>
      </c>
    </row>
    <row r="37" ht="15"/>
    <row r="38" ht="15.75">
      <c r="A38" s="41" t="s">
        <v>44</v>
      </c>
    </row>
    <row r="39" spans="1:9" ht="15">
      <c r="A39" s="36" t="s">
        <v>45</v>
      </c>
      <c r="B39" s="38" t="e">
        <f>B19</f>
        <v>#REF!</v>
      </c>
      <c r="C39" s="38">
        <f>C19</f>
        <v>0</v>
      </c>
      <c r="D39" s="38">
        <f>D19</f>
        <v>0</v>
      </c>
      <c r="E39" s="38" t="e">
        <f>SUM(B39:D39)</f>
        <v>#REF!</v>
      </c>
      <c r="G39" s="38">
        <f>G19</f>
        <v>0</v>
      </c>
      <c r="H39" s="38">
        <f>H19</f>
        <v>0</v>
      </c>
      <c r="I39" s="38">
        <f>SUM(G39:H39)</f>
        <v>0</v>
      </c>
    </row>
    <row r="40" spans="1:9" ht="15">
      <c r="A40" s="36" t="s">
        <v>46</v>
      </c>
      <c r="B40" s="38">
        <f>'7A.  Smart Meter Rate Calc'!C42</f>
        <v>0</v>
      </c>
      <c r="C40" s="38" t="e">
        <f>'7A.  Smart Meter Rate Calc'!H42</f>
        <v>#REF!</v>
      </c>
      <c r="D40" s="38">
        <f>'10. 2007A Smart Meter Rate Calc'!C42</f>
        <v>0</v>
      </c>
      <c r="E40" s="38" t="e">
        <f>SUM(B40:D40)</f>
        <v>#REF!</v>
      </c>
      <c r="G40" s="38" t="e">
        <f>'7A.  Smart Meter Rate Calc'!E42</f>
        <v>#REF!</v>
      </c>
      <c r="H40" s="38" t="e">
        <f>'10. 2007A Smart Meter Rate Calc'!E42</f>
        <v>#REF!</v>
      </c>
      <c r="I40" s="38" t="e">
        <f>SUM(G40:H40)</f>
        <v>#REF!</v>
      </c>
    </row>
    <row r="41" spans="1:9" ht="15.75">
      <c r="A41" s="41" t="s">
        <v>47</v>
      </c>
      <c r="B41" s="44" t="e">
        <f>SUM(B39:B40)</f>
        <v>#REF!</v>
      </c>
      <c r="C41" s="44" t="e">
        <f>SUM(C39:C40)</f>
        <v>#REF!</v>
      </c>
      <c r="D41" s="44">
        <f>SUM(D39:D40)</f>
        <v>0</v>
      </c>
      <c r="E41" s="44" t="e">
        <f>SUM(E39:E40)</f>
        <v>#REF!</v>
      </c>
      <c r="G41" s="44" t="e">
        <f>SUM(G39:G40)</f>
        <v>#REF!</v>
      </c>
      <c r="H41" s="44" t="e">
        <f>SUM(H39:H40)</f>
        <v>#REF!</v>
      </c>
      <c r="I41" s="44" t="e">
        <f>SUM(I39:I40)</f>
        <v>#REF!</v>
      </c>
    </row>
    <row r="42" spans="1:8" ht="15.75">
      <c r="A42" s="41"/>
      <c r="B42" s="44"/>
      <c r="C42" s="44"/>
      <c r="D42" s="44"/>
      <c r="E42" s="44"/>
      <c r="G42" s="54"/>
      <c r="H42" s="54"/>
    </row>
    <row r="43" spans="2:9" ht="15.75">
      <c r="B43" s="44"/>
      <c r="C43" s="44"/>
      <c r="D43" s="44"/>
      <c r="E43" s="44"/>
      <c r="G43" s="238" t="s">
        <v>27</v>
      </c>
      <c r="H43" s="239"/>
      <c r="I43" s="240"/>
    </row>
    <row r="44" spans="2:9" ht="15.75">
      <c r="B44" s="43" t="s">
        <v>23</v>
      </c>
      <c r="C44" s="43" t="s">
        <v>24</v>
      </c>
      <c r="D44" s="43" t="s">
        <v>25</v>
      </c>
      <c r="E44" s="43" t="s">
        <v>26</v>
      </c>
      <c r="G44" s="117">
        <v>2006</v>
      </c>
      <c r="H44" s="117">
        <v>2007</v>
      </c>
      <c r="I44" s="118" t="s">
        <v>3</v>
      </c>
    </row>
    <row r="45" spans="1:9" ht="15">
      <c r="A45" s="31" t="s">
        <v>48</v>
      </c>
      <c r="B45" s="38" t="e">
        <f>B36+B41</f>
        <v>#REF!</v>
      </c>
      <c r="C45" s="38" t="e">
        <f>C36+C41</f>
        <v>#REF!</v>
      </c>
      <c r="D45" s="38" t="e">
        <f>D36+D41</f>
        <v>#REF!</v>
      </c>
      <c r="E45" s="38" t="e">
        <f>SUM(B45:D45)</f>
        <v>#REF!</v>
      </c>
      <c r="G45" s="38" t="e">
        <f>G36+G41</f>
        <v>#REF!</v>
      </c>
      <c r="H45" s="38" t="e">
        <f>H36+H41</f>
        <v>#REF!</v>
      </c>
      <c r="I45" s="38" t="e">
        <f>SUM(G45:H45)</f>
        <v>#REF!</v>
      </c>
    </row>
    <row r="46" spans="1:9" ht="15">
      <c r="A46" s="31" t="s">
        <v>49</v>
      </c>
      <c r="B46" s="38" t="e">
        <f>'8A. PILs'!C46</f>
        <v>#REF!</v>
      </c>
      <c r="C46" s="38" t="e">
        <f>'8A. PILs'!C46</f>
        <v>#REF!</v>
      </c>
      <c r="D46" s="38" t="e">
        <f>'11. 2007A PILs'!C46</f>
        <v>#REF!</v>
      </c>
      <c r="E46" s="38" t="e">
        <f>SUM(B46:D46)</f>
        <v>#REF!</v>
      </c>
      <c r="G46" s="38" t="e">
        <f>'8A. PILs'!C46</f>
        <v>#REF!</v>
      </c>
      <c r="H46" s="38" t="e">
        <f>'11. 2007A PILs'!C46</f>
        <v>#REF!</v>
      </c>
      <c r="I46" s="38" t="e">
        <f>SUM(G46:H46)</f>
        <v>#REF!</v>
      </c>
    </row>
    <row r="47" spans="1:9" ht="16.5" thickBot="1">
      <c r="A47" s="41" t="s">
        <v>50</v>
      </c>
      <c r="B47" s="45" t="e">
        <f>SUM(B45:B46)</f>
        <v>#REF!</v>
      </c>
      <c r="C47" s="45" t="e">
        <f>SUM(C45:C46)</f>
        <v>#REF!</v>
      </c>
      <c r="D47" s="45" t="e">
        <f>SUM(D45:D46)</f>
        <v>#REF!</v>
      </c>
      <c r="E47" s="45" t="e">
        <f>SUM(E45:E46)</f>
        <v>#REF!</v>
      </c>
      <c r="G47" s="45" t="e">
        <f>SUM(G45:G46)</f>
        <v>#REF!</v>
      </c>
      <c r="H47" s="45" t="e">
        <f>SUM(H45:H46)</f>
        <v>#REF!</v>
      </c>
      <c r="I47" s="45" t="e">
        <f>SUM(I45:I46)</f>
        <v>#REF!</v>
      </c>
    </row>
    <row r="48" ht="15"/>
    <row r="49" ht="15"/>
    <row r="50" ht="15.75">
      <c r="A50" s="41" t="s">
        <v>177</v>
      </c>
    </row>
    <row r="51" spans="1:7" ht="15">
      <c r="A51" s="36" t="s">
        <v>51</v>
      </c>
      <c r="G51" s="38" t="e">
        <f>E47</f>
        <v>#REF!</v>
      </c>
    </row>
    <row r="52" spans="1:7" ht="15">
      <c r="A52" s="36" t="s">
        <v>52</v>
      </c>
      <c r="G52" s="38" t="e">
        <f>'5. Clearing Actual'!H32</f>
        <v>#REF!</v>
      </c>
    </row>
    <row r="53" spans="1:5" ht="33.75">
      <c r="A53" s="36" t="s">
        <v>53</v>
      </c>
      <c r="B53" s="46" t="s">
        <v>54</v>
      </c>
      <c r="C53" s="47" t="s">
        <v>55</v>
      </c>
      <c r="D53" s="48" t="s">
        <v>56</v>
      </c>
      <c r="E53" s="46" t="s">
        <v>57</v>
      </c>
    </row>
    <row r="54" spans="1:5" ht="15">
      <c r="A54" s="119" t="s">
        <v>179</v>
      </c>
      <c r="B54" s="50" t="e">
        <f>' Assumptions and Data'!#REF!</f>
        <v>#REF!</v>
      </c>
      <c r="C54" s="51">
        <f>' Assumptions and Data'!C16</f>
        <v>308308.63888888864</v>
      </c>
      <c r="D54" s="51">
        <v>12</v>
      </c>
      <c r="E54" s="37" t="e">
        <f>B54*C54*D54</f>
        <v>#REF!</v>
      </c>
    </row>
    <row r="55" spans="1:5" ht="15">
      <c r="A55" s="119" t="s">
        <v>180</v>
      </c>
      <c r="B55" s="50" t="e">
        <f>' Assumptions and Data'!#REF!</f>
        <v>#REF!</v>
      </c>
      <c r="C55" s="51">
        <f>SUM(' Assumptions and Data'!C17:C18)</f>
        <v>35860.791666666686</v>
      </c>
      <c r="D55" s="51">
        <v>12</v>
      </c>
      <c r="E55" s="37" t="e">
        <f>B55*C55*D55</f>
        <v>#REF!</v>
      </c>
    </row>
    <row r="56" spans="1:5" ht="15">
      <c r="A56" s="119" t="s">
        <v>181</v>
      </c>
      <c r="B56" s="50" t="e">
        <f>' Assumptions and Data'!#REF!</f>
        <v>#REF!</v>
      </c>
      <c r="C56" s="51">
        <f>' Assumptions and Data'!C16</f>
        <v>308308.63888888864</v>
      </c>
      <c r="D56" s="51">
        <v>6</v>
      </c>
      <c r="E56" s="37" t="e">
        <f>B56*C56*D56</f>
        <v>#REF!</v>
      </c>
    </row>
    <row r="57" spans="1:5" ht="15">
      <c r="A57" s="119" t="s">
        <v>182</v>
      </c>
      <c r="B57" s="50" t="e">
        <f>' Assumptions and Data'!#REF!</f>
        <v>#REF!</v>
      </c>
      <c r="C57" s="51">
        <f>SUM(' Assumptions and Data'!C17:C18)</f>
        <v>35860.791666666686</v>
      </c>
      <c r="D57" s="51">
        <v>6</v>
      </c>
      <c r="E57" s="37" t="e">
        <f>B57*C57*D57</f>
        <v>#REF!</v>
      </c>
    </row>
    <row r="58" spans="1:7" ht="15.75">
      <c r="A58" s="119" t="s">
        <v>189</v>
      </c>
      <c r="B58" s="52">
        <f>'6. Adder Recovery'!H26</f>
        <v>0.73</v>
      </c>
      <c r="C58" s="51">
        <f>' Assumptions and Data'!C23</f>
        <v>347105.37499999977</v>
      </c>
      <c r="D58" s="51">
        <v>6</v>
      </c>
      <c r="E58" s="37">
        <f>B58*C58*D58</f>
        <v>1520321.5424999988</v>
      </c>
      <c r="G58" s="38" t="e">
        <f>-SUM(E54:E58)</f>
        <v>#REF!</v>
      </c>
    </row>
    <row r="59" ht="15.75" thickBot="1">
      <c r="G59" s="53" t="e">
        <f>SUM(G51:G58)</f>
        <v>#REF!</v>
      </c>
    </row>
    <row r="60" ht="15">
      <c r="G60" s="54"/>
    </row>
    <row r="61" spans="1:7" ht="34.5">
      <c r="A61" s="41" t="s">
        <v>58</v>
      </c>
      <c r="B61" s="46" t="s">
        <v>54</v>
      </c>
      <c r="C61" s="47" t="s">
        <v>55</v>
      </c>
      <c r="D61" s="48" t="s">
        <v>56</v>
      </c>
      <c r="E61" s="46" t="s">
        <v>57</v>
      </c>
      <c r="G61" s="54"/>
    </row>
    <row r="62" spans="1:7" ht="15.75">
      <c r="A62" s="49" t="s">
        <v>59</v>
      </c>
      <c r="B62" s="55">
        <f>E62/C62/D62</f>
        <v>0</v>
      </c>
      <c r="C62" s="51">
        <f>' Assumptions and Data'!C23</f>
        <v>347105.37499999977</v>
      </c>
      <c r="D62" s="51">
        <v>6</v>
      </c>
      <c r="E62" s="38">
        <f>'Revenue Requirement Calculation'!C56</f>
        <v>0</v>
      </c>
      <c r="G62" s="54"/>
    </row>
    <row r="63" spans="3:7" ht="15">
      <c r="C63" s="51"/>
      <c r="D63" s="51"/>
      <c r="G63" s="54"/>
    </row>
    <row r="64" spans="3:7" ht="15">
      <c r="C64" s="51"/>
      <c r="D64" s="51"/>
      <c r="G64" s="54"/>
    </row>
    <row r="65" spans="1:5" ht="34.5">
      <c r="A65" s="41" t="s">
        <v>178</v>
      </c>
      <c r="B65" s="46" t="s">
        <v>54</v>
      </c>
      <c r="C65" s="47" t="s">
        <v>55</v>
      </c>
      <c r="D65" s="48" t="s">
        <v>56</v>
      </c>
      <c r="E65" s="46" t="s">
        <v>57</v>
      </c>
    </row>
    <row r="66" spans="1:5" ht="15.75">
      <c r="A66" s="56" t="s">
        <v>60</v>
      </c>
      <c r="B66" s="55" t="e">
        <f>E66/C66/D66</f>
        <v>#REF!</v>
      </c>
      <c r="C66" s="51">
        <f>' Assumptions and Data'!C23</f>
        <v>347105.37499999977</v>
      </c>
      <c r="D66" s="51">
        <v>12</v>
      </c>
      <c r="E66" s="38" t="e">
        <f>I47</f>
        <v>#REF!</v>
      </c>
    </row>
    <row r="70" ht="15">
      <c r="B70" s="57"/>
    </row>
  </sheetData>
  <sheetProtection/>
  <mergeCells count="5">
    <mergeCell ref="G43:I43"/>
    <mergeCell ref="A1:G1"/>
    <mergeCell ref="A2:G2"/>
    <mergeCell ref="G4:I4"/>
    <mergeCell ref="G21:I21"/>
  </mergeCells>
  <printOptions/>
  <pageMargins left="0.75" right="0.75" top="1" bottom="1" header="0.5" footer="0.5"/>
  <pageSetup fitToHeight="1" fitToWidth="1" horizontalDpi="600" verticalDpi="600" orientation="portrait" scale="4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36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23.8515625" style="31" customWidth="1"/>
    <col min="2" max="2" width="14.140625" style="31" bestFit="1" customWidth="1"/>
    <col min="3" max="3" width="12.28125" style="31" bestFit="1" customWidth="1"/>
    <col min="4" max="4" width="12.28125" style="31" customWidth="1"/>
    <col min="5" max="5" width="14.28125" style="31" bestFit="1" customWidth="1"/>
    <col min="6" max="6" width="12.28125" style="31" bestFit="1" customWidth="1"/>
    <col min="7" max="7" width="11.421875" style="31" customWidth="1"/>
    <col min="8" max="8" width="12.7109375" style="31" customWidth="1"/>
    <col min="9" max="9" width="14.140625" style="31" bestFit="1" customWidth="1"/>
    <col min="10" max="16384" width="11.421875" style="31" customWidth="1"/>
  </cols>
  <sheetData>
    <row r="1" spans="1:9" ht="27" thickBot="1">
      <c r="A1" s="241" t="s">
        <v>61</v>
      </c>
      <c r="B1" s="242"/>
      <c r="C1" s="242"/>
      <c r="D1" s="242"/>
      <c r="E1" s="242"/>
      <c r="F1" s="242"/>
      <c r="G1" s="242"/>
      <c r="H1" s="242"/>
      <c r="I1" s="243"/>
    </row>
    <row r="2" spans="1:9" ht="26.25">
      <c r="A2" s="244" t="e">
        <f>#REF!</f>
        <v>#REF!</v>
      </c>
      <c r="B2" s="244"/>
      <c r="C2" s="244"/>
      <c r="D2" s="244"/>
      <c r="E2" s="244"/>
      <c r="F2" s="244"/>
      <c r="G2" s="244"/>
      <c r="H2" s="244"/>
      <c r="I2" s="244"/>
    </row>
    <row r="3" spans="2:9" s="58" customFormat="1" ht="30">
      <c r="B3" s="58" t="s">
        <v>62</v>
      </c>
      <c r="C3" s="59" t="s">
        <v>63</v>
      </c>
      <c r="D3" s="59" t="s">
        <v>64</v>
      </c>
      <c r="E3" s="59" t="s">
        <v>65</v>
      </c>
      <c r="F3" s="59" t="s">
        <v>66</v>
      </c>
      <c r="G3" s="59" t="s">
        <v>67</v>
      </c>
      <c r="H3" s="59" t="s">
        <v>68</v>
      </c>
      <c r="I3" s="59" t="s">
        <v>69</v>
      </c>
    </row>
    <row r="4" spans="1:9" ht="15">
      <c r="A4" s="60">
        <v>38718</v>
      </c>
      <c r="B4" s="37">
        <v>0</v>
      </c>
      <c r="C4" s="37" t="e">
        <f>'4. Smart Meter Rev &amp; Adder'!$B$47/12</f>
        <v>#REF!</v>
      </c>
      <c r="D4" s="37"/>
      <c r="E4" s="37"/>
      <c r="F4" s="37">
        <f>-'6. Adder Recovery'!D4</f>
        <v>0</v>
      </c>
      <c r="G4" s="61">
        <v>0.0704</v>
      </c>
      <c r="H4" s="37">
        <f aca="true" t="shared" si="0" ref="H4:H31">(B4*G4)/12</f>
        <v>0</v>
      </c>
      <c r="I4" s="37" t="e">
        <f aca="true" t="shared" si="1" ref="I4:I31">SUM(B4:F4,H4)</f>
        <v>#REF!</v>
      </c>
    </row>
    <row r="5" spans="1:9" ht="15">
      <c r="A5" s="60">
        <v>38749</v>
      </c>
      <c r="B5" s="38" t="e">
        <f aca="true" t="shared" si="2" ref="B5:B31">I4</f>
        <v>#REF!</v>
      </c>
      <c r="C5" s="37" t="e">
        <f>'4. Smart Meter Rev &amp; Adder'!$B$47/12</f>
        <v>#REF!</v>
      </c>
      <c r="D5" s="37"/>
      <c r="E5" s="37"/>
      <c r="F5" s="37">
        <f>-'6. Adder Recovery'!D5</f>
        <v>0</v>
      </c>
      <c r="G5" s="61">
        <v>0.0704</v>
      </c>
      <c r="H5" s="37" t="e">
        <f t="shared" si="0"/>
        <v>#REF!</v>
      </c>
      <c r="I5" s="37" t="e">
        <f t="shared" si="1"/>
        <v>#REF!</v>
      </c>
    </row>
    <row r="6" spans="1:9" ht="15">
      <c r="A6" s="60">
        <v>38777</v>
      </c>
      <c r="B6" s="38" t="e">
        <f t="shared" si="2"/>
        <v>#REF!</v>
      </c>
      <c r="C6" s="37" t="e">
        <f>'4. Smart Meter Rev &amp; Adder'!$B$47/12</f>
        <v>#REF!</v>
      </c>
      <c r="D6" s="37"/>
      <c r="E6" s="37"/>
      <c r="F6" s="37">
        <f>-'6. Adder Recovery'!D6</f>
        <v>0</v>
      </c>
      <c r="G6" s="61">
        <v>0.0704</v>
      </c>
      <c r="H6" s="37" t="e">
        <f t="shared" si="0"/>
        <v>#REF!</v>
      </c>
      <c r="I6" s="37" t="e">
        <f t="shared" si="1"/>
        <v>#REF!</v>
      </c>
    </row>
    <row r="7" spans="1:9" ht="15">
      <c r="A7" s="60">
        <v>38808</v>
      </c>
      <c r="B7" s="38" t="e">
        <f t="shared" si="2"/>
        <v>#REF!</v>
      </c>
      <c r="C7" s="37" t="e">
        <f>'4. Smart Meter Rev &amp; Adder'!$B$47/12</f>
        <v>#REF!</v>
      </c>
      <c r="D7" s="37"/>
      <c r="E7" s="37"/>
      <c r="F7" s="37">
        <f>-'6. Adder Recovery'!D7</f>
        <v>0</v>
      </c>
      <c r="G7" s="62">
        <v>0.0414</v>
      </c>
      <c r="H7" s="37" t="e">
        <f t="shared" si="0"/>
        <v>#REF!</v>
      </c>
      <c r="I7" s="37" t="e">
        <f t="shared" si="1"/>
        <v>#REF!</v>
      </c>
    </row>
    <row r="8" spans="1:9" ht="15">
      <c r="A8" s="60">
        <v>38838</v>
      </c>
      <c r="B8" s="38" t="e">
        <f t="shared" si="2"/>
        <v>#REF!</v>
      </c>
      <c r="C8" s="37" t="e">
        <f>'4. Smart Meter Rev &amp; Adder'!$B$47/12</f>
        <v>#REF!</v>
      </c>
      <c r="D8" s="37"/>
      <c r="E8" s="37"/>
      <c r="F8" s="37" t="e">
        <f>-'6. Adder Recovery'!D8</f>
        <v>#REF!</v>
      </c>
      <c r="G8" s="62">
        <v>0.0414</v>
      </c>
      <c r="H8" s="37" t="e">
        <f t="shared" si="0"/>
        <v>#REF!</v>
      </c>
      <c r="I8" s="37" t="e">
        <f t="shared" si="1"/>
        <v>#REF!</v>
      </c>
    </row>
    <row r="9" spans="1:9" ht="15">
      <c r="A9" s="60">
        <v>38869</v>
      </c>
      <c r="B9" s="38" t="e">
        <f t="shared" si="2"/>
        <v>#REF!</v>
      </c>
      <c r="C9" s="37" t="e">
        <f>'4. Smart Meter Rev &amp; Adder'!$B$47/12</f>
        <v>#REF!</v>
      </c>
      <c r="D9" s="37"/>
      <c r="E9" s="37"/>
      <c r="F9" s="37" t="e">
        <f>-'6. Adder Recovery'!D9</f>
        <v>#REF!</v>
      </c>
      <c r="G9" s="62">
        <v>0.0414</v>
      </c>
      <c r="H9" s="37" t="e">
        <f t="shared" si="0"/>
        <v>#REF!</v>
      </c>
      <c r="I9" s="37" t="e">
        <f t="shared" si="1"/>
        <v>#REF!</v>
      </c>
    </row>
    <row r="10" spans="1:9" ht="15">
      <c r="A10" s="60">
        <v>38899</v>
      </c>
      <c r="B10" s="38" t="e">
        <f t="shared" si="2"/>
        <v>#REF!</v>
      </c>
      <c r="C10" s="37" t="e">
        <f>'4. Smart Meter Rev &amp; Adder'!$B$47/12</f>
        <v>#REF!</v>
      </c>
      <c r="D10" s="37"/>
      <c r="E10" s="37"/>
      <c r="F10" s="37" t="e">
        <f>-'6. Adder Recovery'!D10</f>
        <v>#REF!</v>
      </c>
      <c r="G10" s="62">
        <v>0.0459</v>
      </c>
      <c r="H10" s="37" t="e">
        <f t="shared" si="0"/>
        <v>#REF!</v>
      </c>
      <c r="I10" s="37" t="e">
        <f t="shared" si="1"/>
        <v>#REF!</v>
      </c>
    </row>
    <row r="11" spans="1:9" ht="15">
      <c r="A11" s="60">
        <v>38930</v>
      </c>
      <c r="B11" s="38" t="e">
        <f t="shared" si="2"/>
        <v>#REF!</v>
      </c>
      <c r="C11" s="37" t="e">
        <f>'4. Smart Meter Rev &amp; Adder'!$B$47/12</f>
        <v>#REF!</v>
      </c>
      <c r="D11" s="37"/>
      <c r="E11" s="37"/>
      <c r="F11" s="37" t="e">
        <f>-'6. Adder Recovery'!D11</f>
        <v>#REF!</v>
      </c>
      <c r="G11" s="62">
        <v>0.0459</v>
      </c>
      <c r="H11" s="37" t="e">
        <f t="shared" si="0"/>
        <v>#REF!</v>
      </c>
      <c r="I11" s="37" t="e">
        <f t="shared" si="1"/>
        <v>#REF!</v>
      </c>
    </row>
    <row r="12" spans="1:9" ht="15">
      <c r="A12" s="60">
        <v>38961</v>
      </c>
      <c r="B12" s="38" t="e">
        <f t="shared" si="2"/>
        <v>#REF!</v>
      </c>
      <c r="C12" s="37" t="e">
        <f>'4. Smart Meter Rev &amp; Adder'!$B$47/12</f>
        <v>#REF!</v>
      </c>
      <c r="D12" s="37"/>
      <c r="E12" s="37"/>
      <c r="F12" s="37" t="e">
        <f>-'6. Adder Recovery'!D12</f>
        <v>#REF!</v>
      </c>
      <c r="G12" s="62">
        <v>0.0459</v>
      </c>
      <c r="H12" s="37" t="e">
        <f t="shared" si="0"/>
        <v>#REF!</v>
      </c>
      <c r="I12" s="37" t="e">
        <f t="shared" si="1"/>
        <v>#REF!</v>
      </c>
    </row>
    <row r="13" spans="1:9" ht="15">
      <c r="A13" s="60">
        <v>38991</v>
      </c>
      <c r="B13" s="38" t="e">
        <f t="shared" si="2"/>
        <v>#REF!</v>
      </c>
      <c r="C13" s="37" t="e">
        <f>'4. Smart Meter Rev &amp; Adder'!$B$47/12</f>
        <v>#REF!</v>
      </c>
      <c r="D13" s="37"/>
      <c r="E13" s="37"/>
      <c r="F13" s="37" t="e">
        <f>-'6. Adder Recovery'!D13</f>
        <v>#REF!</v>
      </c>
      <c r="G13" s="62">
        <v>0.0459</v>
      </c>
      <c r="H13" s="37" t="e">
        <f t="shared" si="0"/>
        <v>#REF!</v>
      </c>
      <c r="I13" s="37" t="e">
        <f t="shared" si="1"/>
        <v>#REF!</v>
      </c>
    </row>
    <row r="14" spans="1:9" ht="15">
      <c r="A14" s="60">
        <v>39022</v>
      </c>
      <c r="B14" s="38" t="e">
        <f t="shared" si="2"/>
        <v>#REF!</v>
      </c>
      <c r="C14" s="37" t="e">
        <f>'4. Smart Meter Rev &amp; Adder'!$B$47/12</f>
        <v>#REF!</v>
      </c>
      <c r="D14" s="37"/>
      <c r="E14" s="37"/>
      <c r="F14" s="37" t="e">
        <f>-'6. Adder Recovery'!D14</f>
        <v>#REF!</v>
      </c>
      <c r="G14" s="62">
        <v>0.0459</v>
      </c>
      <c r="H14" s="37" t="e">
        <f t="shared" si="0"/>
        <v>#REF!</v>
      </c>
      <c r="I14" s="37" t="e">
        <f t="shared" si="1"/>
        <v>#REF!</v>
      </c>
    </row>
    <row r="15" spans="1:9" ht="15">
      <c r="A15" s="60">
        <v>39052</v>
      </c>
      <c r="B15" s="38" t="e">
        <f t="shared" si="2"/>
        <v>#REF!</v>
      </c>
      <c r="C15" s="37" t="e">
        <f>'4. Smart Meter Rev &amp; Adder'!$B$47/12</f>
        <v>#REF!</v>
      </c>
      <c r="D15" s="37"/>
      <c r="E15" s="37"/>
      <c r="F15" s="37" t="e">
        <f>-'6. Adder Recovery'!D15</f>
        <v>#REF!</v>
      </c>
      <c r="G15" s="62">
        <v>0.0459</v>
      </c>
      <c r="H15" s="37" t="e">
        <f t="shared" si="0"/>
        <v>#REF!</v>
      </c>
      <c r="I15" s="37" t="e">
        <f t="shared" si="1"/>
        <v>#REF!</v>
      </c>
    </row>
    <row r="16" spans="1:9" ht="15">
      <c r="A16" s="60">
        <v>39083</v>
      </c>
      <c r="B16" s="38" t="e">
        <f t="shared" si="2"/>
        <v>#REF!</v>
      </c>
      <c r="C16" s="38">
        <v>0</v>
      </c>
      <c r="D16" s="38" t="e">
        <f>'4. Smart Meter Rev &amp; Adder'!$C$47/12</f>
        <v>#REF!</v>
      </c>
      <c r="E16" s="38" t="e">
        <f>'4. Smart Meter Rev &amp; Adder'!$D$47/12</f>
        <v>#REF!</v>
      </c>
      <c r="F16" s="37" t="e">
        <f>-'6. Adder Recovery'!D16</f>
        <v>#REF!</v>
      </c>
      <c r="G16" s="62">
        <v>0.0459</v>
      </c>
      <c r="H16" s="37" t="e">
        <f t="shared" si="0"/>
        <v>#REF!</v>
      </c>
      <c r="I16" s="37" t="e">
        <f t="shared" si="1"/>
        <v>#REF!</v>
      </c>
    </row>
    <row r="17" spans="1:9" ht="15">
      <c r="A17" s="60">
        <v>39114</v>
      </c>
      <c r="B17" s="38" t="e">
        <f t="shared" si="2"/>
        <v>#REF!</v>
      </c>
      <c r="C17" s="38">
        <v>0</v>
      </c>
      <c r="D17" s="38" t="e">
        <f>'4. Smart Meter Rev &amp; Adder'!$C$47/12</f>
        <v>#REF!</v>
      </c>
      <c r="E17" s="38" t="e">
        <f>'4. Smart Meter Rev &amp; Adder'!$D$47/12</f>
        <v>#REF!</v>
      </c>
      <c r="F17" s="37" t="e">
        <f>-'6. Adder Recovery'!D17</f>
        <v>#REF!</v>
      </c>
      <c r="G17" s="62">
        <v>0.0459</v>
      </c>
      <c r="H17" s="37" t="e">
        <f t="shared" si="0"/>
        <v>#REF!</v>
      </c>
      <c r="I17" s="37" t="e">
        <f t="shared" si="1"/>
        <v>#REF!</v>
      </c>
    </row>
    <row r="18" spans="1:9" ht="15">
      <c r="A18" s="60">
        <v>39142</v>
      </c>
      <c r="B18" s="38" t="e">
        <f t="shared" si="2"/>
        <v>#REF!</v>
      </c>
      <c r="C18" s="38">
        <v>0</v>
      </c>
      <c r="D18" s="38" t="e">
        <f>'4. Smart Meter Rev &amp; Adder'!$C$47/12</f>
        <v>#REF!</v>
      </c>
      <c r="E18" s="38" t="e">
        <f>'4. Smart Meter Rev &amp; Adder'!$D$47/12</f>
        <v>#REF!</v>
      </c>
      <c r="F18" s="37" t="e">
        <f>-'6. Adder Recovery'!D18</f>
        <v>#REF!</v>
      </c>
      <c r="G18" s="62">
        <v>0.0459</v>
      </c>
      <c r="H18" s="37" t="e">
        <f t="shared" si="0"/>
        <v>#REF!</v>
      </c>
      <c r="I18" s="37" t="e">
        <f t="shared" si="1"/>
        <v>#REF!</v>
      </c>
    </row>
    <row r="19" spans="1:9" ht="15">
      <c r="A19" s="60">
        <v>39173</v>
      </c>
      <c r="B19" s="38" t="e">
        <f t="shared" si="2"/>
        <v>#REF!</v>
      </c>
      <c r="C19" s="38">
        <v>0</v>
      </c>
      <c r="D19" s="38" t="e">
        <f>'4. Smart Meter Rev &amp; Adder'!$C$47/12</f>
        <v>#REF!</v>
      </c>
      <c r="E19" s="38" t="e">
        <f>'4. Smart Meter Rev &amp; Adder'!$D$47/12</f>
        <v>#REF!</v>
      </c>
      <c r="F19" s="37" t="e">
        <f>-'6. Adder Recovery'!D19</f>
        <v>#REF!</v>
      </c>
      <c r="G19" s="62">
        <v>0.0459</v>
      </c>
      <c r="H19" s="37" t="e">
        <f t="shared" si="0"/>
        <v>#REF!</v>
      </c>
      <c r="I19" s="37" t="e">
        <f t="shared" si="1"/>
        <v>#REF!</v>
      </c>
    </row>
    <row r="20" spans="1:9" ht="15">
      <c r="A20" s="60">
        <v>39203</v>
      </c>
      <c r="B20" s="38" t="e">
        <f t="shared" si="2"/>
        <v>#REF!</v>
      </c>
      <c r="C20" s="38">
        <v>0</v>
      </c>
      <c r="D20" s="38" t="e">
        <f>'4. Smart Meter Rev &amp; Adder'!$C$47/12</f>
        <v>#REF!</v>
      </c>
      <c r="E20" s="38" t="e">
        <f>'4. Smart Meter Rev &amp; Adder'!$D$47/12</f>
        <v>#REF!</v>
      </c>
      <c r="F20" s="37" t="e">
        <f>-'6. Adder Recovery'!D20</f>
        <v>#REF!</v>
      </c>
      <c r="G20" s="62">
        <v>0.0459</v>
      </c>
      <c r="H20" s="37" t="e">
        <f t="shared" si="0"/>
        <v>#REF!</v>
      </c>
      <c r="I20" s="37" t="e">
        <f t="shared" si="1"/>
        <v>#REF!</v>
      </c>
    </row>
    <row r="21" spans="1:9" ht="15">
      <c r="A21" s="60">
        <v>39234</v>
      </c>
      <c r="B21" s="38" t="e">
        <f t="shared" si="2"/>
        <v>#REF!</v>
      </c>
      <c r="C21" s="38">
        <v>0</v>
      </c>
      <c r="D21" s="38" t="e">
        <f>'4. Smart Meter Rev &amp; Adder'!$C$47/12</f>
        <v>#REF!</v>
      </c>
      <c r="E21" s="38" t="e">
        <f>'4. Smart Meter Rev &amp; Adder'!$D$47/12</f>
        <v>#REF!</v>
      </c>
      <c r="F21" s="37" t="e">
        <f>-'6. Adder Recovery'!D21</f>
        <v>#REF!</v>
      </c>
      <c r="G21" s="62">
        <v>0.0459</v>
      </c>
      <c r="H21" s="37" t="e">
        <f t="shared" si="0"/>
        <v>#REF!</v>
      </c>
      <c r="I21" s="37" t="e">
        <f t="shared" si="1"/>
        <v>#REF!</v>
      </c>
    </row>
    <row r="22" spans="1:9" ht="15">
      <c r="A22" s="60">
        <v>39264</v>
      </c>
      <c r="B22" s="38" t="e">
        <f t="shared" si="2"/>
        <v>#REF!</v>
      </c>
      <c r="C22" s="38">
        <v>0</v>
      </c>
      <c r="D22" s="38" t="e">
        <f>'4. Smart Meter Rev &amp; Adder'!$C$47/12</f>
        <v>#REF!</v>
      </c>
      <c r="E22" s="38" t="e">
        <f>'4. Smart Meter Rev &amp; Adder'!$D$47/12</f>
        <v>#REF!</v>
      </c>
      <c r="F22" s="37" t="e">
        <f>-'6. Adder Recovery'!D22</f>
        <v>#REF!</v>
      </c>
      <c r="G22" s="62">
        <v>0.0459</v>
      </c>
      <c r="H22" s="37" t="e">
        <f t="shared" si="0"/>
        <v>#REF!</v>
      </c>
      <c r="I22" s="37" t="e">
        <f t="shared" si="1"/>
        <v>#REF!</v>
      </c>
    </row>
    <row r="23" spans="1:9" ht="15">
      <c r="A23" s="60">
        <v>39295</v>
      </c>
      <c r="B23" s="38" t="e">
        <f t="shared" si="2"/>
        <v>#REF!</v>
      </c>
      <c r="C23" s="38">
        <v>0</v>
      </c>
      <c r="D23" s="38" t="e">
        <f>'4. Smart Meter Rev &amp; Adder'!$C$47/12</f>
        <v>#REF!</v>
      </c>
      <c r="E23" s="38" t="e">
        <f>'4. Smart Meter Rev &amp; Adder'!$D$47/12</f>
        <v>#REF!</v>
      </c>
      <c r="F23" s="37" t="e">
        <f>-'6. Adder Recovery'!D23</f>
        <v>#REF!</v>
      </c>
      <c r="G23" s="62">
        <v>0.0459</v>
      </c>
      <c r="H23" s="37" t="e">
        <f t="shared" si="0"/>
        <v>#REF!</v>
      </c>
      <c r="I23" s="37" t="e">
        <f t="shared" si="1"/>
        <v>#REF!</v>
      </c>
    </row>
    <row r="24" spans="1:9" ht="15">
      <c r="A24" s="60">
        <v>39326</v>
      </c>
      <c r="B24" s="38" t="e">
        <f t="shared" si="2"/>
        <v>#REF!</v>
      </c>
      <c r="C24" s="38">
        <v>0</v>
      </c>
      <c r="D24" s="38" t="e">
        <f>'4. Smart Meter Rev &amp; Adder'!$C$47/12</f>
        <v>#REF!</v>
      </c>
      <c r="E24" s="38" t="e">
        <f>'4. Smart Meter Rev &amp; Adder'!$D$47/12</f>
        <v>#REF!</v>
      </c>
      <c r="F24" s="37" t="e">
        <f>-'6. Adder Recovery'!D24</f>
        <v>#REF!</v>
      </c>
      <c r="G24" s="62">
        <v>0.0459</v>
      </c>
      <c r="H24" s="37" t="e">
        <f t="shared" si="0"/>
        <v>#REF!</v>
      </c>
      <c r="I24" s="37" t="e">
        <f t="shared" si="1"/>
        <v>#REF!</v>
      </c>
    </row>
    <row r="25" spans="1:9" ht="15">
      <c r="A25" s="60">
        <v>39356</v>
      </c>
      <c r="B25" s="38" t="e">
        <f t="shared" si="2"/>
        <v>#REF!</v>
      </c>
      <c r="C25" s="38">
        <v>0</v>
      </c>
      <c r="D25" s="38" t="e">
        <f>'4. Smart Meter Rev &amp; Adder'!$C$47/12</f>
        <v>#REF!</v>
      </c>
      <c r="E25" s="38" t="e">
        <f>'4. Smart Meter Rev &amp; Adder'!$D$47/12</f>
        <v>#REF!</v>
      </c>
      <c r="F25" s="37" t="e">
        <f>-'6. Adder Recovery'!D25</f>
        <v>#REF!</v>
      </c>
      <c r="G25" s="62">
        <v>0.0459</v>
      </c>
      <c r="H25" s="37" t="e">
        <f t="shared" si="0"/>
        <v>#REF!</v>
      </c>
      <c r="I25" s="37" t="e">
        <f t="shared" si="1"/>
        <v>#REF!</v>
      </c>
    </row>
    <row r="26" spans="1:9" ht="15">
      <c r="A26" s="60">
        <v>39387</v>
      </c>
      <c r="B26" s="38" t="e">
        <f t="shared" si="2"/>
        <v>#REF!</v>
      </c>
      <c r="C26" s="38">
        <v>0</v>
      </c>
      <c r="D26" s="38" t="e">
        <f>'4. Smart Meter Rev &amp; Adder'!$C$47/12</f>
        <v>#REF!</v>
      </c>
      <c r="E26" s="38" t="e">
        <f>'4. Smart Meter Rev &amp; Adder'!$D$47/12</f>
        <v>#REF!</v>
      </c>
      <c r="F26" s="37">
        <f>-'6. Adder Recovery'!D26</f>
        <v>-251243.6843055554</v>
      </c>
      <c r="G26" s="62">
        <v>0.0459</v>
      </c>
      <c r="H26" s="37" t="e">
        <f t="shared" si="0"/>
        <v>#REF!</v>
      </c>
      <c r="I26" s="37" t="e">
        <f t="shared" si="1"/>
        <v>#REF!</v>
      </c>
    </row>
    <row r="27" spans="1:9" ht="15">
      <c r="A27" s="60">
        <v>39417</v>
      </c>
      <c r="B27" s="38" t="e">
        <f t="shared" si="2"/>
        <v>#REF!</v>
      </c>
      <c r="C27" s="38">
        <v>0</v>
      </c>
      <c r="D27" s="38" t="e">
        <f>'4. Smart Meter Rev &amp; Adder'!$C$47/12</f>
        <v>#REF!</v>
      </c>
      <c r="E27" s="38" t="e">
        <f>'4. Smart Meter Rev &amp; Adder'!$D$47/12</f>
        <v>#REF!</v>
      </c>
      <c r="F27" s="37">
        <f>-'6. Adder Recovery'!D27</f>
        <v>-251243.6843055554</v>
      </c>
      <c r="G27" s="62">
        <v>0.0459</v>
      </c>
      <c r="H27" s="37" t="e">
        <f t="shared" si="0"/>
        <v>#REF!</v>
      </c>
      <c r="I27" s="37" t="e">
        <f t="shared" si="1"/>
        <v>#REF!</v>
      </c>
    </row>
    <row r="28" spans="1:9" ht="15">
      <c r="A28" s="60">
        <v>39448</v>
      </c>
      <c r="B28" s="38" t="e">
        <f t="shared" si="2"/>
        <v>#REF!</v>
      </c>
      <c r="C28" s="38">
        <v>0</v>
      </c>
      <c r="D28" s="38"/>
      <c r="E28" s="38"/>
      <c r="F28" s="37">
        <f>-'6. Adder Recovery'!D28</f>
        <v>-251243.6843055554</v>
      </c>
      <c r="G28" s="62">
        <v>0.0459</v>
      </c>
      <c r="H28" s="37" t="e">
        <f t="shared" si="0"/>
        <v>#REF!</v>
      </c>
      <c r="I28" s="37" t="e">
        <f t="shared" si="1"/>
        <v>#REF!</v>
      </c>
    </row>
    <row r="29" spans="1:9" ht="15">
      <c r="A29" s="60">
        <v>39479</v>
      </c>
      <c r="B29" s="38" t="e">
        <f t="shared" si="2"/>
        <v>#REF!</v>
      </c>
      <c r="C29" s="38">
        <v>0</v>
      </c>
      <c r="D29" s="38"/>
      <c r="E29" s="38"/>
      <c r="F29" s="37">
        <f>-'6. Adder Recovery'!D29</f>
        <v>-251243.6843055554</v>
      </c>
      <c r="G29" s="62">
        <v>0.0459</v>
      </c>
      <c r="H29" s="37" t="e">
        <f t="shared" si="0"/>
        <v>#REF!</v>
      </c>
      <c r="I29" s="37" t="e">
        <f t="shared" si="1"/>
        <v>#REF!</v>
      </c>
    </row>
    <row r="30" spans="1:9" ht="15">
      <c r="A30" s="60">
        <v>39508</v>
      </c>
      <c r="B30" s="38" t="e">
        <f t="shared" si="2"/>
        <v>#REF!</v>
      </c>
      <c r="C30" s="38">
        <v>0</v>
      </c>
      <c r="D30" s="38"/>
      <c r="E30" s="38"/>
      <c r="F30" s="37">
        <f>-'6. Adder Recovery'!D30</f>
        <v>-251243.6843055554</v>
      </c>
      <c r="G30" s="62">
        <v>0.0459</v>
      </c>
      <c r="H30" s="37" t="e">
        <f t="shared" si="0"/>
        <v>#REF!</v>
      </c>
      <c r="I30" s="37" t="e">
        <f t="shared" si="1"/>
        <v>#REF!</v>
      </c>
    </row>
    <row r="31" spans="1:9" ht="15">
      <c r="A31" s="60">
        <v>39539</v>
      </c>
      <c r="B31" s="38" t="e">
        <f t="shared" si="2"/>
        <v>#REF!</v>
      </c>
      <c r="C31" s="38">
        <v>0</v>
      </c>
      <c r="D31" s="38"/>
      <c r="E31" s="38"/>
      <c r="F31" s="37">
        <f>-'6. Adder Recovery'!D31</f>
        <v>-251243.6843055554</v>
      </c>
      <c r="G31" s="62">
        <v>0.0459</v>
      </c>
      <c r="H31" s="37" t="e">
        <f t="shared" si="0"/>
        <v>#REF!</v>
      </c>
      <c r="I31" s="37" t="e">
        <f t="shared" si="1"/>
        <v>#REF!</v>
      </c>
    </row>
    <row r="32" spans="1:8" ht="16.5" thickBot="1">
      <c r="A32" s="41" t="s">
        <v>70</v>
      </c>
      <c r="C32" s="45" t="e">
        <f>SUM(C4:C31)</f>
        <v>#REF!</v>
      </c>
      <c r="D32" s="45" t="e">
        <f>SUM(D4:D31)</f>
        <v>#REF!</v>
      </c>
      <c r="E32" s="45" t="e">
        <f>SUM(E4:E31)</f>
        <v>#REF!</v>
      </c>
      <c r="G32" s="63" t="s">
        <v>71</v>
      </c>
      <c r="H32" s="53" t="e">
        <f>SUM(H4:H31)</f>
        <v>#REF!</v>
      </c>
    </row>
    <row r="36" ht="15">
      <c r="G36" s="61"/>
    </row>
  </sheetData>
  <sheetProtection/>
  <mergeCells count="2"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31"/>
  <sheetViews>
    <sheetView zoomScalePageLayoutView="0" workbookViewId="0" topLeftCell="A8">
      <selection activeCell="F33" sqref="F33"/>
    </sheetView>
  </sheetViews>
  <sheetFormatPr defaultColWidth="11.421875" defaultRowHeight="12.75"/>
  <cols>
    <col min="1" max="1" width="8.7109375" style="31" bestFit="1" customWidth="1"/>
    <col min="2" max="2" width="22.140625" style="31" bestFit="1" customWidth="1"/>
    <col min="3" max="3" width="16.8515625" style="31" bestFit="1" customWidth="1"/>
    <col min="4" max="4" width="18.8515625" style="37" bestFit="1" customWidth="1"/>
    <col min="5" max="5" width="20.140625" style="37" bestFit="1" customWidth="1"/>
    <col min="6" max="6" width="11.421875" style="31" customWidth="1"/>
    <col min="7" max="7" width="8.7109375" style="31" bestFit="1" customWidth="1"/>
    <col min="8" max="8" width="16.8515625" style="31" bestFit="1" customWidth="1"/>
    <col min="9" max="9" width="12.140625" style="31" bestFit="1" customWidth="1"/>
    <col min="10" max="10" width="18.8515625" style="37" bestFit="1" customWidth="1"/>
    <col min="11" max="11" width="20.140625" style="37" bestFit="1" customWidth="1"/>
    <col min="12" max="12" width="11.421875" style="31" customWidth="1"/>
    <col min="13" max="13" width="8.7109375" style="31" bestFit="1" customWidth="1"/>
    <col min="14" max="14" width="16.8515625" style="31" bestFit="1" customWidth="1"/>
    <col min="15" max="15" width="12.140625" style="31" bestFit="1" customWidth="1"/>
    <col min="16" max="16" width="16.8515625" style="37" bestFit="1" customWidth="1"/>
    <col min="17" max="17" width="18.8515625" style="37" bestFit="1" customWidth="1"/>
    <col min="18" max="16384" width="11.421875" style="31" customWidth="1"/>
  </cols>
  <sheetData>
    <row r="1" spans="1:17" ht="27" thickBot="1">
      <c r="A1" s="241" t="s">
        <v>72</v>
      </c>
      <c r="B1" s="242"/>
      <c r="C1" s="242"/>
      <c r="D1" s="242"/>
      <c r="E1" s="243"/>
      <c r="F1" s="64"/>
      <c r="G1" s="248" t="s">
        <v>175</v>
      </c>
      <c r="H1" s="249"/>
      <c r="I1" s="249"/>
      <c r="J1" s="249"/>
      <c r="K1" s="250"/>
      <c r="M1" s="248" t="s">
        <v>176</v>
      </c>
      <c r="N1" s="249"/>
      <c r="O1" s="249"/>
      <c r="P1" s="249"/>
      <c r="Q1" s="250"/>
    </row>
    <row r="2" spans="1:17" ht="26.25">
      <c r="A2" s="251" t="e">
        <f>#REF!</f>
        <v>#REF!</v>
      </c>
      <c r="B2" s="251"/>
      <c r="C2" s="251"/>
      <c r="D2" s="251"/>
      <c r="E2" s="251"/>
      <c r="F2" s="64"/>
      <c r="G2" s="251" t="e">
        <f>#REF!</f>
        <v>#REF!</v>
      </c>
      <c r="H2" s="251"/>
      <c r="I2" s="251"/>
      <c r="J2" s="251"/>
      <c r="K2" s="251"/>
      <c r="M2" s="251" t="e">
        <f>#REF!</f>
        <v>#REF!</v>
      </c>
      <c r="N2" s="251"/>
      <c r="O2" s="251"/>
      <c r="P2" s="251"/>
      <c r="Q2" s="251"/>
    </row>
    <row r="3" spans="1:17" ht="15">
      <c r="A3" s="65" t="s">
        <v>73</v>
      </c>
      <c r="B3" s="116" t="s">
        <v>10</v>
      </c>
      <c r="C3" s="116" t="s">
        <v>174</v>
      </c>
      <c r="D3" s="66" t="s">
        <v>3</v>
      </c>
      <c r="E3" s="66" t="s">
        <v>76</v>
      </c>
      <c r="G3" s="65" t="s">
        <v>73</v>
      </c>
      <c r="H3" s="65" t="s">
        <v>74</v>
      </c>
      <c r="I3" s="65" t="s">
        <v>75</v>
      </c>
      <c r="J3" s="66" t="s">
        <v>66</v>
      </c>
      <c r="K3" s="66" t="s">
        <v>76</v>
      </c>
      <c r="M3" s="65" t="s">
        <v>73</v>
      </c>
      <c r="N3" s="65" t="s">
        <v>74</v>
      </c>
      <c r="O3" s="65" t="s">
        <v>75</v>
      </c>
      <c r="P3" s="66" t="s">
        <v>66</v>
      </c>
      <c r="Q3" s="66" t="s">
        <v>76</v>
      </c>
    </row>
    <row r="4" spans="1:17" ht="15">
      <c r="A4" s="60">
        <v>38718</v>
      </c>
      <c r="B4" s="50">
        <f>J4</f>
        <v>0</v>
      </c>
      <c r="C4" s="38">
        <f>P4</f>
        <v>0</v>
      </c>
      <c r="D4" s="37">
        <f>SUM(B4:C4)</f>
        <v>0</v>
      </c>
      <c r="E4" s="37">
        <f>SUM($D$4:D4)</f>
        <v>0</v>
      </c>
      <c r="G4" s="60">
        <v>38718</v>
      </c>
      <c r="H4" s="50">
        <v>0</v>
      </c>
      <c r="I4" s="31">
        <f>' Assumptions and Data'!C16</f>
        <v>308308.63888888864</v>
      </c>
      <c r="J4" s="37">
        <f aca="true" t="shared" si="0" ref="J4:J31">H4*I4</f>
        <v>0</v>
      </c>
      <c r="K4" s="37">
        <f>SUM($J$4:$J4)</f>
        <v>0</v>
      </c>
      <c r="M4" s="60">
        <v>38718</v>
      </c>
      <c r="N4" s="50">
        <v>0</v>
      </c>
      <c r="O4" s="31">
        <f>SUM(' Assumptions and Data'!C17:C18)</f>
        <v>35860.791666666686</v>
      </c>
      <c r="P4" s="37">
        <f aca="true" t="shared" si="1" ref="P4:P31">N4*O4</f>
        <v>0</v>
      </c>
      <c r="Q4" s="37">
        <f>SUM($P$4:$P4)</f>
        <v>0</v>
      </c>
    </row>
    <row r="5" spans="1:17" ht="15">
      <c r="A5" s="60">
        <v>38749</v>
      </c>
      <c r="B5" s="50">
        <f aca="true" t="shared" si="2" ref="B5:B31">J5</f>
        <v>0</v>
      </c>
      <c r="C5" s="38">
        <f aca="true" t="shared" si="3" ref="C5:C31">P5</f>
        <v>0</v>
      </c>
      <c r="D5" s="37">
        <f aca="true" t="shared" si="4" ref="D5:D31">SUM(B5:C5)</f>
        <v>0</v>
      </c>
      <c r="E5" s="37">
        <f>SUM($D$4:D5)</f>
        <v>0</v>
      </c>
      <c r="G5" s="60">
        <v>38749</v>
      </c>
      <c r="H5" s="50">
        <v>0</v>
      </c>
      <c r="I5" s="31">
        <f>I4</f>
        <v>308308.63888888864</v>
      </c>
      <c r="J5" s="37">
        <f t="shared" si="0"/>
        <v>0</v>
      </c>
      <c r="K5" s="37">
        <f>SUM($J$4:$J5)</f>
        <v>0</v>
      </c>
      <c r="M5" s="60">
        <v>38749</v>
      </c>
      <c r="N5" s="50">
        <v>0</v>
      </c>
      <c r="O5" s="31">
        <f>O4</f>
        <v>35860.791666666686</v>
      </c>
      <c r="P5" s="37">
        <f t="shared" si="1"/>
        <v>0</v>
      </c>
      <c r="Q5" s="37">
        <f>SUM($P$4:$P5)</f>
        <v>0</v>
      </c>
    </row>
    <row r="6" spans="1:17" ht="15">
      <c r="A6" s="60">
        <v>38777</v>
      </c>
      <c r="B6" s="50">
        <f t="shared" si="2"/>
        <v>0</v>
      </c>
      <c r="C6" s="38">
        <f t="shared" si="3"/>
        <v>0</v>
      </c>
      <c r="D6" s="37">
        <f t="shared" si="4"/>
        <v>0</v>
      </c>
      <c r="E6" s="37">
        <f>SUM($D$4:D6)</f>
        <v>0</v>
      </c>
      <c r="G6" s="60">
        <v>38777</v>
      </c>
      <c r="H6" s="50">
        <v>0</v>
      </c>
      <c r="I6" s="31">
        <f aca="true" t="shared" si="5" ref="I6:I31">I5</f>
        <v>308308.63888888864</v>
      </c>
      <c r="J6" s="37">
        <f t="shared" si="0"/>
        <v>0</v>
      </c>
      <c r="K6" s="37">
        <f>SUM($J$4:$J6)</f>
        <v>0</v>
      </c>
      <c r="M6" s="60">
        <v>38777</v>
      </c>
      <c r="N6" s="50">
        <v>0</v>
      </c>
      <c r="O6" s="31">
        <f aca="true" t="shared" si="6" ref="O6:O31">O5</f>
        <v>35860.791666666686</v>
      </c>
      <c r="P6" s="37">
        <f t="shared" si="1"/>
        <v>0</v>
      </c>
      <c r="Q6" s="37">
        <f>SUM($P$4:$P6)</f>
        <v>0</v>
      </c>
    </row>
    <row r="7" spans="1:17" ht="15">
      <c r="A7" s="60">
        <v>38808</v>
      </c>
      <c r="B7" s="50">
        <f t="shared" si="2"/>
        <v>0</v>
      </c>
      <c r="C7" s="38">
        <f t="shared" si="3"/>
        <v>0</v>
      </c>
      <c r="D7" s="37">
        <f t="shared" si="4"/>
        <v>0</v>
      </c>
      <c r="E7" s="37">
        <f>SUM($D$4:D7)</f>
        <v>0</v>
      </c>
      <c r="G7" s="60">
        <v>38808</v>
      </c>
      <c r="H7" s="50">
        <v>0</v>
      </c>
      <c r="I7" s="31">
        <f t="shared" si="5"/>
        <v>308308.63888888864</v>
      </c>
      <c r="J7" s="37">
        <f t="shared" si="0"/>
        <v>0</v>
      </c>
      <c r="K7" s="37">
        <f>SUM($J$4:$J7)</f>
        <v>0</v>
      </c>
      <c r="M7" s="60">
        <v>38808</v>
      </c>
      <c r="N7" s="50">
        <v>0</v>
      </c>
      <c r="O7" s="31">
        <f t="shared" si="6"/>
        <v>35860.791666666686</v>
      </c>
      <c r="P7" s="37">
        <f t="shared" si="1"/>
        <v>0</v>
      </c>
      <c r="Q7" s="37">
        <f>SUM($P$4:$P7)</f>
        <v>0</v>
      </c>
    </row>
    <row r="8" spans="1:17" ht="15">
      <c r="A8" s="60">
        <v>38838</v>
      </c>
      <c r="B8" s="50" t="e">
        <f t="shared" si="2"/>
        <v>#REF!</v>
      </c>
      <c r="C8" s="38" t="e">
        <f t="shared" si="3"/>
        <v>#REF!</v>
      </c>
      <c r="D8" s="37" t="e">
        <f t="shared" si="4"/>
        <v>#REF!</v>
      </c>
      <c r="E8" s="37" t="e">
        <f>SUM($D$4:D8)</f>
        <v>#REF!</v>
      </c>
      <c r="G8" s="60">
        <v>38838</v>
      </c>
      <c r="H8" s="50" t="e">
        <f>' Assumptions and Data'!#REF!</f>
        <v>#REF!</v>
      </c>
      <c r="I8" s="31">
        <f t="shared" si="5"/>
        <v>308308.63888888864</v>
      </c>
      <c r="J8" s="37" t="e">
        <f t="shared" si="0"/>
        <v>#REF!</v>
      </c>
      <c r="K8" s="37" t="e">
        <f>SUM($J$4:$J8)</f>
        <v>#REF!</v>
      </c>
      <c r="M8" s="60">
        <v>38838</v>
      </c>
      <c r="N8" s="50" t="e">
        <f>' Assumptions and Data'!#REF!</f>
        <v>#REF!</v>
      </c>
      <c r="O8" s="31">
        <f t="shared" si="6"/>
        <v>35860.791666666686</v>
      </c>
      <c r="P8" s="37" t="e">
        <f t="shared" si="1"/>
        <v>#REF!</v>
      </c>
      <c r="Q8" s="37" t="e">
        <f>SUM($P$4:$P8)</f>
        <v>#REF!</v>
      </c>
    </row>
    <row r="9" spans="1:17" ht="15">
      <c r="A9" s="60">
        <v>38869</v>
      </c>
      <c r="B9" s="50" t="e">
        <f t="shared" si="2"/>
        <v>#REF!</v>
      </c>
      <c r="C9" s="38" t="e">
        <f t="shared" si="3"/>
        <v>#REF!</v>
      </c>
      <c r="D9" s="37" t="e">
        <f t="shared" si="4"/>
        <v>#REF!</v>
      </c>
      <c r="E9" s="37" t="e">
        <f>SUM($D$4:D9)</f>
        <v>#REF!</v>
      </c>
      <c r="G9" s="60">
        <v>38869</v>
      </c>
      <c r="H9" s="50" t="e">
        <f>H8</f>
        <v>#REF!</v>
      </c>
      <c r="I9" s="31">
        <f t="shared" si="5"/>
        <v>308308.63888888864</v>
      </c>
      <c r="J9" s="37" t="e">
        <f t="shared" si="0"/>
        <v>#REF!</v>
      </c>
      <c r="K9" s="37" t="e">
        <f>SUM($J$4:$J9)</f>
        <v>#REF!</v>
      </c>
      <c r="M9" s="60">
        <v>38869</v>
      </c>
      <c r="N9" s="50" t="e">
        <f>N8</f>
        <v>#REF!</v>
      </c>
      <c r="O9" s="31">
        <f t="shared" si="6"/>
        <v>35860.791666666686</v>
      </c>
      <c r="P9" s="37" t="e">
        <f t="shared" si="1"/>
        <v>#REF!</v>
      </c>
      <c r="Q9" s="37" t="e">
        <f>SUM($P$4:$P9)</f>
        <v>#REF!</v>
      </c>
    </row>
    <row r="10" spans="1:17" ht="15">
      <c r="A10" s="60">
        <v>38899</v>
      </c>
      <c r="B10" s="50" t="e">
        <f t="shared" si="2"/>
        <v>#REF!</v>
      </c>
      <c r="C10" s="38" t="e">
        <f t="shared" si="3"/>
        <v>#REF!</v>
      </c>
      <c r="D10" s="37" t="e">
        <f t="shared" si="4"/>
        <v>#REF!</v>
      </c>
      <c r="E10" s="37" t="e">
        <f>SUM($D$4:D10)</f>
        <v>#REF!</v>
      </c>
      <c r="G10" s="60">
        <v>38899</v>
      </c>
      <c r="H10" s="50" t="e">
        <f aca="true" t="shared" si="7" ref="H10:H19">H9</f>
        <v>#REF!</v>
      </c>
      <c r="I10" s="31">
        <f t="shared" si="5"/>
        <v>308308.63888888864</v>
      </c>
      <c r="J10" s="37" t="e">
        <f t="shared" si="0"/>
        <v>#REF!</v>
      </c>
      <c r="K10" s="37" t="e">
        <f>SUM($J$4:$J10)</f>
        <v>#REF!</v>
      </c>
      <c r="M10" s="60">
        <v>38899</v>
      </c>
      <c r="N10" s="50" t="e">
        <f aca="true" t="shared" si="8" ref="N10:N19">N9</f>
        <v>#REF!</v>
      </c>
      <c r="O10" s="31">
        <f t="shared" si="6"/>
        <v>35860.791666666686</v>
      </c>
      <c r="P10" s="37" t="e">
        <f t="shared" si="1"/>
        <v>#REF!</v>
      </c>
      <c r="Q10" s="37" t="e">
        <f>SUM($P$4:$P10)</f>
        <v>#REF!</v>
      </c>
    </row>
    <row r="11" spans="1:17" ht="15">
      <c r="A11" s="60">
        <v>38930</v>
      </c>
      <c r="B11" s="50" t="e">
        <f t="shared" si="2"/>
        <v>#REF!</v>
      </c>
      <c r="C11" s="38" t="e">
        <f t="shared" si="3"/>
        <v>#REF!</v>
      </c>
      <c r="D11" s="37" t="e">
        <f t="shared" si="4"/>
        <v>#REF!</v>
      </c>
      <c r="E11" s="37" t="e">
        <f>SUM($D$4:D11)</f>
        <v>#REF!</v>
      </c>
      <c r="G11" s="60">
        <v>38930</v>
      </c>
      <c r="H11" s="50" t="e">
        <f t="shared" si="7"/>
        <v>#REF!</v>
      </c>
      <c r="I11" s="31">
        <f t="shared" si="5"/>
        <v>308308.63888888864</v>
      </c>
      <c r="J11" s="37" t="e">
        <f t="shared" si="0"/>
        <v>#REF!</v>
      </c>
      <c r="K11" s="37" t="e">
        <f>SUM($J$4:$J11)</f>
        <v>#REF!</v>
      </c>
      <c r="M11" s="60">
        <v>38930</v>
      </c>
      <c r="N11" s="50" t="e">
        <f t="shared" si="8"/>
        <v>#REF!</v>
      </c>
      <c r="O11" s="31">
        <f t="shared" si="6"/>
        <v>35860.791666666686</v>
      </c>
      <c r="P11" s="37" t="e">
        <f t="shared" si="1"/>
        <v>#REF!</v>
      </c>
      <c r="Q11" s="37" t="e">
        <f>SUM($P$4:$P11)</f>
        <v>#REF!</v>
      </c>
    </row>
    <row r="12" spans="1:17" ht="15">
      <c r="A12" s="60">
        <v>38961</v>
      </c>
      <c r="B12" s="50" t="e">
        <f t="shared" si="2"/>
        <v>#REF!</v>
      </c>
      <c r="C12" s="38" t="e">
        <f t="shared" si="3"/>
        <v>#REF!</v>
      </c>
      <c r="D12" s="37" t="e">
        <f t="shared" si="4"/>
        <v>#REF!</v>
      </c>
      <c r="E12" s="37" t="e">
        <f>SUM($D$4:D12)</f>
        <v>#REF!</v>
      </c>
      <c r="G12" s="60">
        <v>38961</v>
      </c>
      <c r="H12" s="50" t="e">
        <f t="shared" si="7"/>
        <v>#REF!</v>
      </c>
      <c r="I12" s="31">
        <f t="shared" si="5"/>
        <v>308308.63888888864</v>
      </c>
      <c r="J12" s="37" t="e">
        <f t="shared" si="0"/>
        <v>#REF!</v>
      </c>
      <c r="K12" s="37" t="e">
        <f>SUM($J$4:$J12)</f>
        <v>#REF!</v>
      </c>
      <c r="M12" s="60">
        <v>38961</v>
      </c>
      <c r="N12" s="50" t="e">
        <f t="shared" si="8"/>
        <v>#REF!</v>
      </c>
      <c r="O12" s="31">
        <f t="shared" si="6"/>
        <v>35860.791666666686</v>
      </c>
      <c r="P12" s="37" t="e">
        <f t="shared" si="1"/>
        <v>#REF!</v>
      </c>
      <c r="Q12" s="37" t="e">
        <f>SUM($P$4:$P12)</f>
        <v>#REF!</v>
      </c>
    </row>
    <row r="13" spans="1:17" ht="15">
      <c r="A13" s="60">
        <v>38991</v>
      </c>
      <c r="B13" s="50" t="e">
        <f t="shared" si="2"/>
        <v>#REF!</v>
      </c>
      <c r="C13" s="38" t="e">
        <f t="shared" si="3"/>
        <v>#REF!</v>
      </c>
      <c r="D13" s="37" t="e">
        <f t="shared" si="4"/>
        <v>#REF!</v>
      </c>
      <c r="E13" s="37" t="e">
        <f>SUM($D$4:D13)</f>
        <v>#REF!</v>
      </c>
      <c r="G13" s="60">
        <v>38991</v>
      </c>
      <c r="H13" s="50" t="e">
        <f t="shared" si="7"/>
        <v>#REF!</v>
      </c>
      <c r="I13" s="31">
        <f t="shared" si="5"/>
        <v>308308.63888888864</v>
      </c>
      <c r="J13" s="37" t="e">
        <f t="shared" si="0"/>
        <v>#REF!</v>
      </c>
      <c r="K13" s="37" t="e">
        <f>SUM($J$4:$J13)</f>
        <v>#REF!</v>
      </c>
      <c r="M13" s="60">
        <v>38991</v>
      </c>
      <c r="N13" s="50" t="e">
        <f t="shared" si="8"/>
        <v>#REF!</v>
      </c>
      <c r="O13" s="31">
        <f t="shared" si="6"/>
        <v>35860.791666666686</v>
      </c>
      <c r="P13" s="37" t="e">
        <f t="shared" si="1"/>
        <v>#REF!</v>
      </c>
      <c r="Q13" s="37" t="e">
        <f>SUM($P$4:$P13)</f>
        <v>#REF!</v>
      </c>
    </row>
    <row r="14" spans="1:17" ht="15">
      <c r="A14" s="60">
        <v>39022</v>
      </c>
      <c r="B14" s="50" t="e">
        <f t="shared" si="2"/>
        <v>#REF!</v>
      </c>
      <c r="C14" s="38" t="e">
        <f t="shared" si="3"/>
        <v>#REF!</v>
      </c>
      <c r="D14" s="37" t="e">
        <f t="shared" si="4"/>
        <v>#REF!</v>
      </c>
      <c r="E14" s="37" t="e">
        <f>SUM($D$4:D14)</f>
        <v>#REF!</v>
      </c>
      <c r="G14" s="60">
        <v>39022</v>
      </c>
      <c r="H14" s="50" t="e">
        <f t="shared" si="7"/>
        <v>#REF!</v>
      </c>
      <c r="I14" s="31">
        <f t="shared" si="5"/>
        <v>308308.63888888864</v>
      </c>
      <c r="J14" s="37" t="e">
        <f t="shared" si="0"/>
        <v>#REF!</v>
      </c>
      <c r="K14" s="37" t="e">
        <f>SUM($J$4:$J14)</f>
        <v>#REF!</v>
      </c>
      <c r="M14" s="60">
        <v>39022</v>
      </c>
      <c r="N14" s="50" t="e">
        <f t="shared" si="8"/>
        <v>#REF!</v>
      </c>
      <c r="O14" s="31">
        <f t="shared" si="6"/>
        <v>35860.791666666686</v>
      </c>
      <c r="P14" s="37" t="e">
        <f t="shared" si="1"/>
        <v>#REF!</v>
      </c>
      <c r="Q14" s="37" t="e">
        <f>SUM($P$4:$P14)</f>
        <v>#REF!</v>
      </c>
    </row>
    <row r="15" spans="1:17" ht="15">
      <c r="A15" s="60">
        <v>39052</v>
      </c>
      <c r="B15" s="50" t="e">
        <f t="shared" si="2"/>
        <v>#REF!</v>
      </c>
      <c r="C15" s="38" t="e">
        <f t="shared" si="3"/>
        <v>#REF!</v>
      </c>
      <c r="D15" s="37" t="e">
        <f t="shared" si="4"/>
        <v>#REF!</v>
      </c>
      <c r="E15" s="37" t="e">
        <f>SUM($D$4:D15)</f>
        <v>#REF!</v>
      </c>
      <c r="G15" s="60">
        <v>39052</v>
      </c>
      <c r="H15" s="50" t="e">
        <f t="shared" si="7"/>
        <v>#REF!</v>
      </c>
      <c r="I15" s="31">
        <f t="shared" si="5"/>
        <v>308308.63888888864</v>
      </c>
      <c r="J15" s="37" t="e">
        <f t="shared" si="0"/>
        <v>#REF!</v>
      </c>
      <c r="K15" s="37" t="e">
        <f>SUM($J$4:$J15)</f>
        <v>#REF!</v>
      </c>
      <c r="M15" s="60">
        <v>39052</v>
      </c>
      <c r="N15" s="50" t="e">
        <f t="shared" si="8"/>
        <v>#REF!</v>
      </c>
      <c r="O15" s="31">
        <f t="shared" si="6"/>
        <v>35860.791666666686</v>
      </c>
      <c r="P15" s="37" t="e">
        <f t="shared" si="1"/>
        <v>#REF!</v>
      </c>
      <c r="Q15" s="37" t="e">
        <f>SUM($P$4:$P15)</f>
        <v>#REF!</v>
      </c>
    </row>
    <row r="16" spans="1:17" ht="15">
      <c r="A16" s="60">
        <v>39083</v>
      </c>
      <c r="B16" s="50" t="e">
        <f t="shared" si="2"/>
        <v>#REF!</v>
      </c>
      <c r="C16" s="38" t="e">
        <f t="shared" si="3"/>
        <v>#REF!</v>
      </c>
      <c r="D16" s="37" t="e">
        <f t="shared" si="4"/>
        <v>#REF!</v>
      </c>
      <c r="E16" s="37" t="e">
        <f>SUM($D$4:D16)</f>
        <v>#REF!</v>
      </c>
      <c r="G16" s="60">
        <v>39083</v>
      </c>
      <c r="H16" s="50" t="e">
        <f t="shared" si="7"/>
        <v>#REF!</v>
      </c>
      <c r="I16" s="31">
        <f t="shared" si="5"/>
        <v>308308.63888888864</v>
      </c>
      <c r="J16" s="37" t="e">
        <f t="shared" si="0"/>
        <v>#REF!</v>
      </c>
      <c r="K16" s="37" t="e">
        <f>SUM($J$4:$J16)</f>
        <v>#REF!</v>
      </c>
      <c r="M16" s="60">
        <v>39083</v>
      </c>
      <c r="N16" s="50" t="e">
        <f t="shared" si="8"/>
        <v>#REF!</v>
      </c>
      <c r="O16" s="31">
        <f t="shared" si="6"/>
        <v>35860.791666666686</v>
      </c>
      <c r="P16" s="37" t="e">
        <f t="shared" si="1"/>
        <v>#REF!</v>
      </c>
      <c r="Q16" s="37" t="e">
        <f>SUM($P$4:$P16)</f>
        <v>#REF!</v>
      </c>
    </row>
    <row r="17" spans="1:17" ht="15">
      <c r="A17" s="60">
        <v>39114</v>
      </c>
      <c r="B17" s="50" t="e">
        <f t="shared" si="2"/>
        <v>#REF!</v>
      </c>
      <c r="C17" s="38" t="e">
        <f t="shared" si="3"/>
        <v>#REF!</v>
      </c>
      <c r="D17" s="37" t="e">
        <f t="shared" si="4"/>
        <v>#REF!</v>
      </c>
      <c r="E17" s="37" t="e">
        <f>SUM($D$4:D17)</f>
        <v>#REF!</v>
      </c>
      <c r="G17" s="60">
        <v>39114</v>
      </c>
      <c r="H17" s="50" t="e">
        <f t="shared" si="7"/>
        <v>#REF!</v>
      </c>
      <c r="I17" s="31">
        <f t="shared" si="5"/>
        <v>308308.63888888864</v>
      </c>
      <c r="J17" s="37" t="e">
        <f t="shared" si="0"/>
        <v>#REF!</v>
      </c>
      <c r="K17" s="37" t="e">
        <f>SUM($J$4:$J17)</f>
        <v>#REF!</v>
      </c>
      <c r="M17" s="60">
        <v>39114</v>
      </c>
      <c r="N17" s="50" t="e">
        <f t="shared" si="8"/>
        <v>#REF!</v>
      </c>
      <c r="O17" s="31">
        <f t="shared" si="6"/>
        <v>35860.791666666686</v>
      </c>
      <c r="P17" s="37" t="e">
        <f t="shared" si="1"/>
        <v>#REF!</v>
      </c>
      <c r="Q17" s="37" t="e">
        <f>SUM($P$4:$P17)</f>
        <v>#REF!</v>
      </c>
    </row>
    <row r="18" spans="1:17" ht="15">
      <c r="A18" s="60">
        <v>39142</v>
      </c>
      <c r="B18" s="50" t="e">
        <f t="shared" si="2"/>
        <v>#REF!</v>
      </c>
      <c r="C18" s="38" t="e">
        <f t="shared" si="3"/>
        <v>#REF!</v>
      </c>
      <c r="D18" s="37" t="e">
        <f t="shared" si="4"/>
        <v>#REF!</v>
      </c>
      <c r="E18" s="37" t="e">
        <f>SUM($D$4:D18)</f>
        <v>#REF!</v>
      </c>
      <c r="G18" s="60">
        <v>39142</v>
      </c>
      <c r="H18" s="50" t="e">
        <f t="shared" si="7"/>
        <v>#REF!</v>
      </c>
      <c r="I18" s="31">
        <f t="shared" si="5"/>
        <v>308308.63888888864</v>
      </c>
      <c r="J18" s="37" t="e">
        <f t="shared" si="0"/>
        <v>#REF!</v>
      </c>
      <c r="K18" s="37" t="e">
        <f>SUM($J$4:$J18)</f>
        <v>#REF!</v>
      </c>
      <c r="M18" s="60">
        <v>39142</v>
      </c>
      <c r="N18" s="50" t="e">
        <f t="shared" si="8"/>
        <v>#REF!</v>
      </c>
      <c r="O18" s="31">
        <f t="shared" si="6"/>
        <v>35860.791666666686</v>
      </c>
      <c r="P18" s="37" t="e">
        <f t="shared" si="1"/>
        <v>#REF!</v>
      </c>
      <c r="Q18" s="37" t="e">
        <f>SUM($P$4:$P18)</f>
        <v>#REF!</v>
      </c>
    </row>
    <row r="19" spans="1:17" ht="15">
      <c r="A19" s="60">
        <v>39173</v>
      </c>
      <c r="B19" s="50" t="e">
        <f t="shared" si="2"/>
        <v>#REF!</v>
      </c>
      <c r="C19" s="38" t="e">
        <f t="shared" si="3"/>
        <v>#REF!</v>
      </c>
      <c r="D19" s="37" t="e">
        <f t="shared" si="4"/>
        <v>#REF!</v>
      </c>
      <c r="E19" s="37" t="e">
        <f>SUM($D$4:D19)</f>
        <v>#REF!</v>
      </c>
      <c r="G19" s="60">
        <v>39173</v>
      </c>
      <c r="H19" s="50" t="e">
        <f t="shared" si="7"/>
        <v>#REF!</v>
      </c>
      <c r="I19" s="31">
        <f t="shared" si="5"/>
        <v>308308.63888888864</v>
      </c>
      <c r="J19" s="37" t="e">
        <f t="shared" si="0"/>
        <v>#REF!</v>
      </c>
      <c r="K19" s="37" t="e">
        <f>SUM($J$4:$J19)</f>
        <v>#REF!</v>
      </c>
      <c r="M19" s="60">
        <v>39173</v>
      </c>
      <c r="N19" s="50" t="e">
        <f t="shared" si="8"/>
        <v>#REF!</v>
      </c>
      <c r="O19" s="31">
        <f t="shared" si="6"/>
        <v>35860.791666666686</v>
      </c>
      <c r="P19" s="37" t="e">
        <f t="shared" si="1"/>
        <v>#REF!</v>
      </c>
      <c r="Q19" s="37" t="e">
        <f>SUM($P$4:$P19)</f>
        <v>#REF!</v>
      </c>
    </row>
    <row r="20" spans="1:17" ht="15">
      <c r="A20" s="60">
        <v>39203</v>
      </c>
      <c r="B20" s="50" t="e">
        <f t="shared" si="2"/>
        <v>#REF!</v>
      </c>
      <c r="C20" s="38" t="e">
        <f t="shared" si="3"/>
        <v>#REF!</v>
      </c>
      <c r="D20" s="37" t="e">
        <f t="shared" si="4"/>
        <v>#REF!</v>
      </c>
      <c r="E20" s="37" t="e">
        <f>SUM($D$4:D20)</f>
        <v>#REF!</v>
      </c>
      <c r="G20" s="60">
        <v>39203</v>
      </c>
      <c r="H20" s="50" t="e">
        <f>' Assumptions and Data'!#REF!</f>
        <v>#REF!</v>
      </c>
      <c r="I20" s="31">
        <f t="shared" si="5"/>
        <v>308308.63888888864</v>
      </c>
      <c r="J20" s="37" t="e">
        <f t="shared" si="0"/>
        <v>#REF!</v>
      </c>
      <c r="K20" s="37" t="e">
        <f>SUM($J$4:$J20)</f>
        <v>#REF!</v>
      </c>
      <c r="M20" s="60">
        <v>39203</v>
      </c>
      <c r="N20" s="50" t="e">
        <f>' Assumptions and Data'!#REF!</f>
        <v>#REF!</v>
      </c>
      <c r="O20" s="31">
        <f t="shared" si="6"/>
        <v>35860.791666666686</v>
      </c>
      <c r="P20" s="37" t="e">
        <f t="shared" si="1"/>
        <v>#REF!</v>
      </c>
      <c r="Q20" s="37" t="e">
        <f>SUM($P$4:$P20)</f>
        <v>#REF!</v>
      </c>
    </row>
    <row r="21" spans="1:17" ht="15">
      <c r="A21" s="60">
        <v>39234</v>
      </c>
      <c r="B21" s="50" t="e">
        <f t="shared" si="2"/>
        <v>#REF!</v>
      </c>
      <c r="C21" s="38" t="e">
        <f t="shared" si="3"/>
        <v>#REF!</v>
      </c>
      <c r="D21" s="37" t="e">
        <f t="shared" si="4"/>
        <v>#REF!</v>
      </c>
      <c r="E21" s="37" t="e">
        <f>SUM($D$4:D21)</f>
        <v>#REF!</v>
      </c>
      <c r="G21" s="60">
        <v>39234</v>
      </c>
      <c r="H21" s="50" t="e">
        <f>H20</f>
        <v>#REF!</v>
      </c>
      <c r="I21" s="31">
        <f t="shared" si="5"/>
        <v>308308.63888888864</v>
      </c>
      <c r="J21" s="37" t="e">
        <f t="shared" si="0"/>
        <v>#REF!</v>
      </c>
      <c r="K21" s="37" t="e">
        <f>SUM($J$4:$J21)</f>
        <v>#REF!</v>
      </c>
      <c r="M21" s="60">
        <v>39234</v>
      </c>
      <c r="N21" s="50" t="e">
        <f>N20</f>
        <v>#REF!</v>
      </c>
      <c r="O21" s="31">
        <f t="shared" si="6"/>
        <v>35860.791666666686</v>
      </c>
      <c r="P21" s="37" t="e">
        <f t="shared" si="1"/>
        <v>#REF!</v>
      </c>
      <c r="Q21" s="37" t="e">
        <f>SUM($P$4:$P21)</f>
        <v>#REF!</v>
      </c>
    </row>
    <row r="22" spans="1:17" ht="15">
      <c r="A22" s="60">
        <v>39264</v>
      </c>
      <c r="B22" s="50" t="e">
        <f t="shared" si="2"/>
        <v>#REF!</v>
      </c>
      <c r="C22" s="38" t="e">
        <f t="shared" si="3"/>
        <v>#REF!</v>
      </c>
      <c r="D22" s="37" t="e">
        <f t="shared" si="4"/>
        <v>#REF!</v>
      </c>
      <c r="E22" s="37" t="e">
        <f>SUM($D$4:D22)</f>
        <v>#REF!</v>
      </c>
      <c r="G22" s="60">
        <v>39264</v>
      </c>
      <c r="H22" s="50" t="e">
        <f>H21</f>
        <v>#REF!</v>
      </c>
      <c r="I22" s="31">
        <f t="shared" si="5"/>
        <v>308308.63888888864</v>
      </c>
      <c r="J22" s="37" t="e">
        <f t="shared" si="0"/>
        <v>#REF!</v>
      </c>
      <c r="K22" s="37" t="e">
        <f>SUM($J$4:$J22)</f>
        <v>#REF!</v>
      </c>
      <c r="M22" s="60">
        <v>39264</v>
      </c>
      <c r="N22" s="50" t="e">
        <f>N21</f>
        <v>#REF!</v>
      </c>
      <c r="O22" s="31">
        <f t="shared" si="6"/>
        <v>35860.791666666686</v>
      </c>
      <c r="P22" s="37" t="e">
        <f t="shared" si="1"/>
        <v>#REF!</v>
      </c>
      <c r="Q22" s="37" t="e">
        <f>SUM($P$4:$P22)</f>
        <v>#REF!</v>
      </c>
    </row>
    <row r="23" spans="1:17" ht="15">
      <c r="A23" s="60">
        <v>39295</v>
      </c>
      <c r="B23" s="50" t="e">
        <f t="shared" si="2"/>
        <v>#REF!</v>
      </c>
      <c r="C23" s="38" t="e">
        <f t="shared" si="3"/>
        <v>#REF!</v>
      </c>
      <c r="D23" s="37" t="e">
        <f t="shared" si="4"/>
        <v>#REF!</v>
      </c>
      <c r="E23" s="37" t="e">
        <f>SUM($D$4:D23)</f>
        <v>#REF!</v>
      </c>
      <c r="G23" s="60">
        <v>39295</v>
      </c>
      <c r="H23" s="50" t="e">
        <f>H22</f>
        <v>#REF!</v>
      </c>
      <c r="I23" s="31">
        <f t="shared" si="5"/>
        <v>308308.63888888864</v>
      </c>
      <c r="J23" s="37" t="e">
        <f t="shared" si="0"/>
        <v>#REF!</v>
      </c>
      <c r="K23" s="37" t="e">
        <f>SUM($J$4:$J23)</f>
        <v>#REF!</v>
      </c>
      <c r="M23" s="60">
        <v>39295</v>
      </c>
      <c r="N23" s="50" t="e">
        <f>N22</f>
        <v>#REF!</v>
      </c>
      <c r="O23" s="31">
        <f t="shared" si="6"/>
        <v>35860.791666666686</v>
      </c>
      <c r="P23" s="37" t="e">
        <f t="shared" si="1"/>
        <v>#REF!</v>
      </c>
      <c r="Q23" s="37" t="e">
        <f>SUM($P$4:$P23)</f>
        <v>#REF!</v>
      </c>
    </row>
    <row r="24" spans="1:17" ht="15">
      <c r="A24" s="60">
        <v>39326</v>
      </c>
      <c r="B24" s="50" t="e">
        <f t="shared" si="2"/>
        <v>#REF!</v>
      </c>
      <c r="C24" s="38" t="e">
        <f t="shared" si="3"/>
        <v>#REF!</v>
      </c>
      <c r="D24" s="37" t="e">
        <f t="shared" si="4"/>
        <v>#REF!</v>
      </c>
      <c r="E24" s="37" t="e">
        <f>SUM($D$4:D24)</f>
        <v>#REF!</v>
      </c>
      <c r="G24" s="60">
        <v>39326</v>
      </c>
      <c r="H24" s="50" t="e">
        <f>H23</f>
        <v>#REF!</v>
      </c>
      <c r="I24" s="31">
        <f t="shared" si="5"/>
        <v>308308.63888888864</v>
      </c>
      <c r="J24" s="37" t="e">
        <f t="shared" si="0"/>
        <v>#REF!</v>
      </c>
      <c r="K24" s="37" t="e">
        <f>SUM($J$4:$J24)</f>
        <v>#REF!</v>
      </c>
      <c r="M24" s="60">
        <v>39326</v>
      </c>
      <c r="N24" s="50" t="e">
        <f>N23</f>
        <v>#REF!</v>
      </c>
      <c r="O24" s="31">
        <f t="shared" si="6"/>
        <v>35860.791666666686</v>
      </c>
      <c r="P24" s="37" t="e">
        <f t="shared" si="1"/>
        <v>#REF!</v>
      </c>
      <c r="Q24" s="37" t="e">
        <f>SUM($P$4:$P24)</f>
        <v>#REF!</v>
      </c>
    </row>
    <row r="25" spans="1:17" ht="15">
      <c r="A25" s="60">
        <v>39356</v>
      </c>
      <c r="B25" s="50" t="e">
        <f t="shared" si="2"/>
        <v>#REF!</v>
      </c>
      <c r="C25" s="38" t="e">
        <f t="shared" si="3"/>
        <v>#REF!</v>
      </c>
      <c r="D25" s="37" t="e">
        <f t="shared" si="4"/>
        <v>#REF!</v>
      </c>
      <c r="E25" s="37" t="e">
        <f>SUM($D$4:D25)</f>
        <v>#REF!</v>
      </c>
      <c r="G25" s="60">
        <v>39356</v>
      </c>
      <c r="H25" s="50" t="e">
        <f>H24</f>
        <v>#REF!</v>
      </c>
      <c r="I25" s="31">
        <f t="shared" si="5"/>
        <v>308308.63888888864</v>
      </c>
      <c r="J25" s="37" t="e">
        <f t="shared" si="0"/>
        <v>#REF!</v>
      </c>
      <c r="K25" s="37" t="e">
        <f>SUM($J$4:$J25)</f>
        <v>#REF!</v>
      </c>
      <c r="M25" s="60">
        <v>39356</v>
      </c>
      <c r="N25" s="50" t="e">
        <f>N24</f>
        <v>#REF!</v>
      </c>
      <c r="O25" s="31">
        <f t="shared" si="6"/>
        <v>35860.791666666686</v>
      </c>
      <c r="P25" s="37" t="e">
        <f t="shared" si="1"/>
        <v>#REF!</v>
      </c>
      <c r="Q25" s="37" t="e">
        <f>SUM($P$4:$P25)</f>
        <v>#REF!</v>
      </c>
    </row>
    <row r="26" spans="1:17" ht="15.75">
      <c r="A26" s="60">
        <v>39387</v>
      </c>
      <c r="B26" s="50">
        <f t="shared" si="2"/>
        <v>225065.3063888887</v>
      </c>
      <c r="C26" s="38">
        <f t="shared" si="3"/>
        <v>26178.37791666668</v>
      </c>
      <c r="D26" s="37">
        <f t="shared" si="4"/>
        <v>251243.6843055554</v>
      </c>
      <c r="E26" s="37" t="e">
        <f>SUM($D$4:D26)</f>
        <v>#REF!</v>
      </c>
      <c r="G26" s="60">
        <v>39387</v>
      </c>
      <c r="H26" s="120">
        <v>0.73</v>
      </c>
      <c r="I26" s="31">
        <f t="shared" si="5"/>
        <v>308308.63888888864</v>
      </c>
      <c r="J26" s="37">
        <f t="shared" si="0"/>
        <v>225065.3063888887</v>
      </c>
      <c r="K26" s="37" t="e">
        <f>SUM($J$4:$J26)</f>
        <v>#REF!</v>
      </c>
      <c r="M26" s="60">
        <v>39387</v>
      </c>
      <c r="N26" s="55">
        <f aca="true" t="shared" si="9" ref="N26:N31">H26</f>
        <v>0.73</v>
      </c>
      <c r="O26" s="31">
        <f t="shared" si="6"/>
        <v>35860.791666666686</v>
      </c>
      <c r="P26" s="37">
        <f t="shared" si="1"/>
        <v>26178.37791666668</v>
      </c>
      <c r="Q26" s="37" t="e">
        <f>SUM($P$4:$P26)</f>
        <v>#REF!</v>
      </c>
    </row>
    <row r="27" spans="1:17" ht="15.75">
      <c r="A27" s="60">
        <v>39417</v>
      </c>
      <c r="B27" s="50">
        <f t="shared" si="2"/>
        <v>225065.3063888887</v>
      </c>
      <c r="C27" s="38">
        <f t="shared" si="3"/>
        <v>26178.37791666668</v>
      </c>
      <c r="D27" s="37">
        <f t="shared" si="4"/>
        <v>251243.6843055554</v>
      </c>
      <c r="E27" s="37" t="e">
        <f>SUM($D$4:D27)</f>
        <v>#REF!</v>
      </c>
      <c r="G27" s="60">
        <v>39417</v>
      </c>
      <c r="H27" s="55">
        <f>H26</f>
        <v>0.73</v>
      </c>
      <c r="I27" s="31">
        <f t="shared" si="5"/>
        <v>308308.63888888864</v>
      </c>
      <c r="J27" s="37">
        <f t="shared" si="0"/>
        <v>225065.3063888887</v>
      </c>
      <c r="K27" s="37" t="e">
        <f>SUM($J$4:$J27)</f>
        <v>#REF!</v>
      </c>
      <c r="M27" s="60">
        <v>39417</v>
      </c>
      <c r="N27" s="55">
        <f t="shared" si="9"/>
        <v>0.73</v>
      </c>
      <c r="O27" s="31">
        <f t="shared" si="6"/>
        <v>35860.791666666686</v>
      </c>
      <c r="P27" s="37">
        <f t="shared" si="1"/>
        <v>26178.37791666668</v>
      </c>
      <c r="Q27" s="37" t="e">
        <f>SUM($P$4:$P27)</f>
        <v>#REF!</v>
      </c>
    </row>
    <row r="28" spans="1:17" ht="15.75">
      <c r="A28" s="60">
        <v>39448</v>
      </c>
      <c r="B28" s="50">
        <f t="shared" si="2"/>
        <v>225065.3063888887</v>
      </c>
      <c r="C28" s="38">
        <f t="shared" si="3"/>
        <v>26178.37791666668</v>
      </c>
      <c r="D28" s="37">
        <f t="shared" si="4"/>
        <v>251243.6843055554</v>
      </c>
      <c r="E28" s="37" t="e">
        <f>SUM($D$4:D28)</f>
        <v>#REF!</v>
      </c>
      <c r="G28" s="60">
        <v>39448</v>
      </c>
      <c r="H28" s="55">
        <f>H27</f>
        <v>0.73</v>
      </c>
      <c r="I28" s="31">
        <f t="shared" si="5"/>
        <v>308308.63888888864</v>
      </c>
      <c r="J28" s="37">
        <f t="shared" si="0"/>
        <v>225065.3063888887</v>
      </c>
      <c r="K28" s="37" t="e">
        <f>SUM($J$4:$J28)</f>
        <v>#REF!</v>
      </c>
      <c r="M28" s="60">
        <v>39448</v>
      </c>
      <c r="N28" s="55">
        <f t="shared" si="9"/>
        <v>0.73</v>
      </c>
      <c r="O28" s="31">
        <f t="shared" si="6"/>
        <v>35860.791666666686</v>
      </c>
      <c r="P28" s="37">
        <f t="shared" si="1"/>
        <v>26178.37791666668</v>
      </c>
      <c r="Q28" s="37" t="e">
        <f>SUM($P$4:$P28)</f>
        <v>#REF!</v>
      </c>
    </row>
    <row r="29" spans="1:17" ht="15.75">
      <c r="A29" s="60">
        <v>39479</v>
      </c>
      <c r="B29" s="50">
        <f t="shared" si="2"/>
        <v>225065.3063888887</v>
      </c>
      <c r="C29" s="38">
        <f t="shared" si="3"/>
        <v>26178.37791666668</v>
      </c>
      <c r="D29" s="37">
        <f t="shared" si="4"/>
        <v>251243.6843055554</v>
      </c>
      <c r="E29" s="37" t="e">
        <f>SUM($D$4:D29)</f>
        <v>#REF!</v>
      </c>
      <c r="G29" s="60">
        <v>39479</v>
      </c>
      <c r="H29" s="55">
        <f>H28</f>
        <v>0.73</v>
      </c>
      <c r="I29" s="31">
        <f t="shared" si="5"/>
        <v>308308.63888888864</v>
      </c>
      <c r="J29" s="37">
        <f t="shared" si="0"/>
        <v>225065.3063888887</v>
      </c>
      <c r="K29" s="37" t="e">
        <f>SUM($J$4:$J29)</f>
        <v>#REF!</v>
      </c>
      <c r="M29" s="60">
        <v>39479</v>
      </c>
      <c r="N29" s="55">
        <f t="shared" si="9"/>
        <v>0.73</v>
      </c>
      <c r="O29" s="31">
        <f t="shared" si="6"/>
        <v>35860.791666666686</v>
      </c>
      <c r="P29" s="37">
        <f t="shared" si="1"/>
        <v>26178.37791666668</v>
      </c>
      <c r="Q29" s="37" t="e">
        <f>SUM($P$4:$P29)</f>
        <v>#REF!</v>
      </c>
    </row>
    <row r="30" spans="1:17" ht="15.75">
      <c r="A30" s="60">
        <v>39508</v>
      </c>
      <c r="B30" s="50">
        <f t="shared" si="2"/>
        <v>225065.3063888887</v>
      </c>
      <c r="C30" s="38">
        <f t="shared" si="3"/>
        <v>26178.37791666668</v>
      </c>
      <c r="D30" s="37">
        <f t="shared" si="4"/>
        <v>251243.6843055554</v>
      </c>
      <c r="E30" s="37" t="e">
        <f>SUM($D$4:D30)</f>
        <v>#REF!</v>
      </c>
      <c r="G30" s="60">
        <v>39508</v>
      </c>
      <c r="H30" s="55">
        <f>H29</f>
        <v>0.73</v>
      </c>
      <c r="I30" s="31">
        <f t="shared" si="5"/>
        <v>308308.63888888864</v>
      </c>
      <c r="J30" s="37">
        <f t="shared" si="0"/>
        <v>225065.3063888887</v>
      </c>
      <c r="K30" s="37" t="e">
        <f>SUM($J$4:$J30)</f>
        <v>#REF!</v>
      </c>
      <c r="M30" s="60">
        <v>39508</v>
      </c>
      <c r="N30" s="55">
        <f t="shared" si="9"/>
        <v>0.73</v>
      </c>
      <c r="O30" s="31">
        <f t="shared" si="6"/>
        <v>35860.791666666686</v>
      </c>
      <c r="P30" s="37">
        <f t="shared" si="1"/>
        <v>26178.37791666668</v>
      </c>
      <c r="Q30" s="37" t="e">
        <f>SUM($P$4:$P30)</f>
        <v>#REF!</v>
      </c>
    </row>
    <row r="31" spans="1:17" ht="15.75">
      <c r="A31" s="60">
        <v>39539</v>
      </c>
      <c r="B31" s="50">
        <f t="shared" si="2"/>
        <v>225065.3063888887</v>
      </c>
      <c r="C31" s="38">
        <f t="shared" si="3"/>
        <v>26178.37791666668</v>
      </c>
      <c r="D31" s="37">
        <f t="shared" si="4"/>
        <v>251243.6843055554</v>
      </c>
      <c r="E31" s="37" t="e">
        <f>SUM($D$4:D31)</f>
        <v>#REF!</v>
      </c>
      <c r="G31" s="60">
        <v>39539</v>
      </c>
      <c r="H31" s="55">
        <f>H30</f>
        <v>0.73</v>
      </c>
      <c r="I31" s="31">
        <f t="shared" si="5"/>
        <v>308308.63888888864</v>
      </c>
      <c r="J31" s="37">
        <f t="shared" si="0"/>
        <v>225065.3063888887</v>
      </c>
      <c r="K31" s="37" t="e">
        <f>SUM($J$4:$J31)</f>
        <v>#REF!</v>
      </c>
      <c r="M31" s="60">
        <v>39539</v>
      </c>
      <c r="N31" s="55">
        <f t="shared" si="9"/>
        <v>0.73</v>
      </c>
      <c r="O31" s="31">
        <f t="shared" si="6"/>
        <v>35860.791666666686</v>
      </c>
      <c r="P31" s="37">
        <f t="shared" si="1"/>
        <v>26178.37791666668</v>
      </c>
      <c r="Q31" s="37" t="e">
        <f>SUM($P$4:$P31)</f>
        <v>#REF!</v>
      </c>
    </row>
  </sheetData>
  <sheetProtection/>
  <mergeCells count="6">
    <mergeCell ref="M1:Q1"/>
    <mergeCell ref="M2:Q2"/>
    <mergeCell ref="A1:E1"/>
    <mergeCell ref="A2:E2"/>
    <mergeCell ref="G1:K1"/>
    <mergeCell ref="G2:K2"/>
  </mergeCells>
  <printOptions/>
  <pageMargins left="0.75" right="0.75" top="1" bottom="1" header="0.5" footer="0.5"/>
  <pageSetup fitToHeight="1" fitToWidth="1" horizontalDpi="600" verticalDpi="600" orientation="portrait" scale="3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8"/>
  <sheetViews>
    <sheetView zoomScale="75" zoomScaleNormal="75" zoomScalePageLayoutView="0" workbookViewId="0" topLeftCell="A1">
      <pane xSplit="2" ySplit="10" topLeftCell="D4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2" sqref="E42"/>
    </sheetView>
  </sheetViews>
  <sheetFormatPr defaultColWidth="9.140625" defaultRowHeight="12.75"/>
  <cols>
    <col min="1" max="1" width="58.57421875" style="6" bestFit="1" customWidth="1"/>
    <col min="2" max="2" width="68.28125" style="6" bestFit="1" customWidth="1"/>
    <col min="3" max="6" width="10.7109375" style="6" customWidth="1"/>
    <col min="7" max="7" width="10.7109375" style="99" customWidth="1"/>
    <col min="8" max="8" width="10.7109375" style="6" customWidth="1"/>
    <col min="9" max="17" width="16.7109375" style="6" customWidth="1"/>
    <col min="18" max="16384" width="9.140625" style="6" customWidth="1"/>
  </cols>
  <sheetData>
    <row r="1" spans="1:7" s="2" customFormat="1" ht="20.25" customHeight="1">
      <c r="A1" s="1"/>
      <c r="B1" s="234"/>
      <c r="C1" s="234"/>
      <c r="D1" s="234"/>
      <c r="E1" s="234"/>
      <c r="F1" s="1"/>
      <c r="G1" s="67"/>
    </row>
    <row r="2" spans="1:7" s="2" customFormat="1" ht="18.75" customHeight="1">
      <c r="A2" s="1"/>
      <c r="B2" s="255" t="e">
        <f>#REF!</f>
        <v>#REF!</v>
      </c>
      <c r="C2" s="255"/>
      <c r="D2" s="255"/>
      <c r="E2" s="255"/>
      <c r="F2" s="1"/>
      <c r="G2" s="67"/>
    </row>
    <row r="3" spans="1:7" s="2" customFormat="1" ht="18.75" customHeight="1">
      <c r="A3" s="1"/>
      <c r="B3" s="256" t="e">
        <f>#REF!</f>
        <v>#REF!</v>
      </c>
      <c r="C3" s="256"/>
      <c r="D3" s="256"/>
      <c r="E3" s="256"/>
      <c r="F3" s="1"/>
      <c r="G3" s="67"/>
    </row>
    <row r="4" spans="1:7" s="2" customFormat="1" ht="18">
      <c r="A4" s="1"/>
      <c r="B4" s="10" t="e">
        <f>#REF!</f>
        <v>#REF!</v>
      </c>
      <c r="C4" s="9"/>
      <c r="D4" s="9"/>
      <c r="E4" s="9"/>
      <c r="F4" s="1"/>
      <c r="G4" s="67"/>
    </row>
    <row r="5" spans="1:7" s="2" customFormat="1" ht="21" customHeight="1">
      <c r="A5" s="1"/>
      <c r="B5" s="257" t="s">
        <v>183</v>
      </c>
      <c r="C5" s="257"/>
      <c r="D5" s="257"/>
      <c r="E5" s="11"/>
      <c r="F5" s="1"/>
      <c r="G5" s="67"/>
    </row>
    <row r="6" spans="1:7" s="2" customFormat="1" ht="6" customHeight="1">
      <c r="A6" s="12"/>
      <c r="B6" s="12"/>
      <c r="C6" s="12"/>
      <c r="D6" s="12"/>
      <c r="E6" s="12"/>
      <c r="F6" s="12"/>
      <c r="G6" s="12"/>
    </row>
    <row r="7" spans="1:7" ht="12.75">
      <c r="A7" s="4"/>
      <c r="B7" s="4"/>
      <c r="C7" s="4"/>
      <c r="D7" s="4"/>
      <c r="E7" s="4"/>
      <c r="F7" s="4"/>
      <c r="G7" s="67"/>
    </row>
    <row r="8" spans="1:7" ht="26.25">
      <c r="A8" s="68" t="s">
        <v>77</v>
      </c>
      <c r="B8" s="4"/>
      <c r="C8" s="4"/>
      <c r="D8" s="4"/>
      <c r="E8" s="4"/>
      <c r="F8" s="4"/>
      <c r="G8" s="67"/>
    </row>
    <row r="9" spans="1:7" ht="13.5" thickBot="1">
      <c r="A9" s="4"/>
      <c r="B9" s="4"/>
      <c r="C9" s="4"/>
      <c r="D9" s="4"/>
      <c r="E9" s="4"/>
      <c r="F9" s="4"/>
      <c r="G9" s="67"/>
    </row>
    <row r="10" spans="1:17" ht="18.75" thickBot="1">
      <c r="A10" s="4"/>
      <c r="B10" s="13" t="s">
        <v>78</v>
      </c>
      <c r="C10" s="252">
        <v>2006</v>
      </c>
      <c r="D10" s="253"/>
      <c r="E10" s="254"/>
      <c r="F10" s="252">
        <v>2007</v>
      </c>
      <c r="G10" s="253"/>
      <c r="H10" s="254"/>
      <c r="I10" s="252">
        <v>2008</v>
      </c>
      <c r="J10" s="253"/>
      <c r="K10" s="254"/>
      <c r="L10" s="252">
        <v>2009</v>
      </c>
      <c r="M10" s="253"/>
      <c r="N10" s="254"/>
      <c r="O10" s="252">
        <v>2010</v>
      </c>
      <c r="P10" s="253"/>
      <c r="Q10" s="254"/>
    </row>
    <row r="11" spans="1:17" ht="12.75">
      <c r="A11" s="4"/>
      <c r="B11" s="69" t="s">
        <v>79</v>
      </c>
      <c r="C11" s="70">
        <f>'9A. SM Avg Nt Fix Ass &amp;UCC'!C22</f>
        <v>0</v>
      </c>
      <c r="D11" s="71"/>
      <c r="E11" s="72"/>
      <c r="F11" s="70">
        <f>'9A. SM Avg Nt Fix Ass &amp;UCC'!D22</f>
        <v>0</v>
      </c>
      <c r="G11" s="71"/>
      <c r="H11" s="72"/>
      <c r="I11" s="73">
        <f>'9A. SM Avg Nt Fix Ass &amp;UCC'!E22</f>
        <v>0</v>
      </c>
      <c r="J11" s="5"/>
      <c r="K11" s="74"/>
      <c r="L11" s="73">
        <f>'9A. SM Avg Nt Fix Ass &amp;UCC'!F22</f>
        <v>0</v>
      </c>
      <c r="M11" s="5"/>
      <c r="N11" s="74"/>
      <c r="O11" s="73">
        <f>'9A. SM Avg Nt Fix Ass &amp;UCC'!G22</f>
        <v>0</v>
      </c>
      <c r="P11" s="5"/>
      <c r="Q11" s="74"/>
    </row>
    <row r="12" spans="1:17" ht="12.75">
      <c r="A12" s="4"/>
      <c r="B12" s="69" t="s">
        <v>80</v>
      </c>
      <c r="C12" s="73">
        <f>'9A. SM Avg Nt Fix Ass &amp;UCC'!C36</f>
        <v>0</v>
      </c>
      <c r="D12" s="75"/>
      <c r="E12" s="74"/>
      <c r="F12" s="73">
        <f>'9A. SM Avg Nt Fix Ass &amp;UCC'!D36</f>
        <v>0</v>
      </c>
      <c r="G12" s="75"/>
      <c r="H12" s="74"/>
      <c r="I12" s="73">
        <f>'9A. SM Avg Nt Fix Ass &amp;UCC'!E36</f>
        <v>0</v>
      </c>
      <c r="J12" s="75"/>
      <c r="K12" s="74"/>
      <c r="L12" s="73">
        <f>'9A. SM Avg Nt Fix Ass &amp;UCC'!F36</f>
        <v>0</v>
      </c>
      <c r="M12" s="75"/>
      <c r="N12" s="74"/>
      <c r="O12" s="73">
        <f>'9A. SM Avg Nt Fix Ass &amp;UCC'!G36</f>
        <v>0</v>
      </c>
      <c r="P12" s="75"/>
      <c r="Q12" s="74"/>
    </row>
    <row r="13" spans="1:17" ht="12.75">
      <c r="A13" s="4"/>
      <c r="B13" s="69" t="s">
        <v>81</v>
      </c>
      <c r="C13" s="73">
        <f>'9A. SM Avg Nt Fix Ass &amp;UCC'!C50</f>
        <v>0</v>
      </c>
      <c r="D13" s="76"/>
      <c r="E13" s="74"/>
      <c r="F13" s="73">
        <f>'9A. SM Avg Nt Fix Ass &amp;UCC'!D50</f>
        <v>0</v>
      </c>
      <c r="G13" s="76"/>
      <c r="H13" s="74"/>
      <c r="I13" s="73">
        <f>'9A. SM Avg Nt Fix Ass &amp;UCC'!E50</f>
        <v>0</v>
      </c>
      <c r="J13" s="76"/>
      <c r="K13" s="74"/>
      <c r="L13" s="73">
        <f>'9A. SM Avg Nt Fix Ass &amp;UCC'!F50</f>
        <v>0</v>
      </c>
      <c r="M13" s="76"/>
      <c r="N13" s="74"/>
      <c r="O13" s="73">
        <f>'9A. SM Avg Nt Fix Ass &amp;UCC'!G50</f>
        <v>0</v>
      </c>
      <c r="P13" s="76"/>
      <c r="Q13" s="74"/>
    </row>
    <row r="14" spans="1:17" ht="12.75">
      <c r="A14" s="4"/>
      <c r="B14" s="69" t="s">
        <v>82</v>
      </c>
      <c r="C14" s="73" t="e">
        <f>'9A. SM Avg Nt Fix Ass &amp;UCC'!C65</f>
        <v>#REF!</v>
      </c>
      <c r="D14" s="76"/>
      <c r="E14" s="74"/>
      <c r="F14" s="73" t="e">
        <f>'9A. SM Avg Nt Fix Ass &amp;UCC'!D65</f>
        <v>#REF!</v>
      </c>
      <c r="G14" s="76"/>
      <c r="H14" s="74"/>
      <c r="I14" s="73" t="e">
        <f>'9A. SM Avg Nt Fix Ass &amp;UCC'!E65</f>
        <v>#REF!</v>
      </c>
      <c r="J14" s="76"/>
      <c r="K14" s="74"/>
      <c r="L14" s="73" t="e">
        <f>'9A. SM Avg Nt Fix Ass &amp;UCC'!F65</f>
        <v>#REF!</v>
      </c>
      <c r="M14" s="76"/>
      <c r="N14" s="74"/>
      <c r="O14" s="73" t="e">
        <f>'9A. SM Avg Nt Fix Ass &amp;UCC'!G65</f>
        <v>#REF!</v>
      </c>
      <c r="P14" s="76"/>
      <c r="Q14" s="74"/>
    </row>
    <row r="15" spans="1:17" ht="12.75">
      <c r="A15" s="4"/>
      <c r="B15" s="69" t="s">
        <v>83</v>
      </c>
      <c r="C15" s="73" t="e">
        <f>'9A. SM Avg Nt Fix Ass &amp;UCC'!C79</f>
        <v>#REF!</v>
      </c>
      <c r="D15" s="76"/>
      <c r="E15" s="74"/>
      <c r="F15" s="73" t="e">
        <f>'9A. SM Avg Nt Fix Ass &amp;UCC'!D79</f>
        <v>#REF!</v>
      </c>
      <c r="G15" s="76"/>
      <c r="H15" s="74"/>
      <c r="I15" s="73" t="e">
        <f>'9A. SM Avg Nt Fix Ass &amp;UCC'!E79</f>
        <v>#REF!</v>
      </c>
      <c r="J15" s="76"/>
      <c r="K15" s="74"/>
      <c r="L15" s="73" t="e">
        <f>'9A. SM Avg Nt Fix Ass &amp;UCC'!F79</f>
        <v>#REF!</v>
      </c>
      <c r="M15" s="76"/>
      <c r="N15" s="74"/>
      <c r="O15" s="73" t="e">
        <f>'9A. SM Avg Nt Fix Ass &amp;UCC'!G79</f>
        <v>#REF!</v>
      </c>
      <c r="P15" s="76"/>
      <c r="Q15" s="74"/>
    </row>
    <row r="16" spans="1:17" ht="12.75">
      <c r="A16" s="4"/>
      <c r="B16" s="69" t="s">
        <v>84</v>
      </c>
      <c r="C16" s="77" t="e">
        <f>SUM(C11:C15)</f>
        <v>#REF!</v>
      </c>
      <c r="D16" s="76" t="e">
        <f>C16</f>
        <v>#REF!</v>
      </c>
      <c r="E16" s="74"/>
      <c r="F16" s="77" t="e">
        <f>SUM(F11:F15)</f>
        <v>#REF!</v>
      </c>
      <c r="G16" s="76" t="e">
        <f>F16</f>
        <v>#REF!</v>
      </c>
      <c r="H16" s="74"/>
      <c r="I16" s="77" t="e">
        <f>SUM(I11:I15)</f>
        <v>#REF!</v>
      </c>
      <c r="J16" s="76" t="e">
        <f>I16</f>
        <v>#REF!</v>
      </c>
      <c r="K16" s="74"/>
      <c r="L16" s="77" t="e">
        <f>SUM(L11:L15)</f>
        <v>#REF!</v>
      </c>
      <c r="M16" s="76" t="e">
        <f>L16</f>
        <v>#REF!</v>
      </c>
      <c r="N16" s="74"/>
      <c r="O16" s="77" t="e">
        <f>SUM(O11:O15)</f>
        <v>#REF!</v>
      </c>
      <c r="P16" s="76" t="e">
        <f>O16</f>
        <v>#REF!</v>
      </c>
      <c r="Q16" s="74"/>
    </row>
    <row r="17" spans="1:17" ht="12.75">
      <c r="A17" s="4"/>
      <c r="B17" s="69"/>
      <c r="C17" s="78"/>
      <c r="D17" s="5"/>
      <c r="E17" s="74"/>
      <c r="F17" s="78"/>
      <c r="G17" s="5"/>
      <c r="H17" s="74"/>
      <c r="I17" s="78"/>
      <c r="J17" s="5"/>
      <c r="K17" s="74"/>
      <c r="L17" s="78"/>
      <c r="M17" s="5"/>
      <c r="N17" s="74"/>
      <c r="O17" s="78"/>
      <c r="P17" s="5"/>
      <c r="Q17" s="74"/>
    </row>
    <row r="18" spans="1:17" ht="18">
      <c r="A18" s="4"/>
      <c r="B18" s="13" t="s">
        <v>85</v>
      </c>
      <c r="C18" s="78"/>
      <c r="D18" s="5"/>
      <c r="E18" s="74"/>
      <c r="F18" s="78"/>
      <c r="G18" s="5"/>
      <c r="H18" s="74"/>
      <c r="I18" s="78"/>
      <c r="J18" s="5"/>
      <c r="K18" s="74"/>
      <c r="L18" s="78"/>
      <c r="M18" s="5"/>
      <c r="N18" s="74"/>
      <c r="O18" s="78"/>
      <c r="P18" s="5"/>
      <c r="Q18" s="74"/>
    </row>
    <row r="19" spans="1:17" ht="12.75">
      <c r="A19" s="4"/>
      <c r="B19" s="69" t="s">
        <v>41</v>
      </c>
      <c r="C19" s="79">
        <f>E34</f>
        <v>0</v>
      </c>
      <c r="D19" s="76"/>
      <c r="E19" s="80"/>
      <c r="F19" s="79">
        <f>H34</f>
        <v>0</v>
      </c>
      <c r="G19" s="76"/>
      <c r="H19" s="80"/>
      <c r="I19" s="79">
        <f>K34</f>
        <v>0</v>
      </c>
      <c r="J19" s="76"/>
      <c r="K19" s="80"/>
      <c r="L19" s="79">
        <f>N34</f>
        <v>0</v>
      </c>
      <c r="M19" s="76"/>
      <c r="N19" s="80"/>
      <c r="O19" s="79">
        <f>Q34</f>
        <v>0</v>
      </c>
      <c r="P19" s="76"/>
      <c r="Q19" s="74"/>
    </row>
    <row r="20" spans="1:17" ht="12.75">
      <c r="A20" s="4"/>
      <c r="B20" s="69" t="str">
        <f>"Working Capital "&amp;' Assumptions and Data'!C13*100&amp;" %"</f>
        <v>Working Capital 13 %</v>
      </c>
      <c r="C20" s="79">
        <f>C19*' Assumptions and Data'!$C$13</f>
        <v>0</v>
      </c>
      <c r="D20" s="76">
        <f>C20</f>
        <v>0</v>
      </c>
      <c r="E20" s="80"/>
      <c r="F20" s="79">
        <f>F19*' Assumptions and Data'!$C$13</f>
        <v>0</v>
      </c>
      <c r="G20" s="76">
        <f>F20</f>
        <v>0</v>
      </c>
      <c r="H20" s="80"/>
      <c r="I20" s="79">
        <f>I19*' Assumptions and Data'!$C$13</f>
        <v>0</v>
      </c>
      <c r="J20" s="76">
        <f>I20</f>
        <v>0</v>
      </c>
      <c r="K20" s="80"/>
      <c r="L20" s="79">
        <f>L19*' Assumptions and Data'!$C$13</f>
        <v>0</v>
      </c>
      <c r="M20" s="76">
        <f>L20</f>
        <v>0</v>
      </c>
      <c r="N20" s="80"/>
      <c r="O20" s="79">
        <f>O19*' Assumptions and Data'!$C$13</f>
        <v>0</v>
      </c>
      <c r="P20" s="76">
        <f>O20</f>
        <v>0</v>
      </c>
      <c r="Q20" s="74"/>
    </row>
    <row r="21" spans="1:17" ht="12.75">
      <c r="A21" s="4"/>
      <c r="B21" s="69"/>
      <c r="C21" s="79"/>
      <c r="D21" s="76"/>
      <c r="E21" s="80"/>
      <c r="F21" s="79"/>
      <c r="G21" s="76"/>
      <c r="H21" s="80"/>
      <c r="I21" s="79"/>
      <c r="J21" s="76"/>
      <c r="K21" s="80"/>
      <c r="L21" s="79"/>
      <c r="M21" s="76"/>
      <c r="N21" s="80"/>
      <c r="O21" s="79"/>
      <c r="P21" s="76"/>
      <c r="Q21" s="74"/>
    </row>
    <row r="22" spans="1:17" ht="15.75">
      <c r="A22" s="4"/>
      <c r="B22" s="21" t="s">
        <v>86</v>
      </c>
      <c r="C22" s="79"/>
      <c r="D22" s="81" t="e">
        <f>SUM(D12:D20)</f>
        <v>#REF!</v>
      </c>
      <c r="E22" s="80"/>
      <c r="F22" s="79"/>
      <c r="G22" s="81" t="e">
        <f>SUM(G12:G20)</f>
        <v>#REF!</v>
      </c>
      <c r="H22" s="80"/>
      <c r="I22" s="79"/>
      <c r="J22" s="81" t="e">
        <f>SUM(J12:J20)</f>
        <v>#REF!</v>
      </c>
      <c r="K22" s="80"/>
      <c r="L22" s="79"/>
      <c r="M22" s="81" t="e">
        <f>SUM(M12:M20)</f>
        <v>#REF!</v>
      </c>
      <c r="N22" s="80"/>
      <c r="O22" s="79"/>
      <c r="P22" s="81" t="e">
        <f>SUM(P12:P20)</f>
        <v>#REF!</v>
      </c>
      <c r="Q22" s="74"/>
    </row>
    <row r="23" spans="1:17" ht="12.75">
      <c r="A23" s="4"/>
      <c r="B23" s="69"/>
      <c r="C23" s="78"/>
      <c r="D23" s="5"/>
      <c r="E23" s="74"/>
      <c r="F23" s="78"/>
      <c r="G23" s="5"/>
      <c r="H23" s="74"/>
      <c r="I23" s="78"/>
      <c r="J23" s="5"/>
      <c r="K23" s="74"/>
      <c r="L23" s="78"/>
      <c r="M23" s="5"/>
      <c r="N23" s="74"/>
      <c r="O23" s="78"/>
      <c r="P23" s="5"/>
      <c r="Q23" s="74"/>
    </row>
    <row r="24" spans="1:17" ht="18">
      <c r="A24" s="4"/>
      <c r="B24" s="13" t="s">
        <v>43</v>
      </c>
      <c r="C24" s="78"/>
      <c r="D24" s="5"/>
      <c r="E24" s="74"/>
      <c r="F24" s="78"/>
      <c r="G24" s="5"/>
      <c r="H24" s="74"/>
      <c r="I24" s="78"/>
      <c r="J24" s="5"/>
      <c r="K24" s="74"/>
      <c r="L24" s="78"/>
      <c r="M24" s="5"/>
      <c r="N24" s="74"/>
      <c r="O24" s="78"/>
      <c r="P24" s="5"/>
      <c r="Q24" s="74"/>
    </row>
    <row r="25" spans="1:17" ht="12.75">
      <c r="A25" s="4"/>
      <c r="B25" s="69" t="s">
        <v>163</v>
      </c>
      <c r="C25" s="82">
        <f>' Assumptions and Data'!$C$7</f>
        <v>0.6</v>
      </c>
      <c r="D25" s="76" t="e">
        <f>D22*C25</f>
        <v>#REF!</v>
      </c>
      <c r="E25" s="74"/>
      <c r="F25" s="82">
        <f>' Assumptions and Data'!$C$7</f>
        <v>0.6</v>
      </c>
      <c r="G25" s="76" t="e">
        <f>G22*F25</f>
        <v>#REF!</v>
      </c>
      <c r="H25" s="74"/>
      <c r="I25" s="82">
        <f>' Assumptions and Data'!$C$7</f>
        <v>0.6</v>
      </c>
      <c r="J25" s="76" t="e">
        <f>J22*I25</f>
        <v>#REF!</v>
      </c>
      <c r="K25" s="74"/>
      <c r="L25" s="82">
        <f>' Assumptions and Data'!$C$7</f>
        <v>0.6</v>
      </c>
      <c r="M25" s="76" t="e">
        <f>M22*L25</f>
        <v>#REF!</v>
      </c>
      <c r="N25" s="74"/>
      <c r="O25" s="82">
        <f>' Assumptions and Data'!$C$7</f>
        <v>0.6</v>
      </c>
      <c r="P25" s="76" t="e">
        <f>P22*O25</f>
        <v>#REF!</v>
      </c>
      <c r="Q25" s="74"/>
    </row>
    <row r="26" spans="1:17" ht="12.75">
      <c r="A26" s="4"/>
      <c r="B26" s="69" t="s">
        <v>164</v>
      </c>
      <c r="C26" s="82">
        <f>' Assumptions and Data'!$C$8</f>
        <v>0.4</v>
      </c>
      <c r="D26" s="76" t="e">
        <f>D22*C26</f>
        <v>#REF!</v>
      </c>
      <c r="E26" s="74"/>
      <c r="F26" s="82">
        <f>' Assumptions and Data'!$C$8</f>
        <v>0.4</v>
      </c>
      <c r="G26" s="76" t="e">
        <f>G22*F26</f>
        <v>#REF!</v>
      </c>
      <c r="H26" s="74"/>
      <c r="I26" s="82">
        <f>' Assumptions and Data'!$C$8</f>
        <v>0.4</v>
      </c>
      <c r="J26" s="76" t="e">
        <f>J22*I26</f>
        <v>#REF!</v>
      </c>
      <c r="K26" s="74"/>
      <c r="L26" s="82">
        <f>' Assumptions and Data'!$C$8</f>
        <v>0.4</v>
      </c>
      <c r="M26" s="76" t="e">
        <f>M22*L26</f>
        <v>#REF!</v>
      </c>
      <c r="N26" s="74"/>
      <c r="O26" s="82">
        <f>' Assumptions and Data'!$C$8</f>
        <v>0.4</v>
      </c>
      <c r="P26" s="76" t="e">
        <f>P22*O26</f>
        <v>#REF!</v>
      </c>
      <c r="Q26" s="74"/>
    </row>
    <row r="27" spans="1:17" ht="12.75">
      <c r="A27" s="4"/>
      <c r="B27" s="69"/>
      <c r="C27" s="83"/>
      <c r="D27" s="81" t="e">
        <f>SUM(D25:D26)</f>
        <v>#REF!</v>
      </c>
      <c r="E27" s="74"/>
      <c r="F27" s="83"/>
      <c r="G27" s="81" t="e">
        <f>SUM(G25:G26)</f>
        <v>#REF!</v>
      </c>
      <c r="H27" s="74"/>
      <c r="I27" s="83"/>
      <c r="J27" s="81" t="e">
        <f>SUM(J25:J26)</f>
        <v>#REF!</v>
      </c>
      <c r="K27" s="74"/>
      <c r="L27" s="83"/>
      <c r="M27" s="81" t="e">
        <f>SUM(M25:M26)</f>
        <v>#REF!</v>
      </c>
      <c r="N27" s="74"/>
      <c r="O27" s="83"/>
      <c r="P27" s="81" t="e">
        <f>SUM(P25:P26)</f>
        <v>#REF!</v>
      </c>
      <c r="Q27" s="74"/>
    </row>
    <row r="28" spans="1:17" ht="12.75">
      <c r="A28" s="4"/>
      <c r="B28" s="69"/>
      <c r="C28" s="83"/>
      <c r="D28" s="5"/>
      <c r="E28" s="74"/>
      <c r="F28" s="83"/>
      <c r="G28" s="5"/>
      <c r="H28" s="74"/>
      <c r="I28" s="83"/>
      <c r="J28" s="5"/>
      <c r="K28" s="74"/>
      <c r="L28" s="83"/>
      <c r="M28" s="5"/>
      <c r="N28" s="74"/>
      <c r="O28" s="83"/>
      <c r="P28" s="5"/>
      <c r="Q28" s="74"/>
    </row>
    <row r="29" spans="1:17" ht="12.75">
      <c r="A29" s="4"/>
      <c r="B29" s="69" t="s">
        <v>165</v>
      </c>
      <c r="C29" s="82">
        <f>' Assumptions and Data'!$C$9</f>
        <v>0.0401</v>
      </c>
      <c r="D29" s="76" t="e">
        <f>D25*C29</f>
        <v>#REF!</v>
      </c>
      <c r="E29" s="80"/>
      <c r="F29" s="82">
        <f>' Assumptions and Data'!$C$9</f>
        <v>0.0401</v>
      </c>
      <c r="G29" s="76" t="e">
        <f>G25*F29</f>
        <v>#REF!</v>
      </c>
      <c r="H29" s="80"/>
      <c r="I29" s="82">
        <f>' Assumptions and Data'!$C$9</f>
        <v>0.0401</v>
      </c>
      <c r="J29" s="76" t="e">
        <f>J25*I29</f>
        <v>#REF!</v>
      </c>
      <c r="K29" s="80"/>
      <c r="L29" s="82">
        <f>' Assumptions and Data'!$C$9</f>
        <v>0.0401</v>
      </c>
      <c r="M29" s="76" t="e">
        <f>M25*L29</f>
        <v>#REF!</v>
      </c>
      <c r="N29" s="80"/>
      <c r="O29" s="82">
        <f>' Assumptions and Data'!$C$9</f>
        <v>0.0401</v>
      </c>
      <c r="P29" s="76" t="e">
        <f>P25*O29</f>
        <v>#REF!</v>
      </c>
      <c r="Q29" s="80"/>
    </row>
    <row r="30" spans="1:17" ht="12.75">
      <c r="A30" s="4"/>
      <c r="B30" s="69" t="s">
        <v>166</v>
      </c>
      <c r="C30" s="82">
        <f>' Assumptions and Data'!$C$10</f>
        <v>0.0893</v>
      </c>
      <c r="D30" s="76" t="e">
        <f>D26*C30</f>
        <v>#REF!</v>
      </c>
      <c r="E30" s="80"/>
      <c r="F30" s="82">
        <f>' Assumptions and Data'!$C$10</f>
        <v>0.0893</v>
      </c>
      <c r="G30" s="76" t="e">
        <f>G26*F30</f>
        <v>#REF!</v>
      </c>
      <c r="H30" s="80"/>
      <c r="I30" s="82">
        <f>' Assumptions and Data'!$C$10</f>
        <v>0.0893</v>
      </c>
      <c r="J30" s="76" t="e">
        <f>J26*I30</f>
        <v>#REF!</v>
      </c>
      <c r="K30" s="80"/>
      <c r="L30" s="82">
        <f>' Assumptions and Data'!$C$10</f>
        <v>0.0893</v>
      </c>
      <c r="M30" s="76" t="e">
        <f>M26*L30</f>
        <v>#REF!</v>
      </c>
      <c r="N30" s="80"/>
      <c r="O30" s="82">
        <f>' Assumptions and Data'!$C$10</f>
        <v>0.0893</v>
      </c>
      <c r="P30" s="76" t="e">
        <f>P26*O30</f>
        <v>#REF!</v>
      </c>
      <c r="Q30" s="80"/>
    </row>
    <row r="31" spans="1:17" ht="15.75">
      <c r="A31" s="4"/>
      <c r="B31" s="21" t="s">
        <v>43</v>
      </c>
      <c r="C31" s="78"/>
      <c r="D31" s="81" t="e">
        <f>SUM(D29:D30)</f>
        <v>#REF!</v>
      </c>
      <c r="E31" s="80" t="e">
        <f>D31</f>
        <v>#REF!</v>
      </c>
      <c r="F31" s="78"/>
      <c r="G31" s="81" t="e">
        <f>SUM(G29:G30)</f>
        <v>#REF!</v>
      </c>
      <c r="H31" s="80" t="e">
        <f>G31</f>
        <v>#REF!</v>
      </c>
      <c r="I31" s="78"/>
      <c r="J31" s="81" t="e">
        <f>SUM(J29:J30)</f>
        <v>#REF!</v>
      </c>
      <c r="K31" s="80" t="e">
        <f>J31</f>
        <v>#REF!</v>
      </c>
      <c r="L31" s="78"/>
      <c r="M31" s="81" t="e">
        <f>SUM(M29:M30)</f>
        <v>#REF!</v>
      </c>
      <c r="N31" s="80" t="e">
        <f>M31</f>
        <v>#REF!</v>
      </c>
      <c r="O31" s="78"/>
      <c r="P31" s="81" t="e">
        <f>SUM(P29:P30)</f>
        <v>#REF!</v>
      </c>
      <c r="Q31" s="80" t="e">
        <f>P31</f>
        <v>#REF!</v>
      </c>
    </row>
    <row r="32" spans="1:17" ht="15.75">
      <c r="A32" s="4"/>
      <c r="B32" s="21"/>
      <c r="C32" s="78"/>
      <c r="D32" s="75"/>
      <c r="E32" s="84"/>
      <c r="F32" s="78"/>
      <c r="G32" s="75"/>
      <c r="H32" s="84"/>
      <c r="I32" s="78"/>
      <c r="J32" s="75"/>
      <c r="K32" s="84"/>
      <c r="L32" s="78"/>
      <c r="M32" s="75"/>
      <c r="N32" s="84"/>
      <c r="O32" s="78"/>
      <c r="P32" s="75"/>
      <c r="Q32" s="84"/>
    </row>
    <row r="33" spans="1:17" ht="18">
      <c r="A33" s="4"/>
      <c r="B33" s="13" t="s">
        <v>44</v>
      </c>
      <c r="C33" s="78"/>
      <c r="D33" s="75"/>
      <c r="E33" s="84"/>
      <c r="F33" s="78"/>
      <c r="G33" s="75"/>
      <c r="H33" s="84"/>
      <c r="I33" s="78"/>
      <c r="J33" s="75"/>
      <c r="K33" s="84"/>
      <c r="L33" s="78"/>
      <c r="M33" s="75"/>
      <c r="N33" s="84"/>
      <c r="O33" s="78"/>
      <c r="P33" s="75"/>
      <c r="Q33" s="84"/>
    </row>
    <row r="34" spans="1:17" ht="12.75">
      <c r="A34" s="4"/>
      <c r="B34" s="27" t="s">
        <v>167</v>
      </c>
      <c r="C34" s="78"/>
      <c r="D34" s="76"/>
      <c r="E34" s="85">
        <f>' Assumptions and Data'!C47</f>
        <v>0</v>
      </c>
      <c r="F34" s="79"/>
      <c r="G34" s="76"/>
      <c r="H34" s="85">
        <f>' Assumptions and Data'!D47</f>
        <v>0</v>
      </c>
      <c r="I34" s="79"/>
      <c r="J34" s="76"/>
      <c r="K34" s="85">
        <f>' Assumptions and Data'!F47</f>
        <v>0</v>
      </c>
      <c r="L34" s="79"/>
      <c r="M34" s="76"/>
      <c r="N34" s="85">
        <f>' Assumptions and Data'!G47</f>
        <v>0</v>
      </c>
      <c r="O34" s="79"/>
      <c r="P34" s="76"/>
      <c r="Q34" s="85">
        <f>' Assumptions and Data'!H47</f>
        <v>0</v>
      </c>
    </row>
    <row r="35" spans="1:17" ht="12.75">
      <c r="A35" s="4"/>
      <c r="B35" s="69"/>
      <c r="C35" s="78"/>
      <c r="D35" s="75"/>
      <c r="E35" s="84"/>
      <c r="F35" s="78"/>
      <c r="G35" s="75"/>
      <c r="H35" s="84"/>
      <c r="I35" s="78"/>
      <c r="J35" s="75"/>
      <c r="K35" s="84"/>
      <c r="L35" s="78"/>
      <c r="M35" s="75"/>
      <c r="N35" s="84"/>
      <c r="O35" s="78"/>
      <c r="P35" s="75"/>
      <c r="Q35" s="84"/>
    </row>
    <row r="36" spans="1:17" ht="18">
      <c r="A36" s="4"/>
      <c r="B36" s="13" t="s">
        <v>46</v>
      </c>
      <c r="C36" s="78"/>
      <c r="D36" s="75"/>
      <c r="E36" s="84"/>
      <c r="F36" s="78"/>
      <c r="G36" s="75"/>
      <c r="H36" s="84"/>
      <c r="I36" s="78"/>
      <c r="J36" s="75"/>
      <c r="K36" s="84"/>
      <c r="L36" s="78"/>
      <c r="M36" s="75"/>
      <c r="N36" s="84"/>
      <c r="O36" s="78"/>
      <c r="P36" s="75"/>
      <c r="Q36" s="84"/>
    </row>
    <row r="37" spans="1:17" ht="12.75">
      <c r="A37" s="4"/>
      <c r="B37" s="27" t="s">
        <v>87</v>
      </c>
      <c r="C37" s="78"/>
      <c r="D37" s="86">
        <f>SUM('9A. SM Avg Nt Fix Ass &amp;UCC'!C17:C17)</f>
        <v>0</v>
      </c>
      <c r="E37" s="80"/>
      <c r="F37" s="79"/>
      <c r="G37" s="86">
        <f>SUM('9A. SM Avg Nt Fix Ass &amp;UCC'!D17:D17)</f>
        <v>0</v>
      </c>
      <c r="H37" s="80"/>
      <c r="I37" s="79"/>
      <c r="J37" s="86">
        <f>SUM('9A. SM Avg Nt Fix Ass &amp;UCC'!E17:E17)</f>
        <v>0</v>
      </c>
      <c r="K37" s="80"/>
      <c r="L37" s="79"/>
      <c r="M37" s="86">
        <f>SUM('9A. SM Avg Nt Fix Ass &amp;UCC'!F17:F17)</f>
        <v>0</v>
      </c>
      <c r="N37" s="80"/>
      <c r="O37" s="79"/>
      <c r="P37" s="86">
        <f>SUM('9A. SM Avg Nt Fix Ass &amp;UCC'!G17:G17)</f>
        <v>0</v>
      </c>
      <c r="Q37" s="80"/>
    </row>
    <row r="38" spans="1:17" ht="12.75">
      <c r="A38" s="4"/>
      <c r="B38" s="27" t="s">
        <v>88</v>
      </c>
      <c r="C38" s="78"/>
      <c r="D38" s="86">
        <f>SUM('9A. SM Avg Nt Fix Ass &amp;UCC'!C31:C31)</f>
        <v>0</v>
      </c>
      <c r="E38" s="80"/>
      <c r="F38" s="79"/>
      <c r="G38" s="86">
        <f>SUM('9A. SM Avg Nt Fix Ass &amp;UCC'!D31:D31)</f>
        <v>0</v>
      </c>
      <c r="H38" s="80"/>
      <c r="I38" s="79"/>
      <c r="J38" s="86">
        <f>SUM('9A. SM Avg Nt Fix Ass &amp;UCC'!E31:E31)</f>
        <v>0</v>
      </c>
      <c r="K38" s="80"/>
      <c r="L38" s="79"/>
      <c r="M38" s="86">
        <f>SUM('9A. SM Avg Nt Fix Ass &amp;UCC'!F31:F31)</f>
        <v>0</v>
      </c>
      <c r="N38" s="80"/>
      <c r="O38" s="79"/>
      <c r="P38" s="86">
        <f>SUM('9A. SM Avg Nt Fix Ass &amp;UCC'!G31:G31)</f>
        <v>0</v>
      </c>
      <c r="Q38" s="80"/>
    </row>
    <row r="39" spans="1:17" ht="12.75">
      <c r="A39" s="4"/>
      <c r="B39" s="27" t="s">
        <v>89</v>
      </c>
      <c r="C39" s="78"/>
      <c r="D39" s="86">
        <f>SUM('9A. SM Avg Nt Fix Ass &amp;UCC'!C45:C45)</f>
        <v>0</v>
      </c>
      <c r="E39" s="80"/>
      <c r="F39" s="79"/>
      <c r="G39" s="86">
        <f>SUM('9A. SM Avg Nt Fix Ass &amp;UCC'!D45:D45)</f>
        <v>0</v>
      </c>
      <c r="H39" s="80"/>
      <c r="I39" s="79"/>
      <c r="J39" s="86">
        <f>SUM('9A. SM Avg Nt Fix Ass &amp;UCC'!E45:E45)</f>
        <v>0</v>
      </c>
      <c r="K39" s="80"/>
      <c r="L39" s="79"/>
      <c r="M39" s="86">
        <f>SUM('9A. SM Avg Nt Fix Ass &amp;UCC'!F45:F45)</f>
        <v>0</v>
      </c>
      <c r="N39" s="80"/>
      <c r="O39" s="79"/>
      <c r="P39" s="86">
        <f>SUM('9A. SM Avg Nt Fix Ass &amp;UCC'!G45:G45)</f>
        <v>0</v>
      </c>
      <c r="Q39" s="80"/>
    </row>
    <row r="40" spans="1:17" ht="12.75">
      <c r="A40" s="4"/>
      <c r="B40" s="27" t="s">
        <v>90</v>
      </c>
      <c r="C40" s="78"/>
      <c r="D40" s="86" t="e">
        <f>SUM('9A. SM Avg Nt Fix Ass &amp;UCC'!C60:C60)</f>
        <v>#REF!</v>
      </c>
      <c r="E40" s="80"/>
      <c r="F40" s="79"/>
      <c r="G40" s="86" t="e">
        <f>SUM('9A. SM Avg Nt Fix Ass &amp;UCC'!D60:D60)</f>
        <v>#REF!</v>
      </c>
      <c r="H40" s="80"/>
      <c r="I40" s="79"/>
      <c r="J40" s="86" t="e">
        <f>SUM('9A. SM Avg Nt Fix Ass &amp;UCC'!E60:E60)</f>
        <v>#REF!</v>
      </c>
      <c r="K40" s="80"/>
      <c r="L40" s="79"/>
      <c r="M40" s="86" t="e">
        <f>SUM('9A. SM Avg Nt Fix Ass &amp;UCC'!F60:F60)</f>
        <v>#REF!</v>
      </c>
      <c r="N40" s="80"/>
      <c r="O40" s="79"/>
      <c r="P40" s="86" t="e">
        <f>SUM('9A. SM Avg Nt Fix Ass &amp;UCC'!G60:G60)</f>
        <v>#REF!</v>
      </c>
      <c r="Q40" s="80"/>
    </row>
    <row r="41" spans="1:17" ht="12.75">
      <c r="A41" s="4"/>
      <c r="B41" s="27" t="s">
        <v>91</v>
      </c>
      <c r="C41" s="78"/>
      <c r="D41" s="86" t="e">
        <f>SUM('9A. SM Avg Nt Fix Ass &amp;UCC'!C74:C74)</f>
        <v>#DIV/0!</v>
      </c>
      <c r="E41" s="80"/>
      <c r="F41" s="79"/>
      <c r="G41" s="86" t="e">
        <f>SUM('9A. SM Avg Nt Fix Ass &amp;UCC'!D74:D74)</f>
        <v>#DIV/0!</v>
      </c>
      <c r="H41" s="80"/>
      <c r="I41" s="79"/>
      <c r="J41" s="86" t="e">
        <f>SUM('9A. SM Avg Nt Fix Ass &amp;UCC'!E74:E74)</f>
        <v>#DIV/0!</v>
      </c>
      <c r="K41" s="80"/>
      <c r="L41" s="79"/>
      <c r="M41" s="86" t="e">
        <f>SUM('9A. SM Avg Nt Fix Ass &amp;UCC'!F74:F74)</f>
        <v>#DIV/0!</v>
      </c>
      <c r="N41" s="80"/>
      <c r="O41" s="79"/>
      <c r="P41" s="86" t="e">
        <f>SUM('9A. SM Avg Nt Fix Ass &amp;UCC'!G74:G74)</f>
        <v>#DIV/0!</v>
      </c>
      <c r="Q41" s="80"/>
    </row>
    <row r="42" spans="1:17" ht="15.75">
      <c r="A42" s="4"/>
      <c r="B42" s="21" t="s">
        <v>92</v>
      </c>
      <c r="C42" s="78"/>
      <c r="D42" s="76"/>
      <c r="E42" s="87" t="e">
        <f>SUM(D37:D41)</f>
        <v>#REF!</v>
      </c>
      <c r="F42" s="79"/>
      <c r="G42" s="76"/>
      <c r="H42" s="87" t="e">
        <f>SUM(G37:G41)</f>
        <v>#REF!</v>
      </c>
      <c r="I42" s="79"/>
      <c r="J42" s="76"/>
      <c r="K42" s="87" t="e">
        <f>SUM(J37:J41)</f>
        <v>#REF!</v>
      </c>
      <c r="L42" s="79"/>
      <c r="M42" s="76"/>
      <c r="N42" s="87" t="e">
        <f>SUM(M37:M41)</f>
        <v>#REF!</v>
      </c>
      <c r="O42" s="79"/>
      <c r="P42" s="76"/>
      <c r="Q42" s="87" t="e">
        <f>SUM(P37:P41)</f>
        <v>#REF!</v>
      </c>
    </row>
    <row r="43" spans="1:17" ht="12.75">
      <c r="A43" s="4"/>
      <c r="B43" s="69"/>
      <c r="C43" s="78"/>
      <c r="D43" s="76"/>
      <c r="E43" s="80"/>
      <c r="F43" s="78"/>
      <c r="G43" s="5"/>
      <c r="H43" s="88"/>
      <c r="I43" s="78"/>
      <c r="J43" s="5"/>
      <c r="K43" s="88"/>
      <c r="L43" s="78"/>
      <c r="M43" s="5"/>
      <c r="N43" s="88"/>
      <c r="O43" s="78"/>
      <c r="P43" s="5"/>
      <c r="Q43" s="88"/>
    </row>
    <row r="44" spans="1:17" ht="15.75">
      <c r="A44" s="4"/>
      <c r="B44" s="21" t="s">
        <v>48</v>
      </c>
      <c r="C44" s="78"/>
      <c r="D44" s="76"/>
      <c r="E44" s="89" t="e">
        <f>SUM(E31,E42,E34)</f>
        <v>#REF!</v>
      </c>
      <c r="F44" s="79"/>
      <c r="G44" s="76"/>
      <c r="H44" s="89" t="e">
        <f>SUM(H31,H42,H34)</f>
        <v>#REF!</v>
      </c>
      <c r="I44" s="79"/>
      <c r="J44" s="76"/>
      <c r="K44" s="89" t="e">
        <f>SUM(K31,K42,K34)</f>
        <v>#REF!</v>
      </c>
      <c r="L44" s="79"/>
      <c r="M44" s="76"/>
      <c r="N44" s="89" t="e">
        <f>SUM(N31,N42,N34)</f>
        <v>#REF!</v>
      </c>
      <c r="O44" s="79"/>
      <c r="P44" s="76"/>
      <c r="Q44" s="89" t="e">
        <f>SUM(Q31,Q42,Q34)</f>
        <v>#REF!</v>
      </c>
    </row>
    <row r="45" spans="1:17" ht="15.75">
      <c r="A45" s="4"/>
      <c r="B45" s="21"/>
      <c r="C45" s="78"/>
      <c r="D45" s="76"/>
      <c r="E45" s="80"/>
      <c r="F45" s="79"/>
      <c r="G45" s="76"/>
      <c r="H45" s="80"/>
      <c r="I45" s="79"/>
      <c r="J45" s="76"/>
      <c r="K45" s="80"/>
      <c r="L45" s="79"/>
      <c r="M45" s="76"/>
      <c r="N45" s="80"/>
      <c r="O45" s="79"/>
      <c r="P45" s="76"/>
      <c r="Q45" s="80"/>
    </row>
    <row r="46" spans="1:17" ht="18">
      <c r="A46" s="4"/>
      <c r="B46" s="13" t="s">
        <v>93</v>
      </c>
      <c r="C46" s="78"/>
      <c r="D46" s="76"/>
      <c r="E46" s="80"/>
      <c r="F46" s="79"/>
      <c r="G46" s="76"/>
      <c r="H46" s="80"/>
      <c r="I46" s="79"/>
      <c r="J46" s="76"/>
      <c r="K46" s="80"/>
      <c r="L46" s="79"/>
      <c r="M46" s="76"/>
      <c r="N46" s="80"/>
      <c r="O46" s="79"/>
      <c r="P46" s="76"/>
      <c r="Q46" s="80"/>
    </row>
    <row r="47" spans="1:17" ht="12.75">
      <c r="A47" s="4"/>
      <c r="B47" s="27" t="s">
        <v>45</v>
      </c>
      <c r="C47" s="78"/>
      <c r="D47" s="76"/>
      <c r="E47" s="80">
        <f>-E34</f>
        <v>0</v>
      </c>
      <c r="F47" s="79"/>
      <c r="G47" s="76"/>
      <c r="H47" s="80">
        <f>-H34</f>
        <v>0</v>
      </c>
      <c r="I47" s="79"/>
      <c r="J47" s="76"/>
      <c r="K47" s="80">
        <f>-K34</f>
        <v>0</v>
      </c>
      <c r="L47" s="79"/>
      <c r="M47" s="76"/>
      <c r="N47" s="80">
        <f>-N34</f>
        <v>0</v>
      </c>
      <c r="O47" s="79"/>
      <c r="P47" s="76"/>
      <c r="Q47" s="80">
        <f>-Q34</f>
        <v>0</v>
      </c>
    </row>
    <row r="48" spans="1:17" ht="12.75">
      <c r="A48" s="4"/>
      <c r="B48" s="27" t="s">
        <v>94</v>
      </c>
      <c r="C48" s="78"/>
      <c r="D48" s="76"/>
      <c r="E48" s="80" t="e">
        <f>-E42</f>
        <v>#REF!</v>
      </c>
      <c r="F48" s="79"/>
      <c r="G48" s="76"/>
      <c r="H48" s="80" t="e">
        <f>-H42</f>
        <v>#REF!</v>
      </c>
      <c r="I48" s="79"/>
      <c r="J48" s="76"/>
      <c r="K48" s="80" t="e">
        <f>-K42</f>
        <v>#REF!</v>
      </c>
      <c r="L48" s="79"/>
      <c r="M48" s="76"/>
      <c r="N48" s="80" t="e">
        <f>-N42</f>
        <v>#REF!</v>
      </c>
      <c r="O48" s="79"/>
      <c r="P48" s="76"/>
      <c r="Q48" s="80" t="e">
        <f>-Q42</f>
        <v>#REF!</v>
      </c>
    </row>
    <row r="49" spans="1:17" ht="12.75">
      <c r="A49" s="4"/>
      <c r="B49" s="27" t="s">
        <v>95</v>
      </c>
      <c r="C49" s="78"/>
      <c r="D49" s="76"/>
      <c r="E49" s="80" t="e">
        <f>-D29</f>
        <v>#REF!</v>
      </c>
      <c r="F49" s="79"/>
      <c r="G49" s="76"/>
      <c r="H49" s="80" t="e">
        <f>-G29</f>
        <v>#REF!</v>
      </c>
      <c r="I49" s="79"/>
      <c r="J49" s="76"/>
      <c r="K49" s="80" t="e">
        <f>-J29</f>
        <v>#REF!</v>
      </c>
      <c r="L49" s="79"/>
      <c r="M49" s="76"/>
      <c r="N49" s="80" t="e">
        <f>-M29</f>
        <v>#REF!</v>
      </c>
      <c r="O49" s="79"/>
      <c r="P49" s="76"/>
      <c r="Q49" s="80" t="e">
        <f>-P29</f>
        <v>#REF!</v>
      </c>
    </row>
    <row r="50" spans="1:17" ht="15.75">
      <c r="A50" s="4"/>
      <c r="B50" s="21" t="s">
        <v>96</v>
      </c>
      <c r="C50" s="78"/>
      <c r="D50" s="76"/>
      <c r="E50" s="90" t="e">
        <f>SUM(E44:E49)</f>
        <v>#REF!</v>
      </c>
      <c r="F50" s="79"/>
      <c r="G50" s="76"/>
      <c r="H50" s="90" t="e">
        <f>SUM(H44:H49)</f>
        <v>#REF!</v>
      </c>
      <c r="I50" s="79"/>
      <c r="J50" s="76"/>
      <c r="K50" s="90" t="e">
        <f>SUM(K44:K49)</f>
        <v>#REF!</v>
      </c>
      <c r="L50" s="79"/>
      <c r="M50" s="76"/>
      <c r="N50" s="90" t="e">
        <f>SUM(N44:N49)</f>
        <v>#REF!</v>
      </c>
      <c r="O50" s="79"/>
      <c r="P50" s="76"/>
      <c r="Q50" s="90" t="e">
        <f>SUM(Q44:Q49)</f>
        <v>#REF!</v>
      </c>
    </row>
    <row r="51" spans="1:17" ht="15.75">
      <c r="A51" s="4"/>
      <c r="B51" s="21"/>
      <c r="C51" s="78"/>
      <c r="D51" s="76"/>
      <c r="E51" s="91"/>
      <c r="F51" s="79"/>
      <c r="G51" s="76"/>
      <c r="H51" s="91"/>
      <c r="I51" s="79"/>
      <c r="J51" s="76"/>
      <c r="K51" s="91"/>
      <c r="L51" s="79"/>
      <c r="M51" s="76"/>
      <c r="N51" s="91"/>
      <c r="O51" s="79"/>
      <c r="P51" s="76"/>
      <c r="Q51" s="91"/>
    </row>
    <row r="52" spans="1:17" ht="15.75">
      <c r="A52" s="4"/>
      <c r="B52" s="21" t="s">
        <v>168</v>
      </c>
      <c r="C52" s="78"/>
      <c r="D52" s="76"/>
      <c r="E52" s="85" t="e">
        <f>'8A. PILs'!C46</f>
        <v>#REF!</v>
      </c>
      <c r="F52" s="79"/>
      <c r="G52" s="76"/>
      <c r="H52" s="85" t="e">
        <f>'8A. PILs'!D46</f>
        <v>#REF!</v>
      </c>
      <c r="I52" s="79"/>
      <c r="J52" s="76"/>
      <c r="K52" s="85" t="e">
        <f>'8A. PILs'!E46</f>
        <v>#REF!</v>
      </c>
      <c r="L52" s="79"/>
      <c r="M52" s="76"/>
      <c r="N52" s="85" t="e">
        <f>'8A. PILs'!F46</f>
        <v>#REF!</v>
      </c>
      <c r="O52" s="79"/>
      <c r="P52" s="76"/>
      <c r="Q52" s="85" t="e">
        <f>'8A. PILs'!G46</f>
        <v>#REF!</v>
      </c>
    </row>
    <row r="53" spans="1:17" ht="12.75">
      <c r="A53" s="4"/>
      <c r="B53" s="69"/>
      <c r="C53" s="78"/>
      <c r="D53" s="76"/>
      <c r="E53" s="91"/>
      <c r="F53" s="79"/>
      <c r="G53" s="76"/>
      <c r="H53" s="91"/>
      <c r="I53" s="79"/>
      <c r="J53" s="76"/>
      <c r="K53" s="91"/>
      <c r="L53" s="79"/>
      <c r="M53" s="76"/>
      <c r="N53" s="91"/>
      <c r="O53" s="79"/>
      <c r="P53" s="76"/>
      <c r="Q53" s="91"/>
    </row>
    <row r="54" spans="1:17" ht="12.75">
      <c r="A54" s="4"/>
      <c r="B54" s="69" t="str">
        <f>B44</f>
        <v>Revenue Requirement Before PILs</v>
      </c>
      <c r="C54" s="78"/>
      <c r="D54" s="76"/>
      <c r="E54" s="91" t="e">
        <f>E44</f>
        <v>#REF!</v>
      </c>
      <c r="F54" s="79"/>
      <c r="G54" s="76"/>
      <c r="H54" s="91" t="e">
        <f>H44</f>
        <v>#REF!</v>
      </c>
      <c r="I54" s="79"/>
      <c r="J54" s="76"/>
      <c r="K54" s="91" t="e">
        <f>K44</f>
        <v>#REF!</v>
      </c>
      <c r="L54" s="79"/>
      <c r="M54" s="76"/>
      <c r="N54" s="91" t="e">
        <f>N44</f>
        <v>#REF!</v>
      </c>
      <c r="O54" s="79"/>
      <c r="P54" s="76"/>
      <c r="Q54" s="91" t="e">
        <f>Q44</f>
        <v>#REF!</v>
      </c>
    </row>
    <row r="55" spans="1:17" ht="12.75">
      <c r="A55" s="4"/>
      <c r="B55" s="69" t="s">
        <v>97</v>
      </c>
      <c r="C55" s="78"/>
      <c r="D55" s="76"/>
      <c r="E55" s="91" t="e">
        <f>E52</f>
        <v>#REF!</v>
      </c>
      <c r="F55" s="79"/>
      <c r="G55" s="76"/>
      <c r="H55" s="91" t="e">
        <f>H52</f>
        <v>#REF!</v>
      </c>
      <c r="I55" s="79"/>
      <c r="J55" s="76"/>
      <c r="K55" s="91" t="e">
        <f>K52</f>
        <v>#REF!</v>
      </c>
      <c r="L55" s="79"/>
      <c r="M55" s="76"/>
      <c r="N55" s="91" t="e">
        <f>N52</f>
        <v>#REF!</v>
      </c>
      <c r="O55" s="79"/>
      <c r="P55" s="76"/>
      <c r="Q55" s="91" t="e">
        <f>Q52</f>
        <v>#REF!</v>
      </c>
    </row>
    <row r="56" spans="1:17" ht="16.5" thickBot="1">
      <c r="A56" s="4"/>
      <c r="B56" s="21" t="s">
        <v>50</v>
      </c>
      <c r="C56" s="78"/>
      <c r="D56" s="76"/>
      <c r="E56" s="92" t="e">
        <f>SUM(E54:E55)</f>
        <v>#REF!</v>
      </c>
      <c r="F56" s="79"/>
      <c r="G56" s="76"/>
      <c r="H56" s="92" t="e">
        <f>SUM(H54:H55)</f>
        <v>#REF!</v>
      </c>
      <c r="I56" s="79"/>
      <c r="J56" s="76"/>
      <c r="K56" s="92" t="e">
        <f>SUM(K54:K55)</f>
        <v>#REF!</v>
      </c>
      <c r="L56" s="79"/>
      <c r="M56" s="76"/>
      <c r="N56" s="92" t="e">
        <f>SUM(N54:N55)</f>
        <v>#REF!</v>
      </c>
      <c r="O56" s="79"/>
      <c r="P56" s="76"/>
      <c r="Q56" s="92" t="e">
        <f>SUM(Q54:Q55)</f>
        <v>#REF!</v>
      </c>
    </row>
    <row r="57" spans="1:17" ht="12.75">
      <c r="A57" s="4"/>
      <c r="B57" s="69"/>
      <c r="C57" s="78"/>
      <c r="D57" s="76"/>
      <c r="E57" s="80"/>
      <c r="F57" s="79"/>
      <c r="G57" s="76"/>
      <c r="H57" s="80"/>
      <c r="I57" s="79"/>
      <c r="J57" s="76"/>
      <c r="K57" s="80"/>
      <c r="L57" s="79"/>
      <c r="M57" s="76"/>
      <c r="N57" s="80"/>
      <c r="O57" s="79"/>
      <c r="P57" s="76"/>
      <c r="Q57" s="80"/>
    </row>
    <row r="58" spans="1:17" ht="18">
      <c r="A58" s="4"/>
      <c r="B58" s="13" t="s">
        <v>98</v>
      </c>
      <c r="C58" s="78"/>
      <c r="D58" s="76"/>
      <c r="E58" s="80"/>
      <c r="F58" s="79"/>
      <c r="G58" s="76"/>
      <c r="H58" s="80"/>
      <c r="I58" s="79"/>
      <c r="J58" s="76"/>
      <c r="K58" s="80"/>
      <c r="L58" s="79"/>
      <c r="M58" s="76"/>
      <c r="N58" s="80"/>
      <c r="O58" s="79"/>
      <c r="P58" s="76"/>
      <c r="Q58" s="80"/>
    </row>
    <row r="59" spans="1:17" ht="12.75">
      <c r="A59" s="4"/>
      <c r="B59" s="27" t="s">
        <v>50</v>
      </c>
      <c r="C59" s="78"/>
      <c r="D59" s="76"/>
      <c r="E59" s="80" t="e">
        <f>E56</f>
        <v>#REF!</v>
      </c>
      <c r="F59" s="79"/>
      <c r="G59" s="76"/>
      <c r="H59" s="80" t="e">
        <f>H56</f>
        <v>#REF!</v>
      </c>
      <c r="I59" s="79"/>
      <c r="J59" s="76"/>
      <c r="K59" s="80" t="e">
        <f>K56</f>
        <v>#REF!</v>
      </c>
      <c r="L59" s="79"/>
      <c r="M59" s="76"/>
      <c r="N59" s="80" t="e">
        <f>N56</f>
        <v>#REF!</v>
      </c>
      <c r="O59" s="79"/>
      <c r="P59" s="76"/>
      <c r="Q59" s="80" t="e">
        <f>Q56</f>
        <v>#REF!</v>
      </c>
    </row>
    <row r="60" spans="1:17" ht="12.75">
      <c r="A60" s="4"/>
      <c r="B60" s="27" t="s">
        <v>169</v>
      </c>
      <c r="C60" s="78"/>
      <c r="D60" s="76"/>
      <c r="E60" s="93">
        <f>' Assumptions and Data'!$C$23</f>
        <v>347105.37499999977</v>
      </c>
      <c r="F60" s="79"/>
      <c r="G60" s="76"/>
      <c r="H60" s="93">
        <f>' Assumptions and Data'!$C$23</f>
        <v>347105.37499999977</v>
      </c>
      <c r="I60" s="79"/>
      <c r="J60" s="76"/>
      <c r="K60" s="93">
        <f>' Assumptions and Data'!$C$23</f>
        <v>347105.37499999977</v>
      </c>
      <c r="L60" s="79"/>
      <c r="M60" s="76"/>
      <c r="N60" s="93">
        <f>' Assumptions and Data'!$C$23</f>
        <v>347105.37499999977</v>
      </c>
      <c r="O60" s="79"/>
      <c r="P60" s="76"/>
      <c r="Q60" s="93">
        <f>' Assumptions and Data'!$C$23</f>
        <v>347105.37499999977</v>
      </c>
    </row>
    <row r="61" spans="1:17" ht="12.75">
      <c r="A61" s="4"/>
      <c r="B61" s="27" t="s">
        <v>99</v>
      </c>
      <c r="C61" s="78"/>
      <c r="D61" s="76"/>
      <c r="E61" s="89">
        <f>IF(ISERROR(E59/E60),0,E59/E60)</f>
        <v>0</v>
      </c>
      <c r="F61" s="79"/>
      <c r="G61" s="76"/>
      <c r="H61" s="89">
        <f>IF(ISERROR(H59/H60),0,H59/H60)</f>
        <v>0</v>
      </c>
      <c r="I61" s="79"/>
      <c r="J61" s="76"/>
      <c r="K61" s="89">
        <f>IF(ISERROR(K59/K60),0,K59/K60)</f>
        <v>0</v>
      </c>
      <c r="L61" s="79"/>
      <c r="M61" s="76"/>
      <c r="N61" s="89">
        <f>IF(ISERROR(N59/N60),0,N59/N60)</f>
        <v>0</v>
      </c>
      <c r="O61" s="79"/>
      <c r="P61" s="76"/>
      <c r="Q61" s="89">
        <f>IF(ISERROR(Q59/Q60),0,Q59/Q60)</f>
        <v>0</v>
      </c>
    </row>
    <row r="62" spans="1:17" ht="12.75">
      <c r="A62" s="4"/>
      <c r="B62" s="27" t="s">
        <v>100</v>
      </c>
      <c r="C62" s="78"/>
      <c r="D62" s="5"/>
      <c r="E62" s="94">
        <v>12</v>
      </c>
      <c r="F62" s="78"/>
      <c r="G62" s="5"/>
      <c r="H62" s="94">
        <v>12</v>
      </c>
      <c r="I62" s="78"/>
      <c r="J62" s="5"/>
      <c r="K62" s="94">
        <v>12</v>
      </c>
      <c r="L62" s="78"/>
      <c r="M62" s="5"/>
      <c r="N62" s="94">
        <v>12</v>
      </c>
      <c r="O62" s="78"/>
      <c r="P62" s="5"/>
      <c r="Q62" s="94">
        <v>12</v>
      </c>
    </row>
    <row r="63" spans="1:17" ht="16.5" thickBot="1">
      <c r="A63" s="4"/>
      <c r="B63" s="21" t="s">
        <v>98</v>
      </c>
      <c r="C63" s="95"/>
      <c r="D63" s="96"/>
      <c r="E63" s="92">
        <f>E61/E62</f>
        <v>0</v>
      </c>
      <c r="F63" s="97"/>
      <c r="G63" s="98"/>
      <c r="H63" s="92">
        <f>H61/H62</f>
        <v>0</v>
      </c>
      <c r="I63" s="97"/>
      <c r="J63" s="98"/>
      <c r="K63" s="92">
        <f>K61/K62</f>
        <v>0</v>
      </c>
      <c r="L63" s="97"/>
      <c r="M63" s="98"/>
      <c r="N63" s="92">
        <f>N61/N62</f>
        <v>0</v>
      </c>
      <c r="O63" s="97"/>
      <c r="P63" s="98"/>
      <c r="Q63" s="92">
        <f>Q61/Q62</f>
        <v>0</v>
      </c>
    </row>
    <row r="64" spans="1:7" ht="67.5" customHeight="1">
      <c r="A64" s="4"/>
      <c r="B64" s="69"/>
      <c r="C64" s="4"/>
      <c r="D64" s="4"/>
      <c r="E64" s="4"/>
      <c r="F64"/>
      <c r="G64" s="67"/>
    </row>
    <row r="65" spans="1:7" ht="12.75">
      <c r="A65" s="4"/>
      <c r="B65" s="4"/>
      <c r="C65" s="4"/>
      <c r="D65" s="4"/>
      <c r="E65" s="4"/>
      <c r="F65" s="4"/>
      <c r="G65" s="67"/>
    </row>
    <row r="66" spans="1:7" ht="12.75">
      <c r="A66" s="4"/>
      <c r="B66" s="4"/>
      <c r="C66" s="4"/>
      <c r="D66" s="4"/>
      <c r="E66" s="4"/>
      <c r="F66" s="4"/>
      <c r="G66" s="67"/>
    </row>
    <row r="67" spans="1:7" ht="21.75" customHeight="1">
      <c r="A67" s="4"/>
      <c r="B67" s="4"/>
      <c r="C67" s="4"/>
      <c r="D67" s="4"/>
      <c r="E67" s="4"/>
      <c r="F67" s="4"/>
      <c r="G67" s="67"/>
    </row>
    <row r="68" spans="1:7" ht="45.75" customHeight="1">
      <c r="A68" s="4"/>
      <c r="B68" s="69"/>
      <c r="C68" s="4"/>
      <c r="D68" s="4"/>
      <c r="E68" s="4"/>
      <c r="F68" s="4"/>
      <c r="G68" s="67"/>
    </row>
  </sheetData>
  <sheetProtection formatColumns="0" selectLockedCells="1"/>
  <mergeCells count="9">
    <mergeCell ref="L10:N10"/>
    <mergeCell ref="O10:Q10"/>
    <mergeCell ref="C10:E10"/>
    <mergeCell ref="B2:E2"/>
    <mergeCell ref="B3:E3"/>
    <mergeCell ref="B1:E1"/>
    <mergeCell ref="B5:D5"/>
    <mergeCell ref="F10:H10"/>
    <mergeCell ref="I10:K10"/>
  </mergeCells>
  <printOptions/>
  <pageMargins left="0.43" right="0.43" top="0.79" bottom="0.54" header="0.5" footer="0.5"/>
  <pageSetup fitToHeight="1" fitToWidth="1" horizontalDpi="600" verticalDpi="600" orientation="landscape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6"/>
  <sheetViews>
    <sheetView view="pageBreakPreview" zoomScale="60" zoomScalePageLayoutView="0" workbookViewId="0" topLeftCell="B1">
      <selection activeCell="O35" sqref="O35"/>
    </sheetView>
  </sheetViews>
  <sheetFormatPr defaultColWidth="9.140625" defaultRowHeight="12.75" outlineLevelCol="1"/>
  <cols>
    <col min="1" max="1" width="16.28125" style="6" customWidth="1"/>
    <col min="2" max="2" width="57.8515625" style="6" bestFit="1" customWidth="1"/>
    <col min="3" max="4" width="15.00390625" style="6" hidden="1" customWidth="1" outlineLevel="1"/>
    <col min="5" max="5" width="16.28125" style="6" bestFit="1" customWidth="1" collapsed="1"/>
    <col min="6" max="6" width="16.140625" style="6" bestFit="1" customWidth="1"/>
    <col min="7" max="7" width="17.57421875" style="6" bestFit="1" customWidth="1"/>
    <col min="8" max="8" width="9.140625" style="6" customWidth="1"/>
    <col min="9" max="9" width="19.57421875" style="6" bestFit="1" customWidth="1"/>
    <col min="10" max="16384" width="9.140625" style="6" customWidth="1"/>
  </cols>
  <sheetData>
    <row r="1" spans="1:6" s="2" customFormat="1" ht="20.25" customHeight="1">
      <c r="A1" s="1"/>
      <c r="B1" s="234"/>
      <c r="C1" s="234"/>
      <c r="D1" s="234"/>
      <c r="E1" s="234"/>
      <c r="F1" s="1"/>
    </row>
    <row r="2" spans="1:6" s="2" customFormat="1" ht="18.75" customHeight="1">
      <c r="A2" s="1"/>
      <c r="B2" s="255" t="e">
        <f>#REF!</f>
        <v>#REF!</v>
      </c>
      <c r="C2" s="255"/>
      <c r="D2" s="255"/>
      <c r="E2" s="255"/>
      <c r="F2" s="1"/>
    </row>
    <row r="3" spans="1:6" s="2" customFormat="1" ht="18.75" customHeight="1">
      <c r="A3" s="1"/>
      <c r="B3" s="256" t="e">
        <f>#REF!</f>
        <v>#REF!</v>
      </c>
      <c r="C3" s="256"/>
      <c r="D3" s="256"/>
      <c r="E3" s="256"/>
      <c r="F3" s="1"/>
    </row>
    <row r="4" spans="1:6" s="2" customFormat="1" ht="18">
      <c r="A4" s="1"/>
      <c r="B4" s="10" t="e">
        <f>#REF!</f>
        <v>#REF!</v>
      </c>
      <c r="C4" s="9"/>
      <c r="D4" s="9"/>
      <c r="E4" s="9"/>
      <c r="F4" s="1"/>
    </row>
    <row r="5" spans="1:6" s="2" customFormat="1" ht="21" customHeight="1">
      <c r="A5" s="1"/>
      <c r="B5" s="257" t="s">
        <v>184</v>
      </c>
      <c r="C5" s="257"/>
      <c r="D5" s="257"/>
      <c r="E5" s="257"/>
      <c r="F5" s="1"/>
    </row>
    <row r="6" spans="1:7" s="2" customFormat="1" ht="6" customHeight="1">
      <c r="A6" s="12"/>
      <c r="B6" s="12"/>
      <c r="C6" s="12"/>
      <c r="D6" s="12"/>
      <c r="E6" s="12"/>
      <c r="F6" s="12"/>
      <c r="G6" s="12"/>
    </row>
    <row r="7" spans="1:6" ht="12.75">
      <c r="A7" s="4"/>
      <c r="B7" s="4"/>
      <c r="C7" s="4"/>
      <c r="D7" s="4"/>
      <c r="E7" s="4"/>
      <c r="F7" s="4"/>
    </row>
    <row r="8" spans="1:6" ht="26.25">
      <c r="A8" s="4"/>
      <c r="B8" s="68" t="s">
        <v>101</v>
      </c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7" ht="12.75">
      <c r="A10" s="4"/>
      <c r="B10" s="4"/>
      <c r="C10" s="4">
        <v>2006</v>
      </c>
      <c r="D10" s="4">
        <v>2007</v>
      </c>
      <c r="E10" s="4">
        <v>2008</v>
      </c>
      <c r="F10" s="4">
        <v>2009</v>
      </c>
      <c r="G10" s="4">
        <v>2010</v>
      </c>
    </row>
    <row r="11" spans="1:6" ht="12.75">
      <c r="A11" s="4"/>
      <c r="B11" s="17" t="s">
        <v>102</v>
      </c>
      <c r="C11" s="4"/>
      <c r="D11" s="4"/>
      <c r="E11" s="4"/>
      <c r="F11" s="4"/>
    </row>
    <row r="12" spans="1:7" ht="12.75">
      <c r="A12" s="4"/>
      <c r="B12" s="4" t="s">
        <v>103</v>
      </c>
      <c r="C12" s="100" t="e">
        <f>'7A.  Smart Meter Rate Calc'!E50</f>
        <v>#REF!</v>
      </c>
      <c r="D12" s="100" t="e">
        <f>'7A.  Smart Meter Rate Calc'!H50</f>
        <v>#REF!</v>
      </c>
      <c r="E12" s="100" t="e">
        <f>'7A.  Smart Meter Rate Calc'!K50</f>
        <v>#REF!</v>
      </c>
      <c r="F12" s="100" t="e">
        <f>'7A.  Smart Meter Rate Calc'!N50</f>
        <v>#REF!</v>
      </c>
      <c r="G12" s="100" t="e">
        <f>'7A.  Smart Meter Rate Calc'!Q50</f>
        <v>#REF!</v>
      </c>
    </row>
    <row r="13" spans="1:7" ht="12.75">
      <c r="A13" s="4"/>
      <c r="B13" s="4" t="s">
        <v>170</v>
      </c>
      <c r="C13" s="100" t="e">
        <f>-'7A.  Smart Meter Rate Calc'!E48</f>
        <v>#REF!</v>
      </c>
      <c r="D13" s="100" t="e">
        <f>-'7A.  Smart Meter Rate Calc'!H48</f>
        <v>#REF!</v>
      </c>
      <c r="E13" s="100" t="e">
        <f>-'7A.  Smart Meter Rate Calc'!K48</f>
        <v>#REF!</v>
      </c>
      <c r="F13" s="100" t="e">
        <f>-'7A.  Smart Meter Rate Calc'!N48</f>
        <v>#REF!</v>
      </c>
      <c r="G13" s="100" t="e">
        <f>-'7A.  Smart Meter Rate Calc'!Q48</f>
        <v>#REF!</v>
      </c>
    </row>
    <row r="14" spans="1:7" ht="12.75">
      <c r="A14" s="4"/>
      <c r="B14" s="4" t="s">
        <v>104</v>
      </c>
      <c r="C14" s="100">
        <f>-'9A. SM Avg Nt Fix Ass &amp;UCC'!C93</f>
        <v>0</v>
      </c>
      <c r="D14" s="100">
        <f>-'9A. SM Avg Nt Fix Ass &amp;UCC'!D93</f>
        <v>0</v>
      </c>
      <c r="E14" s="100">
        <f>-'9A. SM Avg Nt Fix Ass &amp;UCC'!E93</f>
        <v>0</v>
      </c>
      <c r="F14" s="100">
        <f>-'9A. SM Avg Nt Fix Ass &amp;UCC'!F93</f>
        <v>0</v>
      </c>
      <c r="G14" s="100">
        <f>-'9A. SM Avg Nt Fix Ass &amp;UCC'!G93</f>
        <v>0</v>
      </c>
    </row>
    <row r="15" spans="1:7" ht="12.75">
      <c r="A15" s="4"/>
      <c r="B15" s="4" t="s">
        <v>105</v>
      </c>
      <c r="C15" s="100">
        <f>-'9A. SM Avg Nt Fix Ass &amp;UCC'!C106</f>
        <v>0</v>
      </c>
      <c r="D15" s="100">
        <f>-'9A. SM Avg Nt Fix Ass &amp;UCC'!D106</f>
        <v>0</v>
      </c>
      <c r="E15" s="100">
        <f>-'9A. SM Avg Nt Fix Ass &amp;UCC'!E106</f>
        <v>0</v>
      </c>
      <c r="F15" s="100">
        <f>-'9A. SM Avg Nt Fix Ass &amp;UCC'!F106</f>
        <v>0</v>
      </c>
      <c r="G15" s="100">
        <f>-'9A. SM Avg Nt Fix Ass &amp;UCC'!G106</f>
        <v>0</v>
      </c>
    </row>
    <row r="16" spans="1:7" ht="12.75">
      <c r="A16" s="4"/>
      <c r="B16" s="4" t="s">
        <v>106</v>
      </c>
      <c r="C16" s="100" t="e">
        <f>-'9A. SM Avg Nt Fix Ass &amp;UCC'!C119</f>
        <v>#REF!</v>
      </c>
      <c r="D16" s="100" t="e">
        <f>-'9A. SM Avg Nt Fix Ass &amp;UCC'!D119</f>
        <v>#REF!</v>
      </c>
      <c r="E16" s="100" t="e">
        <f>-'9A. SM Avg Nt Fix Ass &amp;UCC'!E119</f>
        <v>#REF!</v>
      </c>
      <c r="F16" s="100" t="e">
        <f>-'9A. SM Avg Nt Fix Ass &amp;UCC'!F119</f>
        <v>#REF!</v>
      </c>
      <c r="G16" s="100" t="e">
        <f>-'9A. SM Avg Nt Fix Ass &amp;UCC'!G119</f>
        <v>#REF!</v>
      </c>
    </row>
    <row r="17" spans="1:7" ht="12.75">
      <c r="A17" s="4"/>
      <c r="B17" s="4" t="s">
        <v>107</v>
      </c>
      <c r="C17" s="81" t="e">
        <f>SUM(C12:C16)</f>
        <v>#REF!</v>
      </c>
      <c r="D17" s="81" t="e">
        <f>SUM(D12:D16)</f>
        <v>#REF!</v>
      </c>
      <c r="E17" s="81" t="e">
        <f>SUM(E12:E16)</f>
        <v>#REF!</v>
      </c>
      <c r="F17" s="81" t="e">
        <f>SUM(F12:F16)</f>
        <v>#REF!</v>
      </c>
      <c r="G17" s="81" t="e">
        <f>SUM(G12:G16)</f>
        <v>#REF!</v>
      </c>
    </row>
    <row r="18" spans="1:7" ht="12.75">
      <c r="A18" s="4"/>
      <c r="B18" s="4" t="s">
        <v>171</v>
      </c>
      <c r="C18" s="101">
        <f>' Assumptions and Data'!$C$27</f>
        <v>0.31</v>
      </c>
      <c r="D18" s="101">
        <f>' Assumptions and Data'!$C$27</f>
        <v>0.31</v>
      </c>
      <c r="E18" s="101">
        <f>' Assumptions and Data'!$C$27</f>
        <v>0.31</v>
      </c>
      <c r="F18" s="101">
        <f>' Assumptions and Data'!$C$27</f>
        <v>0.31</v>
      </c>
      <c r="G18" s="101">
        <f>' Assumptions and Data'!$C$27</f>
        <v>0.31</v>
      </c>
    </row>
    <row r="19" spans="1:7" ht="12.75">
      <c r="A19" s="4"/>
      <c r="B19" s="4" t="s">
        <v>108</v>
      </c>
      <c r="C19" s="81" t="e">
        <f>C17*C18</f>
        <v>#REF!</v>
      </c>
      <c r="D19" s="81" t="e">
        <f>D17*D18</f>
        <v>#REF!</v>
      </c>
      <c r="E19" s="81" t="e">
        <f>E17*E18</f>
        <v>#REF!</v>
      </c>
      <c r="F19" s="81" t="e">
        <f>F17*F18</f>
        <v>#REF!</v>
      </c>
      <c r="G19" s="81" t="e">
        <f>G17*G18</f>
        <v>#REF!</v>
      </c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17" t="s">
        <v>109</v>
      </c>
      <c r="C21" s="4"/>
      <c r="D21" s="4"/>
      <c r="E21" s="4"/>
      <c r="F21" s="4"/>
      <c r="G21" s="4"/>
    </row>
    <row r="22" spans="1:7" ht="12.75">
      <c r="A22" s="4"/>
      <c r="B22" s="69" t="s">
        <v>29</v>
      </c>
      <c r="C22" s="100">
        <f>'9A. SM Avg Nt Fix Ass &amp;UCC'!C21</f>
        <v>0</v>
      </c>
      <c r="D22" s="100">
        <f>'9A. SM Avg Nt Fix Ass &amp;UCC'!D21</f>
        <v>0</v>
      </c>
      <c r="E22" s="100">
        <f>'9A. SM Avg Nt Fix Ass &amp;UCC'!E21</f>
        <v>0</v>
      </c>
      <c r="F22" s="100">
        <f>'9A. SM Avg Nt Fix Ass &amp;UCC'!F21</f>
        <v>0</v>
      </c>
      <c r="G22" s="100">
        <f>'9A. SM Avg Nt Fix Ass &amp;UCC'!G21</f>
        <v>0</v>
      </c>
    </row>
    <row r="23" spans="1:7" ht="12.75">
      <c r="A23" s="4"/>
      <c r="B23" s="69" t="s">
        <v>13</v>
      </c>
      <c r="C23" s="100">
        <f>'9A. SM Avg Nt Fix Ass &amp;UCC'!C35</f>
        <v>0</v>
      </c>
      <c r="D23" s="100">
        <f>'9A. SM Avg Nt Fix Ass &amp;UCC'!D35</f>
        <v>0</v>
      </c>
      <c r="E23" s="100">
        <f>'9A. SM Avg Nt Fix Ass &amp;UCC'!E35</f>
        <v>0</v>
      </c>
      <c r="F23" s="100">
        <f>'9A. SM Avg Nt Fix Ass &amp;UCC'!F35</f>
        <v>0</v>
      </c>
      <c r="G23" s="100">
        <f>'9A. SM Avg Nt Fix Ass &amp;UCC'!G35</f>
        <v>0</v>
      </c>
    </row>
    <row r="24" spans="1:7" ht="12.75">
      <c r="A24" s="4"/>
      <c r="B24" s="69" t="s">
        <v>14</v>
      </c>
      <c r="C24" s="86">
        <f>'9A. SM Avg Nt Fix Ass &amp;UCC'!C49</f>
        <v>0</v>
      </c>
      <c r="D24" s="86">
        <f>'9A. SM Avg Nt Fix Ass &amp;UCC'!D49</f>
        <v>0</v>
      </c>
      <c r="E24" s="86">
        <f>'9A. SM Avg Nt Fix Ass &amp;UCC'!E49</f>
        <v>0</v>
      </c>
      <c r="F24" s="86">
        <f>'9A. SM Avg Nt Fix Ass &amp;UCC'!F49</f>
        <v>0</v>
      </c>
      <c r="G24" s="86">
        <f>'9A. SM Avg Nt Fix Ass &amp;UCC'!G49</f>
        <v>0</v>
      </c>
    </row>
    <row r="25" spans="1:7" ht="12.75">
      <c r="A25" s="4"/>
      <c r="B25" s="69" t="s">
        <v>1</v>
      </c>
      <c r="C25" s="86" t="e">
        <f>'9A. SM Avg Nt Fix Ass &amp;UCC'!C64</f>
        <v>#REF!</v>
      </c>
      <c r="D25" s="86" t="e">
        <f>'9A. SM Avg Nt Fix Ass &amp;UCC'!D64</f>
        <v>#REF!</v>
      </c>
      <c r="E25" s="86" t="e">
        <f>'9A. SM Avg Nt Fix Ass &amp;UCC'!E64</f>
        <v>#REF!</v>
      </c>
      <c r="F25" s="86" t="e">
        <f>'9A. SM Avg Nt Fix Ass &amp;UCC'!F64</f>
        <v>#REF!</v>
      </c>
      <c r="G25" s="86" t="e">
        <f>'9A. SM Avg Nt Fix Ass &amp;UCC'!G64</f>
        <v>#REF!</v>
      </c>
    </row>
    <row r="26" spans="1:7" ht="12.75">
      <c r="A26" s="4"/>
      <c r="B26" s="69" t="s">
        <v>2</v>
      </c>
      <c r="C26" s="102" t="e">
        <f>'9A. SM Avg Nt Fix Ass &amp;UCC'!C78</f>
        <v>#REF!</v>
      </c>
      <c r="D26" s="102" t="e">
        <f>'9A. SM Avg Nt Fix Ass &amp;UCC'!D78</f>
        <v>#REF!</v>
      </c>
      <c r="E26" s="102" t="e">
        <f>'9A. SM Avg Nt Fix Ass &amp;UCC'!E78</f>
        <v>#REF!</v>
      </c>
      <c r="F26" s="102" t="e">
        <f>'9A. SM Avg Nt Fix Ass &amp;UCC'!F78</f>
        <v>#REF!</v>
      </c>
      <c r="G26" s="102" t="e">
        <f>'9A. SM Avg Nt Fix Ass &amp;UCC'!G78</f>
        <v>#REF!</v>
      </c>
    </row>
    <row r="27" spans="1:7" ht="12.75">
      <c r="A27" s="4"/>
      <c r="B27" s="4" t="s">
        <v>110</v>
      </c>
      <c r="C27" s="30">
        <f>SUM(C22:C24)</f>
        <v>0</v>
      </c>
      <c r="D27" s="30">
        <f>SUM(D22:D24)</f>
        <v>0</v>
      </c>
      <c r="E27" s="30">
        <f>SUM(E22:E24)</f>
        <v>0</v>
      </c>
      <c r="F27" s="30">
        <f>SUM(F22:F24)</f>
        <v>0</v>
      </c>
      <c r="G27" s="30">
        <f>SUM(G22:G24)</f>
        <v>0</v>
      </c>
    </row>
    <row r="28" spans="1:7" ht="12.75">
      <c r="A28" s="4"/>
      <c r="B28" s="4" t="s">
        <v>111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ht="12.75">
      <c r="A29" s="4"/>
      <c r="B29" s="4" t="s">
        <v>112</v>
      </c>
      <c r="C29" s="81">
        <f>C27-C28</f>
        <v>0</v>
      </c>
      <c r="D29" s="81">
        <f>D27-D28</f>
        <v>0</v>
      </c>
      <c r="E29" s="81">
        <f>E27-E28</f>
        <v>0</v>
      </c>
      <c r="F29" s="81">
        <f>F27-F28</f>
        <v>0</v>
      </c>
      <c r="G29" s="81">
        <f>G27-G28</f>
        <v>0</v>
      </c>
    </row>
    <row r="30" spans="1:7" ht="12.75">
      <c r="A30" s="4"/>
      <c r="B30" s="4" t="s">
        <v>113</v>
      </c>
      <c r="C30" s="103">
        <v>0.003</v>
      </c>
      <c r="D30" s="103">
        <v>0.003</v>
      </c>
      <c r="E30" s="103">
        <v>0.003</v>
      </c>
      <c r="F30" s="103">
        <v>0.003</v>
      </c>
      <c r="G30" s="103">
        <v>0.003</v>
      </c>
    </row>
    <row r="31" spans="1:7" ht="12.75">
      <c r="A31" s="4"/>
      <c r="B31" s="4" t="s">
        <v>114</v>
      </c>
      <c r="C31" s="81">
        <f>C29*C30</f>
        <v>0</v>
      </c>
      <c r="D31" s="81">
        <f>D29*D30</f>
        <v>0</v>
      </c>
      <c r="E31" s="81">
        <f>E29*E30</f>
        <v>0</v>
      </c>
      <c r="F31" s="81">
        <f>F29*F30</f>
        <v>0</v>
      </c>
      <c r="G31" s="81">
        <f>G29*G30</f>
        <v>0</v>
      </c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5.75">
      <c r="A34" s="4"/>
      <c r="B34" s="104" t="s">
        <v>115</v>
      </c>
      <c r="C34" s="4"/>
      <c r="D34" s="4"/>
      <c r="E34" s="4"/>
      <c r="F34" s="4"/>
      <c r="G34" s="4"/>
    </row>
    <row r="35" spans="1:7" ht="12.75">
      <c r="A35" s="4"/>
      <c r="B35" s="4"/>
      <c r="C35" s="4" t="s">
        <v>116</v>
      </c>
      <c r="D35" s="4" t="s">
        <v>116</v>
      </c>
      <c r="E35" s="4" t="s">
        <v>116</v>
      </c>
      <c r="F35" s="4" t="s">
        <v>116</v>
      </c>
      <c r="G35" s="4" t="s">
        <v>116</v>
      </c>
    </row>
    <row r="36" spans="1:7" ht="12.75">
      <c r="A36" s="4"/>
      <c r="B36" s="4" t="s">
        <v>117</v>
      </c>
      <c r="C36" s="30" t="e">
        <f>C19</f>
        <v>#REF!</v>
      </c>
      <c r="D36" s="30" t="e">
        <f>D19</f>
        <v>#REF!</v>
      </c>
      <c r="E36" s="30" t="e">
        <f>E19</f>
        <v>#REF!</v>
      </c>
      <c r="F36" s="30" t="e">
        <f>F19</f>
        <v>#REF!</v>
      </c>
      <c r="G36" s="30" t="e">
        <f>G19</f>
        <v>#REF!</v>
      </c>
    </row>
    <row r="37" spans="1:7" ht="12.75">
      <c r="A37" s="4"/>
      <c r="B37" s="4" t="s">
        <v>118</v>
      </c>
      <c r="C37" s="30">
        <f>C31</f>
        <v>0</v>
      </c>
      <c r="D37" s="30">
        <f>D31</f>
        <v>0</v>
      </c>
      <c r="E37" s="30">
        <f>E31</f>
        <v>0</v>
      </c>
      <c r="F37" s="30">
        <f>F31</f>
        <v>0</v>
      </c>
      <c r="G37" s="30">
        <f>G31</f>
        <v>0</v>
      </c>
    </row>
    <row r="38" spans="1:9" ht="12.75">
      <c r="A38" s="4"/>
      <c r="B38" s="4" t="s">
        <v>119</v>
      </c>
      <c r="C38" s="81" t="e">
        <f>SUM(C36:C37)</f>
        <v>#REF!</v>
      </c>
      <c r="D38" s="81" t="e">
        <f>SUM(D36:D37)</f>
        <v>#REF!</v>
      </c>
      <c r="E38" s="81" t="e">
        <f>SUM(E36:E37)</f>
        <v>#REF!</v>
      </c>
      <c r="F38" s="81" t="e">
        <f>SUM(F36:F37)</f>
        <v>#REF!</v>
      </c>
      <c r="G38" s="81" t="e">
        <f>SUM(G36:G37)</f>
        <v>#REF!</v>
      </c>
      <c r="I38" s="19" t="s">
        <v>7</v>
      </c>
    </row>
    <row r="39" ht="13.5" customHeight="1"/>
    <row r="40" spans="3:7" ht="12.75">
      <c r="C40" s="7" t="s">
        <v>115</v>
      </c>
      <c r="D40" s="7" t="s">
        <v>115</v>
      </c>
      <c r="E40" s="7" t="s">
        <v>115</v>
      </c>
      <c r="F40" s="7" t="s">
        <v>115</v>
      </c>
      <c r="G40" s="7" t="s">
        <v>115</v>
      </c>
    </row>
    <row r="41" spans="3:7" ht="12.75">
      <c r="C41" s="105">
        <f>$C$18</f>
        <v>0.31</v>
      </c>
      <c r="D41" s="105">
        <f>$C$18</f>
        <v>0.31</v>
      </c>
      <c r="E41" s="105">
        <f>$C$18</f>
        <v>0.31</v>
      </c>
      <c r="F41" s="105">
        <f>$C$18</f>
        <v>0.31</v>
      </c>
      <c r="G41" s="105">
        <f>$C$18</f>
        <v>0.31</v>
      </c>
    </row>
    <row r="43" spans="3:7" ht="25.5">
      <c r="C43" s="106" t="s">
        <v>120</v>
      </c>
      <c r="D43" s="106" t="s">
        <v>120</v>
      </c>
      <c r="E43" s="106" t="s">
        <v>120</v>
      </c>
      <c r="F43" s="106" t="s">
        <v>120</v>
      </c>
      <c r="G43" s="106" t="s">
        <v>120</v>
      </c>
    </row>
    <row r="44" spans="2:7" ht="12.75">
      <c r="B44" s="4" t="s">
        <v>117</v>
      </c>
      <c r="C44" s="30" t="e">
        <f>C36/(1-C41)</f>
        <v>#REF!</v>
      </c>
      <c r="D44" s="30" t="e">
        <f>D36/(1-D41)</f>
        <v>#REF!</v>
      </c>
      <c r="E44" s="30" t="e">
        <f>E36/(1-E41)</f>
        <v>#REF!</v>
      </c>
      <c r="F44" s="30" t="e">
        <f>F36/(1-F41)</f>
        <v>#REF!</v>
      </c>
      <c r="G44" s="30" t="e">
        <f>G36/(1-G41)</f>
        <v>#REF!</v>
      </c>
    </row>
    <row r="45" spans="2:7" ht="12.75">
      <c r="B45" s="4" t="s">
        <v>118</v>
      </c>
      <c r="C45" s="30">
        <f>C37</f>
        <v>0</v>
      </c>
      <c r="D45" s="30">
        <f>D37</f>
        <v>0</v>
      </c>
      <c r="E45" s="30">
        <f>E37</f>
        <v>0</v>
      </c>
      <c r="F45" s="30">
        <f>F37</f>
        <v>0</v>
      </c>
      <c r="G45" s="30">
        <f>G37</f>
        <v>0</v>
      </c>
    </row>
    <row r="46" spans="2:7" ht="12.75">
      <c r="B46" s="4" t="s">
        <v>119</v>
      </c>
      <c r="C46" s="107" t="e">
        <f>SUM(C44:C45)</f>
        <v>#REF!</v>
      </c>
      <c r="D46" s="107" t="e">
        <f>SUM(D44:D45)</f>
        <v>#REF!</v>
      </c>
      <c r="E46" s="107" t="e">
        <f>SUM(E44:E45)</f>
        <v>#REF!</v>
      </c>
      <c r="F46" s="107" t="e">
        <f>SUM(F44:F45)</f>
        <v>#REF!</v>
      </c>
      <c r="G46" s="107" t="e">
        <f>SUM(G44:G45)</f>
        <v>#REF!</v>
      </c>
    </row>
  </sheetData>
  <sheetProtection formatColumns="0" selectLockedCells="1"/>
  <mergeCells count="4">
    <mergeCell ref="B2:E2"/>
    <mergeCell ref="B3:E3"/>
    <mergeCell ref="B1:E1"/>
    <mergeCell ref="B5:E5"/>
  </mergeCells>
  <printOptions/>
  <pageMargins left="0.42" right="0.44" top="0.64" bottom="0.64" header="0.5" footer="0.5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25"/>
  <sheetViews>
    <sheetView zoomScalePageLayoutView="0" workbookViewId="0" topLeftCell="B1">
      <selection activeCell="D29" sqref="D29"/>
    </sheetView>
  </sheetViews>
  <sheetFormatPr defaultColWidth="9.140625" defaultRowHeight="12.75" outlineLevelCol="1"/>
  <cols>
    <col min="1" max="1" width="16.57421875" style="6" customWidth="1"/>
    <col min="2" max="2" width="75.28125" style="6" bestFit="1" customWidth="1"/>
    <col min="3" max="4" width="15.00390625" style="6" customWidth="1" outlineLevel="1"/>
    <col min="5" max="5" width="15.00390625" style="6" bestFit="1" customWidth="1"/>
    <col min="6" max="6" width="16.57421875" style="6" bestFit="1" customWidth="1"/>
    <col min="7" max="7" width="17.57421875" style="6" bestFit="1" customWidth="1"/>
    <col min="8" max="8" width="19.57421875" style="6" bestFit="1" customWidth="1"/>
    <col min="9" max="16384" width="9.140625" style="6" customWidth="1"/>
  </cols>
  <sheetData>
    <row r="1" spans="1:9" s="2" customFormat="1" ht="20.25" customHeight="1">
      <c r="A1" s="1"/>
      <c r="B1" s="234"/>
      <c r="C1" s="234"/>
      <c r="D1" s="234"/>
      <c r="E1" s="234"/>
      <c r="F1" s="108"/>
      <c r="G1" s="108"/>
      <c r="H1" s="108"/>
      <c r="I1" s="1"/>
    </row>
    <row r="2" spans="1:9" s="2" customFormat="1" ht="18.75" customHeight="1">
      <c r="A2" s="1"/>
      <c r="B2" s="255" t="e">
        <f>#REF!</f>
        <v>#REF!</v>
      </c>
      <c r="C2" s="255"/>
      <c r="D2" s="255"/>
      <c r="E2" s="255"/>
      <c r="F2" s="9"/>
      <c r="G2" s="9"/>
      <c r="H2" s="1"/>
      <c r="I2" s="1"/>
    </row>
    <row r="3" spans="1:9" s="2" customFormat="1" ht="18.75" customHeight="1">
      <c r="A3" s="1"/>
      <c r="B3" s="256" t="e">
        <f>#REF!</f>
        <v>#REF!</v>
      </c>
      <c r="C3" s="256"/>
      <c r="D3" s="256"/>
      <c r="E3" s="256"/>
      <c r="F3" s="9"/>
      <c r="G3" s="3"/>
      <c r="H3" s="1"/>
      <c r="I3" s="1"/>
    </row>
    <row r="4" spans="1:9" s="2" customFormat="1" ht="18">
      <c r="A4" s="1"/>
      <c r="B4" s="10" t="e">
        <f>#REF!</f>
        <v>#REF!</v>
      </c>
      <c r="C4" s="9"/>
      <c r="D4" s="9"/>
      <c r="E4" s="9"/>
      <c r="F4" s="9"/>
      <c r="G4" s="9"/>
      <c r="H4" s="1"/>
      <c r="I4" s="1"/>
    </row>
    <row r="5" spans="1:9" s="2" customFormat="1" ht="21" customHeight="1">
      <c r="A5" s="1"/>
      <c r="B5" s="258" t="s">
        <v>185</v>
      </c>
      <c r="C5" s="258"/>
      <c r="D5" s="258"/>
      <c r="E5" s="258"/>
      <c r="F5" s="11"/>
      <c r="G5" s="11"/>
      <c r="H5" s="1"/>
      <c r="I5" s="1"/>
    </row>
    <row r="6" spans="1:9" s="2" customFormat="1" ht="6" customHeight="1">
      <c r="A6" s="12"/>
      <c r="B6" s="12"/>
      <c r="C6" s="12"/>
      <c r="D6" s="12"/>
      <c r="E6" s="12"/>
      <c r="F6" s="12"/>
      <c r="G6" s="1"/>
      <c r="H6" s="1"/>
      <c r="I6" s="1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26.25">
      <c r="A8" s="4"/>
      <c r="B8" s="68" t="s">
        <v>121</v>
      </c>
      <c r="C8" s="4"/>
      <c r="D8" s="4"/>
      <c r="E8" s="4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8">
      <c r="A10" s="4"/>
      <c r="B10" s="13" t="s">
        <v>122</v>
      </c>
      <c r="C10" s="4">
        <v>2006</v>
      </c>
      <c r="D10" s="4">
        <v>2007</v>
      </c>
      <c r="E10" s="4">
        <v>2008</v>
      </c>
      <c r="F10" s="4">
        <v>2009</v>
      </c>
      <c r="G10" s="4">
        <v>2010</v>
      </c>
      <c r="H10" s="4"/>
      <c r="I10" s="109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4"/>
      <c r="B12" s="4" t="s">
        <v>123</v>
      </c>
      <c r="C12" s="81">
        <v>0</v>
      </c>
      <c r="D12" s="81">
        <f>C14</f>
        <v>0</v>
      </c>
      <c r="E12" s="81">
        <f>D14</f>
        <v>0</v>
      </c>
      <c r="F12" s="81">
        <f>E14</f>
        <v>0</v>
      </c>
      <c r="G12" s="81">
        <f>F14</f>
        <v>0</v>
      </c>
      <c r="H12" s="4"/>
      <c r="I12" s="4"/>
    </row>
    <row r="13" spans="1:9" ht="12.75">
      <c r="A13" s="4"/>
      <c r="B13" s="4" t="s">
        <v>172</v>
      </c>
      <c r="C13" s="86">
        <f>' Assumptions and Data'!C31</f>
        <v>0</v>
      </c>
      <c r="D13" s="86">
        <f>' Assumptions and Data'!D31</f>
        <v>0</v>
      </c>
      <c r="E13" s="86">
        <f>' Assumptions and Data'!F31</f>
        <v>0</v>
      </c>
      <c r="F13" s="86">
        <f>' Assumptions and Data'!G31</f>
        <v>0</v>
      </c>
      <c r="G13" s="86">
        <f>' Assumptions and Data'!H31</f>
        <v>0</v>
      </c>
      <c r="H13" s="4"/>
      <c r="I13" s="4"/>
    </row>
    <row r="14" spans="1:9" ht="12.75">
      <c r="A14" s="4"/>
      <c r="B14" s="4" t="s">
        <v>124</v>
      </c>
      <c r="C14" s="81">
        <f>SUM(C12:C13)</f>
        <v>0</v>
      </c>
      <c r="D14" s="81">
        <f>SUM(D12:D13)</f>
        <v>0</v>
      </c>
      <c r="E14" s="81">
        <f>SUM(E12:E13)</f>
        <v>0</v>
      </c>
      <c r="F14" s="81">
        <f>SUM(F12:F13)</f>
        <v>0</v>
      </c>
      <c r="G14" s="81">
        <f>SUM(G12:G13)</f>
        <v>0</v>
      </c>
      <c r="H14" s="4"/>
      <c r="I14" s="4"/>
    </row>
    <row r="15" spans="1:9" ht="12.75">
      <c r="A15" s="4"/>
      <c r="B15" s="4"/>
      <c r="C15" s="75"/>
      <c r="D15" s="75"/>
      <c r="E15" s="75"/>
      <c r="F15" s="75"/>
      <c r="G15" s="75"/>
      <c r="H15" s="4"/>
      <c r="I15" s="4"/>
    </row>
    <row r="16" spans="1:9" ht="12.75">
      <c r="A16" s="4"/>
      <c r="B16" s="4" t="s">
        <v>125</v>
      </c>
      <c r="C16" s="81">
        <v>0</v>
      </c>
      <c r="D16" s="81">
        <f>C18</f>
        <v>0</v>
      </c>
      <c r="E16" s="81">
        <f>D18</f>
        <v>0</v>
      </c>
      <c r="F16" s="81">
        <f>E18</f>
        <v>0</v>
      </c>
      <c r="G16" s="81">
        <f>F18</f>
        <v>0</v>
      </c>
      <c r="H16" s="4"/>
      <c r="I16" s="4"/>
    </row>
    <row r="17" spans="1:9" ht="12.75">
      <c r="A17" s="4"/>
      <c r="B17" s="4" t="str">
        <f>"Amortization Year 1 ("&amp;' Assumptions and Data'!$C$38&amp;" Years  Straight Line)"</f>
        <v>Amortization Year 1 (40 Years  Straight Line)</v>
      </c>
      <c r="C17" s="30">
        <f>IF(C16+(C12/' Assumptions and Data'!$C$38)+(C13/' Assumptions and Data'!$C$38/2)&lt;C14,(C12/' Assumptions and Data'!$C$38)+(C13/' Assumptions and Data'!$C$38/2),C14-C16)</f>
        <v>0</v>
      </c>
      <c r="D17" s="30">
        <f>IF(D16+(D12/' Assumptions and Data'!$C$38)+(D13/' Assumptions and Data'!$C$38/2)&lt;D14,(D12/' Assumptions and Data'!$C$38)+(D13/' Assumptions and Data'!$C$38/2),D14-D16)</f>
        <v>0</v>
      </c>
      <c r="E17" s="30">
        <f>IF(E16+(E12/' Assumptions and Data'!$C$38)+(E13/' Assumptions and Data'!$C$38/2)&lt;E14,(E12/' Assumptions and Data'!$C$38)+(E13/' Assumptions and Data'!$C$38/2),E14-E16)</f>
        <v>0</v>
      </c>
      <c r="F17" s="30">
        <f>IF(F16+(F12/' Assumptions and Data'!$C$38)+(F13/' Assumptions and Data'!$C$38/2)&lt;F14,(F12/' Assumptions and Data'!$C$38)+(F13/' Assumptions and Data'!$C$38/2),F14-F16)</f>
        <v>0</v>
      </c>
      <c r="G17" s="30">
        <f>IF(G16+(G12/' Assumptions and Data'!$C$38)+(G13/' Assumptions and Data'!$C$38/2)&lt;G14,(G12/' Assumptions and Data'!$C$38)+(G13/' Assumptions and Data'!$C$38/2),G14-G16)</f>
        <v>0</v>
      </c>
      <c r="H17" s="4"/>
      <c r="I17" s="4"/>
    </row>
    <row r="18" spans="1:9" ht="12.75">
      <c r="A18" s="4"/>
      <c r="B18" s="4" t="s">
        <v>126</v>
      </c>
      <c r="C18" s="81">
        <f>SUM(C16:C17)</f>
        <v>0</v>
      </c>
      <c r="D18" s="81">
        <f>SUM(D16:D17)</f>
        <v>0</v>
      </c>
      <c r="E18" s="81">
        <f>SUM(E16:E17)</f>
        <v>0</v>
      </c>
      <c r="F18" s="81">
        <f>SUM(F16:F17)</f>
        <v>0</v>
      </c>
      <c r="G18" s="81">
        <f>SUM(G16:G17)</f>
        <v>0</v>
      </c>
      <c r="H18" s="4"/>
      <c r="I18" s="4"/>
    </row>
    <row r="19" spans="1:9" ht="12.75">
      <c r="A19" s="4"/>
      <c r="B19" s="4"/>
      <c r="C19" s="110"/>
      <c r="D19" s="110"/>
      <c r="E19" s="110"/>
      <c r="F19" s="110"/>
      <c r="G19" s="110"/>
      <c r="H19" s="4"/>
      <c r="I19" s="4"/>
    </row>
    <row r="20" spans="1:9" ht="12.75">
      <c r="A20" s="4"/>
      <c r="B20" s="4" t="s">
        <v>127</v>
      </c>
      <c r="C20" s="30">
        <f>0</f>
        <v>0</v>
      </c>
      <c r="D20" s="30">
        <f>C21</f>
        <v>0</v>
      </c>
      <c r="E20" s="30">
        <f>D21</f>
        <v>0</v>
      </c>
      <c r="F20" s="30">
        <f>E21</f>
        <v>0</v>
      </c>
      <c r="G20" s="30">
        <f>F21</f>
        <v>0</v>
      </c>
      <c r="H20" s="4"/>
      <c r="I20" s="4"/>
    </row>
    <row r="21" spans="1:8" ht="12.75">
      <c r="A21" s="4"/>
      <c r="B21" s="4" t="s">
        <v>128</v>
      </c>
      <c r="C21" s="81">
        <f>C14-C18</f>
        <v>0</v>
      </c>
      <c r="D21" s="111">
        <f>D14-D18</f>
        <v>0</v>
      </c>
      <c r="E21" s="111">
        <f>E14-E18</f>
        <v>0</v>
      </c>
      <c r="F21" s="111">
        <f>F14-F18</f>
        <v>0</v>
      </c>
      <c r="G21" s="111">
        <f>G14-G18</f>
        <v>0</v>
      </c>
      <c r="H21" s="19"/>
    </row>
    <row r="22" spans="1:8" ht="13.5" thickBot="1">
      <c r="A22" s="4"/>
      <c r="B22" s="4" t="s">
        <v>129</v>
      </c>
      <c r="C22" s="112">
        <f>(C21+C20)/2</f>
        <v>0</v>
      </c>
      <c r="D22" s="113">
        <f>(D21+D20)/2</f>
        <v>0</v>
      </c>
      <c r="E22" s="113">
        <f>(E21+E20)/2</f>
        <v>0</v>
      </c>
      <c r="F22" s="113">
        <f>(F21+F20)/2</f>
        <v>0</v>
      </c>
      <c r="G22" s="113">
        <f>(G21+G20)/2</f>
        <v>0</v>
      </c>
      <c r="H22" s="19"/>
    </row>
    <row r="23" spans="1:9" ht="12.75">
      <c r="A23" s="4"/>
      <c r="B23" s="4"/>
      <c r="C23" s="75"/>
      <c r="D23" s="75"/>
      <c r="E23" s="4"/>
      <c r="F23" s="4"/>
      <c r="G23" s="4"/>
      <c r="H23" s="4"/>
      <c r="I23" s="4"/>
    </row>
    <row r="24" spans="1:9" ht="18">
      <c r="A24" s="4"/>
      <c r="B24" s="13" t="s">
        <v>130</v>
      </c>
      <c r="C24" s="4">
        <v>2006</v>
      </c>
      <c r="D24" s="4">
        <v>2007</v>
      </c>
      <c r="E24" s="4">
        <v>2008</v>
      </c>
      <c r="F24" s="4">
        <v>2009</v>
      </c>
      <c r="G24" s="4">
        <v>2010</v>
      </c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 t="s">
        <v>123</v>
      </c>
      <c r="C26" s="81">
        <v>0</v>
      </c>
      <c r="D26" s="81">
        <f>C28</f>
        <v>0</v>
      </c>
      <c r="E26" s="81">
        <f>D28</f>
        <v>0</v>
      </c>
      <c r="F26" s="81">
        <f>E28</f>
        <v>0</v>
      </c>
      <c r="G26" s="81">
        <f>F28</f>
        <v>0</v>
      </c>
      <c r="H26" s="4"/>
      <c r="I26" s="4"/>
    </row>
    <row r="27" spans="1:9" ht="12.75">
      <c r="A27" s="4"/>
      <c r="B27" s="4" t="s">
        <v>173</v>
      </c>
      <c r="C27" s="86">
        <f>' Assumptions and Data'!C32</f>
        <v>0</v>
      </c>
      <c r="D27" s="86">
        <f>' Assumptions and Data'!D32</f>
        <v>0</v>
      </c>
      <c r="E27" s="86">
        <f>' Assumptions and Data'!F32</f>
        <v>0</v>
      </c>
      <c r="F27" s="86">
        <f>' Assumptions and Data'!G32</f>
        <v>0</v>
      </c>
      <c r="G27" s="86">
        <f>' Assumptions and Data'!H32</f>
        <v>0</v>
      </c>
      <c r="H27" s="4"/>
      <c r="I27" s="4"/>
    </row>
    <row r="28" spans="1:9" ht="12.75">
      <c r="A28" s="4"/>
      <c r="B28" s="4" t="s">
        <v>124</v>
      </c>
      <c r="C28" s="81">
        <f>SUM(C26:C27)</f>
        <v>0</v>
      </c>
      <c r="D28" s="81">
        <f>SUM(D26:D27)</f>
        <v>0</v>
      </c>
      <c r="E28" s="81">
        <f>SUM(E26:E27)</f>
        <v>0</v>
      </c>
      <c r="F28" s="81">
        <f>SUM(F26:F27)</f>
        <v>0</v>
      </c>
      <c r="G28" s="81">
        <f>SUM(G26:G27)</f>
        <v>0</v>
      </c>
      <c r="H28" s="4"/>
      <c r="I28" s="4"/>
    </row>
    <row r="29" spans="1:9" ht="12.75">
      <c r="A29" s="4"/>
      <c r="B29" s="4"/>
      <c r="C29" s="76"/>
      <c r="D29" s="76"/>
      <c r="E29" s="76"/>
      <c r="F29" s="76"/>
      <c r="G29" s="76"/>
      <c r="H29" s="4"/>
      <c r="I29" s="4"/>
    </row>
    <row r="30" spans="1:9" ht="12.75">
      <c r="A30" s="4"/>
      <c r="B30" s="4" t="s">
        <v>125</v>
      </c>
      <c r="C30" s="81">
        <v>0</v>
      </c>
      <c r="D30" s="81">
        <f>C32</f>
        <v>0</v>
      </c>
      <c r="E30" s="81">
        <f>D32</f>
        <v>0</v>
      </c>
      <c r="F30" s="81">
        <f>E32</f>
        <v>0</v>
      </c>
      <c r="G30" s="81">
        <f>F32</f>
        <v>0</v>
      </c>
      <c r="H30" s="4"/>
      <c r="I30" s="4"/>
    </row>
    <row r="31" spans="1:9" ht="12.75">
      <c r="A31" s="4"/>
      <c r="B31" s="4" t="str">
        <f>"Amortization Year 1 ("&amp;' Assumptions and Data'!$C$39&amp;" Years  Straight Line)"</f>
        <v>Amortization Year 1 (5 Years  Straight Line)</v>
      </c>
      <c r="C31" s="30">
        <f>IF(C30+(C26/' Assumptions and Data'!$C$39)+(C27/' Assumptions and Data'!$C$39/2)&lt;C28,(C26/' Assumptions and Data'!$C$39)+(C27/' Assumptions and Data'!$C$39/2),C28-C30)</f>
        <v>0</v>
      </c>
      <c r="D31" s="30">
        <f>IF(D30+(D26/' Assumptions and Data'!$C$39)+(D27/' Assumptions and Data'!$C$39/2)&lt;D28,(D26/' Assumptions and Data'!$C$39)+(D27/' Assumptions and Data'!$C$39/2),D28-D30)</f>
        <v>0</v>
      </c>
      <c r="E31" s="30">
        <f>IF(E30+(E26/' Assumptions and Data'!$C$39)+(E27/' Assumptions and Data'!$C$39/2)&lt;E28,(E26/' Assumptions and Data'!$C$39)+(E27/' Assumptions and Data'!$C$39/2),E28-E30)</f>
        <v>0</v>
      </c>
      <c r="F31" s="30">
        <f>IF(F30+(F26/' Assumptions and Data'!$C$39)+(F27/' Assumptions and Data'!$C$39/2)&lt;F28,(F26/' Assumptions and Data'!$C$39)+(F27/' Assumptions and Data'!$C$39/2),F28-F30)</f>
        <v>0</v>
      </c>
      <c r="G31" s="30">
        <f>IF(G30+(G26/' Assumptions and Data'!$C$39)+(G27/' Assumptions and Data'!$C$39/2)&lt;G28,(G26/' Assumptions and Data'!$C$39)+(G27/' Assumptions and Data'!$C$39/2),G28-G30)</f>
        <v>0</v>
      </c>
      <c r="H31" s="4"/>
      <c r="I31" s="4"/>
    </row>
    <row r="32" spans="1:9" ht="12.75">
      <c r="A32" s="4"/>
      <c r="B32" s="4" t="s">
        <v>126</v>
      </c>
      <c r="C32" s="81">
        <f>SUM(C30:C31)</f>
        <v>0</v>
      </c>
      <c r="D32" s="81">
        <f>SUM(D30:D31)</f>
        <v>0</v>
      </c>
      <c r="E32" s="81">
        <f>SUM(E30:E31)</f>
        <v>0</v>
      </c>
      <c r="F32" s="81">
        <f>SUM(F30:F31)</f>
        <v>0</v>
      </c>
      <c r="G32" s="81">
        <f>SUM(G30:G31)</f>
        <v>0</v>
      </c>
      <c r="H32" s="4"/>
      <c r="I32" s="4"/>
    </row>
    <row r="33" spans="1:9" ht="12.75">
      <c r="A33" s="4"/>
      <c r="B33" s="4"/>
      <c r="C33" s="81"/>
      <c r="D33" s="81"/>
      <c r="E33" s="81"/>
      <c r="F33" s="81"/>
      <c r="G33" s="81"/>
      <c r="H33" s="4"/>
      <c r="I33" s="4"/>
    </row>
    <row r="34" spans="1:9" ht="12.75">
      <c r="A34" s="4"/>
      <c r="B34" s="4" t="s">
        <v>127</v>
      </c>
      <c r="C34" s="30">
        <f>0</f>
        <v>0</v>
      </c>
      <c r="D34" s="30">
        <f>C35</f>
        <v>0</v>
      </c>
      <c r="E34" s="30">
        <f>D35</f>
        <v>0</v>
      </c>
      <c r="F34" s="30">
        <f>E35</f>
        <v>0</v>
      </c>
      <c r="G34" s="30">
        <f>F35</f>
        <v>0</v>
      </c>
      <c r="H34" s="4"/>
      <c r="I34" s="4"/>
    </row>
    <row r="35" spans="1:9" ht="12.75">
      <c r="A35" s="4"/>
      <c r="B35" s="4" t="s">
        <v>128</v>
      </c>
      <c r="C35" s="81">
        <f>C28-C32</f>
        <v>0</v>
      </c>
      <c r="D35" s="111">
        <f>D28-D32</f>
        <v>0</v>
      </c>
      <c r="E35" s="111">
        <f>E28-E32</f>
        <v>0</v>
      </c>
      <c r="F35" s="111">
        <f>F28-F32</f>
        <v>0</v>
      </c>
      <c r="G35" s="111">
        <f>G28-G32</f>
        <v>0</v>
      </c>
      <c r="H35" s="19"/>
      <c r="I35" s="4"/>
    </row>
    <row r="36" spans="1:9" ht="13.5" thickBot="1">
      <c r="A36" s="4"/>
      <c r="B36" s="4" t="s">
        <v>129</v>
      </c>
      <c r="C36" s="112">
        <f>(C35+C34)/2</f>
        <v>0</v>
      </c>
      <c r="D36" s="114">
        <f>(D35+D34)/2</f>
        <v>0</v>
      </c>
      <c r="E36" s="114">
        <f>(E35+E34)/2</f>
        <v>0</v>
      </c>
      <c r="F36" s="114">
        <f>(F35+F34)/2</f>
        <v>0</v>
      </c>
      <c r="G36" s="114">
        <f>(G35+G34)/2</f>
        <v>0</v>
      </c>
      <c r="H36" s="19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8">
      <c r="A38" s="4"/>
      <c r="B38" s="13" t="s">
        <v>131</v>
      </c>
      <c r="C38" s="4">
        <v>2006</v>
      </c>
      <c r="D38" s="4">
        <v>2007</v>
      </c>
      <c r="E38" s="4">
        <v>2008</v>
      </c>
      <c r="F38" s="4">
        <v>2009</v>
      </c>
      <c r="G38" s="4">
        <v>2010</v>
      </c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 t="s">
        <v>123</v>
      </c>
      <c r="C40" s="81">
        <v>0</v>
      </c>
      <c r="D40" s="81">
        <f>C42</f>
        <v>0</v>
      </c>
      <c r="E40" s="81">
        <f>D42</f>
        <v>0</v>
      </c>
      <c r="F40" s="81">
        <f>E42</f>
        <v>0</v>
      </c>
      <c r="G40" s="81">
        <f>F42</f>
        <v>0</v>
      </c>
      <c r="H40" s="4"/>
      <c r="I40" s="4"/>
    </row>
    <row r="41" spans="1:9" ht="12.75">
      <c r="A41" s="4"/>
      <c r="B41" s="4" t="s">
        <v>172</v>
      </c>
      <c r="C41" s="86">
        <f>' Assumptions and Data'!C33</f>
        <v>0</v>
      </c>
      <c r="D41" s="86">
        <f>' Assumptions and Data'!D33</f>
        <v>0</v>
      </c>
      <c r="E41" s="86">
        <f>' Assumptions and Data'!F33</f>
        <v>0</v>
      </c>
      <c r="F41" s="86">
        <f>' Assumptions and Data'!G33</f>
        <v>0</v>
      </c>
      <c r="G41" s="86">
        <f>' Assumptions and Data'!H33</f>
        <v>0</v>
      </c>
      <c r="H41" s="4"/>
      <c r="I41" s="4"/>
    </row>
    <row r="42" spans="1:9" ht="12.75">
      <c r="A42" s="4"/>
      <c r="B42" s="4" t="s">
        <v>124</v>
      </c>
      <c r="C42" s="81">
        <f>SUM(C40:C41)</f>
        <v>0</v>
      </c>
      <c r="D42" s="81">
        <f>SUM(D40:D41)</f>
        <v>0</v>
      </c>
      <c r="E42" s="81">
        <f>SUM(E40:E41)</f>
        <v>0</v>
      </c>
      <c r="F42" s="81">
        <f>SUM(F40:F41)</f>
        <v>0</v>
      </c>
      <c r="G42" s="81">
        <f>SUM(G40:G41)</f>
        <v>0</v>
      </c>
      <c r="H42" s="4"/>
      <c r="I42" s="4"/>
    </row>
    <row r="43" spans="1:9" ht="12.75">
      <c r="A43" s="4"/>
      <c r="B43" s="4"/>
      <c r="C43" s="76"/>
      <c r="D43" s="76"/>
      <c r="E43" s="76"/>
      <c r="F43" s="76"/>
      <c r="G43" s="76"/>
      <c r="H43" s="4"/>
      <c r="I43" s="4"/>
    </row>
    <row r="44" spans="1:9" ht="12.75">
      <c r="A44" s="4"/>
      <c r="B44" s="4" t="s">
        <v>125</v>
      </c>
      <c r="C44" s="81">
        <v>0</v>
      </c>
      <c r="D44" s="81">
        <f>C46</f>
        <v>0</v>
      </c>
      <c r="E44" s="81">
        <f>D46</f>
        <v>0</v>
      </c>
      <c r="F44" s="81">
        <f>E46</f>
        <v>0</v>
      </c>
      <c r="G44" s="81">
        <f>F46</f>
        <v>0</v>
      </c>
      <c r="H44" s="4"/>
      <c r="I44" s="4"/>
    </row>
    <row r="45" spans="1:9" ht="12.75">
      <c r="A45" s="4"/>
      <c r="B45" s="4" t="str">
        <f>"Amortization Year 1 ("&amp;' Assumptions and Data'!$C$40&amp;" Years Straight Line)"</f>
        <v>Amortization Year 1 (4 Years Straight Line)</v>
      </c>
      <c r="C45" s="30">
        <f>IF(C44+(C40/' Assumptions and Data'!$C$40)+(C41/' Assumptions and Data'!$C$40/2)&lt;C42,(C40/' Assumptions and Data'!$C$40)+(C41/' Assumptions and Data'!$C$40/2),C42-C44)</f>
        <v>0</v>
      </c>
      <c r="D45" s="30">
        <f>IF(D44+(D40/' Assumptions and Data'!$C$40)+(D41/' Assumptions and Data'!$C$40/2)&lt;D42,(D40/' Assumptions and Data'!$C$40)+(D41/' Assumptions and Data'!$C$40/2),D42-D44)</f>
        <v>0</v>
      </c>
      <c r="E45" s="30">
        <f>IF(E44+(E40/' Assumptions and Data'!$C$40)+(E41/' Assumptions and Data'!$C$40/2)&lt;E42,(E40/' Assumptions and Data'!$C$40)+(E41/' Assumptions and Data'!$C$40/2),E42-E44)</f>
        <v>0</v>
      </c>
      <c r="F45" s="30">
        <f>IF(F44+(F40/' Assumptions and Data'!$C$40)+(F41/' Assumptions and Data'!$C$40/2)&lt;F42,(F40/' Assumptions and Data'!$C$40)+(F41/' Assumptions and Data'!$C$40/2),F42-F44)</f>
        <v>0</v>
      </c>
      <c r="G45" s="30">
        <f>IF(G44+(G40/' Assumptions and Data'!$C$40)+(G41/' Assumptions and Data'!$C$40/2)&lt;G42,(G40/' Assumptions and Data'!$C$40)+(G41/' Assumptions and Data'!$C$40/2),G42-G44)</f>
        <v>0</v>
      </c>
      <c r="H45" s="4"/>
      <c r="I45" s="4"/>
    </row>
    <row r="46" spans="1:9" ht="12.75">
      <c r="A46" s="4"/>
      <c r="B46" s="4" t="s">
        <v>126</v>
      </c>
      <c r="C46" s="81">
        <f>SUM(C44:C45)</f>
        <v>0</v>
      </c>
      <c r="D46" s="81">
        <f>SUM(D44:D45)</f>
        <v>0</v>
      </c>
      <c r="E46" s="81">
        <f>SUM(E44:E45)</f>
        <v>0</v>
      </c>
      <c r="F46" s="81">
        <f>SUM(F44:F45)</f>
        <v>0</v>
      </c>
      <c r="G46" s="81">
        <f>SUM(G44:G45)</f>
        <v>0</v>
      </c>
      <c r="H46" s="4"/>
      <c r="I46" s="4"/>
    </row>
    <row r="47" spans="1:9" ht="12.75">
      <c r="A47" s="4"/>
      <c r="B47" s="4"/>
      <c r="C47" s="81"/>
      <c r="D47" s="81"/>
      <c r="E47" s="81"/>
      <c r="F47" s="81"/>
      <c r="G47" s="81"/>
      <c r="H47" s="4"/>
      <c r="I47" s="4"/>
    </row>
    <row r="48" spans="1:9" ht="12.75">
      <c r="A48" s="4"/>
      <c r="B48" s="4" t="s">
        <v>127</v>
      </c>
      <c r="C48" s="30">
        <f>0</f>
        <v>0</v>
      </c>
      <c r="D48" s="30">
        <f>C49</f>
        <v>0</v>
      </c>
      <c r="E48" s="30">
        <f>D49</f>
        <v>0</v>
      </c>
      <c r="F48" s="30">
        <f>E49</f>
        <v>0</v>
      </c>
      <c r="G48" s="30">
        <f>F49</f>
        <v>0</v>
      </c>
      <c r="H48" s="4"/>
      <c r="I48" s="4"/>
    </row>
    <row r="49" spans="1:9" ht="12.75">
      <c r="A49" s="4"/>
      <c r="B49" s="4" t="s">
        <v>128</v>
      </c>
      <c r="C49" s="81">
        <f>C42-C46</f>
        <v>0</v>
      </c>
      <c r="D49" s="111">
        <f>D42-D46</f>
        <v>0</v>
      </c>
      <c r="E49" s="111">
        <f>E42-E46</f>
        <v>0</v>
      </c>
      <c r="F49" s="111">
        <f>F42-F46</f>
        <v>0</v>
      </c>
      <c r="G49" s="111">
        <f>G42-G46</f>
        <v>0</v>
      </c>
      <c r="H49" s="19"/>
      <c r="I49" s="4"/>
    </row>
    <row r="50" spans="1:9" ht="13.5" thickBot="1">
      <c r="A50" s="4"/>
      <c r="B50" s="4" t="s">
        <v>129</v>
      </c>
      <c r="C50" s="112">
        <f>(C49+C48)/2</f>
        <v>0</v>
      </c>
      <c r="D50" s="114">
        <f>(D49+D48)/2</f>
        <v>0</v>
      </c>
      <c r="E50" s="114">
        <f>(E49+E48)/2</f>
        <v>0</v>
      </c>
      <c r="F50" s="114">
        <f>(F49+F48)/2</f>
        <v>0</v>
      </c>
      <c r="G50" s="114">
        <f>(G49+G48)/2</f>
        <v>0</v>
      </c>
      <c r="H50" s="19"/>
      <c r="I50" s="4"/>
    </row>
    <row r="51" spans="1:9" ht="12.75">
      <c r="A51" s="4"/>
      <c r="B51" s="4"/>
      <c r="C51" s="75"/>
      <c r="D51" s="75"/>
      <c r="E51" s="4"/>
      <c r="F51" s="4"/>
      <c r="G51" s="4"/>
      <c r="H51" s="4"/>
      <c r="I51" s="4"/>
    </row>
    <row r="52" spans="1:9" ht="12.75">
      <c r="A52" s="4"/>
      <c r="B52" s="4"/>
      <c r="C52" s="75"/>
      <c r="D52" s="75"/>
      <c r="E52" s="4"/>
      <c r="F52" s="4"/>
      <c r="G52" s="4"/>
      <c r="H52" s="4"/>
      <c r="I52" s="4"/>
    </row>
    <row r="53" spans="1:9" ht="18">
      <c r="A53" s="4"/>
      <c r="B53" s="13" t="s">
        <v>132</v>
      </c>
      <c r="C53" s="4">
        <v>2006</v>
      </c>
      <c r="D53" s="4">
        <v>2007</v>
      </c>
      <c r="E53" s="4">
        <v>2008</v>
      </c>
      <c r="F53" s="4">
        <v>2009</v>
      </c>
      <c r="G53" s="4">
        <v>2010</v>
      </c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 t="s">
        <v>123</v>
      </c>
      <c r="C55" s="81">
        <v>0</v>
      </c>
      <c r="D55" s="81" t="e">
        <f>C57</f>
        <v>#REF!</v>
      </c>
      <c r="E55" s="81" t="e">
        <f>D57</f>
        <v>#REF!</v>
      </c>
      <c r="F55" s="81" t="e">
        <f>E57</f>
        <v>#REF!</v>
      </c>
      <c r="G55" s="81" t="e">
        <f>F57</f>
        <v>#REF!</v>
      </c>
      <c r="H55" s="4"/>
      <c r="I55" s="4"/>
    </row>
    <row r="56" spans="1:9" ht="12.75">
      <c r="A56" s="4"/>
      <c r="B56" s="4" t="s">
        <v>172</v>
      </c>
      <c r="C56" s="86" t="e">
        <f>' Assumptions and Data'!#REF!</f>
        <v>#REF!</v>
      </c>
      <c r="D56" s="86" t="e">
        <f>' Assumptions and Data'!#REF!</f>
        <v>#REF!</v>
      </c>
      <c r="E56" s="86" t="e">
        <f>' Assumptions and Data'!#REF!</f>
        <v>#REF!</v>
      </c>
      <c r="F56" s="86" t="e">
        <f>' Assumptions and Data'!#REF!</f>
        <v>#REF!</v>
      </c>
      <c r="G56" s="86" t="e">
        <f>' Assumptions and Data'!#REF!</f>
        <v>#REF!</v>
      </c>
      <c r="H56" s="4"/>
      <c r="I56" s="4"/>
    </row>
    <row r="57" spans="1:9" ht="12.75">
      <c r="A57" s="4"/>
      <c r="B57" s="4" t="s">
        <v>124</v>
      </c>
      <c r="C57" s="81" t="e">
        <f>SUM(C55:C56)</f>
        <v>#REF!</v>
      </c>
      <c r="D57" s="81" t="e">
        <f>SUM(D55:D56)</f>
        <v>#REF!</v>
      </c>
      <c r="E57" s="81" t="e">
        <f>SUM(E55:E56)</f>
        <v>#REF!</v>
      </c>
      <c r="F57" s="81" t="e">
        <f>SUM(F55:F56)</f>
        <v>#REF!</v>
      </c>
      <c r="G57" s="81" t="e">
        <f>SUM(G55:G56)</f>
        <v>#REF!</v>
      </c>
      <c r="H57" s="4"/>
      <c r="I57" s="4"/>
    </row>
    <row r="58" spans="1:9" ht="12.75">
      <c r="A58" s="4"/>
      <c r="B58" s="4"/>
      <c r="C58" s="76"/>
      <c r="D58" s="76"/>
      <c r="E58" s="76"/>
      <c r="F58" s="76"/>
      <c r="G58" s="76"/>
      <c r="H58" s="4"/>
      <c r="I58" s="4"/>
    </row>
    <row r="59" spans="1:9" ht="12.75">
      <c r="A59" s="4"/>
      <c r="B59" s="4" t="s">
        <v>125</v>
      </c>
      <c r="C59" s="81">
        <v>0</v>
      </c>
      <c r="D59" s="81" t="e">
        <f>C61</f>
        <v>#REF!</v>
      </c>
      <c r="E59" s="81" t="e">
        <f>D61</f>
        <v>#REF!</v>
      </c>
      <c r="F59" s="81" t="e">
        <f>E61</f>
        <v>#REF!</v>
      </c>
      <c r="G59" s="81" t="e">
        <f>F61</f>
        <v>#REF!</v>
      </c>
      <c r="H59" s="4"/>
      <c r="I59" s="4"/>
    </row>
    <row r="60" spans="1:9" ht="12.75">
      <c r="A60" s="4"/>
      <c r="B60" s="4" t="str">
        <f>"Amortization Year 1 ("&amp;' Assumptions and Data'!$C$41&amp;" Years Straight Line)"</f>
        <v>Amortization Year 1 (7 Years Straight Line)</v>
      </c>
      <c r="C60" s="30" t="e">
        <f>IF(C59+(C55/' Assumptions and Data'!$C$41)+(C56/' Assumptions and Data'!$C$41/2)&lt;C57,(C55/' Assumptions and Data'!$C$41)+(C56/' Assumptions and Data'!$C$41/2),C57-C59)</f>
        <v>#REF!</v>
      </c>
      <c r="D60" s="30" t="e">
        <f>IF(D59+(D55/' Assumptions and Data'!$C$41)+(D56/' Assumptions and Data'!$C$41/2)&lt;D57,(D55/' Assumptions and Data'!$C$41)+(D56/' Assumptions and Data'!$C$41/2),D57-D59)</f>
        <v>#REF!</v>
      </c>
      <c r="E60" s="30" t="e">
        <f>IF(E59+(E55/' Assumptions and Data'!$C$41)+(E56/' Assumptions and Data'!$C$41/2)&lt;E57,(E55/' Assumptions and Data'!$C$41)+(E56/' Assumptions and Data'!$C$41/2),E57-E59)</f>
        <v>#REF!</v>
      </c>
      <c r="F60" s="30" t="e">
        <f>IF(F59+(F55/' Assumptions and Data'!$C$41)+(F56/' Assumptions and Data'!$C$41/2)&lt;F57,(F55/' Assumptions and Data'!$C$41)+(F56/' Assumptions and Data'!$C$41/2),F57-F59)</f>
        <v>#REF!</v>
      </c>
      <c r="G60" s="30" t="e">
        <f>IF(G59+(G55/' Assumptions and Data'!$C$41)+(G56/' Assumptions and Data'!$C$41/2)&lt;G57,(G55/' Assumptions and Data'!$C$41)+(G56/' Assumptions and Data'!$C$41/2),G57-G59)</f>
        <v>#REF!</v>
      </c>
      <c r="H60" s="4"/>
      <c r="I60" s="4"/>
    </row>
    <row r="61" spans="1:9" ht="12.75">
      <c r="A61" s="4"/>
      <c r="B61" s="4" t="s">
        <v>126</v>
      </c>
      <c r="C61" s="81" t="e">
        <f>SUM(C59:C60)</f>
        <v>#REF!</v>
      </c>
      <c r="D61" s="81" t="e">
        <f>SUM(D59:D60)</f>
        <v>#REF!</v>
      </c>
      <c r="E61" s="81" t="e">
        <f>SUM(E59:E60)</f>
        <v>#REF!</v>
      </c>
      <c r="F61" s="81" t="e">
        <f>SUM(F59:F60)</f>
        <v>#REF!</v>
      </c>
      <c r="G61" s="81" t="e">
        <f>SUM(G59:G60)</f>
        <v>#REF!</v>
      </c>
      <c r="H61" s="4"/>
      <c r="I61" s="4"/>
    </row>
    <row r="62" spans="1:9" ht="12.75">
      <c r="A62" s="4"/>
      <c r="B62" s="4"/>
      <c r="C62" s="81"/>
      <c r="D62" s="81"/>
      <c r="E62" s="81"/>
      <c r="F62" s="81"/>
      <c r="G62" s="81"/>
      <c r="H62" s="4"/>
      <c r="I62" s="4"/>
    </row>
    <row r="63" spans="1:9" ht="12.75">
      <c r="A63" s="4"/>
      <c r="B63" s="4" t="s">
        <v>127</v>
      </c>
      <c r="C63" s="30">
        <f>0</f>
        <v>0</v>
      </c>
      <c r="D63" s="30" t="e">
        <f>C64</f>
        <v>#REF!</v>
      </c>
      <c r="E63" s="30" t="e">
        <f>D64</f>
        <v>#REF!</v>
      </c>
      <c r="F63" s="30" t="e">
        <f>E64</f>
        <v>#REF!</v>
      </c>
      <c r="G63" s="30" t="e">
        <f>F64</f>
        <v>#REF!</v>
      </c>
      <c r="H63" s="4"/>
      <c r="I63" s="4"/>
    </row>
    <row r="64" spans="1:9" ht="12.75">
      <c r="A64" s="4"/>
      <c r="B64" s="4" t="s">
        <v>128</v>
      </c>
      <c r="C64" s="81" t="e">
        <f>C57-C61</f>
        <v>#REF!</v>
      </c>
      <c r="D64" s="111" t="e">
        <f>D57-D61</f>
        <v>#REF!</v>
      </c>
      <c r="E64" s="111" t="e">
        <f>E57-E61</f>
        <v>#REF!</v>
      </c>
      <c r="F64" s="111" t="e">
        <f>F57-F61</f>
        <v>#REF!</v>
      </c>
      <c r="G64" s="111" t="e">
        <f>G57-G61</f>
        <v>#REF!</v>
      </c>
      <c r="H64" s="19"/>
      <c r="I64" s="4"/>
    </row>
    <row r="65" spans="1:9" ht="13.5" thickBot="1">
      <c r="A65" s="4"/>
      <c r="B65" s="4" t="s">
        <v>129</v>
      </c>
      <c r="C65" s="112" t="e">
        <f>(C64+C63)/2</f>
        <v>#REF!</v>
      </c>
      <c r="D65" s="114" t="e">
        <f>(D64+D63)/2</f>
        <v>#REF!</v>
      </c>
      <c r="E65" s="114" t="e">
        <f>(E64+E63)/2</f>
        <v>#REF!</v>
      </c>
      <c r="F65" s="114" t="e">
        <f>(F64+F63)/2</f>
        <v>#REF!</v>
      </c>
      <c r="G65" s="114" t="e">
        <f>(G64+G63)/2</f>
        <v>#REF!</v>
      </c>
      <c r="H65" s="19"/>
      <c r="I65" s="4"/>
    </row>
    <row r="66" spans="1:9" ht="12.75">
      <c r="A66" s="4"/>
      <c r="B66" s="4"/>
      <c r="C66" s="75"/>
      <c r="D66" s="75"/>
      <c r="E66" s="4"/>
      <c r="F66" s="4"/>
      <c r="G66" s="4"/>
      <c r="H66" s="4"/>
      <c r="I66" s="4"/>
    </row>
    <row r="67" spans="1:9" ht="18">
      <c r="A67" s="4"/>
      <c r="B67" s="13" t="s">
        <v>133</v>
      </c>
      <c r="C67" s="4">
        <v>2006</v>
      </c>
      <c r="D67" s="4">
        <v>2007</v>
      </c>
      <c r="E67" s="4">
        <v>2008</v>
      </c>
      <c r="F67" s="4">
        <v>2009</v>
      </c>
      <c r="G67" s="4">
        <v>2010</v>
      </c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 t="s">
        <v>123</v>
      </c>
      <c r="C69" s="81">
        <v>0</v>
      </c>
      <c r="D69" s="81" t="e">
        <f>C71</f>
        <v>#REF!</v>
      </c>
      <c r="E69" s="81" t="e">
        <f>D71</f>
        <v>#REF!</v>
      </c>
      <c r="F69" s="81" t="e">
        <f>E71</f>
        <v>#REF!</v>
      </c>
      <c r="G69" s="81" t="e">
        <f>F71</f>
        <v>#REF!</v>
      </c>
      <c r="H69" s="4"/>
      <c r="I69" s="4"/>
    </row>
    <row r="70" spans="1:9" ht="12.75">
      <c r="A70" s="4"/>
      <c r="B70" s="4" t="s">
        <v>172</v>
      </c>
      <c r="C70" s="86" t="e">
        <f>' Assumptions and Data'!#REF!</f>
        <v>#REF!</v>
      </c>
      <c r="D70" s="86" t="e">
        <f>' Assumptions and Data'!#REF!</f>
        <v>#REF!</v>
      </c>
      <c r="E70" s="86" t="e">
        <f>' Assumptions and Data'!#REF!</f>
        <v>#REF!</v>
      </c>
      <c r="F70" s="86" t="e">
        <f>' Assumptions and Data'!#REF!</f>
        <v>#REF!</v>
      </c>
      <c r="G70" s="86" t="e">
        <f>' Assumptions and Data'!#REF!</f>
        <v>#REF!</v>
      </c>
      <c r="H70" s="4"/>
      <c r="I70" s="4"/>
    </row>
    <row r="71" spans="1:9" ht="12.75">
      <c r="A71" s="4"/>
      <c r="B71" s="4" t="s">
        <v>124</v>
      </c>
      <c r="C71" s="81" t="e">
        <f>SUM(C69:C70)</f>
        <v>#REF!</v>
      </c>
      <c r="D71" s="81" t="e">
        <f>SUM(D69:D70)</f>
        <v>#REF!</v>
      </c>
      <c r="E71" s="81" t="e">
        <f>SUM(E69:E70)</f>
        <v>#REF!</v>
      </c>
      <c r="F71" s="81" t="e">
        <f>SUM(F69:F70)</f>
        <v>#REF!</v>
      </c>
      <c r="G71" s="81" t="e">
        <f>SUM(G69:G70)</f>
        <v>#REF!</v>
      </c>
      <c r="H71" s="4"/>
      <c r="I71" s="4"/>
    </row>
    <row r="72" spans="1:9" ht="12.75">
      <c r="A72" s="4"/>
      <c r="B72" s="4"/>
      <c r="C72" s="76"/>
      <c r="D72" s="76"/>
      <c r="E72" s="76"/>
      <c r="F72" s="76"/>
      <c r="G72" s="76"/>
      <c r="H72" s="4"/>
      <c r="I72" s="4"/>
    </row>
    <row r="73" spans="1:9" ht="12.75">
      <c r="A73" s="4"/>
      <c r="B73" s="4" t="s">
        <v>125</v>
      </c>
      <c r="C73" s="81">
        <v>0</v>
      </c>
      <c r="D73" s="81" t="e">
        <f>C75</f>
        <v>#DIV/0!</v>
      </c>
      <c r="E73" s="81" t="e">
        <f>D75</f>
        <v>#DIV/0!</v>
      </c>
      <c r="F73" s="81" t="e">
        <f>E75</f>
        <v>#DIV/0!</v>
      </c>
      <c r="G73" s="81" t="e">
        <f>F75</f>
        <v>#DIV/0!</v>
      </c>
      <c r="H73" s="4"/>
      <c r="I73" s="4"/>
    </row>
    <row r="74" spans="1:9" ht="12.75">
      <c r="A74" s="4"/>
      <c r="B74" s="4" t="str">
        <f>"Amortization Year 1 ("&amp;' Assumptions and Data'!$C$42&amp;" Years Straight Line)"</f>
        <v>Amortization Year 1 ( Years Straight Line)</v>
      </c>
      <c r="C74" s="30" t="e">
        <f>IF(C73+(C69/' Assumptions and Data'!$C$42)+(C70/' Assumptions and Data'!$C$42/2)&lt;C71,(C69/' Assumptions and Data'!$C$42)+(C70/' Assumptions and Data'!$C$42/2),C71-C73)</f>
        <v>#DIV/0!</v>
      </c>
      <c r="D74" s="30" t="e">
        <f>IF(D73+(D69/' Assumptions and Data'!$C$42)+(D70/' Assumptions and Data'!$C$42/2)&lt;D71,(D69/' Assumptions and Data'!$C$42)+(D70/' Assumptions and Data'!$C$42/2),D71-D73)</f>
        <v>#DIV/0!</v>
      </c>
      <c r="E74" s="30" t="e">
        <f>IF(E73+(E69/' Assumptions and Data'!$C$42)+(E70/' Assumptions and Data'!$C$42/2)&lt;E71,(E69/' Assumptions and Data'!$C$42)+(E70/' Assumptions and Data'!$C$42/2),E71-E73)</f>
        <v>#DIV/0!</v>
      </c>
      <c r="F74" s="30" t="e">
        <f>IF(F73+(F69/' Assumptions and Data'!$C$42)+(F70/' Assumptions and Data'!$C$42/2)&lt;F71,(F69/' Assumptions and Data'!$C$42)+(F70/' Assumptions and Data'!$C$42/2),F71-F73)</f>
        <v>#DIV/0!</v>
      </c>
      <c r="G74" s="30" t="e">
        <f>IF(G73+(G69/' Assumptions and Data'!$C$42)+(G70/' Assumptions and Data'!$C$42/2)&lt;G71,(G69/' Assumptions and Data'!$C$42)+(G70/' Assumptions and Data'!$C$42/2),G71-G73)</f>
        <v>#DIV/0!</v>
      </c>
      <c r="H74" s="4"/>
      <c r="I74" s="4"/>
    </row>
    <row r="75" spans="1:9" ht="12.75">
      <c r="A75" s="4"/>
      <c r="B75" s="4" t="s">
        <v>126</v>
      </c>
      <c r="C75" s="81" t="e">
        <f>SUM(C73:C74)</f>
        <v>#DIV/0!</v>
      </c>
      <c r="D75" s="81" t="e">
        <f>SUM(D73:D74)</f>
        <v>#DIV/0!</v>
      </c>
      <c r="E75" s="81" t="e">
        <f>SUM(E73:E74)</f>
        <v>#DIV/0!</v>
      </c>
      <c r="F75" s="81" t="e">
        <f>SUM(F73:F74)</f>
        <v>#DIV/0!</v>
      </c>
      <c r="G75" s="81" t="e">
        <f>SUM(G73:G74)</f>
        <v>#DIV/0!</v>
      </c>
      <c r="H75" s="4"/>
      <c r="I75" s="4"/>
    </row>
    <row r="76" spans="1:9" ht="12.75">
      <c r="A76" s="4"/>
      <c r="B76" s="4"/>
      <c r="C76" s="81"/>
      <c r="D76" s="81"/>
      <c r="E76" s="81"/>
      <c r="F76" s="81"/>
      <c r="G76" s="81"/>
      <c r="H76" s="4"/>
      <c r="I76" s="4"/>
    </row>
    <row r="77" spans="1:9" ht="12.75">
      <c r="A77" s="4"/>
      <c r="B77" s="4" t="s">
        <v>127</v>
      </c>
      <c r="C77" s="30">
        <f>0</f>
        <v>0</v>
      </c>
      <c r="D77" s="30" t="e">
        <f>C78</f>
        <v>#REF!</v>
      </c>
      <c r="E77" s="30" t="e">
        <f>D78</f>
        <v>#REF!</v>
      </c>
      <c r="F77" s="30" t="e">
        <f>E78</f>
        <v>#REF!</v>
      </c>
      <c r="G77" s="30" t="e">
        <f>F78</f>
        <v>#REF!</v>
      </c>
      <c r="H77" s="4"/>
      <c r="I77" s="4"/>
    </row>
    <row r="78" spans="1:9" ht="12.75">
      <c r="A78" s="4"/>
      <c r="B78" s="4" t="s">
        <v>128</v>
      </c>
      <c r="C78" s="81" t="e">
        <f>C71-C75</f>
        <v>#REF!</v>
      </c>
      <c r="D78" s="111" t="e">
        <f>D71-D75</f>
        <v>#REF!</v>
      </c>
      <c r="E78" s="111" t="e">
        <f>E71-E75</f>
        <v>#REF!</v>
      </c>
      <c r="F78" s="111" t="e">
        <f>F71-F75</f>
        <v>#REF!</v>
      </c>
      <c r="G78" s="111" t="e">
        <f>G71-G75</f>
        <v>#REF!</v>
      </c>
      <c r="H78" s="19"/>
      <c r="I78" s="4"/>
    </row>
    <row r="79" spans="1:9" ht="13.5" thickBot="1">
      <c r="A79" s="4"/>
      <c r="B79" s="4" t="s">
        <v>129</v>
      </c>
      <c r="C79" s="112" t="e">
        <f>(C78+C77)/2</f>
        <v>#REF!</v>
      </c>
      <c r="D79" s="114" t="e">
        <f>(D78+D77)/2</f>
        <v>#REF!</v>
      </c>
      <c r="E79" s="114" t="e">
        <f>(E78+E77)/2</f>
        <v>#REF!</v>
      </c>
      <c r="F79" s="114" t="e">
        <f>(F78+F77)/2</f>
        <v>#REF!</v>
      </c>
      <c r="G79" s="114" t="e">
        <f>(G78+G77)/2</f>
        <v>#REF!</v>
      </c>
      <c r="H79" s="19"/>
      <c r="I79" s="4"/>
    </row>
    <row r="80" spans="1:9" ht="12.75">
      <c r="A80" s="4"/>
      <c r="B80" s="4"/>
      <c r="C80" s="75"/>
      <c r="D80" s="75"/>
      <c r="E80" s="4"/>
      <c r="F80" s="4"/>
      <c r="G80" s="4"/>
      <c r="H80" s="4"/>
      <c r="I80" s="4"/>
    </row>
    <row r="81" spans="1:9" ht="12.75">
      <c r="A81" s="4"/>
      <c r="B81" s="4"/>
      <c r="C81" s="75"/>
      <c r="D81" s="75"/>
      <c r="E81" s="4"/>
      <c r="F81" s="4"/>
      <c r="G81" s="4"/>
      <c r="H81" s="4"/>
      <c r="I81" s="4"/>
    </row>
    <row r="82" spans="1:9" ht="26.25">
      <c r="A82" s="4"/>
      <c r="B82" s="68" t="s">
        <v>134</v>
      </c>
      <c r="C82" s="75"/>
      <c r="D82" s="75"/>
      <c r="E82" s="4"/>
      <c r="F82" s="4"/>
      <c r="G82" s="4"/>
      <c r="H82" s="4"/>
      <c r="I82" s="4"/>
    </row>
    <row r="83" spans="1:9" ht="12.75">
      <c r="A83" s="4"/>
      <c r="B83" s="4"/>
      <c r="C83" s="75"/>
      <c r="D83" s="75"/>
      <c r="E83" s="4"/>
      <c r="F83" s="4"/>
      <c r="G83" s="4"/>
      <c r="H83" s="4"/>
      <c r="I83" s="4"/>
    </row>
    <row r="84" spans="1:9" ht="18">
      <c r="A84" s="4"/>
      <c r="B84" s="13" t="s">
        <v>135</v>
      </c>
      <c r="C84" s="4"/>
      <c r="D84" s="4"/>
      <c r="E84" s="4"/>
      <c r="F84" s="4"/>
      <c r="G84" s="4"/>
      <c r="H84" s="4"/>
      <c r="I84" s="4"/>
    </row>
    <row r="85" spans="1:9" ht="12.75">
      <c r="A85" s="4"/>
      <c r="B85" s="4" t="s">
        <v>136</v>
      </c>
      <c r="C85" s="4">
        <v>2006</v>
      </c>
      <c r="D85" s="4">
        <v>2007</v>
      </c>
      <c r="E85" s="4">
        <v>2008</v>
      </c>
      <c r="F85" s="4">
        <v>2009</v>
      </c>
      <c r="G85" s="4">
        <v>2010</v>
      </c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 t="s">
        <v>137</v>
      </c>
      <c r="C87" s="81">
        <v>0</v>
      </c>
      <c r="D87" s="81">
        <f>C89-C93</f>
        <v>0</v>
      </c>
      <c r="E87" s="81">
        <f>D89-D93</f>
        <v>0</v>
      </c>
      <c r="F87" s="81">
        <f>E89-E93</f>
        <v>0</v>
      </c>
      <c r="G87" s="81">
        <f>F89-F93</f>
        <v>0</v>
      </c>
      <c r="H87" s="4"/>
      <c r="I87" s="4"/>
    </row>
    <row r="88" spans="1:9" ht="12.75">
      <c r="A88" s="4"/>
      <c r="B88" s="4" t="s">
        <v>138</v>
      </c>
      <c r="C88" s="30">
        <f>C13</f>
        <v>0</v>
      </c>
      <c r="D88" s="30">
        <f>D13</f>
        <v>0</v>
      </c>
      <c r="E88" s="30">
        <f>E13</f>
        <v>0</v>
      </c>
      <c r="F88" s="30">
        <f>F13</f>
        <v>0</v>
      </c>
      <c r="G88" s="30">
        <f>G13</f>
        <v>0</v>
      </c>
      <c r="H88" s="4"/>
      <c r="I88" s="4"/>
    </row>
    <row r="89" spans="1:9" ht="12.75">
      <c r="A89" s="4"/>
      <c r="B89" s="4" t="s">
        <v>139</v>
      </c>
      <c r="C89" s="81">
        <f>SUM(C87:C88)</f>
        <v>0</v>
      </c>
      <c r="D89" s="81">
        <f>SUM(D87:D88)</f>
        <v>0</v>
      </c>
      <c r="E89" s="81">
        <f>SUM(E87:E88)</f>
        <v>0</v>
      </c>
      <c r="F89" s="81">
        <f>SUM(F87:F88)</f>
        <v>0</v>
      </c>
      <c r="G89" s="81">
        <f>SUM(G87:G88)</f>
        <v>0</v>
      </c>
      <c r="H89" s="4"/>
      <c r="I89" s="4"/>
    </row>
    <row r="90" spans="1:9" ht="12.75">
      <c r="A90" s="4"/>
      <c r="B90" s="4" t="s">
        <v>140</v>
      </c>
      <c r="C90" s="30">
        <f>SUM(C88:C88)/2</f>
        <v>0</v>
      </c>
      <c r="D90" s="30">
        <f>SUM(D88:D88)/2</f>
        <v>0</v>
      </c>
      <c r="E90" s="30">
        <f>SUM(E88:E88)/2</f>
        <v>0</v>
      </c>
      <c r="F90" s="30">
        <f>SUM(F88:F88)/2</f>
        <v>0</v>
      </c>
      <c r="G90" s="30">
        <f>SUM(G88:G88)/2</f>
        <v>0</v>
      </c>
      <c r="H90" s="4"/>
      <c r="I90" s="4"/>
    </row>
    <row r="91" spans="1:9" ht="12.75">
      <c r="A91" s="4"/>
      <c r="B91" s="4" t="s">
        <v>141</v>
      </c>
      <c r="C91" s="81">
        <f>C87+C90</f>
        <v>0</v>
      </c>
      <c r="D91" s="81">
        <f>D87+D90</f>
        <v>0</v>
      </c>
      <c r="E91" s="81">
        <f>E87+E90</f>
        <v>0</v>
      </c>
      <c r="F91" s="81">
        <f>F87+F90</f>
        <v>0</v>
      </c>
      <c r="G91" s="81">
        <f>G87+G90</f>
        <v>0</v>
      </c>
      <c r="H91" s="4"/>
      <c r="I91" s="4"/>
    </row>
    <row r="92" spans="1:9" ht="12.75">
      <c r="A92" s="4"/>
      <c r="B92" s="4" t="s">
        <v>142</v>
      </c>
      <c r="C92" s="109">
        <v>0.08</v>
      </c>
      <c r="D92" s="109">
        <v>0.08</v>
      </c>
      <c r="E92" s="109">
        <v>0.08</v>
      </c>
      <c r="F92" s="109">
        <v>0.08</v>
      </c>
      <c r="G92" s="109">
        <v>0.08</v>
      </c>
      <c r="H92" s="4"/>
      <c r="I92" s="4"/>
    </row>
    <row r="93" spans="1:9" ht="12.75">
      <c r="A93" s="4"/>
      <c r="B93" s="4" t="s">
        <v>143</v>
      </c>
      <c r="C93" s="81">
        <f>IF((C91*C92)&lt;C91,(C91*C92),C91)</f>
        <v>0</v>
      </c>
      <c r="D93" s="81">
        <f>IF((D91*D92)&lt;D91,(D91*D92),D91)</f>
        <v>0</v>
      </c>
      <c r="E93" s="81">
        <f>IF((E91*E92)&lt;E91,(E91*E92),E91)</f>
        <v>0</v>
      </c>
      <c r="F93" s="81">
        <f>IF((F91*F92)&lt;F91,(F91*F92),F91)</f>
        <v>0</v>
      </c>
      <c r="G93" s="81">
        <f>IF((G91*G92)&lt;G91,(G91*G92),G91)</f>
        <v>0</v>
      </c>
      <c r="H93" s="19"/>
      <c r="I93" s="4"/>
    </row>
    <row r="94" spans="1:9" ht="13.5" thickBot="1">
      <c r="A94" s="4"/>
      <c r="B94" s="4" t="s">
        <v>144</v>
      </c>
      <c r="C94" s="112">
        <f>IF((C89-C93)&lt;0,0,(C89-C93))</f>
        <v>0</v>
      </c>
      <c r="D94" s="112">
        <f>IF((D89-D93)&lt;0,0,(D89-D93))</f>
        <v>0</v>
      </c>
      <c r="E94" s="112">
        <f>IF((E89-E93)&lt;0,0,(E89-E93))</f>
        <v>0</v>
      </c>
      <c r="F94" s="112">
        <f>IF((F89-F93)&lt;0,0,(F89-F93))</f>
        <v>0</v>
      </c>
      <c r="G94" s="112">
        <f>IF((G89-G93)&lt;0,0,(G89-G93))</f>
        <v>0</v>
      </c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8">
      <c r="A96" s="4"/>
      <c r="B96" s="13" t="s">
        <v>145</v>
      </c>
      <c r="C96" s="4"/>
      <c r="D96" s="4"/>
      <c r="E96" s="4"/>
      <c r="F96" s="4"/>
      <c r="G96" s="4"/>
      <c r="H96" s="4"/>
      <c r="I96" s="4"/>
    </row>
    <row r="97" spans="1:9" ht="12.75">
      <c r="A97" s="4"/>
      <c r="B97" s="4" t="s">
        <v>146</v>
      </c>
      <c r="C97" s="4">
        <v>2006</v>
      </c>
      <c r="D97" s="4">
        <v>2007</v>
      </c>
      <c r="E97" s="4">
        <v>2008</v>
      </c>
      <c r="F97" s="4">
        <v>2009</v>
      </c>
      <c r="G97" s="4">
        <v>2010</v>
      </c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 t="s">
        <v>137</v>
      </c>
      <c r="C99" s="81">
        <v>0</v>
      </c>
      <c r="D99" s="81">
        <f>C107</f>
        <v>0</v>
      </c>
      <c r="E99" s="81">
        <f>D107</f>
        <v>0</v>
      </c>
      <c r="F99" s="81">
        <f>E107</f>
        <v>0</v>
      </c>
      <c r="G99" s="81">
        <f>F107</f>
        <v>0</v>
      </c>
      <c r="H99" s="4"/>
      <c r="I99" s="4"/>
    </row>
    <row r="100" spans="1:9" ht="12.75">
      <c r="A100" s="4"/>
      <c r="B100" s="4" t="s">
        <v>147</v>
      </c>
      <c r="C100" s="30">
        <f>C27</f>
        <v>0</v>
      </c>
      <c r="D100" s="30">
        <f>D27</f>
        <v>0</v>
      </c>
      <c r="E100" s="30">
        <f>E27</f>
        <v>0</v>
      </c>
      <c r="F100" s="30">
        <f>F27</f>
        <v>0</v>
      </c>
      <c r="G100" s="30">
        <f>G27</f>
        <v>0</v>
      </c>
      <c r="H100" s="4"/>
      <c r="I100" s="4"/>
    </row>
    <row r="101" spans="1:9" ht="12.75">
      <c r="A101" s="4"/>
      <c r="B101" s="4" t="s">
        <v>148</v>
      </c>
      <c r="C101" s="30">
        <f>C41</f>
        <v>0</v>
      </c>
      <c r="D101" s="30">
        <f>D41</f>
        <v>0</v>
      </c>
      <c r="E101" s="30">
        <f>E41</f>
        <v>0</v>
      </c>
      <c r="F101" s="30">
        <f>F41</f>
        <v>0</v>
      </c>
      <c r="G101" s="30">
        <f>G41</f>
        <v>0</v>
      </c>
      <c r="H101" s="4"/>
      <c r="I101" s="4"/>
    </row>
    <row r="102" spans="1:9" ht="12.75">
      <c r="A102" s="4"/>
      <c r="B102" s="4" t="s">
        <v>139</v>
      </c>
      <c r="C102" s="81">
        <f>SUM(C99:C101)</f>
        <v>0</v>
      </c>
      <c r="D102" s="81">
        <f>SUM(D99:D101)</f>
        <v>0</v>
      </c>
      <c r="E102" s="81">
        <f>SUM(E99:E101)</f>
        <v>0</v>
      </c>
      <c r="F102" s="81">
        <f>SUM(F99:F101)</f>
        <v>0</v>
      </c>
      <c r="G102" s="81">
        <f>SUM(G99:G101)</f>
        <v>0</v>
      </c>
      <c r="H102" s="4"/>
      <c r="I102" s="4"/>
    </row>
    <row r="103" spans="1:9" ht="12.75">
      <c r="A103" s="4"/>
      <c r="B103" s="4" t="s">
        <v>140</v>
      </c>
      <c r="C103" s="30">
        <f>SUM(C100:C101)/2</f>
        <v>0</v>
      </c>
      <c r="D103" s="30">
        <f>SUM(D100:D101)/2</f>
        <v>0</v>
      </c>
      <c r="E103" s="30">
        <f>SUM(E100:E101)/2</f>
        <v>0</v>
      </c>
      <c r="F103" s="30">
        <f>SUM(F100:F101)/2</f>
        <v>0</v>
      </c>
      <c r="G103" s="30">
        <f>SUM(G100:G101)/2</f>
        <v>0</v>
      </c>
      <c r="H103" s="4"/>
      <c r="I103" s="4"/>
    </row>
    <row r="104" spans="1:9" ht="12.75">
      <c r="A104" s="4"/>
      <c r="B104" s="4" t="s">
        <v>141</v>
      </c>
      <c r="C104" s="81">
        <f>C99+C103</f>
        <v>0</v>
      </c>
      <c r="D104" s="81">
        <f>D99+D103</f>
        <v>0</v>
      </c>
      <c r="E104" s="81">
        <f>E99+E103</f>
        <v>0</v>
      </c>
      <c r="F104" s="81">
        <f>F99+F103</f>
        <v>0</v>
      </c>
      <c r="G104" s="81">
        <f>G99+G103</f>
        <v>0</v>
      </c>
      <c r="H104" s="4"/>
      <c r="I104" s="4"/>
    </row>
    <row r="105" spans="1:9" ht="12.75">
      <c r="A105" s="4"/>
      <c r="B105" s="4" t="s">
        <v>149</v>
      </c>
      <c r="C105" s="115">
        <v>0.45</v>
      </c>
      <c r="D105" s="115">
        <v>0.45</v>
      </c>
      <c r="E105" s="115">
        <v>0.45</v>
      </c>
      <c r="F105" s="115">
        <v>0.45</v>
      </c>
      <c r="G105" s="115">
        <v>0.45</v>
      </c>
      <c r="H105" s="4"/>
      <c r="I105" s="4"/>
    </row>
    <row r="106" spans="1:9" ht="12.75">
      <c r="A106" s="4"/>
      <c r="B106" s="4" t="s">
        <v>143</v>
      </c>
      <c r="C106" s="81">
        <f>IF((C104*C105)&lt;C104,(C104*C105),C104)</f>
        <v>0</v>
      </c>
      <c r="D106" s="81">
        <f>IF((D104*D105)&lt;D104,(D104*D105),D104)</f>
        <v>0</v>
      </c>
      <c r="E106" s="81">
        <f>IF((E104*E105)&lt;E104,(E104*E105),E104)</f>
        <v>0</v>
      </c>
      <c r="F106" s="81">
        <f>IF((F104*F105)&lt;F104,(F104*F105),F104)</f>
        <v>0</v>
      </c>
      <c r="G106" s="81">
        <f>IF((G104*G105)&lt;G104,(G104*G105),G104)</f>
        <v>0</v>
      </c>
      <c r="H106" s="19"/>
      <c r="I106" s="4"/>
    </row>
    <row r="107" spans="1:9" ht="13.5" thickBot="1">
      <c r="A107" s="4"/>
      <c r="B107" s="4" t="s">
        <v>144</v>
      </c>
      <c r="C107" s="112">
        <f>IF((C102-C106)&lt;0,0,(C102-C106))</f>
        <v>0</v>
      </c>
      <c r="D107" s="112">
        <f>IF((D102-D106)&lt;0,0,(D102-D106))</f>
        <v>0</v>
      </c>
      <c r="E107" s="112">
        <f>IF((E102-E106)&lt;0,0,(E102-E106))</f>
        <v>0</v>
      </c>
      <c r="F107" s="112">
        <f>IF((F102-F106)&lt;0,0,(F102-F106))</f>
        <v>0</v>
      </c>
      <c r="G107" s="112">
        <f>IF((G102-G106)&lt;0,0,(G102-G106))</f>
        <v>0</v>
      </c>
      <c r="H107" s="4"/>
      <c r="I107" s="4"/>
    </row>
    <row r="109" spans="1:9" ht="18">
      <c r="A109" s="4"/>
      <c r="B109" s="13" t="s">
        <v>150</v>
      </c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 t="s">
        <v>151</v>
      </c>
      <c r="C110" s="4">
        <v>2006</v>
      </c>
      <c r="D110" s="4">
        <v>2007</v>
      </c>
      <c r="E110" s="4">
        <v>2008</v>
      </c>
      <c r="F110" s="4">
        <v>2009</v>
      </c>
      <c r="G110" s="4">
        <v>2010</v>
      </c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 t="s">
        <v>137</v>
      </c>
      <c r="C112" s="81">
        <v>0</v>
      </c>
      <c r="D112" s="81" t="e">
        <f>C120</f>
        <v>#REF!</v>
      </c>
      <c r="E112" s="81" t="e">
        <f>D120</f>
        <v>#REF!</v>
      </c>
      <c r="F112" s="81" t="e">
        <f>E120</f>
        <v>#REF!</v>
      </c>
      <c r="G112" s="81" t="e">
        <f>F120</f>
        <v>#REF!</v>
      </c>
      <c r="H112" s="4"/>
      <c r="I112" s="4"/>
    </row>
    <row r="113" spans="1:9" ht="12.75">
      <c r="A113" s="4"/>
      <c r="B113" s="4" t="s">
        <v>152</v>
      </c>
      <c r="C113" s="30" t="e">
        <f>C56</f>
        <v>#REF!</v>
      </c>
      <c r="D113" s="30" t="e">
        <f>D56</f>
        <v>#REF!</v>
      </c>
      <c r="E113" s="30" t="e">
        <f>E56</f>
        <v>#REF!</v>
      </c>
      <c r="F113" s="30" t="e">
        <f>F56</f>
        <v>#REF!</v>
      </c>
      <c r="G113" s="30" t="e">
        <f>G56</f>
        <v>#REF!</v>
      </c>
      <c r="H113" s="4"/>
      <c r="I113" s="4"/>
    </row>
    <row r="114" spans="1:9" ht="12.75">
      <c r="A114" s="4"/>
      <c r="B114" s="4" t="s">
        <v>153</v>
      </c>
      <c r="C114" s="30" t="e">
        <f>C70</f>
        <v>#REF!</v>
      </c>
      <c r="D114" s="30" t="e">
        <f>D70</f>
        <v>#REF!</v>
      </c>
      <c r="E114" s="30" t="e">
        <f>E70</f>
        <v>#REF!</v>
      </c>
      <c r="F114" s="30" t="e">
        <f>F70</f>
        <v>#REF!</v>
      </c>
      <c r="G114" s="30" t="e">
        <f>G70</f>
        <v>#REF!</v>
      </c>
      <c r="H114" s="4"/>
      <c r="I114" s="4"/>
    </row>
    <row r="115" spans="1:9" ht="12.75">
      <c r="A115" s="4"/>
      <c r="B115" s="4" t="s">
        <v>139</v>
      </c>
      <c r="C115" s="81" t="e">
        <f>SUM(C112:C114)</f>
        <v>#REF!</v>
      </c>
      <c r="D115" s="81" t="e">
        <f>SUM(D112:D114)</f>
        <v>#REF!</v>
      </c>
      <c r="E115" s="81" t="e">
        <f>SUM(E112:E114)</f>
        <v>#REF!</v>
      </c>
      <c r="F115" s="81" t="e">
        <f>SUM(F112:F114)</f>
        <v>#REF!</v>
      </c>
      <c r="G115" s="81" t="e">
        <f>SUM(G112:G114)</f>
        <v>#REF!</v>
      </c>
      <c r="H115" s="4"/>
      <c r="I115" s="4"/>
    </row>
    <row r="116" spans="1:9" ht="12.75">
      <c r="A116" s="4"/>
      <c r="B116" s="4" t="s">
        <v>140</v>
      </c>
      <c r="C116" s="30" t="e">
        <f>SUM(C113:C114)/2</f>
        <v>#REF!</v>
      </c>
      <c r="D116" s="30" t="e">
        <f>SUM(D113:D114)/2</f>
        <v>#REF!</v>
      </c>
      <c r="E116" s="30" t="e">
        <f>SUM(E113:E114)/2</f>
        <v>#REF!</v>
      </c>
      <c r="F116" s="30" t="e">
        <f>SUM(F113:F114)/2</f>
        <v>#REF!</v>
      </c>
      <c r="G116" s="30" t="e">
        <f>SUM(G113:G114)/2</f>
        <v>#REF!</v>
      </c>
      <c r="H116" s="4"/>
      <c r="I116" s="4"/>
    </row>
    <row r="117" spans="1:9" ht="12.75">
      <c r="A117" s="4"/>
      <c r="B117" s="4" t="s">
        <v>141</v>
      </c>
      <c r="C117" s="81" t="e">
        <f>C112+C116</f>
        <v>#REF!</v>
      </c>
      <c r="D117" s="81" t="e">
        <f>D112+D116</f>
        <v>#REF!</v>
      </c>
      <c r="E117" s="81" t="e">
        <f>E112+E116</f>
        <v>#REF!</v>
      </c>
      <c r="F117" s="81" t="e">
        <f>F112+F116</f>
        <v>#REF!</v>
      </c>
      <c r="G117" s="81" t="e">
        <f>G112+G116</f>
        <v>#REF!</v>
      </c>
      <c r="H117" s="4"/>
      <c r="I117" s="4"/>
    </row>
    <row r="118" spans="1:9" ht="12.75">
      <c r="A118" s="4"/>
      <c r="B118" s="4" t="s">
        <v>154</v>
      </c>
      <c r="C118" s="115">
        <v>0.2</v>
      </c>
      <c r="D118" s="115">
        <v>0.2</v>
      </c>
      <c r="E118" s="115">
        <v>0.2</v>
      </c>
      <c r="F118" s="115">
        <v>0.2</v>
      </c>
      <c r="G118" s="115">
        <v>0.2</v>
      </c>
      <c r="H118" s="4"/>
      <c r="I118" s="4"/>
    </row>
    <row r="119" spans="1:9" ht="12.75">
      <c r="A119" s="4"/>
      <c r="B119" s="4" t="s">
        <v>143</v>
      </c>
      <c r="C119" s="81" t="e">
        <f>IF((C117*C118)&lt;C117,(C117*C118),C117)</f>
        <v>#REF!</v>
      </c>
      <c r="D119" s="81" t="e">
        <f>IF((D117*D118)&lt;D117,(D117*D118),D117)</f>
        <v>#REF!</v>
      </c>
      <c r="E119" s="81" t="e">
        <f>IF((E117*E118)&lt;E117,(E117*E118),E117)</f>
        <v>#REF!</v>
      </c>
      <c r="F119" s="81" t="e">
        <f>IF((F117*F118)&lt;F117,(F117*F118),F117)</f>
        <v>#REF!</v>
      </c>
      <c r="G119" s="81" t="e">
        <f>IF((G117*G118)&lt;G117,(G117*G118),G117)</f>
        <v>#REF!</v>
      </c>
      <c r="H119" s="19"/>
      <c r="I119" s="4"/>
    </row>
    <row r="120" spans="1:9" ht="13.5" thickBot="1">
      <c r="A120" s="4"/>
      <c r="B120" s="4" t="s">
        <v>144</v>
      </c>
      <c r="C120" s="112" t="e">
        <f>IF((C115-C119)&lt;0,0,(C115-C119))</f>
        <v>#REF!</v>
      </c>
      <c r="D120" s="112" t="e">
        <f>IF((D115-D119)&lt;0,0,(D115-D119))</f>
        <v>#REF!</v>
      </c>
      <c r="E120" s="112" t="e">
        <f>IF((E115-E119)&lt;0,0,(E115-E119))</f>
        <v>#REF!</v>
      </c>
      <c r="F120" s="112" t="e">
        <f>IF((F115-F119)&lt;0,0,(F115-F119))</f>
        <v>#REF!</v>
      </c>
      <c r="G120" s="112" t="e">
        <f>IF((G115-G119)&lt;0,0,(G115-G119))</f>
        <v>#REF!</v>
      </c>
      <c r="H120" s="4"/>
      <c r="I120" s="4"/>
    </row>
    <row r="124" ht="15">
      <c r="B124" s="8"/>
    </row>
    <row r="125" ht="15">
      <c r="B125" s="8"/>
    </row>
  </sheetData>
  <sheetProtection formatColumns="0" selectLockedCells="1"/>
  <mergeCells count="4">
    <mergeCell ref="B2:E2"/>
    <mergeCell ref="B3:E3"/>
    <mergeCell ref="B1:E1"/>
    <mergeCell ref="B5:E5"/>
  </mergeCells>
  <printOptions/>
  <pageMargins left="0.53" right="0.44" top="0.55" bottom="0.55" header="0.5" footer="0.5"/>
  <pageSetup fitToHeight="2" fitToWidth="1" horizontalDpi="600" verticalDpi="600" orientation="portrait" scale="63" r:id="rId1"/>
  <rowBreaks count="1" manualBreakCount="1">
    <brk id="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68"/>
  <sheetViews>
    <sheetView zoomScale="75" zoomScaleNormal="75" zoomScalePageLayoutView="0" workbookViewId="0" topLeftCell="A38">
      <selection activeCell="C6" sqref="C1:E16384"/>
    </sheetView>
  </sheetViews>
  <sheetFormatPr defaultColWidth="9.140625" defaultRowHeight="12.75"/>
  <cols>
    <col min="1" max="1" width="4.7109375" style="6" customWidth="1"/>
    <col min="2" max="2" width="68.28125" style="6" bestFit="1" customWidth="1"/>
    <col min="3" max="4" width="16.140625" style="6" bestFit="1" customWidth="1"/>
    <col min="5" max="5" width="19.421875" style="6" bestFit="1" customWidth="1"/>
    <col min="6" max="6" width="16.8515625" style="6" bestFit="1" customWidth="1"/>
    <col min="7" max="7" width="16.8515625" style="99" bestFit="1" customWidth="1"/>
    <col min="8" max="8" width="19.8515625" style="6" bestFit="1" customWidth="1"/>
    <col min="9" max="10" width="17.28125" style="6" bestFit="1" customWidth="1"/>
    <col min="11" max="11" width="19.8515625" style="6" bestFit="1" customWidth="1"/>
    <col min="12" max="13" width="17.57421875" style="6" bestFit="1" customWidth="1"/>
    <col min="14" max="14" width="19.421875" style="6" bestFit="1" customWidth="1"/>
    <col min="15" max="16" width="17.28125" style="0" bestFit="1" customWidth="1"/>
    <col min="17" max="17" width="20.421875" style="0" bestFit="1" customWidth="1"/>
    <col min="18" max="16384" width="9.140625" style="6" customWidth="1"/>
  </cols>
  <sheetData>
    <row r="1" spans="1:17" s="2" customFormat="1" ht="20.25" customHeight="1">
      <c r="A1" s="1"/>
      <c r="B1" s="234"/>
      <c r="C1" s="234"/>
      <c r="D1" s="234"/>
      <c r="E1" s="234"/>
      <c r="F1" s="1"/>
      <c r="G1" s="67"/>
      <c r="O1"/>
      <c r="P1"/>
      <c r="Q1"/>
    </row>
    <row r="2" spans="1:17" s="2" customFormat="1" ht="18.75" customHeight="1">
      <c r="A2" s="1"/>
      <c r="B2" s="255" t="e">
        <f>#REF!</f>
        <v>#REF!</v>
      </c>
      <c r="C2" s="255"/>
      <c r="D2" s="255"/>
      <c r="E2" s="255"/>
      <c r="F2" s="1"/>
      <c r="G2" s="67"/>
      <c r="O2"/>
      <c r="P2"/>
      <c r="Q2"/>
    </row>
    <row r="3" spans="1:17" s="2" customFormat="1" ht="18.75" customHeight="1">
      <c r="A3" s="1"/>
      <c r="B3" s="256" t="e">
        <f>#REF!</f>
        <v>#REF!</v>
      </c>
      <c r="C3" s="256"/>
      <c r="D3" s="256"/>
      <c r="E3" s="256"/>
      <c r="F3" s="1"/>
      <c r="G3" s="67"/>
      <c r="O3"/>
      <c r="P3"/>
      <c r="Q3"/>
    </row>
    <row r="4" spans="1:17" s="2" customFormat="1" ht="18">
      <c r="A4" s="1"/>
      <c r="B4" s="10" t="e">
        <f>#REF!</f>
        <v>#REF!</v>
      </c>
      <c r="C4" s="9"/>
      <c r="D4" s="9"/>
      <c r="E4" s="9"/>
      <c r="F4" s="1"/>
      <c r="G4" s="67"/>
      <c r="O4"/>
      <c r="P4"/>
      <c r="Q4"/>
    </row>
    <row r="5" spans="1:17" s="2" customFormat="1" ht="21" customHeight="1">
      <c r="A5" s="1"/>
      <c r="B5" s="257" t="s">
        <v>186</v>
      </c>
      <c r="C5" s="257"/>
      <c r="D5" s="257"/>
      <c r="E5" s="11"/>
      <c r="F5" s="1"/>
      <c r="G5" s="67"/>
      <c r="O5"/>
      <c r="P5"/>
      <c r="Q5"/>
    </row>
    <row r="6" spans="1:17" s="2" customFormat="1" ht="6" customHeight="1">
      <c r="A6" s="12"/>
      <c r="B6" s="12"/>
      <c r="C6" s="12"/>
      <c r="D6" s="12"/>
      <c r="E6" s="12"/>
      <c r="F6" s="12"/>
      <c r="G6" s="12"/>
      <c r="O6"/>
      <c r="P6"/>
      <c r="Q6"/>
    </row>
    <row r="7" spans="1:7" ht="12.75">
      <c r="A7" s="4"/>
      <c r="B7" s="4"/>
      <c r="C7" s="4"/>
      <c r="D7" s="4"/>
      <c r="E7" s="4"/>
      <c r="F7" s="4"/>
      <c r="G7" s="67"/>
    </row>
    <row r="8" spans="1:7" ht="26.25">
      <c r="A8" s="68" t="s">
        <v>77</v>
      </c>
      <c r="B8" s="4"/>
      <c r="C8" s="4"/>
      <c r="D8" s="4"/>
      <c r="E8" s="4"/>
      <c r="F8" s="4"/>
      <c r="G8" s="67"/>
    </row>
    <row r="9" spans="1:7" ht="13.5" thickBot="1">
      <c r="A9" s="4"/>
      <c r="B9" s="4"/>
      <c r="C9" s="4"/>
      <c r="D9" s="4"/>
      <c r="E9" s="4"/>
      <c r="F9" s="4"/>
      <c r="G9" s="67"/>
    </row>
    <row r="10" spans="1:14" ht="18.75" thickBot="1">
      <c r="A10" s="4"/>
      <c r="B10" s="13" t="s">
        <v>78</v>
      </c>
      <c r="C10" s="252">
        <v>2007</v>
      </c>
      <c r="D10" s="253"/>
      <c r="E10" s="254"/>
      <c r="F10" s="252">
        <v>2008</v>
      </c>
      <c r="G10" s="253"/>
      <c r="H10" s="254"/>
      <c r="I10" s="252">
        <v>2009</v>
      </c>
      <c r="J10" s="253"/>
      <c r="K10" s="254"/>
      <c r="L10" s="252">
        <v>2010</v>
      </c>
      <c r="M10" s="253"/>
      <c r="N10" s="254"/>
    </row>
    <row r="11" spans="1:14" ht="12.75">
      <c r="A11" s="4"/>
      <c r="B11" s="69" t="s">
        <v>79</v>
      </c>
      <c r="C11" s="70">
        <f>'12. 2007A SM Nt Fix Ass &amp;UCC'!C22</f>
        <v>0</v>
      </c>
      <c r="D11" s="71"/>
      <c r="E11" s="72"/>
      <c r="F11" s="70">
        <f>'12. 2007A SM Nt Fix Ass &amp;UCC'!D22</f>
        <v>0</v>
      </c>
      <c r="G11" s="71"/>
      <c r="H11" s="72"/>
      <c r="I11" s="73">
        <f>'12. 2007A SM Nt Fix Ass &amp;UCC'!E22</f>
        <v>0</v>
      </c>
      <c r="J11" s="5"/>
      <c r="K11" s="74"/>
      <c r="L11" s="73">
        <f>'12. 2007A SM Nt Fix Ass &amp;UCC'!F22</f>
        <v>0</v>
      </c>
      <c r="M11" s="5"/>
      <c r="N11" s="74"/>
    </row>
    <row r="12" spans="1:14" ht="12.75">
      <c r="A12" s="4"/>
      <c r="B12" s="69" t="s">
        <v>80</v>
      </c>
      <c r="C12" s="73">
        <f>'12. 2007A SM Nt Fix Ass &amp;UCC'!C36</f>
        <v>0</v>
      </c>
      <c r="D12" s="75"/>
      <c r="E12" s="74"/>
      <c r="F12" s="73">
        <f>'12. 2007A SM Nt Fix Ass &amp;UCC'!D36</f>
        <v>0</v>
      </c>
      <c r="G12" s="75"/>
      <c r="H12" s="74"/>
      <c r="I12" s="73">
        <f>'12. 2007A SM Nt Fix Ass &amp;UCC'!E36</f>
        <v>0</v>
      </c>
      <c r="J12" s="75"/>
      <c r="K12" s="74"/>
      <c r="L12" s="73">
        <f>'12. 2007A SM Nt Fix Ass &amp;UCC'!F36</f>
        <v>0</v>
      </c>
      <c r="M12" s="75"/>
      <c r="N12" s="74"/>
    </row>
    <row r="13" spans="1:14" ht="12.75">
      <c r="A13" s="4"/>
      <c r="B13" s="69" t="s">
        <v>81</v>
      </c>
      <c r="C13" s="73">
        <f>'12. 2007A SM Nt Fix Ass &amp;UCC'!C50</f>
        <v>0</v>
      </c>
      <c r="D13" s="76"/>
      <c r="E13" s="74"/>
      <c r="F13" s="73">
        <f>'12. 2007A SM Nt Fix Ass &amp;UCC'!D50</f>
        <v>0</v>
      </c>
      <c r="G13" s="76"/>
      <c r="H13" s="74"/>
      <c r="I13" s="73">
        <f>'12. 2007A SM Nt Fix Ass &amp;UCC'!E50</f>
        <v>0</v>
      </c>
      <c r="J13" s="76"/>
      <c r="K13" s="74"/>
      <c r="L13" s="73">
        <f>'12. 2007A SM Nt Fix Ass &amp;UCC'!F50</f>
        <v>0</v>
      </c>
      <c r="M13" s="76"/>
      <c r="N13" s="74"/>
    </row>
    <row r="14" spans="1:14" ht="12.75">
      <c r="A14" s="4"/>
      <c r="B14" s="69" t="s">
        <v>82</v>
      </c>
      <c r="C14" s="73" t="e">
        <f>'12. 2007A SM Nt Fix Ass &amp;UCC'!C65</f>
        <v>#REF!</v>
      </c>
      <c r="D14" s="76"/>
      <c r="E14" s="74"/>
      <c r="F14" s="73" t="e">
        <f>'12. 2007A SM Nt Fix Ass &amp;UCC'!D65</f>
        <v>#REF!</v>
      </c>
      <c r="G14" s="76"/>
      <c r="H14" s="74"/>
      <c r="I14" s="73" t="e">
        <f>'12. 2007A SM Nt Fix Ass &amp;UCC'!E65</f>
        <v>#REF!</v>
      </c>
      <c r="J14" s="76"/>
      <c r="K14" s="74"/>
      <c r="L14" s="73" t="e">
        <f>'12. 2007A SM Nt Fix Ass &amp;UCC'!F65</f>
        <v>#REF!</v>
      </c>
      <c r="M14" s="76"/>
      <c r="N14" s="74"/>
    </row>
    <row r="15" spans="1:14" ht="12.75">
      <c r="A15" s="4"/>
      <c r="B15" s="69" t="s">
        <v>83</v>
      </c>
      <c r="C15" s="73" t="e">
        <f>'12. 2007A SM Nt Fix Ass &amp;UCC'!C79</f>
        <v>#REF!</v>
      </c>
      <c r="D15" s="76"/>
      <c r="E15" s="74"/>
      <c r="F15" s="73" t="e">
        <f>'12. 2007A SM Nt Fix Ass &amp;UCC'!D79</f>
        <v>#REF!</v>
      </c>
      <c r="G15" s="76"/>
      <c r="H15" s="74"/>
      <c r="I15" s="73" t="e">
        <f>'12. 2007A SM Nt Fix Ass &amp;UCC'!E79</f>
        <v>#REF!</v>
      </c>
      <c r="J15" s="76"/>
      <c r="K15" s="74"/>
      <c r="L15" s="73" t="e">
        <f>'12. 2007A SM Nt Fix Ass &amp;UCC'!F79</f>
        <v>#REF!</v>
      </c>
      <c r="M15" s="76"/>
      <c r="N15" s="74"/>
    </row>
    <row r="16" spans="1:14" ht="12.75">
      <c r="A16" s="4"/>
      <c r="B16" s="69" t="s">
        <v>84</v>
      </c>
      <c r="C16" s="77" t="e">
        <f>SUM(C11:C15)</f>
        <v>#REF!</v>
      </c>
      <c r="D16" s="76" t="e">
        <f>C16</f>
        <v>#REF!</v>
      </c>
      <c r="E16" s="74"/>
      <c r="F16" s="77" t="e">
        <f>SUM(F11:F15)</f>
        <v>#REF!</v>
      </c>
      <c r="G16" s="76" t="e">
        <f>F16</f>
        <v>#REF!</v>
      </c>
      <c r="H16" s="74"/>
      <c r="I16" s="77" t="e">
        <f>SUM(I11:I15)</f>
        <v>#REF!</v>
      </c>
      <c r="J16" s="76" t="e">
        <f>I16</f>
        <v>#REF!</v>
      </c>
      <c r="K16" s="74"/>
      <c r="L16" s="77" t="e">
        <f>SUM(L11:L15)</f>
        <v>#REF!</v>
      </c>
      <c r="M16" s="76" t="e">
        <f>L16</f>
        <v>#REF!</v>
      </c>
      <c r="N16" s="74"/>
    </row>
    <row r="17" spans="1:14" ht="12.75">
      <c r="A17" s="4"/>
      <c r="B17" s="69"/>
      <c r="C17" s="78"/>
      <c r="D17" s="5"/>
      <c r="E17" s="74"/>
      <c r="F17" s="78"/>
      <c r="G17" s="5"/>
      <c r="H17" s="74"/>
      <c r="I17" s="78"/>
      <c r="J17" s="5"/>
      <c r="K17" s="74"/>
      <c r="L17" s="78"/>
      <c r="M17" s="5"/>
      <c r="N17" s="74"/>
    </row>
    <row r="18" spans="1:14" ht="18">
      <c r="A18" s="4"/>
      <c r="B18" s="13" t="s">
        <v>85</v>
      </c>
      <c r="C18" s="78"/>
      <c r="D18" s="5"/>
      <c r="E18" s="74"/>
      <c r="F18" s="78"/>
      <c r="G18" s="5"/>
      <c r="H18" s="74"/>
      <c r="I18" s="78"/>
      <c r="J18" s="5"/>
      <c r="K18" s="74"/>
      <c r="L18" s="78"/>
      <c r="M18" s="5"/>
      <c r="N18" s="74"/>
    </row>
    <row r="19" spans="1:14" ht="12.75">
      <c r="A19" s="4"/>
      <c r="B19" s="69" t="s">
        <v>41</v>
      </c>
      <c r="C19" s="79">
        <f>E34</f>
        <v>0</v>
      </c>
      <c r="D19" s="76"/>
      <c r="E19" s="80"/>
      <c r="F19" s="79">
        <f>H34</f>
        <v>0</v>
      </c>
      <c r="G19" s="76"/>
      <c r="H19" s="80"/>
      <c r="I19" s="79">
        <f>K34</f>
        <v>0</v>
      </c>
      <c r="J19" s="76"/>
      <c r="K19" s="80"/>
      <c r="L19" s="79">
        <f>N34</f>
        <v>0</v>
      </c>
      <c r="M19" s="76"/>
      <c r="N19" s="80"/>
    </row>
    <row r="20" spans="1:14" ht="12.75">
      <c r="A20" s="4"/>
      <c r="B20" s="69" t="str">
        <f>"Working Capital "&amp;' Assumptions and Data'!C13*100&amp;" %"</f>
        <v>Working Capital 13 %</v>
      </c>
      <c r="C20" s="79">
        <f>C19*' Assumptions and Data'!$C$13</f>
        <v>0</v>
      </c>
      <c r="D20" s="76">
        <f>C20</f>
        <v>0</v>
      </c>
      <c r="E20" s="80"/>
      <c r="F20" s="79">
        <f>F19*' Assumptions and Data'!$C$13</f>
        <v>0</v>
      </c>
      <c r="G20" s="76">
        <f>F20</f>
        <v>0</v>
      </c>
      <c r="H20" s="80"/>
      <c r="I20" s="79">
        <f>I19*' Assumptions and Data'!$C$13</f>
        <v>0</v>
      </c>
      <c r="J20" s="76">
        <f>I20</f>
        <v>0</v>
      </c>
      <c r="K20" s="80"/>
      <c r="L20" s="79">
        <f>L19*' Assumptions and Data'!$C$13</f>
        <v>0</v>
      </c>
      <c r="M20" s="76">
        <f>L20</f>
        <v>0</v>
      </c>
      <c r="N20" s="80"/>
    </row>
    <row r="21" spans="1:14" ht="12.75">
      <c r="A21" s="4"/>
      <c r="B21" s="69"/>
      <c r="C21" s="79"/>
      <c r="D21" s="76"/>
      <c r="E21" s="80"/>
      <c r="F21" s="79"/>
      <c r="G21" s="76"/>
      <c r="H21" s="80"/>
      <c r="I21" s="79"/>
      <c r="J21" s="76"/>
      <c r="K21" s="80"/>
      <c r="L21" s="79"/>
      <c r="M21" s="76"/>
      <c r="N21" s="80"/>
    </row>
    <row r="22" spans="1:14" ht="15.75">
      <c r="A22" s="4"/>
      <c r="B22" s="21" t="s">
        <v>86</v>
      </c>
      <c r="C22" s="79"/>
      <c r="D22" s="81" t="e">
        <f>SUM(D12:D20)</f>
        <v>#REF!</v>
      </c>
      <c r="E22" s="80"/>
      <c r="F22" s="79"/>
      <c r="G22" s="81" t="e">
        <f>SUM(G12:G20)</f>
        <v>#REF!</v>
      </c>
      <c r="H22" s="80"/>
      <c r="I22" s="79"/>
      <c r="J22" s="81" t="e">
        <f>SUM(J12:J20)</f>
        <v>#REF!</v>
      </c>
      <c r="K22" s="80"/>
      <c r="L22" s="79"/>
      <c r="M22" s="81" t="e">
        <f>SUM(M12:M20)</f>
        <v>#REF!</v>
      </c>
      <c r="N22" s="80"/>
    </row>
    <row r="23" spans="1:14" ht="12.75">
      <c r="A23" s="4"/>
      <c r="B23" s="69"/>
      <c r="C23" s="78"/>
      <c r="D23" s="5"/>
      <c r="E23" s="74"/>
      <c r="F23" s="78"/>
      <c r="G23" s="5"/>
      <c r="H23" s="74"/>
      <c r="I23" s="78"/>
      <c r="J23" s="5"/>
      <c r="K23" s="74"/>
      <c r="L23" s="78"/>
      <c r="M23" s="5"/>
      <c r="N23" s="74"/>
    </row>
    <row r="24" spans="1:14" ht="18">
      <c r="A24" s="4"/>
      <c r="B24" s="13" t="s">
        <v>43</v>
      </c>
      <c r="C24" s="78"/>
      <c r="D24" s="5"/>
      <c r="E24" s="74"/>
      <c r="F24" s="78"/>
      <c r="G24" s="5"/>
      <c r="H24" s="74"/>
      <c r="I24" s="78"/>
      <c r="J24" s="5"/>
      <c r="K24" s="74"/>
      <c r="L24" s="78"/>
      <c r="M24" s="5"/>
      <c r="N24" s="74"/>
    </row>
    <row r="25" spans="1:14" ht="12.75">
      <c r="A25" s="4"/>
      <c r="B25" s="69" t="s">
        <v>163</v>
      </c>
      <c r="C25" s="82">
        <f>' Assumptions and Data'!$C$7</f>
        <v>0.6</v>
      </c>
      <c r="D25" s="76" t="e">
        <f>D22*C25</f>
        <v>#REF!</v>
      </c>
      <c r="E25" s="74"/>
      <c r="F25" s="82">
        <f>' Assumptions and Data'!$C$7</f>
        <v>0.6</v>
      </c>
      <c r="G25" s="76" t="e">
        <f>G22*F25</f>
        <v>#REF!</v>
      </c>
      <c r="H25" s="74"/>
      <c r="I25" s="82">
        <f>' Assumptions and Data'!$C$7</f>
        <v>0.6</v>
      </c>
      <c r="J25" s="76" t="e">
        <f>J22*I25</f>
        <v>#REF!</v>
      </c>
      <c r="K25" s="74"/>
      <c r="L25" s="82">
        <f>' Assumptions and Data'!$C$7</f>
        <v>0.6</v>
      </c>
      <c r="M25" s="76" t="e">
        <f>M22*L25</f>
        <v>#REF!</v>
      </c>
      <c r="N25" s="74"/>
    </row>
    <row r="26" spans="1:14" ht="12.75">
      <c r="A26" s="4"/>
      <c r="B26" s="69" t="s">
        <v>164</v>
      </c>
      <c r="C26" s="82">
        <f>' Assumptions and Data'!$C$8</f>
        <v>0.4</v>
      </c>
      <c r="D26" s="76" t="e">
        <f>D22*C26</f>
        <v>#REF!</v>
      </c>
      <c r="E26" s="74"/>
      <c r="F26" s="82">
        <f>' Assumptions and Data'!$C$8</f>
        <v>0.4</v>
      </c>
      <c r="G26" s="76" t="e">
        <f>G22*F26</f>
        <v>#REF!</v>
      </c>
      <c r="H26" s="74"/>
      <c r="I26" s="82">
        <f>' Assumptions and Data'!$C$8</f>
        <v>0.4</v>
      </c>
      <c r="J26" s="76" t="e">
        <f>J22*I26</f>
        <v>#REF!</v>
      </c>
      <c r="K26" s="74"/>
      <c r="L26" s="82">
        <f>' Assumptions and Data'!$C$8</f>
        <v>0.4</v>
      </c>
      <c r="M26" s="76" t="e">
        <f>M22*L26</f>
        <v>#REF!</v>
      </c>
      <c r="N26" s="74"/>
    </row>
    <row r="27" spans="1:14" ht="12.75">
      <c r="A27" s="4"/>
      <c r="B27" s="69"/>
      <c r="C27" s="83"/>
      <c r="D27" s="81" t="e">
        <f>SUM(D25:D26)</f>
        <v>#REF!</v>
      </c>
      <c r="E27" s="74"/>
      <c r="F27" s="83"/>
      <c r="G27" s="81" t="e">
        <f>SUM(G25:G26)</f>
        <v>#REF!</v>
      </c>
      <c r="H27" s="74"/>
      <c r="I27" s="83"/>
      <c r="J27" s="81" t="e">
        <f>SUM(J25:J26)</f>
        <v>#REF!</v>
      </c>
      <c r="K27" s="74"/>
      <c r="L27" s="83"/>
      <c r="M27" s="81" t="e">
        <f>SUM(M25:M26)</f>
        <v>#REF!</v>
      </c>
      <c r="N27" s="74"/>
    </row>
    <row r="28" spans="1:14" ht="12.75">
      <c r="A28" s="4"/>
      <c r="B28" s="69"/>
      <c r="C28" s="83"/>
      <c r="D28" s="5"/>
      <c r="E28" s="74"/>
      <c r="F28" s="83"/>
      <c r="G28" s="5"/>
      <c r="H28" s="74"/>
      <c r="I28" s="83"/>
      <c r="J28" s="5"/>
      <c r="K28" s="74"/>
      <c r="L28" s="83"/>
      <c r="M28" s="5"/>
      <c r="N28" s="74"/>
    </row>
    <row r="29" spans="1:14" ht="12.75">
      <c r="A29" s="4"/>
      <c r="B29" s="69" t="s">
        <v>165</v>
      </c>
      <c r="C29" s="82">
        <f>' Assumptions and Data'!$C$9</f>
        <v>0.0401</v>
      </c>
      <c r="D29" s="76" t="e">
        <f>D25*C29</f>
        <v>#REF!</v>
      </c>
      <c r="E29" s="80"/>
      <c r="F29" s="82">
        <f>' Assumptions and Data'!$C$9</f>
        <v>0.0401</v>
      </c>
      <c r="G29" s="76" t="e">
        <f>G25*F29</f>
        <v>#REF!</v>
      </c>
      <c r="H29" s="80"/>
      <c r="I29" s="82">
        <f>' Assumptions and Data'!$C$9</f>
        <v>0.0401</v>
      </c>
      <c r="J29" s="76" t="e">
        <f>J25*I29</f>
        <v>#REF!</v>
      </c>
      <c r="K29" s="80"/>
      <c r="L29" s="82">
        <f>' Assumptions and Data'!$C$9</f>
        <v>0.0401</v>
      </c>
      <c r="M29" s="76" t="e">
        <f>M25*L29</f>
        <v>#REF!</v>
      </c>
      <c r="N29" s="80"/>
    </row>
    <row r="30" spans="1:14" ht="12.75">
      <c r="A30" s="4"/>
      <c r="B30" s="69" t="s">
        <v>166</v>
      </c>
      <c r="C30" s="82">
        <f>' Assumptions and Data'!$C$10</f>
        <v>0.0893</v>
      </c>
      <c r="D30" s="76" t="e">
        <f>D26*C30</f>
        <v>#REF!</v>
      </c>
      <c r="E30" s="80"/>
      <c r="F30" s="82">
        <f>' Assumptions and Data'!$C$10</f>
        <v>0.0893</v>
      </c>
      <c r="G30" s="76" t="e">
        <f>G26*F30</f>
        <v>#REF!</v>
      </c>
      <c r="H30" s="80"/>
      <c r="I30" s="82">
        <f>' Assumptions and Data'!$C$10</f>
        <v>0.0893</v>
      </c>
      <c r="J30" s="76" t="e">
        <f>J26*I30</f>
        <v>#REF!</v>
      </c>
      <c r="K30" s="80"/>
      <c r="L30" s="82">
        <f>' Assumptions and Data'!$C$10</f>
        <v>0.0893</v>
      </c>
      <c r="M30" s="76" t="e">
        <f>M26*L30</f>
        <v>#REF!</v>
      </c>
      <c r="N30" s="80"/>
    </row>
    <row r="31" spans="1:14" ht="15.75">
      <c r="A31" s="4"/>
      <c r="B31" s="21" t="s">
        <v>43</v>
      </c>
      <c r="C31" s="78"/>
      <c r="D31" s="81" t="e">
        <f>SUM(D29:D30)</f>
        <v>#REF!</v>
      </c>
      <c r="E31" s="80" t="e">
        <f>D31</f>
        <v>#REF!</v>
      </c>
      <c r="F31" s="78"/>
      <c r="G31" s="81" t="e">
        <f>SUM(G29:G30)</f>
        <v>#REF!</v>
      </c>
      <c r="H31" s="80" t="e">
        <f>G31</f>
        <v>#REF!</v>
      </c>
      <c r="I31" s="78"/>
      <c r="J31" s="81" t="e">
        <f>SUM(J29:J30)</f>
        <v>#REF!</v>
      </c>
      <c r="K31" s="80" t="e">
        <f>J31</f>
        <v>#REF!</v>
      </c>
      <c r="L31" s="78"/>
      <c r="M31" s="81" t="e">
        <f>SUM(M29:M30)</f>
        <v>#REF!</v>
      </c>
      <c r="N31" s="80" t="e">
        <f>M31</f>
        <v>#REF!</v>
      </c>
    </row>
    <row r="32" spans="1:14" ht="15.75">
      <c r="A32" s="4"/>
      <c r="B32" s="21"/>
      <c r="C32" s="78"/>
      <c r="D32" s="75"/>
      <c r="E32" s="84"/>
      <c r="F32" s="78"/>
      <c r="G32" s="75"/>
      <c r="H32" s="84"/>
      <c r="I32" s="78"/>
      <c r="J32" s="75"/>
      <c r="K32" s="84"/>
      <c r="L32" s="78"/>
      <c r="M32" s="75"/>
      <c r="N32" s="84"/>
    </row>
    <row r="33" spans="1:14" ht="18">
      <c r="A33" s="4"/>
      <c r="B33" s="13" t="s">
        <v>44</v>
      </c>
      <c r="C33" s="78"/>
      <c r="D33" s="75"/>
      <c r="E33" s="84"/>
      <c r="F33" s="78"/>
      <c r="G33" s="75"/>
      <c r="H33" s="84"/>
      <c r="I33" s="78"/>
      <c r="J33" s="75"/>
      <c r="K33" s="84"/>
      <c r="L33" s="78"/>
      <c r="M33" s="75"/>
      <c r="N33" s="84"/>
    </row>
    <row r="34" spans="1:14" ht="12.75">
      <c r="A34" s="4"/>
      <c r="B34" s="27" t="s">
        <v>167</v>
      </c>
      <c r="C34" s="78"/>
      <c r="D34" s="76"/>
      <c r="E34" s="85">
        <f>' Assumptions and Data'!D47</f>
        <v>0</v>
      </c>
      <c r="F34" s="79"/>
      <c r="G34" s="76"/>
      <c r="H34" s="85">
        <f>' Assumptions and Data'!F47</f>
        <v>0</v>
      </c>
      <c r="I34" s="79"/>
      <c r="J34" s="76"/>
      <c r="K34" s="85">
        <f>' Assumptions and Data'!G47</f>
        <v>0</v>
      </c>
      <c r="L34" s="79"/>
      <c r="M34" s="76"/>
      <c r="N34" s="85">
        <f>' Assumptions and Data'!H47</f>
        <v>0</v>
      </c>
    </row>
    <row r="35" spans="1:14" ht="12.75">
      <c r="A35" s="4"/>
      <c r="B35" s="69"/>
      <c r="C35" s="78"/>
      <c r="D35" s="75"/>
      <c r="E35" s="84"/>
      <c r="F35" s="78"/>
      <c r="G35" s="75"/>
      <c r="H35" s="84"/>
      <c r="I35" s="78"/>
      <c r="J35" s="75"/>
      <c r="K35" s="84"/>
      <c r="L35" s="78"/>
      <c r="M35" s="75"/>
      <c r="N35" s="84"/>
    </row>
    <row r="36" spans="1:14" ht="18">
      <c r="A36" s="4"/>
      <c r="B36" s="13" t="s">
        <v>46</v>
      </c>
      <c r="C36" s="78"/>
      <c r="D36" s="75"/>
      <c r="E36" s="84"/>
      <c r="F36" s="78"/>
      <c r="G36" s="75"/>
      <c r="H36" s="84"/>
      <c r="I36" s="78"/>
      <c r="J36" s="75"/>
      <c r="K36" s="84"/>
      <c r="L36" s="78"/>
      <c r="M36" s="75"/>
      <c r="N36" s="84"/>
    </row>
    <row r="37" spans="1:14" ht="12.75">
      <c r="A37" s="4"/>
      <c r="B37" s="27" t="s">
        <v>87</v>
      </c>
      <c r="C37" s="78"/>
      <c r="D37" s="86">
        <f>SUM('12. 2007A SM Nt Fix Ass &amp;UCC'!C17:C17)</f>
        <v>0</v>
      </c>
      <c r="E37" s="80"/>
      <c r="F37" s="79"/>
      <c r="G37" s="86">
        <f>SUM('12. 2007A SM Nt Fix Ass &amp;UCC'!D17:D17)</f>
        <v>0</v>
      </c>
      <c r="H37" s="80"/>
      <c r="I37" s="79"/>
      <c r="J37" s="86">
        <f>SUM('12. 2007A SM Nt Fix Ass &amp;UCC'!E17:E17)</f>
        <v>0</v>
      </c>
      <c r="K37" s="80"/>
      <c r="L37" s="79"/>
      <c r="M37" s="86">
        <f>SUM('12. 2007A SM Nt Fix Ass &amp;UCC'!F17:F17)</f>
        <v>0</v>
      </c>
      <c r="N37" s="80"/>
    </row>
    <row r="38" spans="1:14" ht="12.75">
      <c r="A38" s="4"/>
      <c r="B38" s="27" t="s">
        <v>88</v>
      </c>
      <c r="C38" s="78"/>
      <c r="D38" s="86">
        <f>SUM('12. 2007A SM Nt Fix Ass &amp;UCC'!C31:C31)</f>
        <v>0</v>
      </c>
      <c r="E38" s="80"/>
      <c r="F38" s="79"/>
      <c r="G38" s="86">
        <f>SUM('12. 2007A SM Nt Fix Ass &amp;UCC'!D31:D31)</f>
        <v>0</v>
      </c>
      <c r="H38" s="80"/>
      <c r="I38" s="79"/>
      <c r="J38" s="86">
        <f>SUM('12. 2007A SM Nt Fix Ass &amp;UCC'!E31:E31)</f>
        <v>0</v>
      </c>
      <c r="K38" s="80"/>
      <c r="L38" s="79"/>
      <c r="M38" s="86">
        <f>SUM('12. 2007A SM Nt Fix Ass &amp;UCC'!F31:F31)</f>
        <v>0</v>
      </c>
      <c r="N38" s="80"/>
    </row>
    <row r="39" spans="1:14" ht="12.75">
      <c r="A39" s="4"/>
      <c r="B39" s="27" t="s">
        <v>89</v>
      </c>
      <c r="C39" s="78"/>
      <c r="D39" s="86">
        <f>SUM('12. 2007A SM Nt Fix Ass &amp;UCC'!C45:C45)</f>
        <v>0</v>
      </c>
      <c r="E39" s="80"/>
      <c r="F39" s="79"/>
      <c r="G39" s="86">
        <f>SUM('12. 2007A SM Nt Fix Ass &amp;UCC'!D45:D45)</f>
        <v>0</v>
      </c>
      <c r="H39" s="80"/>
      <c r="I39" s="79"/>
      <c r="J39" s="86">
        <f>SUM('12. 2007A SM Nt Fix Ass &amp;UCC'!E45:E45)</f>
        <v>0</v>
      </c>
      <c r="K39" s="80"/>
      <c r="L39" s="79"/>
      <c r="M39" s="86">
        <f>SUM('12. 2007A SM Nt Fix Ass &amp;UCC'!F45:F45)</f>
        <v>0</v>
      </c>
      <c r="N39" s="80"/>
    </row>
    <row r="40" spans="1:14" ht="12.75">
      <c r="A40" s="4"/>
      <c r="B40" s="27" t="s">
        <v>90</v>
      </c>
      <c r="C40" s="78"/>
      <c r="D40" s="86" t="e">
        <f>SUM('12. 2007A SM Nt Fix Ass &amp;UCC'!C60:C60)</f>
        <v>#REF!</v>
      </c>
      <c r="E40" s="80"/>
      <c r="F40" s="79"/>
      <c r="G40" s="86" t="e">
        <f>SUM('12. 2007A SM Nt Fix Ass &amp;UCC'!D60:D60)</f>
        <v>#REF!</v>
      </c>
      <c r="H40" s="80"/>
      <c r="I40" s="79"/>
      <c r="J40" s="86" t="e">
        <f>SUM('12. 2007A SM Nt Fix Ass &amp;UCC'!E60:E60)</f>
        <v>#REF!</v>
      </c>
      <c r="K40" s="80"/>
      <c r="L40" s="79"/>
      <c r="M40" s="86" t="e">
        <f>SUM('12. 2007A SM Nt Fix Ass &amp;UCC'!F60:F60)</f>
        <v>#REF!</v>
      </c>
      <c r="N40" s="80"/>
    </row>
    <row r="41" spans="1:14" ht="12.75">
      <c r="A41" s="4"/>
      <c r="B41" s="27" t="s">
        <v>91</v>
      </c>
      <c r="C41" s="78"/>
      <c r="D41" s="86" t="e">
        <f>SUM('12. 2007A SM Nt Fix Ass &amp;UCC'!C74:C74)</f>
        <v>#DIV/0!</v>
      </c>
      <c r="E41" s="80"/>
      <c r="F41" s="79"/>
      <c r="G41" s="86" t="e">
        <f>SUM('12. 2007A SM Nt Fix Ass &amp;UCC'!D74:D74)</f>
        <v>#DIV/0!</v>
      </c>
      <c r="H41" s="80"/>
      <c r="I41" s="79"/>
      <c r="J41" s="86" t="e">
        <f>SUM('12. 2007A SM Nt Fix Ass &amp;UCC'!E74:E74)</f>
        <v>#DIV/0!</v>
      </c>
      <c r="K41" s="80"/>
      <c r="L41" s="79"/>
      <c r="M41" s="86" t="e">
        <f>SUM('12. 2007A SM Nt Fix Ass &amp;UCC'!F74:F74)</f>
        <v>#DIV/0!</v>
      </c>
      <c r="N41" s="80"/>
    </row>
    <row r="42" spans="1:14" ht="15.75">
      <c r="A42" s="4"/>
      <c r="B42" s="21" t="s">
        <v>92</v>
      </c>
      <c r="C42" s="78"/>
      <c r="D42" s="76"/>
      <c r="E42" s="87" t="e">
        <f>SUM(D37:D41)</f>
        <v>#REF!</v>
      </c>
      <c r="F42" s="79"/>
      <c r="G42" s="76"/>
      <c r="H42" s="87" t="e">
        <f>SUM(G37:G41)</f>
        <v>#REF!</v>
      </c>
      <c r="I42" s="79"/>
      <c r="J42" s="76"/>
      <c r="K42" s="87" t="e">
        <f>SUM(J37:J41)</f>
        <v>#REF!</v>
      </c>
      <c r="L42" s="79"/>
      <c r="M42" s="76"/>
      <c r="N42" s="87" t="e">
        <f>SUM(M37:M41)</f>
        <v>#REF!</v>
      </c>
    </row>
    <row r="43" spans="1:14" ht="12.75">
      <c r="A43" s="4"/>
      <c r="B43" s="69"/>
      <c r="C43" s="78"/>
      <c r="D43" s="76"/>
      <c r="E43" s="80"/>
      <c r="F43" s="78"/>
      <c r="G43" s="5"/>
      <c r="H43" s="88"/>
      <c r="I43" s="78"/>
      <c r="J43" s="5"/>
      <c r="K43" s="88"/>
      <c r="L43" s="78"/>
      <c r="M43" s="5"/>
      <c r="N43" s="88"/>
    </row>
    <row r="44" spans="1:14" ht="15.75">
      <c r="A44" s="4"/>
      <c r="B44" s="21" t="s">
        <v>48</v>
      </c>
      <c r="C44" s="78"/>
      <c r="D44" s="76"/>
      <c r="E44" s="89" t="e">
        <f>SUM(E31,E42,E34)</f>
        <v>#REF!</v>
      </c>
      <c r="F44" s="79"/>
      <c r="G44" s="76"/>
      <c r="H44" s="89" t="e">
        <f>SUM(H31,H42,H34)</f>
        <v>#REF!</v>
      </c>
      <c r="I44" s="79"/>
      <c r="J44" s="76"/>
      <c r="K44" s="89" t="e">
        <f>SUM(K31,K42,K34)</f>
        <v>#REF!</v>
      </c>
      <c r="L44" s="79"/>
      <c r="M44" s="76"/>
      <c r="N44" s="89" t="e">
        <f>SUM(N31,N42,N34)</f>
        <v>#REF!</v>
      </c>
    </row>
    <row r="45" spans="1:14" ht="15.75">
      <c r="A45" s="4"/>
      <c r="B45" s="21"/>
      <c r="C45" s="78"/>
      <c r="D45" s="76"/>
      <c r="E45" s="80"/>
      <c r="F45" s="79"/>
      <c r="G45" s="76"/>
      <c r="H45" s="80"/>
      <c r="I45" s="79"/>
      <c r="J45" s="76"/>
      <c r="K45" s="80"/>
      <c r="L45" s="79"/>
      <c r="M45" s="76"/>
      <c r="N45" s="80"/>
    </row>
    <row r="46" spans="1:14" ht="18">
      <c r="A46" s="4"/>
      <c r="B46" s="13" t="s">
        <v>93</v>
      </c>
      <c r="C46" s="78"/>
      <c r="D46" s="76"/>
      <c r="E46" s="80"/>
      <c r="F46" s="79"/>
      <c r="G46" s="76"/>
      <c r="H46" s="80"/>
      <c r="I46" s="79"/>
      <c r="J46" s="76"/>
      <c r="K46" s="80"/>
      <c r="L46" s="79"/>
      <c r="M46" s="76"/>
      <c r="N46" s="80"/>
    </row>
    <row r="47" spans="1:14" ht="12.75">
      <c r="A47" s="4"/>
      <c r="B47" s="27" t="s">
        <v>45</v>
      </c>
      <c r="C47" s="78"/>
      <c r="D47" s="76"/>
      <c r="E47" s="80">
        <f>-E34</f>
        <v>0</v>
      </c>
      <c r="F47" s="79"/>
      <c r="G47" s="76"/>
      <c r="H47" s="80">
        <f>-H34</f>
        <v>0</v>
      </c>
      <c r="I47" s="79"/>
      <c r="J47" s="76"/>
      <c r="K47" s="80">
        <f>-K34</f>
        <v>0</v>
      </c>
      <c r="L47" s="79"/>
      <c r="M47" s="76"/>
      <c r="N47" s="80">
        <f>-N34</f>
        <v>0</v>
      </c>
    </row>
    <row r="48" spans="1:14" ht="12.75">
      <c r="A48" s="4"/>
      <c r="B48" s="27" t="s">
        <v>94</v>
      </c>
      <c r="C48" s="78"/>
      <c r="D48" s="76"/>
      <c r="E48" s="80" t="e">
        <f>-E42</f>
        <v>#REF!</v>
      </c>
      <c r="F48" s="79"/>
      <c r="G48" s="76"/>
      <c r="H48" s="80" t="e">
        <f>-H42</f>
        <v>#REF!</v>
      </c>
      <c r="I48" s="79"/>
      <c r="J48" s="76"/>
      <c r="K48" s="80" t="e">
        <f>-K42</f>
        <v>#REF!</v>
      </c>
      <c r="L48" s="79"/>
      <c r="M48" s="76"/>
      <c r="N48" s="80" t="e">
        <f>-N42</f>
        <v>#REF!</v>
      </c>
    </row>
    <row r="49" spans="1:14" ht="12.75">
      <c r="A49" s="4"/>
      <c r="B49" s="27" t="s">
        <v>95</v>
      </c>
      <c r="C49" s="78"/>
      <c r="D49" s="76"/>
      <c r="E49" s="80" t="e">
        <f>-D29</f>
        <v>#REF!</v>
      </c>
      <c r="F49" s="79"/>
      <c r="G49" s="76"/>
      <c r="H49" s="80" t="e">
        <f>-G29</f>
        <v>#REF!</v>
      </c>
      <c r="I49" s="79"/>
      <c r="J49" s="76"/>
      <c r="K49" s="80" t="e">
        <f>-J29</f>
        <v>#REF!</v>
      </c>
      <c r="L49" s="79"/>
      <c r="M49" s="76"/>
      <c r="N49" s="80" t="e">
        <f>-M29</f>
        <v>#REF!</v>
      </c>
    </row>
    <row r="50" spans="1:14" ht="15.75">
      <c r="A50" s="4"/>
      <c r="B50" s="21" t="s">
        <v>96</v>
      </c>
      <c r="C50" s="78"/>
      <c r="D50" s="76"/>
      <c r="E50" s="90" t="e">
        <f>SUM(E44:E49)</f>
        <v>#REF!</v>
      </c>
      <c r="F50" s="79"/>
      <c r="G50" s="76"/>
      <c r="H50" s="90" t="e">
        <f>SUM(H44:H49)</f>
        <v>#REF!</v>
      </c>
      <c r="I50" s="79"/>
      <c r="J50" s="76"/>
      <c r="K50" s="90" t="e">
        <f>SUM(K44:K49)</f>
        <v>#REF!</v>
      </c>
      <c r="L50" s="79"/>
      <c r="M50" s="76"/>
      <c r="N50" s="90" t="e">
        <f>SUM(N44:N49)</f>
        <v>#REF!</v>
      </c>
    </row>
    <row r="51" spans="1:14" ht="15.75">
      <c r="A51" s="4"/>
      <c r="B51" s="21"/>
      <c r="C51" s="78"/>
      <c r="D51" s="76"/>
      <c r="E51" s="91"/>
      <c r="F51" s="79"/>
      <c r="G51" s="76"/>
      <c r="H51" s="91"/>
      <c r="I51" s="79"/>
      <c r="J51" s="76"/>
      <c r="K51" s="91"/>
      <c r="L51" s="79"/>
      <c r="M51" s="76"/>
      <c r="N51" s="91"/>
    </row>
    <row r="52" spans="1:14" ht="15.75">
      <c r="A52" s="4"/>
      <c r="B52" s="21" t="s">
        <v>168</v>
      </c>
      <c r="C52" s="78"/>
      <c r="D52" s="76"/>
      <c r="E52" s="85" t="e">
        <f>'11. 2007A PILs'!C46</f>
        <v>#REF!</v>
      </c>
      <c r="F52" s="79"/>
      <c r="G52" s="76"/>
      <c r="H52" s="85" t="e">
        <f>'11. 2007A PILs'!D46</f>
        <v>#REF!</v>
      </c>
      <c r="I52" s="79"/>
      <c r="J52" s="76"/>
      <c r="K52" s="85" t="e">
        <f>'11. 2007A PILs'!E46</f>
        <v>#REF!</v>
      </c>
      <c r="L52" s="79"/>
      <c r="M52" s="76"/>
      <c r="N52" s="85" t="e">
        <f>'11. 2007A PILs'!F46</f>
        <v>#REF!</v>
      </c>
    </row>
    <row r="53" spans="1:14" ht="12.75">
      <c r="A53" s="4"/>
      <c r="B53" s="69"/>
      <c r="C53" s="78"/>
      <c r="D53" s="76"/>
      <c r="E53" s="91"/>
      <c r="F53" s="79"/>
      <c r="G53" s="76"/>
      <c r="H53" s="91"/>
      <c r="I53" s="79"/>
      <c r="J53" s="76"/>
      <c r="K53" s="91"/>
      <c r="L53" s="79"/>
      <c r="M53" s="76"/>
      <c r="N53" s="91"/>
    </row>
    <row r="54" spans="1:14" ht="12.75">
      <c r="A54" s="4"/>
      <c r="B54" s="69" t="str">
        <f>B44</f>
        <v>Revenue Requirement Before PILs</v>
      </c>
      <c r="C54" s="78"/>
      <c r="D54" s="76"/>
      <c r="E54" s="91" t="e">
        <f>E44</f>
        <v>#REF!</v>
      </c>
      <c r="F54" s="79"/>
      <c r="G54" s="76"/>
      <c r="H54" s="91" t="e">
        <f>H44</f>
        <v>#REF!</v>
      </c>
      <c r="I54" s="79"/>
      <c r="J54" s="76"/>
      <c r="K54" s="91" t="e">
        <f>K44</f>
        <v>#REF!</v>
      </c>
      <c r="L54" s="79"/>
      <c r="M54" s="76"/>
      <c r="N54" s="91" t="e">
        <f>N44</f>
        <v>#REF!</v>
      </c>
    </row>
    <row r="55" spans="1:14" ht="12.75">
      <c r="A55" s="4"/>
      <c r="B55" s="69" t="s">
        <v>97</v>
      </c>
      <c r="C55" s="78"/>
      <c r="D55" s="76"/>
      <c r="E55" s="91" t="e">
        <f>E52</f>
        <v>#REF!</v>
      </c>
      <c r="F55" s="79"/>
      <c r="G55" s="76"/>
      <c r="H55" s="91" t="e">
        <f>H52</f>
        <v>#REF!</v>
      </c>
      <c r="I55" s="79"/>
      <c r="J55" s="76"/>
      <c r="K55" s="91" t="e">
        <f>K52</f>
        <v>#REF!</v>
      </c>
      <c r="L55" s="79"/>
      <c r="M55" s="76"/>
      <c r="N55" s="91" t="e">
        <f>N52</f>
        <v>#REF!</v>
      </c>
    </row>
    <row r="56" spans="1:14" ht="16.5" thickBot="1">
      <c r="A56" s="4"/>
      <c r="B56" s="21" t="s">
        <v>50</v>
      </c>
      <c r="C56" s="78"/>
      <c r="D56" s="76"/>
      <c r="E56" s="92" t="e">
        <f>SUM(E54:E55)</f>
        <v>#REF!</v>
      </c>
      <c r="F56" s="79"/>
      <c r="G56" s="76"/>
      <c r="H56" s="92" t="e">
        <f>SUM(H54:H55)</f>
        <v>#REF!</v>
      </c>
      <c r="I56" s="79"/>
      <c r="J56" s="76"/>
      <c r="K56" s="92" t="e">
        <f>SUM(K54:K55)</f>
        <v>#REF!</v>
      </c>
      <c r="L56" s="79"/>
      <c r="M56" s="76"/>
      <c r="N56" s="92" t="e">
        <f>SUM(N54:N55)</f>
        <v>#REF!</v>
      </c>
    </row>
    <row r="57" spans="1:14" ht="12.75">
      <c r="A57" s="4"/>
      <c r="B57" s="69"/>
      <c r="C57" s="78"/>
      <c r="D57" s="76"/>
      <c r="E57" s="80"/>
      <c r="F57" s="79"/>
      <c r="G57" s="76"/>
      <c r="H57" s="80"/>
      <c r="I57" s="79"/>
      <c r="J57" s="76"/>
      <c r="K57" s="80"/>
      <c r="L57" s="79"/>
      <c r="M57" s="76"/>
      <c r="N57" s="80"/>
    </row>
    <row r="58" spans="1:14" ht="18">
      <c r="A58" s="4"/>
      <c r="B58" s="13" t="s">
        <v>98</v>
      </c>
      <c r="C58" s="78"/>
      <c r="D58" s="76"/>
      <c r="E58" s="80"/>
      <c r="F58" s="79"/>
      <c r="G58" s="76"/>
      <c r="H58" s="80"/>
      <c r="I58" s="79"/>
      <c r="J58" s="76"/>
      <c r="K58" s="80"/>
      <c r="L58" s="79"/>
      <c r="M58" s="76"/>
      <c r="N58" s="80"/>
    </row>
    <row r="59" spans="1:14" ht="12.75">
      <c r="A59" s="4"/>
      <c r="B59" s="27" t="s">
        <v>50</v>
      </c>
      <c r="C59" s="78"/>
      <c r="D59" s="76"/>
      <c r="E59" s="80" t="e">
        <f>E56</f>
        <v>#REF!</v>
      </c>
      <c r="F59" s="79"/>
      <c r="G59" s="76"/>
      <c r="H59" s="80" t="e">
        <f>H56</f>
        <v>#REF!</v>
      </c>
      <c r="I59" s="79"/>
      <c r="J59" s="76"/>
      <c r="K59" s="80" t="e">
        <f>K56</f>
        <v>#REF!</v>
      </c>
      <c r="L59" s="79"/>
      <c r="M59" s="76"/>
      <c r="N59" s="80" t="e">
        <f>N56</f>
        <v>#REF!</v>
      </c>
    </row>
    <row r="60" spans="1:14" ht="12.75">
      <c r="A60" s="4"/>
      <c r="B60" s="27" t="s">
        <v>169</v>
      </c>
      <c r="C60" s="78"/>
      <c r="D60" s="76"/>
      <c r="E60" s="93">
        <f>' Assumptions and Data'!$C$23</f>
        <v>347105.37499999977</v>
      </c>
      <c r="F60" s="79"/>
      <c r="G60" s="76"/>
      <c r="H60" s="93">
        <f>' Assumptions and Data'!$C$23</f>
        <v>347105.37499999977</v>
      </c>
      <c r="I60" s="79"/>
      <c r="J60" s="76"/>
      <c r="K60" s="93">
        <f>' Assumptions and Data'!$C$23</f>
        <v>347105.37499999977</v>
      </c>
      <c r="L60" s="79"/>
      <c r="M60" s="76"/>
      <c r="N60" s="93">
        <f>' Assumptions and Data'!$C$23</f>
        <v>347105.37499999977</v>
      </c>
    </row>
    <row r="61" spans="1:14" ht="12.75">
      <c r="A61" s="4"/>
      <c r="B61" s="27" t="s">
        <v>99</v>
      </c>
      <c r="C61" s="78"/>
      <c r="D61" s="76"/>
      <c r="E61" s="89">
        <f>IF(ISERROR(E59/E60),0,E59/E60)</f>
        <v>0</v>
      </c>
      <c r="F61" s="79"/>
      <c r="G61" s="76"/>
      <c r="H61" s="89">
        <f>IF(ISERROR(H59/H60),0,H59/H60)</f>
        <v>0</v>
      </c>
      <c r="I61" s="79"/>
      <c r="J61" s="76"/>
      <c r="K61" s="89">
        <f>IF(ISERROR(K59/K60),0,K59/K60)</f>
        <v>0</v>
      </c>
      <c r="L61" s="79"/>
      <c r="M61" s="76"/>
      <c r="N61" s="89">
        <f>IF(ISERROR(N59/N60),0,N59/N60)</f>
        <v>0</v>
      </c>
    </row>
    <row r="62" spans="1:14" ht="12.75">
      <c r="A62" s="4"/>
      <c r="B62" s="27" t="s">
        <v>100</v>
      </c>
      <c r="C62" s="78"/>
      <c r="D62" s="5"/>
      <c r="E62" s="94">
        <v>12</v>
      </c>
      <c r="F62" s="78"/>
      <c r="G62" s="5"/>
      <c r="H62" s="94">
        <v>12</v>
      </c>
      <c r="I62" s="78"/>
      <c r="J62" s="5"/>
      <c r="K62" s="94">
        <v>12</v>
      </c>
      <c r="L62" s="78"/>
      <c r="M62" s="5"/>
      <c r="N62" s="94">
        <v>12</v>
      </c>
    </row>
    <row r="63" spans="1:14" ht="16.5" thickBot="1">
      <c r="A63" s="4"/>
      <c r="B63" s="21" t="s">
        <v>98</v>
      </c>
      <c r="C63" s="95"/>
      <c r="D63" s="96"/>
      <c r="E63" s="92">
        <f>E61/E62</f>
        <v>0</v>
      </c>
      <c r="F63" s="97"/>
      <c r="G63" s="98"/>
      <c r="H63" s="92">
        <f>H61/H62</f>
        <v>0</v>
      </c>
      <c r="I63" s="97"/>
      <c r="J63" s="98"/>
      <c r="K63" s="92">
        <f>K61/K62</f>
        <v>0</v>
      </c>
      <c r="L63" s="97"/>
      <c r="M63" s="98"/>
      <c r="N63" s="92">
        <f>N61/N62</f>
        <v>0</v>
      </c>
    </row>
    <row r="64" spans="1:7" ht="67.5" customHeight="1">
      <c r="A64" s="4"/>
      <c r="B64" s="69"/>
      <c r="C64" s="4"/>
      <c r="D64" s="4"/>
      <c r="E64" s="4"/>
      <c r="F64"/>
      <c r="G64" s="67"/>
    </row>
    <row r="65" spans="1:7" ht="12.75">
      <c r="A65" s="4"/>
      <c r="B65" s="4"/>
      <c r="C65" s="4"/>
      <c r="D65" s="4"/>
      <c r="E65" s="4"/>
      <c r="F65" s="4"/>
      <c r="G65" s="67"/>
    </row>
    <row r="66" spans="1:7" ht="12.75">
      <c r="A66" s="4"/>
      <c r="B66" s="4"/>
      <c r="C66" s="4"/>
      <c r="D66" s="4"/>
      <c r="E66" s="4"/>
      <c r="F66" s="4"/>
      <c r="G66" s="67"/>
    </row>
    <row r="67" spans="1:7" ht="21.75" customHeight="1">
      <c r="A67" s="4"/>
      <c r="B67" s="4"/>
      <c r="C67" s="4"/>
      <c r="D67" s="4"/>
      <c r="E67" s="4"/>
      <c r="F67" s="4"/>
      <c r="G67" s="67"/>
    </row>
    <row r="68" spans="1:7" ht="45.75" customHeight="1">
      <c r="A68" s="4"/>
      <c r="B68" s="69"/>
      <c r="C68" s="4"/>
      <c r="D68" s="4"/>
      <c r="E68" s="4"/>
      <c r="F68" s="4"/>
      <c r="G68" s="67"/>
    </row>
  </sheetData>
  <sheetProtection formatColumns="0" selectLockedCells="1"/>
  <mergeCells count="8">
    <mergeCell ref="B1:E1"/>
    <mergeCell ref="B5:D5"/>
    <mergeCell ref="F10:H10"/>
    <mergeCell ref="I10:K10"/>
    <mergeCell ref="L10:N10"/>
    <mergeCell ref="C10:E10"/>
    <mergeCell ref="B2:E2"/>
    <mergeCell ref="B3:E3"/>
  </mergeCells>
  <printOptions/>
  <pageMargins left="0.43" right="0.43" top="0.79" bottom="0.54" header="0.5" footer="0.5"/>
  <pageSetup fitToHeight="1" fitToWidth="1"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46"/>
  <sheetViews>
    <sheetView zoomScalePageLayoutView="0" workbookViewId="0" topLeftCell="B2">
      <selection activeCell="C6" sqref="C1:E16384"/>
    </sheetView>
  </sheetViews>
  <sheetFormatPr defaultColWidth="9.140625" defaultRowHeight="12.75"/>
  <cols>
    <col min="1" max="1" width="16.28125" style="6" customWidth="1"/>
    <col min="2" max="2" width="57.8515625" style="6" bestFit="1" customWidth="1"/>
    <col min="3" max="6" width="15.00390625" style="6" bestFit="1" customWidth="1"/>
    <col min="7" max="7" width="9.140625" style="6" customWidth="1"/>
    <col min="8" max="8" width="19.57421875" style="6" bestFit="1" customWidth="1"/>
    <col min="9" max="16384" width="9.140625" style="6" customWidth="1"/>
  </cols>
  <sheetData>
    <row r="1" spans="1:6" s="2" customFormat="1" ht="20.25" customHeight="1">
      <c r="A1" s="1"/>
      <c r="B1" s="234"/>
      <c r="C1" s="234"/>
      <c r="D1" s="234"/>
      <c r="E1" s="234"/>
      <c r="F1" s="1"/>
    </row>
    <row r="2" spans="1:6" s="2" customFormat="1" ht="18.75" customHeight="1">
      <c r="A2" s="1"/>
      <c r="B2" s="255" t="e">
        <f>#REF!</f>
        <v>#REF!</v>
      </c>
      <c r="C2" s="255"/>
      <c r="D2" s="255"/>
      <c r="E2" s="255"/>
      <c r="F2" s="1"/>
    </row>
    <row r="3" spans="1:6" s="2" customFormat="1" ht="18.75" customHeight="1">
      <c r="A3" s="1"/>
      <c r="B3" s="256" t="e">
        <f>#REF!</f>
        <v>#REF!</v>
      </c>
      <c r="C3" s="256"/>
      <c r="D3" s="256"/>
      <c r="E3" s="256"/>
      <c r="F3" s="1"/>
    </row>
    <row r="4" spans="1:6" s="2" customFormat="1" ht="18">
      <c r="A4" s="1"/>
      <c r="B4" s="10" t="e">
        <f>#REF!</f>
        <v>#REF!</v>
      </c>
      <c r="C4" s="9"/>
      <c r="D4" s="9"/>
      <c r="E4" s="9"/>
      <c r="F4" s="1"/>
    </row>
    <row r="5" spans="1:6" s="2" customFormat="1" ht="21" customHeight="1">
      <c r="A5" s="1"/>
      <c r="B5" s="257" t="s">
        <v>187</v>
      </c>
      <c r="C5" s="257"/>
      <c r="D5" s="257"/>
      <c r="E5" s="257"/>
      <c r="F5" s="1"/>
    </row>
    <row r="6" spans="1:6" s="2" customFormat="1" ht="6" customHeight="1">
      <c r="A6" s="12"/>
      <c r="B6" s="12"/>
      <c r="C6" s="12"/>
      <c r="D6" s="12"/>
      <c r="E6" s="12"/>
      <c r="F6" s="12"/>
    </row>
    <row r="7" spans="1:6" ht="12.75">
      <c r="A7" s="4"/>
      <c r="B7" s="4"/>
      <c r="C7" s="4"/>
      <c r="D7" s="4"/>
      <c r="E7" s="4"/>
      <c r="F7" s="4"/>
    </row>
    <row r="8" spans="1:6" ht="26.25">
      <c r="A8" s="4"/>
      <c r="B8" s="68" t="s">
        <v>101</v>
      </c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>
        <v>2007</v>
      </c>
      <c r="D10" s="4">
        <v>2008</v>
      </c>
      <c r="E10" s="4">
        <v>2009</v>
      </c>
      <c r="F10" s="4">
        <v>2010</v>
      </c>
    </row>
    <row r="11" spans="1:6" ht="12.75">
      <c r="A11" s="4"/>
      <c r="B11" s="17" t="s">
        <v>102</v>
      </c>
      <c r="C11" s="4"/>
      <c r="D11" s="4"/>
      <c r="E11" s="4"/>
      <c r="F11" s="4"/>
    </row>
    <row r="12" spans="1:6" ht="12.75">
      <c r="A12" s="4"/>
      <c r="B12" s="4" t="s">
        <v>103</v>
      </c>
      <c r="C12" s="100" t="e">
        <f>'10. 2007A Smart Meter Rate Calc'!E50</f>
        <v>#REF!</v>
      </c>
      <c r="D12" s="100" t="e">
        <f>'10. 2007A Smart Meter Rate Calc'!H50</f>
        <v>#REF!</v>
      </c>
      <c r="E12" s="100" t="e">
        <f>'10. 2007A Smart Meter Rate Calc'!K50</f>
        <v>#REF!</v>
      </c>
      <c r="F12" s="100" t="e">
        <f>'10. 2007A Smart Meter Rate Calc'!N50</f>
        <v>#REF!</v>
      </c>
    </row>
    <row r="13" spans="1:6" ht="12.75">
      <c r="A13" s="4"/>
      <c r="B13" s="4" t="s">
        <v>170</v>
      </c>
      <c r="C13" s="100" t="e">
        <f>-'10. 2007A Smart Meter Rate Calc'!E48</f>
        <v>#REF!</v>
      </c>
      <c r="D13" s="100" t="e">
        <f>-'10. 2007A Smart Meter Rate Calc'!H48</f>
        <v>#REF!</v>
      </c>
      <c r="E13" s="100" t="e">
        <f>-'10. 2007A Smart Meter Rate Calc'!K48</f>
        <v>#REF!</v>
      </c>
      <c r="F13" s="100" t="e">
        <f>-'10. 2007A Smart Meter Rate Calc'!N48</f>
        <v>#REF!</v>
      </c>
    </row>
    <row r="14" spans="1:6" ht="12.75">
      <c r="A14" s="4"/>
      <c r="B14" s="4" t="s">
        <v>104</v>
      </c>
      <c r="C14" s="100">
        <f>-'12. 2007A SM Nt Fix Ass &amp;UCC'!C93</f>
        <v>0</v>
      </c>
      <c r="D14" s="100">
        <f>-'12. 2007A SM Nt Fix Ass &amp;UCC'!D93</f>
        <v>0</v>
      </c>
      <c r="E14" s="100">
        <f>-'12. 2007A SM Nt Fix Ass &amp;UCC'!E93</f>
        <v>0</v>
      </c>
      <c r="F14" s="100">
        <f>-'12. 2007A SM Nt Fix Ass &amp;UCC'!F93</f>
        <v>0</v>
      </c>
    </row>
    <row r="15" spans="1:6" ht="12.75">
      <c r="A15" s="4"/>
      <c r="B15" s="4" t="s">
        <v>105</v>
      </c>
      <c r="C15" s="100">
        <f>-'12. 2007A SM Nt Fix Ass &amp;UCC'!C106</f>
        <v>0</v>
      </c>
      <c r="D15" s="100">
        <f>-'12. 2007A SM Nt Fix Ass &amp;UCC'!D106</f>
        <v>0</v>
      </c>
      <c r="E15" s="100">
        <f>-'12. 2007A SM Nt Fix Ass &amp;UCC'!E106</f>
        <v>0</v>
      </c>
      <c r="F15" s="100">
        <f>-'12. 2007A SM Nt Fix Ass &amp;UCC'!F106</f>
        <v>0</v>
      </c>
    </row>
    <row r="16" spans="1:6" ht="12.75">
      <c r="A16" s="4"/>
      <c r="B16" s="4" t="s">
        <v>106</v>
      </c>
      <c r="C16" s="100" t="e">
        <f>-'12. 2007A SM Nt Fix Ass &amp;UCC'!C119</f>
        <v>#REF!</v>
      </c>
      <c r="D16" s="100" t="e">
        <f>-'12. 2007A SM Nt Fix Ass &amp;UCC'!D119</f>
        <v>#REF!</v>
      </c>
      <c r="E16" s="100" t="e">
        <f>-'12. 2007A SM Nt Fix Ass &amp;UCC'!E119</f>
        <v>#REF!</v>
      </c>
      <c r="F16" s="100" t="e">
        <f>-'12. 2007A SM Nt Fix Ass &amp;UCC'!F119</f>
        <v>#REF!</v>
      </c>
    </row>
    <row r="17" spans="1:6" ht="12.75">
      <c r="A17" s="4"/>
      <c r="B17" s="4" t="s">
        <v>107</v>
      </c>
      <c r="C17" s="81" t="e">
        <f>SUM(C12:C16)</f>
        <v>#REF!</v>
      </c>
      <c r="D17" s="81" t="e">
        <f>SUM(D12:D16)</f>
        <v>#REF!</v>
      </c>
      <c r="E17" s="81" t="e">
        <f>SUM(E12:E16)</f>
        <v>#REF!</v>
      </c>
      <c r="F17" s="81" t="e">
        <f>SUM(F12:F16)</f>
        <v>#REF!</v>
      </c>
    </row>
    <row r="18" spans="1:6" ht="12.75">
      <c r="A18" s="4"/>
      <c r="B18" s="4" t="s">
        <v>171</v>
      </c>
      <c r="C18" s="101">
        <f>' Assumptions and Data'!$C$27</f>
        <v>0.31</v>
      </c>
      <c r="D18" s="101">
        <f>' Assumptions and Data'!$C$27</f>
        <v>0.31</v>
      </c>
      <c r="E18" s="101">
        <f>' Assumptions and Data'!$C$27</f>
        <v>0.31</v>
      </c>
      <c r="F18" s="101">
        <f>' Assumptions and Data'!$C$27</f>
        <v>0.31</v>
      </c>
    </row>
    <row r="19" spans="1:6" ht="12.75">
      <c r="A19" s="4"/>
      <c r="B19" s="4" t="s">
        <v>108</v>
      </c>
      <c r="C19" s="81" t="e">
        <f>C17*C18</f>
        <v>#REF!</v>
      </c>
      <c r="D19" s="81" t="e">
        <f>D17*D18</f>
        <v>#REF!</v>
      </c>
      <c r="E19" s="81" t="e">
        <f>E17*E18</f>
        <v>#REF!</v>
      </c>
      <c r="F19" s="81" t="e">
        <f>F17*F18</f>
        <v>#REF!</v>
      </c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17" t="s">
        <v>109</v>
      </c>
      <c r="C21" s="4"/>
      <c r="D21" s="4"/>
      <c r="E21" s="4"/>
      <c r="F21" s="4"/>
    </row>
    <row r="22" spans="1:6" ht="12.75">
      <c r="A22" s="4"/>
      <c r="B22" s="69" t="s">
        <v>29</v>
      </c>
      <c r="C22" s="100">
        <f>'12. 2007A SM Nt Fix Ass &amp;UCC'!C21</f>
        <v>0</v>
      </c>
      <c r="D22" s="100">
        <f>'12. 2007A SM Nt Fix Ass &amp;UCC'!D21</f>
        <v>0</v>
      </c>
      <c r="E22" s="100">
        <f>'12. 2007A SM Nt Fix Ass &amp;UCC'!E21</f>
        <v>0</v>
      </c>
      <c r="F22" s="100">
        <f>'12. 2007A SM Nt Fix Ass &amp;UCC'!F21</f>
        <v>0</v>
      </c>
    </row>
    <row r="23" spans="1:6" ht="12.75">
      <c r="A23" s="4"/>
      <c r="B23" s="69" t="s">
        <v>13</v>
      </c>
      <c r="C23" s="100">
        <f>'12. 2007A SM Nt Fix Ass &amp;UCC'!C35</f>
        <v>0</v>
      </c>
      <c r="D23" s="100">
        <f>'12. 2007A SM Nt Fix Ass &amp;UCC'!D35</f>
        <v>0</v>
      </c>
      <c r="E23" s="100">
        <f>'12. 2007A SM Nt Fix Ass &amp;UCC'!E35</f>
        <v>0</v>
      </c>
      <c r="F23" s="100">
        <f>'12. 2007A SM Nt Fix Ass &amp;UCC'!F35</f>
        <v>0</v>
      </c>
    </row>
    <row r="24" spans="1:6" ht="12.75">
      <c r="A24" s="4"/>
      <c r="B24" s="69" t="s">
        <v>14</v>
      </c>
      <c r="C24" s="86">
        <f>'12. 2007A SM Nt Fix Ass &amp;UCC'!C49</f>
        <v>0</v>
      </c>
      <c r="D24" s="86">
        <f>'12. 2007A SM Nt Fix Ass &amp;UCC'!D49</f>
        <v>0</v>
      </c>
      <c r="E24" s="86">
        <f>'12. 2007A SM Nt Fix Ass &amp;UCC'!E49</f>
        <v>0</v>
      </c>
      <c r="F24" s="86">
        <f>'12. 2007A SM Nt Fix Ass &amp;UCC'!F49</f>
        <v>0</v>
      </c>
    </row>
    <row r="25" spans="1:6" ht="12.75">
      <c r="A25" s="4"/>
      <c r="B25" s="69" t="s">
        <v>1</v>
      </c>
      <c r="C25" s="86" t="e">
        <f>'12. 2007A SM Nt Fix Ass &amp;UCC'!C64</f>
        <v>#REF!</v>
      </c>
      <c r="D25" s="86" t="e">
        <f>'12. 2007A SM Nt Fix Ass &amp;UCC'!D64</f>
        <v>#REF!</v>
      </c>
      <c r="E25" s="86" t="e">
        <f>'12. 2007A SM Nt Fix Ass &amp;UCC'!E64</f>
        <v>#REF!</v>
      </c>
      <c r="F25" s="86" t="e">
        <f>'12. 2007A SM Nt Fix Ass &amp;UCC'!F64</f>
        <v>#REF!</v>
      </c>
    </row>
    <row r="26" spans="1:6" ht="12.75">
      <c r="A26" s="4"/>
      <c r="B26" s="69" t="s">
        <v>2</v>
      </c>
      <c r="C26" s="102" t="e">
        <f>'12. 2007A SM Nt Fix Ass &amp;UCC'!C78</f>
        <v>#REF!</v>
      </c>
      <c r="D26" s="102" t="e">
        <f>'12. 2007A SM Nt Fix Ass &amp;UCC'!D78</f>
        <v>#REF!</v>
      </c>
      <c r="E26" s="102" t="e">
        <f>'12. 2007A SM Nt Fix Ass &amp;UCC'!E78</f>
        <v>#REF!</v>
      </c>
      <c r="F26" s="102" t="e">
        <f>'12. 2007A SM Nt Fix Ass &amp;UCC'!F78</f>
        <v>#REF!</v>
      </c>
    </row>
    <row r="27" spans="1:6" ht="12.75">
      <c r="A27" s="4"/>
      <c r="B27" s="4" t="s">
        <v>110</v>
      </c>
      <c r="C27" s="30">
        <f>SUM(C22:C24)</f>
        <v>0</v>
      </c>
      <c r="D27" s="30">
        <f>SUM(D22:D24)</f>
        <v>0</v>
      </c>
      <c r="E27" s="30">
        <f>SUM(E22:E24)</f>
        <v>0</v>
      </c>
      <c r="F27" s="30">
        <f>SUM(F22:F24)</f>
        <v>0</v>
      </c>
    </row>
    <row r="28" spans="1:6" ht="12.75">
      <c r="A28" s="4"/>
      <c r="B28" s="4" t="s">
        <v>111</v>
      </c>
      <c r="C28" s="30">
        <v>0</v>
      </c>
      <c r="D28" s="30">
        <v>0</v>
      </c>
      <c r="E28" s="30">
        <v>0</v>
      </c>
      <c r="F28" s="30">
        <v>0</v>
      </c>
    </row>
    <row r="29" spans="1:6" ht="12.75">
      <c r="A29" s="4"/>
      <c r="B29" s="4" t="s">
        <v>112</v>
      </c>
      <c r="C29" s="81">
        <f>C27-C28</f>
        <v>0</v>
      </c>
      <c r="D29" s="81">
        <f>D27-D28</f>
        <v>0</v>
      </c>
      <c r="E29" s="81">
        <f>E27-E28</f>
        <v>0</v>
      </c>
      <c r="F29" s="81">
        <f>F27-F28</f>
        <v>0</v>
      </c>
    </row>
    <row r="30" spans="1:6" ht="12.75">
      <c r="A30" s="4"/>
      <c r="B30" s="4" t="s">
        <v>113</v>
      </c>
      <c r="C30" s="103">
        <v>0.003</v>
      </c>
      <c r="D30" s="103">
        <v>0.003</v>
      </c>
      <c r="E30" s="103">
        <v>0.003</v>
      </c>
      <c r="F30" s="103">
        <v>0.003</v>
      </c>
    </row>
    <row r="31" spans="1:6" ht="12.75">
      <c r="A31" s="4"/>
      <c r="B31" s="4" t="s">
        <v>114</v>
      </c>
      <c r="C31" s="81">
        <f>C29*C30</f>
        <v>0</v>
      </c>
      <c r="D31" s="81">
        <f>D29*D30</f>
        <v>0</v>
      </c>
      <c r="E31" s="81">
        <f>E29*E30</f>
        <v>0</v>
      </c>
      <c r="F31" s="81">
        <f>F29*F30</f>
        <v>0</v>
      </c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5.75">
      <c r="A34" s="4"/>
      <c r="B34" s="104" t="s">
        <v>115</v>
      </c>
      <c r="C34" s="4"/>
      <c r="D34" s="4"/>
      <c r="E34" s="4"/>
      <c r="F34" s="4"/>
    </row>
    <row r="35" spans="1:6" ht="12.75">
      <c r="A35" s="4"/>
      <c r="B35" s="4"/>
      <c r="C35" s="4" t="s">
        <v>116</v>
      </c>
      <c r="D35" s="4" t="s">
        <v>116</v>
      </c>
      <c r="E35" s="4" t="s">
        <v>116</v>
      </c>
      <c r="F35" s="4" t="s">
        <v>116</v>
      </c>
    </row>
    <row r="36" spans="1:6" ht="12.75">
      <c r="A36" s="4"/>
      <c r="B36" s="4" t="s">
        <v>117</v>
      </c>
      <c r="C36" s="30" t="e">
        <f>C19</f>
        <v>#REF!</v>
      </c>
      <c r="D36" s="30" t="e">
        <f>D19</f>
        <v>#REF!</v>
      </c>
      <c r="E36" s="30" t="e">
        <f>E19</f>
        <v>#REF!</v>
      </c>
      <c r="F36" s="30" t="e">
        <f>F19</f>
        <v>#REF!</v>
      </c>
    </row>
    <row r="37" spans="1:6" ht="12.75">
      <c r="A37" s="4"/>
      <c r="B37" s="4" t="s">
        <v>118</v>
      </c>
      <c r="C37" s="30">
        <f>C31</f>
        <v>0</v>
      </c>
      <c r="D37" s="30">
        <f>D31</f>
        <v>0</v>
      </c>
      <c r="E37" s="30">
        <f>E31</f>
        <v>0</v>
      </c>
      <c r="F37" s="30">
        <f>F31</f>
        <v>0</v>
      </c>
    </row>
    <row r="38" spans="1:8" ht="12.75">
      <c r="A38" s="4"/>
      <c r="B38" s="4" t="s">
        <v>119</v>
      </c>
      <c r="C38" s="81" t="e">
        <f>SUM(C36:C37)</f>
        <v>#REF!</v>
      </c>
      <c r="D38" s="81" t="e">
        <f>SUM(D36:D37)</f>
        <v>#REF!</v>
      </c>
      <c r="E38" s="81" t="e">
        <f>SUM(E36:E37)</f>
        <v>#REF!</v>
      </c>
      <c r="F38" s="81" t="e">
        <f>SUM(F36:F37)</f>
        <v>#REF!</v>
      </c>
      <c r="H38" s="19"/>
    </row>
    <row r="39" ht="13.5" customHeight="1"/>
    <row r="40" spans="3:6" ht="12.75">
      <c r="C40" s="7" t="s">
        <v>115</v>
      </c>
      <c r="D40" s="7" t="s">
        <v>115</v>
      </c>
      <c r="E40" s="7" t="s">
        <v>115</v>
      </c>
      <c r="F40" s="7" t="s">
        <v>115</v>
      </c>
    </row>
    <row r="41" spans="3:6" ht="12.75">
      <c r="C41" s="105">
        <f>$C$18</f>
        <v>0.31</v>
      </c>
      <c r="D41" s="105">
        <f>$C$18</f>
        <v>0.31</v>
      </c>
      <c r="E41" s="105">
        <f>$C$18</f>
        <v>0.31</v>
      </c>
      <c r="F41" s="105">
        <f>$C$18</f>
        <v>0.31</v>
      </c>
    </row>
    <row r="43" spans="3:6" ht="25.5">
      <c r="C43" s="106" t="s">
        <v>120</v>
      </c>
      <c r="D43" s="106" t="s">
        <v>120</v>
      </c>
      <c r="E43" s="106" t="s">
        <v>120</v>
      </c>
      <c r="F43" s="106" t="s">
        <v>120</v>
      </c>
    </row>
    <row r="44" spans="2:6" ht="12.75">
      <c r="B44" s="4" t="s">
        <v>117</v>
      </c>
      <c r="C44" s="30" t="e">
        <f>C36/(1-C41)</f>
        <v>#REF!</v>
      </c>
      <c r="D44" s="30" t="e">
        <f>D36/(1-D41)</f>
        <v>#REF!</v>
      </c>
      <c r="E44" s="30" t="e">
        <f>E36/(1-E41)</f>
        <v>#REF!</v>
      </c>
      <c r="F44" s="30" t="e">
        <f>F36/(1-F41)</f>
        <v>#REF!</v>
      </c>
    </row>
    <row r="45" spans="2:6" ht="12.75">
      <c r="B45" s="4" t="s">
        <v>118</v>
      </c>
      <c r="C45" s="30">
        <f>C37</f>
        <v>0</v>
      </c>
      <c r="D45" s="30">
        <f>D37</f>
        <v>0</v>
      </c>
      <c r="E45" s="30">
        <f>E37</f>
        <v>0</v>
      </c>
      <c r="F45" s="30">
        <f>F37</f>
        <v>0</v>
      </c>
    </row>
    <row r="46" spans="2:6" ht="12.75">
      <c r="B46" s="4" t="s">
        <v>119</v>
      </c>
      <c r="C46" s="107" t="e">
        <f>SUM(C44:C45)</f>
        <v>#REF!</v>
      </c>
      <c r="D46" s="107" t="e">
        <f>SUM(D44:D45)</f>
        <v>#REF!</v>
      </c>
      <c r="E46" s="107" t="e">
        <f>SUM(E44:E45)</f>
        <v>#REF!</v>
      </c>
      <c r="F46" s="107" t="e">
        <f>SUM(F44:F45)</f>
        <v>#REF!</v>
      </c>
    </row>
  </sheetData>
  <sheetProtection formatColumns="0" selectLockedCells="1"/>
  <mergeCells count="4">
    <mergeCell ref="B2:E2"/>
    <mergeCell ref="B3:E3"/>
    <mergeCell ref="B1:E1"/>
    <mergeCell ref="B5:E5"/>
  </mergeCells>
  <printOptions/>
  <pageMargins left="0.42" right="0.44" top="0.64" bottom="0.64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PowerStream</cp:lastModifiedBy>
  <cp:lastPrinted>2013-08-27T17:19:50Z</cp:lastPrinted>
  <dcterms:created xsi:type="dcterms:W3CDTF">2007-08-13T15:48:29Z</dcterms:created>
  <dcterms:modified xsi:type="dcterms:W3CDTF">2013-08-27T17:20:45Z</dcterms:modified>
  <cp:category/>
  <cp:version/>
  <cp:contentType/>
  <cp:contentStatus/>
</cp:coreProperties>
</file>