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85" windowWidth="19320" windowHeight="9210"/>
  </bookViews>
  <sheets>
    <sheet name="Calculations" sheetId="1" r:id="rId1"/>
  </sheets>
  <calcPr calcId="145621"/>
</workbook>
</file>

<file path=xl/calcChain.xml><?xml version="1.0" encoding="utf-8"?>
<calcChain xmlns="http://schemas.openxmlformats.org/spreadsheetml/2006/main">
  <c r="D49" i="1" l="1"/>
  <c r="I44" i="1" l="1"/>
  <c r="I43" i="1"/>
  <c r="I42" i="1"/>
  <c r="I41" i="1"/>
  <c r="I40" i="1"/>
  <c r="I39" i="1"/>
  <c r="I38" i="1"/>
  <c r="I37" i="1"/>
  <c r="I36" i="1"/>
  <c r="I35" i="1"/>
  <c r="I34" i="1"/>
  <c r="K29" i="1"/>
  <c r="K28" i="1"/>
  <c r="K27" i="1"/>
  <c r="K26" i="1"/>
  <c r="K25" i="1"/>
  <c r="K24" i="1"/>
  <c r="K23" i="1"/>
  <c r="K22" i="1"/>
  <c r="K21" i="1"/>
  <c r="K20" i="1"/>
  <c r="K19" i="1"/>
  <c r="P12" i="1"/>
  <c r="P13" i="1"/>
  <c r="P14" i="1"/>
  <c r="P11" i="1"/>
  <c r="P5" i="1"/>
  <c r="P6" i="1"/>
  <c r="P7" i="1"/>
  <c r="P8" i="1"/>
  <c r="P9" i="1"/>
  <c r="P10" i="1"/>
  <c r="P4" i="1"/>
  <c r="G41" i="1" l="1"/>
  <c r="I26" i="1" l="1"/>
  <c r="B48" i="1"/>
  <c r="E13" i="1"/>
  <c r="F13" i="1"/>
  <c r="J13" i="1"/>
  <c r="L13" i="1"/>
  <c r="C30" i="1"/>
  <c r="D15" i="1" l="1"/>
  <c r="C15" i="1" l="1"/>
  <c r="G13" i="1" s="1"/>
  <c r="I13" i="1" l="1"/>
  <c r="K13" i="1"/>
  <c r="H13" i="1"/>
  <c r="M13" i="1" s="1"/>
  <c r="N13" i="1" s="1"/>
  <c r="D45" i="1" l="1"/>
  <c r="D30" i="1" l="1"/>
  <c r="H30" i="1"/>
  <c r="E14" i="1"/>
  <c r="J14" i="1" s="1"/>
  <c r="E11" i="1"/>
  <c r="J11" i="1" s="1"/>
  <c r="E10" i="1"/>
  <c r="J10" i="1" s="1"/>
  <c r="E9" i="1"/>
  <c r="J9" i="1" s="1"/>
  <c r="E8" i="1"/>
  <c r="J8" i="1" s="1"/>
  <c r="E7" i="1"/>
  <c r="J7" i="1" s="1"/>
  <c r="E6" i="1"/>
  <c r="J6" i="1" s="1"/>
  <c r="E5" i="1"/>
  <c r="J5" i="1" s="1"/>
  <c r="E4" i="1"/>
  <c r="J4" i="1" s="1"/>
  <c r="C45" i="1"/>
  <c r="E35" i="1" s="1"/>
  <c r="F35" i="1" s="1"/>
  <c r="G35" i="1" s="1"/>
  <c r="F14" i="1"/>
  <c r="L14" i="1" s="1"/>
  <c r="F11" i="1"/>
  <c r="L11" i="1" s="1"/>
  <c r="F10" i="1"/>
  <c r="L10" i="1" s="1"/>
  <c r="F9" i="1"/>
  <c r="L9" i="1" s="1"/>
  <c r="F8" i="1"/>
  <c r="L8" i="1" s="1"/>
  <c r="F7" i="1"/>
  <c r="L7" i="1" s="1"/>
  <c r="F6" i="1"/>
  <c r="L6" i="1" s="1"/>
  <c r="F5" i="1"/>
  <c r="L5" i="1" s="1"/>
  <c r="F4" i="1"/>
  <c r="L4" i="1" s="1"/>
  <c r="E28" i="1"/>
  <c r="F28" i="1" s="1"/>
  <c r="G5" i="1"/>
  <c r="K5" i="1" l="1"/>
  <c r="H5" i="1"/>
  <c r="I5" i="1"/>
  <c r="E15" i="1"/>
  <c r="E34" i="1"/>
  <c r="F34" i="1" s="1"/>
  <c r="G34" i="1" s="1"/>
  <c r="E40" i="1"/>
  <c r="F40" i="1" s="1"/>
  <c r="E36" i="1"/>
  <c r="E43" i="1"/>
  <c r="F43" i="1" s="1"/>
  <c r="G43" i="1" s="1"/>
  <c r="E38" i="1"/>
  <c r="F38" i="1" s="1"/>
  <c r="G38" i="1" s="1"/>
  <c r="E44" i="1"/>
  <c r="F44" i="1" s="1"/>
  <c r="G44" i="1" s="1"/>
  <c r="E41" i="1"/>
  <c r="F41" i="1" s="1"/>
  <c r="E39" i="1"/>
  <c r="F39" i="1" s="1"/>
  <c r="G39" i="1" s="1"/>
  <c r="E37" i="1"/>
  <c r="F37" i="1" s="1"/>
  <c r="G37" i="1" s="1"/>
  <c r="F15" i="1"/>
  <c r="F36" i="1"/>
  <c r="G36" i="1" s="1"/>
  <c r="G28" i="1"/>
  <c r="H28" i="1" s="1"/>
  <c r="I28" i="1" s="1"/>
  <c r="G4" i="1"/>
  <c r="G8" i="1"/>
  <c r="E20" i="1"/>
  <c r="E22" i="1"/>
  <c r="E24" i="1"/>
  <c r="E26" i="1"/>
  <c r="E29" i="1"/>
  <c r="E19" i="1"/>
  <c r="E21" i="1"/>
  <c r="E23" i="1"/>
  <c r="E25" i="1"/>
  <c r="G14" i="1"/>
  <c r="G10" i="1"/>
  <c r="G6" i="1"/>
  <c r="G11" i="1"/>
  <c r="G9" i="1"/>
  <c r="G7" i="1"/>
  <c r="H11" i="1" l="1"/>
  <c r="I11" i="1"/>
  <c r="K11" i="1"/>
  <c r="H6" i="1"/>
  <c r="I6" i="1"/>
  <c r="K6" i="1"/>
  <c r="H8" i="1"/>
  <c r="K8" i="1"/>
  <c r="I8" i="1"/>
  <c r="H10" i="1"/>
  <c r="K10" i="1"/>
  <c r="I10" i="1"/>
  <c r="K4" i="1"/>
  <c r="H4" i="1"/>
  <c r="I4" i="1"/>
  <c r="H7" i="1"/>
  <c r="K7" i="1"/>
  <c r="I7" i="1"/>
  <c r="H9" i="1"/>
  <c r="I9" i="1"/>
  <c r="K9" i="1"/>
  <c r="H14" i="1"/>
  <c r="I14" i="1"/>
  <c r="K14" i="1"/>
  <c r="M5" i="1"/>
  <c r="N5" i="1" s="1"/>
  <c r="F19" i="1"/>
  <c r="G19" i="1"/>
  <c r="M4" i="1"/>
  <c r="G15" i="1"/>
  <c r="E45" i="1"/>
  <c r="G26" i="1"/>
  <c r="F26" i="1"/>
  <c r="G22" i="1"/>
  <c r="F22" i="1"/>
  <c r="F25" i="1"/>
  <c r="G25" i="1"/>
  <c r="F21" i="1"/>
  <c r="G21" i="1"/>
  <c r="G29" i="1"/>
  <c r="F29" i="1"/>
  <c r="G24" i="1"/>
  <c r="F24" i="1"/>
  <c r="G20" i="1"/>
  <c r="F20" i="1"/>
  <c r="F23" i="1"/>
  <c r="G23" i="1"/>
  <c r="E30" i="1"/>
  <c r="H19" i="1" l="1"/>
  <c r="H20" i="1"/>
  <c r="I20" i="1" s="1"/>
  <c r="H24" i="1"/>
  <c r="I24" i="1" s="1"/>
  <c r="H29" i="1"/>
  <c r="I29" i="1" s="1"/>
  <c r="M10" i="1"/>
  <c r="N10" i="1" s="1"/>
  <c r="H22" i="1"/>
  <c r="I22" i="1" s="1"/>
  <c r="H26" i="1"/>
  <c r="M9" i="1"/>
  <c r="N9" i="1" s="1"/>
  <c r="M8" i="1"/>
  <c r="N8" i="1" s="1"/>
  <c r="H23" i="1"/>
  <c r="I23" i="1" s="1"/>
  <c r="H21" i="1"/>
  <c r="I21" i="1" s="1"/>
  <c r="H25" i="1"/>
  <c r="M11" i="1"/>
  <c r="N11" i="1" s="1"/>
  <c r="I19" i="1"/>
  <c r="M6" i="1"/>
  <c r="N6" i="1" s="1"/>
  <c r="M7" i="1"/>
  <c r="N7" i="1" s="1"/>
  <c r="M14" i="1"/>
  <c r="N14" i="1" s="1"/>
  <c r="M15" i="1" l="1"/>
  <c r="N4" i="1"/>
  <c r="C48" i="1" l="1"/>
  <c r="C49" i="1" s="1"/>
  <c r="D48" i="1" l="1"/>
  <c r="B49" i="1"/>
</calcChain>
</file>

<file path=xl/sharedStrings.xml><?xml version="1.0" encoding="utf-8"?>
<sst xmlns="http://schemas.openxmlformats.org/spreadsheetml/2006/main" count="104" uniqueCount="44">
  <si>
    <t>Rate Class</t>
  </si>
  <si>
    <t>Residential</t>
  </si>
  <si>
    <t>Large Use - Regular</t>
  </si>
  <si>
    <t>Large Use - 3TS</t>
  </si>
  <si>
    <t>Sentinel Lighting</t>
  </si>
  <si>
    <t>Street Lighting</t>
  </si>
  <si>
    <t>Total</t>
  </si>
  <si>
    <t>% kWh</t>
  </si>
  <si>
    <t>$/kWh</t>
  </si>
  <si>
    <t>$/kW</t>
  </si>
  <si>
    <t>Metered kW
(include WMP)</t>
  </si>
  <si>
    <t>Total $</t>
  </si>
  <si>
    <t>Rate Rider inc WMP</t>
  </si>
  <si>
    <t>Rate Rider excl WMP</t>
  </si>
  <si>
    <t>Connection Count</t>
  </si>
  <si>
    <t>Rate Rider for Deferral/Variance Acount Disposition</t>
  </si>
  <si>
    <t>Rate Rider for Deferral/Variance Acount Disposition excluding WMP</t>
  </si>
  <si>
    <t>Rate Rider for Global Adjustment Sub-Account Disposition applicable only for Non-RPP Customers (non WMP)</t>
  </si>
  <si>
    <t>GA Rate Rider Non RPP, excl WMP</t>
  </si>
  <si>
    <t>Billed kWh (include WMP)</t>
  </si>
  <si>
    <t>1590 Recovery Share Proportion</t>
  </si>
  <si>
    <t xml:space="preserve">1562 % of Distribution Revenue </t>
  </si>
  <si>
    <t>1584 (based on % kWh)</t>
  </si>
  <si>
    <t>1586 (based on % kWh)</t>
  </si>
  <si>
    <t>1562 (based on dist rev)</t>
  </si>
  <si>
    <t>Billed kWh (exclude WMP)</t>
  </si>
  <si>
    <t>Billed kW (exclude WMP)</t>
  </si>
  <si>
    <t>1580 (based on % kWh)</t>
  </si>
  <si>
    <t>1588 (ex GA) (based on % kWh)</t>
  </si>
  <si>
    <t>non-RPP kWh (exclude WMP)</t>
  </si>
  <si>
    <t>non-RPP kW (exclude WMP)</t>
  </si>
  <si>
    <t>1588(GA)
(based on % kWh)</t>
  </si>
  <si>
    <t>Intermediate</t>
  </si>
  <si>
    <t>GS &gt; 50 kW</t>
  </si>
  <si>
    <t>GS &lt; 50 kW</t>
  </si>
  <si>
    <t>USL</t>
  </si>
  <si>
    <t>Large Use - FA</t>
  </si>
  <si>
    <t>1 year</t>
  </si>
  <si>
    <t>2 years</t>
  </si>
  <si>
    <t>(based on % kWh)</t>
  </si>
  <si>
    <t>1595 (based on share proportion)</t>
  </si>
  <si>
    <t>3 years</t>
  </si>
  <si>
    <t>3 Year Disposition</t>
  </si>
  <si>
    <t>EnWin Utilities Appendix C Deferral and Variance Rate Rider Calculations EB-2013-0125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</si>
</sst>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%"/>
    <numFmt numFmtId="165" formatCode="#,##0_ ;\-#,##0\ "/>
    <numFmt numFmtId="166" formatCode="0.0000"/>
    <numFmt numFmtId="167" formatCode="_-* #,##0.0000_-;\-* #,##0.0000_-;_-* &quot;-&quot;??_-;_-@_-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4" fillId="0" borderId="5" xfId="0" applyFont="1" applyBorder="1"/>
    <xf numFmtId="0" fontId="4" fillId="0" borderId="0" xfId="0" applyFont="1" applyBorder="1"/>
    <xf numFmtId="165" fontId="4" fillId="0" borderId="0" xfId="1" applyNumberFormat="1" applyFont="1" applyBorder="1"/>
    <xf numFmtId="164" fontId="4" fillId="0" borderId="0" xfId="2" applyNumberFormat="1" applyFont="1" applyBorder="1"/>
    <xf numFmtId="10" fontId="4" fillId="0" borderId="6" xfId="2" applyNumberFormat="1" applyFont="1" applyBorder="1"/>
    <xf numFmtId="165" fontId="4" fillId="0" borderId="8" xfId="1" applyNumberFormat="1" applyFont="1" applyBorder="1"/>
    <xf numFmtId="165" fontId="4" fillId="0" borderId="5" xfId="0" applyNumberFormat="1" applyFont="1" applyBorder="1"/>
    <xf numFmtId="0" fontId="4" fillId="2" borderId="6" xfId="0" applyFont="1" applyFill="1" applyBorder="1"/>
    <xf numFmtId="0" fontId="4" fillId="0" borderId="8" xfId="0" applyFont="1" applyBorder="1"/>
    <xf numFmtId="166" fontId="4" fillId="2" borderId="6" xfId="0" applyNumberFormat="1" applyFont="1" applyFill="1" applyBorder="1"/>
    <xf numFmtId="0" fontId="4" fillId="0" borderId="9" xfId="0" applyFont="1" applyBorder="1"/>
    <xf numFmtId="0" fontId="4" fillId="0" borderId="10" xfId="0" applyFont="1" applyBorder="1"/>
    <xf numFmtId="165" fontId="4" fillId="0" borderId="10" xfId="1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5" fontId="4" fillId="0" borderId="1" xfId="1" applyNumberFormat="1" applyFont="1" applyBorder="1"/>
    <xf numFmtId="165" fontId="4" fillId="0" borderId="9" xfId="0" applyNumberFormat="1" applyFont="1" applyBorder="1"/>
    <xf numFmtId="0" fontId="4" fillId="0" borderId="11" xfId="0" applyFont="1" applyBorder="1"/>
    <xf numFmtId="0" fontId="4" fillId="0" borderId="1" xfId="0" applyFont="1" applyBorder="1"/>
    <xf numFmtId="9" fontId="3" fillId="0" borderId="4" xfId="2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4" fontId="4" fillId="0" borderId="6" xfId="2" applyNumberFormat="1" applyFont="1" applyBorder="1"/>
    <xf numFmtId="0" fontId="3" fillId="2" borderId="7" xfId="0" applyFont="1" applyFill="1" applyBorder="1" applyAlignment="1">
      <alignment horizontal="center" wrapText="1"/>
    </xf>
    <xf numFmtId="0" fontId="4" fillId="2" borderId="8" xfId="0" applyFont="1" applyFill="1" applyBorder="1"/>
    <xf numFmtId="164" fontId="4" fillId="0" borderId="11" xfId="2" applyNumberFormat="1" applyFont="1" applyBorder="1"/>
    <xf numFmtId="0" fontId="2" fillId="0" borderId="0" xfId="0" applyFont="1"/>
    <xf numFmtId="0" fontId="0" fillId="0" borderId="12" xfId="0" applyBorder="1"/>
    <xf numFmtId="0" fontId="4" fillId="0" borderId="13" xfId="0" applyFont="1" applyFill="1" applyBorder="1"/>
    <xf numFmtId="0" fontId="0" fillId="0" borderId="13" xfId="0" applyBorder="1"/>
    <xf numFmtId="0" fontId="0" fillId="0" borderId="14" xfId="0" applyBorder="1"/>
    <xf numFmtId="0" fontId="2" fillId="0" borderId="1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6" fontId="2" fillId="0" borderId="0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7" xfId="0" applyBorder="1"/>
    <xf numFmtId="2" fontId="0" fillId="0" borderId="18" xfId="0" applyNumberFormat="1" applyBorder="1"/>
    <xf numFmtId="2" fontId="0" fillId="0" borderId="19" xfId="0" applyNumberFormat="1" applyBorder="1"/>
    <xf numFmtId="4" fontId="0" fillId="0" borderId="0" xfId="0" applyNumberFormat="1"/>
    <xf numFmtId="0" fontId="2" fillId="0" borderId="7" xfId="0" applyFont="1" applyBorder="1" applyAlignment="1">
      <alignment horizontal="center" wrapText="1"/>
    </xf>
    <xf numFmtId="0" fontId="0" fillId="0" borderId="8" xfId="0" applyBorder="1"/>
    <xf numFmtId="0" fontId="0" fillId="0" borderId="20" xfId="0" applyBorder="1"/>
    <xf numFmtId="167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zoomScale="80" zoomScaleNormal="80" workbookViewId="0"/>
  </sheetViews>
  <sheetFormatPr defaultRowHeight="14.25" outlineLevelCol="1" x14ac:dyDescent="0.2"/>
  <cols>
    <col min="1" max="1" width="17" customWidth="1"/>
    <col min="2" max="2" width="13.625" customWidth="1" outlineLevel="1"/>
    <col min="3" max="3" width="13.125" customWidth="1" outlineLevel="1"/>
    <col min="4" max="4" width="11.75" customWidth="1" outlineLevel="1"/>
    <col min="5" max="5" width="28" customWidth="1" outlineLevel="1"/>
    <col min="6" max="6" width="13.125" customWidth="1" outlineLevel="1"/>
    <col min="7" max="7" width="10.625" customWidth="1" outlineLevel="1"/>
    <col min="8" max="8" width="11.375" customWidth="1" outlineLevel="1"/>
    <col min="9" max="9" width="10.875" customWidth="1"/>
    <col min="10" max="10" width="8.5" bestFit="1" customWidth="1"/>
    <col min="11" max="11" width="10.75" customWidth="1"/>
    <col min="12" max="13" width="9.375" bestFit="1" customWidth="1"/>
    <col min="14" max="14" width="9.125" customWidth="1"/>
    <col min="15" max="15" width="7" customWidth="1"/>
    <col min="16" max="16" width="11.375" customWidth="1"/>
  </cols>
  <sheetData>
    <row r="1" spans="1:16" ht="15" x14ac:dyDescent="0.25">
      <c r="A1" s="37" t="s">
        <v>43</v>
      </c>
    </row>
    <row r="2" spans="1:16" ht="15" x14ac:dyDescent="0.25">
      <c r="A2" s="37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s="4" customFormat="1" ht="64.5" x14ac:dyDescent="0.25">
      <c r="A3" s="6" t="s">
        <v>0</v>
      </c>
      <c r="B3" s="7"/>
      <c r="C3" s="7" t="s">
        <v>19</v>
      </c>
      <c r="D3" s="7" t="s">
        <v>10</v>
      </c>
      <c r="E3" s="7" t="s">
        <v>20</v>
      </c>
      <c r="F3" s="7" t="s">
        <v>21</v>
      </c>
      <c r="G3" s="8" t="s">
        <v>7</v>
      </c>
      <c r="H3" s="9" t="s">
        <v>22</v>
      </c>
      <c r="I3" s="9" t="s">
        <v>23</v>
      </c>
      <c r="J3" s="9" t="s">
        <v>40</v>
      </c>
      <c r="K3" s="9" t="s">
        <v>39</v>
      </c>
      <c r="L3" s="9" t="s">
        <v>24</v>
      </c>
      <c r="M3" s="10" t="s">
        <v>11</v>
      </c>
      <c r="N3" s="11" t="s">
        <v>12</v>
      </c>
      <c r="O3" s="9" t="s">
        <v>14</v>
      </c>
      <c r="P3" s="50" t="s">
        <v>42</v>
      </c>
    </row>
    <row r="4" spans="1:16" x14ac:dyDescent="0.2">
      <c r="A4" s="12" t="s">
        <v>1</v>
      </c>
      <c r="B4" s="13" t="s">
        <v>8</v>
      </c>
      <c r="C4" s="14">
        <v>630218887</v>
      </c>
      <c r="D4" s="14">
        <v>0</v>
      </c>
      <c r="E4" s="15">
        <f>-352185.583476157/-4024155.1236</f>
        <v>8.7517894479448535E-2</v>
      </c>
      <c r="F4" s="15">
        <f>22288933.466698/47294159.7017037</f>
        <v>0.47128299999999945</v>
      </c>
      <c r="G4" s="16">
        <f t="shared" ref="G4:G11" si="0">C4/C$15</f>
        <v>0.25371024254075319</v>
      </c>
      <c r="H4" s="17">
        <f t="shared" ref="H4:I11" si="1">$G4*H$15</f>
        <v>494607.71443391271</v>
      </c>
      <c r="I4" s="17">
        <f t="shared" si="1"/>
        <v>119132.52907046834</v>
      </c>
      <c r="J4" s="17">
        <f t="shared" ref="J4:J11" si="2">$E4*J$15</f>
        <v>32618.969487224222</v>
      </c>
      <c r="K4" s="17">
        <f t="shared" ref="K4:K11" si="3">$G4*K$15</f>
        <v>0</v>
      </c>
      <c r="L4" s="17">
        <f t="shared" ref="L4:L11" si="4">F4*L$15</f>
        <v>0</v>
      </c>
      <c r="M4" s="18">
        <f>SUM(H4:L4)</f>
        <v>646359.21299160528</v>
      </c>
      <c r="N4" s="19">
        <f>ROUND(M4/C4,4)</f>
        <v>1E-3</v>
      </c>
      <c r="O4" s="20"/>
      <c r="P4" s="51">
        <f>ROUND(N4/3,4)</f>
        <v>2.9999999999999997E-4</v>
      </c>
    </row>
    <row r="5" spans="1:16" x14ac:dyDescent="0.2">
      <c r="A5" s="12" t="s">
        <v>34</v>
      </c>
      <c r="B5" s="13" t="s">
        <v>8</v>
      </c>
      <c r="C5" s="14">
        <v>215859653.46568599</v>
      </c>
      <c r="D5" s="14">
        <v>0</v>
      </c>
      <c r="E5" s="15">
        <f>-292722.94746845/-4024155.1236</f>
        <v>7.2741467085041367E-2</v>
      </c>
      <c r="F5" s="15">
        <f>5986542.02920136/47294159.7017037</f>
        <v>0.12658100000000011</v>
      </c>
      <c r="G5" s="16">
        <f t="shared" si="0"/>
        <v>8.6899656873568321E-2</v>
      </c>
      <c r="H5" s="17">
        <f t="shared" si="1"/>
        <v>169410.74290456701</v>
      </c>
      <c r="I5" s="17">
        <f t="shared" si="1"/>
        <v>40804.721934082656</v>
      </c>
      <c r="J5" s="17">
        <f t="shared" si="2"/>
        <v>27111.617680199939</v>
      </c>
      <c r="K5" s="17">
        <f t="shared" si="3"/>
        <v>0</v>
      </c>
      <c r="L5" s="17">
        <f t="shared" si="4"/>
        <v>0</v>
      </c>
      <c r="M5" s="18">
        <f t="shared" ref="M5:M14" si="5">SUM(H5:L5)</f>
        <v>237327.08251884961</v>
      </c>
      <c r="N5" s="19">
        <f>ROUND(M5/C5,4)</f>
        <v>1.1000000000000001E-3</v>
      </c>
      <c r="O5" s="20"/>
      <c r="P5" s="51">
        <f t="shared" ref="P5:P10" si="6">ROUND(N5/3,4)</f>
        <v>4.0000000000000002E-4</v>
      </c>
    </row>
    <row r="6" spans="1:16" x14ac:dyDescent="0.2">
      <c r="A6" s="12" t="s">
        <v>33</v>
      </c>
      <c r="B6" s="13" t="s">
        <v>9</v>
      </c>
      <c r="C6" s="14">
        <v>939401282.42999971</v>
      </c>
      <c r="D6" s="14">
        <v>2422984.0217610006</v>
      </c>
      <c r="E6" s="15">
        <f>-1781858.65077598/-4024155.1236</f>
        <v>0.44279074639198629</v>
      </c>
      <c r="F6" s="15">
        <f>12611370.7671529/47294159.7017037</f>
        <v>0.26665810000000051</v>
      </c>
      <c r="G6" s="16">
        <f t="shared" si="0"/>
        <v>0.37817928361834358</v>
      </c>
      <c r="H6" s="17">
        <f t="shared" si="1"/>
        <v>737259.91210889979</v>
      </c>
      <c r="I6" s="17">
        <f t="shared" si="1"/>
        <v>177578.38252144796</v>
      </c>
      <c r="J6" s="17">
        <f t="shared" si="2"/>
        <v>165033.42466925</v>
      </c>
      <c r="K6" s="17">
        <f t="shared" si="3"/>
        <v>0</v>
      </c>
      <c r="L6" s="17">
        <f t="shared" si="4"/>
        <v>0</v>
      </c>
      <c r="M6" s="18">
        <f t="shared" si="5"/>
        <v>1079871.7192995977</v>
      </c>
      <c r="N6" s="19">
        <f>ROUND(M6/D6,4)</f>
        <v>0.44569999999999999</v>
      </c>
      <c r="O6" s="20"/>
      <c r="P6" s="51">
        <f t="shared" si="6"/>
        <v>0.14860000000000001</v>
      </c>
    </row>
    <row r="7" spans="1:16" x14ac:dyDescent="0.2">
      <c r="A7" s="12" t="s">
        <v>32</v>
      </c>
      <c r="B7" s="13" t="s">
        <v>9</v>
      </c>
      <c r="C7" s="14">
        <v>45768539.739999995</v>
      </c>
      <c r="D7" s="14">
        <v>127750.55000000002</v>
      </c>
      <c r="E7" s="15">
        <f>-128631.134699174/-4024155.1236</f>
        <v>3.196475551968804E-2</v>
      </c>
      <c r="F7" s="15">
        <f>263929.787631328/47294159.7017037</f>
        <v>5.5806000000000067E-3</v>
      </c>
      <c r="G7" s="16">
        <f t="shared" si="0"/>
        <v>1.8425260743052754E-2</v>
      </c>
      <c r="H7" s="17">
        <f t="shared" si="1"/>
        <v>35920.016522416758</v>
      </c>
      <c r="I7" s="17">
        <f t="shared" si="1"/>
        <v>8651.7906771150683</v>
      </c>
      <c r="J7" s="17">
        <f t="shared" si="2"/>
        <v>11913.647959253969</v>
      </c>
      <c r="K7" s="17">
        <f t="shared" si="3"/>
        <v>0</v>
      </c>
      <c r="L7" s="17">
        <f t="shared" si="4"/>
        <v>0</v>
      </c>
      <c r="M7" s="18">
        <f t="shared" si="5"/>
        <v>56485.455158785793</v>
      </c>
      <c r="N7" s="19">
        <f t="shared" ref="N7:N10" si="7">ROUND(M7/D7,4)</f>
        <v>0.44219999999999998</v>
      </c>
      <c r="O7" s="20"/>
      <c r="P7" s="51">
        <f t="shared" si="6"/>
        <v>0.1474</v>
      </c>
    </row>
    <row r="8" spans="1:16" x14ac:dyDescent="0.2">
      <c r="A8" s="12" t="s">
        <v>2</v>
      </c>
      <c r="B8" s="13" t="s">
        <v>9</v>
      </c>
      <c r="C8" s="14">
        <v>304746367.47999996</v>
      </c>
      <c r="D8" s="14">
        <v>827934.60000000009</v>
      </c>
      <c r="E8" s="15">
        <f>-642009.500137808/-4024155.1236</f>
        <v>0.15953895424475281</v>
      </c>
      <c r="F8" s="15">
        <f>1372240.04374493/47294159.7017037</f>
        <v>2.9014999999999944E-2</v>
      </c>
      <c r="G8" s="16">
        <f t="shared" si="0"/>
        <v>0.12268320801176542</v>
      </c>
      <c r="H8" s="17">
        <f t="shared" si="1"/>
        <v>239170.71895263594</v>
      </c>
      <c r="I8" s="17">
        <f t="shared" si="1"/>
        <v>57607.295229999545</v>
      </c>
      <c r="J8" s="17">
        <f t="shared" si="2"/>
        <v>59462.082714470307</v>
      </c>
      <c r="K8" s="17">
        <f t="shared" si="3"/>
        <v>0</v>
      </c>
      <c r="L8" s="17">
        <f t="shared" si="4"/>
        <v>0</v>
      </c>
      <c r="M8" s="18">
        <f t="shared" si="5"/>
        <v>356240.0968971058</v>
      </c>
      <c r="N8" s="21">
        <f t="shared" si="7"/>
        <v>0.43030000000000002</v>
      </c>
      <c r="O8" s="20"/>
      <c r="P8" s="51">
        <f t="shared" si="6"/>
        <v>0.1434</v>
      </c>
    </row>
    <row r="9" spans="1:16" x14ac:dyDescent="0.2">
      <c r="A9" s="12" t="s">
        <v>3</v>
      </c>
      <c r="B9" s="13" t="s">
        <v>9</v>
      </c>
      <c r="C9" s="14">
        <v>280858035.11999995</v>
      </c>
      <c r="D9" s="14">
        <v>559020.80000000005</v>
      </c>
      <c r="E9" s="15">
        <f>-753483.468096983/-4024155.1236</f>
        <v>0.18724016469397892</v>
      </c>
      <c r="F9" s="15">
        <f>2286620.5980017/47294159.7017037</f>
        <v>4.8348899999999959E-2</v>
      </c>
      <c r="G9" s="16">
        <f t="shared" si="0"/>
        <v>0.1130663673839</v>
      </c>
      <c r="H9" s="17">
        <f t="shared" si="1"/>
        <v>220422.70343938889</v>
      </c>
      <c r="I9" s="17">
        <f t="shared" si="1"/>
        <v>53091.598369707397</v>
      </c>
      <c r="J9" s="17">
        <f t="shared" si="2"/>
        <v>69786.656263422265</v>
      </c>
      <c r="K9" s="17">
        <f t="shared" si="3"/>
        <v>0</v>
      </c>
      <c r="L9" s="17">
        <f t="shared" si="4"/>
        <v>0</v>
      </c>
      <c r="M9" s="18">
        <f t="shared" si="5"/>
        <v>343300.95807251858</v>
      </c>
      <c r="N9" s="19">
        <f t="shared" si="7"/>
        <v>0.61409999999999998</v>
      </c>
      <c r="O9" s="20"/>
      <c r="P9" s="51">
        <f t="shared" si="6"/>
        <v>0.20469999999999999</v>
      </c>
    </row>
    <row r="10" spans="1:16" x14ac:dyDescent="0.2">
      <c r="A10" s="12" t="s">
        <v>36</v>
      </c>
      <c r="B10" s="13" t="s">
        <v>9</v>
      </c>
      <c r="C10" s="14">
        <v>45336838.930000007</v>
      </c>
      <c r="D10" s="14">
        <v>81689.16</v>
      </c>
      <c r="E10" s="15">
        <f>-131147.025043207/-4024155.1236</f>
        <v>3.2589952677043711E-2</v>
      </c>
      <c r="F10" s="15">
        <f>1218581.3188741/47294159.7017037</f>
        <v>2.5766000000000053E-2</v>
      </c>
      <c r="G10" s="16">
        <f t="shared" si="0"/>
        <v>1.8251468875704075E-2</v>
      </c>
      <c r="H10" s="17">
        <f t="shared" si="1"/>
        <v>35581.209553349581</v>
      </c>
      <c r="I10" s="17">
        <f t="shared" si="1"/>
        <v>8570.1847297879649</v>
      </c>
      <c r="J10" s="17">
        <f t="shared" si="2"/>
        <v>12146.666442166315</v>
      </c>
      <c r="K10" s="17">
        <f t="shared" si="3"/>
        <v>0</v>
      </c>
      <c r="L10" s="17">
        <f t="shared" si="4"/>
        <v>0</v>
      </c>
      <c r="M10" s="18">
        <f t="shared" si="5"/>
        <v>56298.060725303862</v>
      </c>
      <c r="N10" s="21">
        <f t="shared" si="7"/>
        <v>0.68920000000000003</v>
      </c>
      <c r="O10" s="20"/>
      <c r="P10" s="51">
        <f t="shared" si="6"/>
        <v>0.22969999999999999</v>
      </c>
    </row>
    <row r="11" spans="1:16" x14ac:dyDescent="0.2">
      <c r="A11" s="12" t="s">
        <v>35</v>
      </c>
      <c r="B11" s="13" t="s">
        <v>8</v>
      </c>
      <c r="C11" s="14">
        <v>3524266.6299999994</v>
      </c>
      <c r="D11" s="14">
        <v>0</v>
      </c>
      <c r="E11" s="15">
        <f>-3431.42042820151/-4024155.1236</f>
        <v>8.527058035306971E-4</v>
      </c>
      <c r="F11" s="15">
        <f>108890.073297203/47294159.7017037</f>
        <v>2.3024000000000087E-3</v>
      </c>
      <c r="G11" s="16">
        <f t="shared" si="0"/>
        <v>1.4187809345605708E-3</v>
      </c>
      <c r="H11" s="17">
        <f t="shared" si="1"/>
        <v>2765.9111760641467</v>
      </c>
      <c r="I11" s="17">
        <f t="shared" si="1"/>
        <v>666.20471936214199</v>
      </c>
      <c r="J11" s="17">
        <f t="shared" si="2"/>
        <v>317.81368544553317</v>
      </c>
      <c r="K11" s="17">
        <f t="shared" si="3"/>
        <v>0</v>
      </c>
      <c r="L11" s="17">
        <f t="shared" si="4"/>
        <v>0</v>
      </c>
      <c r="M11" s="18">
        <f t="shared" si="5"/>
        <v>3749.9295808718221</v>
      </c>
      <c r="N11" s="19">
        <f>ROUND(M11/O11/12,2)</f>
        <v>0.35</v>
      </c>
      <c r="O11" s="17">
        <v>893</v>
      </c>
      <c r="P11" s="51">
        <f>ROUND(N11/3,2)</f>
        <v>0.12</v>
      </c>
    </row>
    <row r="12" spans="1:16" x14ac:dyDescent="0.2">
      <c r="A12" s="12"/>
      <c r="B12" s="13"/>
      <c r="C12" s="14">
        <v>0</v>
      </c>
      <c r="D12" s="14">
        <v>0</v>
      </c>
      <c r="E12" s="15"/>
      <c r="F12" s="15"/>
      <c r="G12" s="16"/>
      <c r="H12" s="17"/>
      <c r="I12" s="17"/>
      <c r="J12" s="17"/>
      <c r="K12" s="17"/>
      <c r="L12" s="17"/>
      <c r="M12" s="18"/>
      <c r="N12" s="19"/>
      <c r="O12" s="17"/>
      <c r="P12" s="51">
        <f t="shared" ref="P12:P14" si="8">ROUND(N12/3,2)</f>
        <v>0</v>
      </c>
    </row>
    <row r="13" spans="1:16" x14ac:dyDescent="0.2">
      <c r="A13" s="12" t="s">
        <v>4</v>
      </c>
      <c r="B13" s="13" t="s">
        <v>9</v>
      </c>
      <c r="C13" s="14">
        <v>918686.36602700001</v>
      </c>
      <c r="D13" s="14">
        <v>2524.4537090000003</v>
      </c>
      <c r="E13" s="15">
        <f>3733.49680516955/-4024155.1236</f>
        <v>-9.2777159192351712E-4</v>
      </c>
      <c r="F13" s="15">
        <f>92223.6114183222/47294159.7017037</f>
        <v>1.9499999999999997E-3</v>
      </c>
      <c r="G13" s="16">
        <f t="shared" ref="G13" si="9">C13/C$15</f>
        <v>3.6983998028544218E-4</v>
      </c>
      <c r="H13" s="17">
        <f t="shared" ref="H13:I13" si="10">$G13*H$15</f>
        <v>721.00245352090087</v>
      </c>
      <c r="I13" s="17">
        <f t="shared" si="10"/>
        <v>173.66256782360523</v>
      </c>
      <c r="J13" s="17">
        <f t="shared" ref="J13" si="11">$E13*J$15</f>
        <v>-345.79160556899791</v>
      </c>
      <c r="K13" s="17">
        <f t="shared" ref="K13" si="12">$G13*K$15</f>
        <v>0</v>
      </c>
      <c r="L13" s="17">
        <f t="shared" ref="L13" si="13">F13*L$15</f>
        <v>0</v>
      </c>
      <c r="M13" s="18">
        <f t="shared" si="5"/>
        <v>548.87341577550819</v>
      </c>
      <c r="N13" s="19">
        <f t="shared" ref="N13:N14" si="14">ROUND(M13/O13/12,2)</f>
        <v>0.06</v>
      </c>
      <c r="O13" s="17">
        <v>748</v>
      </c>
      <c r="P13" s="51">
        <f t="shared" si="8"/>
        <v>0.02</v>
      </c>
    </row>
    <row r="14" spans="1:16" x14ac:dyDescent="0.2">
      <c r="A14" s="12" t="s">
        <v>5</v>
      </c>
      <c r="B14" s="13" t="s">
        <v>9</v>
      </c>
      <c r="C14" s="14">
        <v>17377866.259677999</v>
      </c>
      <c r="D14" s="14">
        <v>49565.55999999999</v>
      </c>
      <c r="E14" s="15">
        <f>57581.109720787/-4024155.1236</f>
        <v>-1.43088693035459E-2</v>
      </c>
      <c r="F14" s="15">
        <f>1064828.00568386/47294159.7017037</f>
        <v>2.2515000000000028E-2</v>
      </c>
      <c r="G14" s="16">
        <f>C14/C$15</f>
        <v>6.9958910380667092E-3</v>
      </c>
      <c r="H14" s="17">
        <f>$G14*H$15</f>
        <v>13638.478455244298</v>
      </c>
      <c r="I14" s="17">
        <f>$G14*I$15</f>
        <v>3285.0001802053262</v>
      </c>
      <c r="J14" s="17">
        <f>$E14*J$15</f>
        <v>-5333.0872958631999</v>
      </c>
      <c r="K14" s="17">
        <f>$G14*K$15</f>
        <v>0</v>
      </c>
      <c r="L14" s="17">
        <f>F14*L$15</f>
        <v>0</v>
      </c>
      <c r="M14" s="18">
        <f t="shared" si="5"/>
        <v>11590.391339586426</v>
      </c>
      <c r="N14" s="19">
        <f t="shared" si="14"/>
        <v>0.04</v>
      </c>
      <c r="O14" s="17">
        <v>23413</v>
      </c>
      <c r="P14" s="52">
        <f t="shared" si="8"/>
        <v>0.01</v>
      </c>
    </row>
    <row r="15" spans="1:16" x14ac:dyDescent="0.2">
      <c r="A15" s="22" t="s">
        <v>6</v>
      </c>
      <c r="B15" s="23"/>
      <c r="C15" s="24">
        <f>SUM(C4:C14)</f>
        <v>2484010423.4213905</v>
      </c>
      <c r="D15" s="24">
        <f>SUM(D4:D14)</f>
        <v>4071469.1454700003</v>
      </c>
      <c r="E15" s="25">
        <f>SUM(E4:E14)</f>
        <v>1.0000000000000011</v>
      </c>
      <c r="F15" s="25">
        <f>SUM(F4:F14)</f>
        <v>1</v>
      </c>
      <c r="G15" s="26">
        <f>SUM(G4:G14)</f>
        <v>1</v>
      </c>
      <c r="H15" s="27">
        <v>1949498.41</v>
      </c>
      <c r="I15" s="27">
        <v>469561.37</v>
      </c>
      <c r="J15" s="27">
        <v>372712</v>
      </c>
      <c r="K15" s="27"/>
      <c r="L15" s="27">
        <v>0</v>
      </c>
      <c r="M15" s="28">
        <f>SUM(M4:M14)</f>
        <v>2791771.7800000007</v>
      </c>
      <c r="N15" s="29"/>
      <c r="O15" s="30"/>
    </row>
    <row r="16" spans="1:16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5" x14ac:dyDescent="0.25">
      <c r="A17" s="37" t="s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s="3" customFormat="1" ht="45" x14ac:dyDescent="0.25">
      <c r="A18" s="6" t="s">
        <v>0</v>
      </c>
      <c r="B18" s="7"/>
      <c r="C18" s="7" t="s">
        <v>25</v>
      </c>
      <c r="D18" s="7" t="s">
        <v>26</v>
      </c>
      <c r="E18" s="31" t="s">
        <v>7</v>
      </c>
      <c r="F18" s="9" t="s">
        <v>27</v>
      </c>
      <c r="G18" s="9" t="s">
        <v>28</v>
      </c>
      <c r="H18" s="6" t="s">
        <v>11</v>
      </c>
      <c r="I18" s="11" t="s">
        <v>13</v>
      </c>
      <c r="J18" s="9" t="s">
        <v>14</v>
      </c>
      <c r="K18" s="50" t="s">
        <v>42</v>
      </c>
      <c r="L18" s="4"/>
      <c r="M18" s="32"/>
      <c r="N18" s="32"/>
      <c r="O18" s="32"/>
    </row>
    <row r="19" spans="1:15" x14ac:dyDescent="0.2">
      <c r="A19" s="12" t="s">
        <v>1</v>
      </c>
      <c r="B19" s="13" t="s">
        <v>8</v>
      </c>
      <c r="C19" s="14">
        <v>630218887</v>
      </c>
      <c r="D19" s="14">
        <v>0</v>
      </c>
      <c r="E19" s="33">
        <f t="shared" ref="E19:E29" si="15">C19/C$30</f>
        <v>0.28158160265976118</v>
      </c>
      <c r="F19" s="17">
        <f t="shared" ref="F19:G29" si="16">$E19*F$30</f>
        <v>-1537436.074264077</v>
      </c>
      <c r="G19" s="17">
        <f t="shared" si="16"/>
        <v>-1679668.0862634028</v>
      </c>
      <c r="H19" s="18">
        <f>SUM(F19:G19)</f>
        <v>-3217104.1605274798</v>
      </c>
      <c r="I19" s="19">
        <f>ROUND(H19/C19,4)</f>
        <v>-5.1000000000000004E-3</v>
      </c>
      <c r="J19" s="20"/>
      <c r="K19" s="51">
        <f>ROUND(I19/3,4)</f>
        <v>-1.6999999999999999E-3</v>
      </c>
      <c r="M19" s="5"/>
      <c r="N19" s="5"/>
      <c r="O19" s="5"/>
    </row>
    <row r="20" spans="1:15" x14ac:dyDescent="0.2">
      <c r="A20" s="12" t="s">
        <v>34</v>
      </c>
      <c r="B20" s="13" t="s">
        <v>8</v>
      </c>
      <c r="C20" s="14">
        <v>215859653.46568599</v>
      </c>
      <c r="D20" s="14">
        <v>0</v>
      </c>
      <c r="E20" s="33">
        <f t="shared" si="15"/>
        <v>9.6446026017700942E-2</v>
      </c>
      <c r="F20" s="17">
        <f t="shared" si="16"/>
        <v>-526595.48144625558</v>
      </c>
      <c r="G20" s="17">
        <f t="shared" si="16"/>
        <v>-575312.13125669165</v>
      </c>
      <c r="H20" s="18">
        <f t="shared" ref="H20:H30" si="17">SUM(F20:G20)</f>
        <v>-1101907.6127029471</v>
      </c>
      <c r="I20" s="19">
        <f>ROUND(H20/C20,4)</f>
        <v>-5.1000000000000004E-3</v>
      </c>
      <c r="J20" s="20"/>
      <c r="K20" s="51">
        <f t="shared" ref="K20:K25" si="18">ROUND(I20/3,4)</f>
        <v>-1.6999999999999999E-3</v>
      </c>
      <c r="M20" s="5"/>
      <c r="N20" s="5"/>
      <c r="O20" s="5"/>
    </row>
    <row r="21" spans="1:15" x14ac:dyDescent="0.2">
      <c r="A21" s="12" t="s">
        <v>33</v>
      </c>
      <c r="B21" s="13" t="s">
        <v>9</v>
      </c>
      <c r="C21" s="14">
        <v>935392693.62999976</v>
      </c>
      <c r="D21" s="14">
        <v>2416772.1212610006</v>
      </c>
      <c r="E21" s="33">
        <f t="shared" si="15"/>
        <v>0.41793316452695634</v>
      </c>
      <c r="F21" s="17">
        <f t="shared" si="16"/>
        <v>-2281915.855672868</v>
      </c>
      <c r="G21" s="17">
        <f t="shared" si="16"/>
        <v>-2493021.5327143492</v>
      </c>
      <c r="H21" s="18">
        <f t="shared" si="17"/>
        <v>-4774937.3883872172</v>
      </c>
      <c r="I21" s="19">
        <f>ROUND(H21/D21,4)</f>
        <v>-1.9757</v>
      </c>
      <c r="J21" s="20"/>
      <c r="K21" s="51">
        <f t="shared" si="18"/>
        <v>-0.65859999999999996</v>
      </c>
      <c r="M21" s="5"/>
      <c r="N21" s="5"/>
      <c r="O21" s="5"/>
    </row>
    <row r="22" spans="1:15" x14ac:dyDescent="0.2">
      <c r="A22" s="12" t="s">
        <v>32</v>
      </c>
      <c r="B22" s="13" t="s">
        <v>9</v>
      </c>
      <c r="C22" s="14">
        <v>45768539.739999995</v>
      </c>
      <c r="D22" s="14">
        <v>127750.55000000002</v>
      </c>
      <c r="E22" s="33">
        <f t="shared" si="15"/>
        <v>2.0449369317911553E-2</v>
      </c>
      <c r="F22" s="17">
        <f t="shared" si="16"/>
        <v>-111653.59451162402</v>
      </c>
      <c r="G22" s="17">
        <f t="shared" si="16"/>
        <v>-121982.94456407857</v>
      </c>
      <c r="H22" s="18">
        <f t="shared" si="17"/>
        <v>-233636.5390757026</v>
      </c>
      <c r="I22" s="19">
        <f>ROUND(H22/D22,4)</f>
        <v>-1.8288</v>
      </c>
      <c r="J22" s="20"/>
      <c r="K22" s="51">
        <f t="shared" si="18"/>
        <v>-0.60960000000000003</v>
      </c>
      <c r="M22" s="5"/>
      <c r="N22" s="5"/>
      <c r="O22" s="5"/>
    </row>
    <row r="23" spans="1:15" x14ac:dyDescent="0.2">
      <c r="A23" s="12" t="s">
        <v>2</v>
      </c>
      <c r="B23" s="13" t="s">
        <v>9</v>
      </c>
      <c r="C23" s="14">
        <v>192462969.56999996</v>
      </c>
      <c r="D23" s="14">
        <v>370692.31000000006</v>
      </c>
      <c r="E23" s="33">
        <f t="shared" si="15"/>
        <v>8.5992394931473121E-2</v>
      </c>
      <c r="F23" s="17">
        <f t="shared" si="16"/>
        <v>-469518.63627169782</v>
      </c>
      <c r="G23" s="17">
        <f t="shared" si="16"/>
        <v>-512954.96603264025</v>
      </c>
      <c r="H23" s="18">
        <f t="shared" si="17"/>
        <v>-982473.60230433801</v>
      </c>
      <c r="I23" s="19">
        <f>ROUND(H23/D23,4)</f>
        <v>-2.6503999999999999</v>
      </c>
      <c r="J23" s="20"/>
      <c r="K23" s="51">
        <f t="shared" si="18"/>
        <v>-0.88349999999999995</v>
      </c>
      <c r="M23" s="5"/>
      <c r="N23" s="5"/>
      <c r="O23" s="5"/>
    </row>
    <row r="24" spans="1:15" x14ac:dyDescent="0.2">
      <c r="A24" s="12" t="s">
        <v>3</v>
      </c>
      <c r="B24" s="13" t="s">
        <v>9</v>
      </c>
      <c r="C24" s="14">
        <v>196615864.93999997</v>
      </c>
      <c r="D24" s="14">
        <v>360529.61000000004</v>
      </c>
      <c r="E24" s="33">
        <f t="shared" si="15"/>
        <v>8.7847907290884375E-2</v>
      </c>
      <c r="F24" s="17">
        <f t="shared" si="16"/>
        <v>-479649.73720533628</v>
      </c>
      <c r="G24" s="17">
        <f t="shared" si="16"/>
        <v>-524023.32015922817</v>
      </c>
      <c r="H24" s="18">
        <f t="shared" si="17"/>
        <v>-1003673.0573645644</v>
      </c>
      <c r="I24" s="19">
        <f>ROUND(H24/D24,4)</f>
        <v>-2.7839</v>
      </c>
      <c r="J24" s="20"/>
      <c r="K24" s="51">
        <f t="shared" si="18"/>
        <v>-0.92800000000000005</v>
      </c>
      <c r="M24" s="5"/>
      <c r="N24" s="5"/>
      <c r="O24" s="5"/>
    </row>
    <row r="25" spans="1:15" x14ac:dyDescent="0.2">
      <c r="A25" s="12" t="s">
        <v>36</v>
      </c>
      <c r="B25" s="13" t="s">
        <v>9</v>
      </c>
      <c r="C25" s="14">
        <v>0</v>
      </c>
      <c r="D25" s="14">
        <v>0</v>
      </c>
      <c r="E25" s="33">
        <f t="shared" si="15"/>
        <v>0</v>
      </c>
      <c r="F25" s="17">
        <f t="shared" si="16"/>
        <v>0</v>
      </c>
      <c r="G25" s="17">
        <f t="shared" si="16"/>
        <v>0</v>
      </c>
      <c r="H25" s="18">
        <f t="shared" si="17"/>
        <v>0</v>
      </c>
      <c r="I25" s="19">
        <v>0</v>
      </c>
      <c r="J25" s="20"/>
      <c r="K25" s="51">
        <f t="shared" si="18"/>
        <v>0</v>
      </c>
      <c r="M25" s="5"/>
      <c r="N25" s="5"/>
      <c r="O25" s="5"/>
    </row>
    <row r="26" spans="1:15" x14ac:dyDescent="0.2">
      <c r="A26" s="12" t="s">
        <v>35</v>
      </c>
      <c r="B26" s="13" t="s">
        <v>8</v>
      </c>
      <c r="C26" s="14">
        <v>3524266.6299999994</v>
      </c>
      <c r="D26" s="14">
        <v>0</v>
      </c>
      <c r="E26" s="33">
        <f t="shared" si="15"/>
        <v>1.574641233936417E-3</v>
      </c>
      <c r="F26" s="17">
        <f t="shared" si="16"/>
        <v>-8597.5440661255325</v>
      </c>
      <c r="G26" s="17">
        <f t="shared" si="16"/>
        <v>-9392.9241220821605</v>
      </c>
      <c r="H26" s="18">
        <f t="shared" si="17"/>
        <v>-17990.468188207691</v>
      </c>
      <c r="I26" s="19">
        <f>ROUND(H26/J26/12,2)</f>
        <v>-1.68</v>
      </c>
      <c r="J26" s="17">
        <v>893</v>
      </c>
      <c r="K26" s="51">
        <f>ROUND(I26/3,2)</f>
        <v>-0.56000000000000005</v>
      </c>
      <c r="M26" s="5"/>
      <c r="N26" s="5"/>
      <c r="O26" s="5"/>
    </row>
    <row r="27" spans="1:15" x14ac:dyDescent="0.2">
      <c r="A27" s="12"/>
      <c r="B27" s="13"/>
      <c r="C27" s="14">
        <v>0</v>
      </c>
      <c r="D27" s="14">
        <v>0</v>
      </c>
      <c r="E27" s="33"/>
      <c r="F27" s="17"/>
      <c r="G27" s="17"/>
      <c r="H27" s="18"/>
      <c r="I27" s="19"/>
      <c r="J27" s="17"/>
      <c r="K27" s="51">
        <f t="shared" ref="K27:K29" si="19">ROUND(I27/3,2)</f>
        <v>0</v>
      </c>
      <c r="M27" s="5"/>
      <c r="N27" s="5"/>
      <c r="O27" s="5"/>
    </row>
    <row r="28" spans="1:15" x14ac:dyDescent="0.2">
      <c r="A28" s="12" t="s">
        <v>4</v>
      </c>
      <c r="B28" s="13" t="s">
        <v>9</v>
      </c>
      <c r="C28" s="14">
        <v>918686.36602700001</v>
      </c>
      <c r="D28" s="14">
        <v>2524.4537090000003</v>
      </c>
      <c r="E28" s="33">
        <f t="shared" si="15"/>
        <v>4.1046878255102917E-4</v>
      </c>
      <c r="F28" s="17">
        <f t="shared" si="16"/>
        <v>-2241.1603162005549</v>
      </c>
      <c r="G28" s="17">
        <f t="shared" si="16"/>
        <v>-2448.4955975317366</v>
      </c>
      <c r="H28" s="18">
        <f t="shared" si="17"/>
        <v>-4689.6559137322911</v>
      </c>
      <c r="I28" s="19">
        <f>ROUND(H28/J28/12,2)</f>
        <v>-0.52</v>
      </c>
      <c r="J28" s="17">
        <v>748</v>
      </c>
      <c r="K28" s="51">
        <f t="shared" si="19"/>
        <v>-0.17</v>
      </c>
      <c r="M28" s="5"/>
      <c r="N28" s="5"/>
      <c r="O28" s="5"/>
    </row>
    <row r="29" spans="1:15" x14ac:dyDescent="0.2">
      <c r="A29" s="12" t="s">
        <v>5</v>
      </c>
      <c r="B29" s="13" t="s">
        <v>9</v>
      </c>
      <c r="C29" s="14">
        <v>17377866.259677999</v>
      </c>
      <c r="D29" s="14">
        <v>49565.55999999999</v>
      </c>
      <c r="E29" s="33">
        <f t="shared" si="15"/>
        <v>7.7644252388251898E-3</v>
      </c>
      <c r="F29" s="17">
        <f t="shared" si="16"/>
        <v>-42393.77624581648</v>
      </c>
      <c r="G29" s="17">
        <f t="shared" si="16"/>
        <v>-46315.729289996198</v>
      </c>
      <c r="H29" s="18">
        <f t="shared" si="17"/>
        <v>-88709.50553581267</v>
      </c>
      <c r="I29" s="19">
        <f>ROUND(H29/J29/12,2)</f>
        <v>-0.32</v>
      </c>
      <c r="J29" s="17">
        <v>23413</v>
      </c>
      <c r="K29" s="52">
        <f t="shared" si="19"/>
        <v>-0.11</v>
      </c>
      <c r="M29" s="5"/>
      <c r="N29" s="5"/>
      <c r="O29" s="5"/>
    </row>
    <row r="30" spans="1:15" x14ac:dyDescent="0.2">
      <c r="A30" s="22" t="s">
        <v>6</v>
      </c>
      <c r="B30" s="23"/>
      <c r="C30" s="24">
        <f>SUM(C19:C29)</f>
        <v>2238139427.6013904</v>
      </c>
      <c r="D30" s="24">
        <f>SUM(D19:D29)</f>
        <v>3327834.6049700002</v>
      </c>
      <c r="E30" s="26">
        <f>SUM(E19:E29)</f>
        <v>1.0000000000000002</v>
      </c>
      <c r="F30" s="27">
        <v>-5460001.8600000003</v>
      </c>
      <c r="G30" s="27">
        <v>-5965120.1299999999</v>
      </c>
      <c r="H30" s="28">
        <f t="shared" si="17"/>
        <v>-11425121.99</v>
      </c>
      <c r="I30" s="29"/>
      <c r="J30" s="30"/>
      <c r="K30" s="5"/>
      <c r="L30" s="5"/>
      <c r="M30" s="5"/>
      <c r="N30" s="5"/>
      <c r="O30" s="5"/>
    </row>
    <row r="31" spans="1:1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15" x14ac:dyDescent="0.25">
      <c r="A32" s="37" t="s">
        <v>17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s="3" customFormat="1" ht="51.75" x14ac:dyDescent="0.25">
      <c r="A33" s="6" t="s">
        <v>0</v>
      </c>
      <c r="B33" s="7"/>
      <c r="C33" s="7" t="s">
        <v>29</v>
      </c>
      <c r="D33" s="7" t="s">
        <v>30</v>
      </c>
      <c r="E33" s="8" t="s">
        <v>7</v>
      </c>
      <c r="F33" s="9" t="s">
        <v>31</v>
      </c>
      <c r="G33" s="34" t="s">
        <v>18</v>
      </c>
      <c r="H33" s="9" t="s">
        <v>14</v>
      </c>
      <c r="I33" s="50" t="s">
        <v>42</v>
      </c>
      <c r="J33" s="4"/>
      <c r="K33" s="32"/>
      <c r="L33" s="32"/>
      <c r="M33" s="32"/>
      <c r="N33" s="32"/>
      <c r="O33" s="32"/>
    </row>
    <row r="34" spans="1:15" x14ac:dyDescent="0.2">
      <c r="A34" s="12" t="s">
        <v>1</v>
      </c>
      <c r="B34" s="13" t="s">
        <v>8</v>
      </c>
      <c r="C34" s="14">
        <v>53763187</v>
      </c>
      <c r="D34" s="14">
        <v>0</v>
      </c>
      <c r="E34" s="33">
        <f t="shared" ref="E34:E44" si="20">C34/C$45</f>
        <v>3.5144311807006882E-2</v>
      </c>
      <c r="F34" s="17">
        <f t="shared" ref="F34:F44" si="21">E34*F$45</f>
        <v>236920.88308945677</v>
      </c>
      <c r="G34" s="35">
        <f>ROUND(F34/C34,4)</f>
        <v>4.4000000000000003E-3</v>
      </c>
      <c r="H34" s="20"/>
      <c r="I34" s="51">
        <f>ROUND(G34/3,4)</f>
        <v>1.5E-3</v>
      </c>
      <c r="K34" s="5"/>
      <c r="L34" s="5"/>
      <c r="M34" s="5"/>
      <c r="N34" s="5"/>
      <c r="O34" s="5"/>
    </row>
    <row r="35" spans="1:15" x14ac:dyDescent="0.2">
      <c r="A35" s="12" t="s">
        <v>34</v>
      </c>
      <c r="B35" s="13" t="s">
        <v>8</v>
      </c>
      <c r="C35" s="14">
        <v>29851151</v>
      </c>
      <c r="D35" s="14">
        <v>0</v>
      </c>
      <c r="E35" s="33">
        <f t="shared" si="20"/>
        <v>1.951331788686644E-2</v>
      </c>
      <c r="F35" s="17">
        <f t="shared" si="21"/>
        <v>131546.53678095236</v>
      </c>
      <c r="G35" s="35">
        <f>ROUND(F35/C35,4)</f>
        <v>4.4000000000000003E-3</v>
      </c>
      <c r="H35" s="20"/>
      <c r="I35" s="51">
        <f t="shared" ref="I35:I40" si="22">ROUND(G35/3,4)</f>
        <v>1.5E-3</v>
      </c>
      <c r="K35" s="5"/>
      <c r="L35" s="5"/>
      <c r="M35" s="5"/>
      <c r="N35" s="5"/>
      <c r="O35" s="5"/>
    </row>
    <row r="36" spans="1:15" x14ac:dyDescent="0.2">
      <c r="A36" s="12" t="s">
        <v>33</v>
      </c>
      <c r="B36" s="13" t="s">
        <v>9</v>
      </c>
      <c r="C36" s="14">
        <v>748801182.76999974</v>
      </c>
      <c r="D36" s="14">
        <v>1931371.965593037</v>
      </c>
      <c r="E36" s="33">
        <f t="shared" si="20"/>
        <v>0.48948181306149913</v>
      </c>
      <c r="F36" s="17">
        <f t="shared" si="21"/>
        <v>3299779.0380302058</v>
      </c>
      <c r="G36" s="35">
        <f>ROUND(F36/D36,4)</f>
        <v>1.7084999999999999</v>
      </c>
      <c r="H36" s="20"/>
      <c r="I36" s="51">
        <f t="shared" si="22"/>
        <v>0.56950000000000001</v>
      </c>
      <c r="K36" s="5"/>
      <c r="L36" s="5"/>
      <c r="M36" s="5"/>
      <c r="N36" s="5"/>
      <c r="O36" s="5"/>
    </row>
    <row r="37" spans="1:15" x14ac:dyDescent="0.2">
      <c r="A37" s="12" t="s">
        <v>32</v>
      </c>
      <c r="B37" s="13" t="s">
        <v>9</v>
      </c>
      <c r="C37" s="14">
        <v>45768539.739999995</v>
      </c>
      <c r="D37" s="14">
        <v>127750.55000000002</v>
      </c>
      <c r="E37" s="33">
        <f t="shared" si="20"/>
        <v>2.991831253556352E-2</v>
      </c>
      <c r="F37" s="17">
        <f t="shared" si="21"/>
        <v>201690.47740632817</v>
      </c>
      <c r="G37" s="35">
        <f>ROUND(F37/D37,4)</f>
        <v>1.5788</v>
      </c>
      <c r="H37" s="20"/>
      <c r="I37" s="51">
        <f t="shared" si="22"/>
        <v>0.52629999999999999</v>
      </c>
      <c r="K37" s="5"/>
      <c r="L37" s="5"/>
      <c r="M37" s="5"/>
      <c r="N37" s="5"/>
      <c r="O37" s="5"/>
    </row>
    <row r="38" spans="1:15" x14ac:dyDescent="0.2">
      <c r="A38" s="12" t="s">
        <v>2</v>
      </c>
      <c r="B38" s="13" t="s">
        <v>9</v>
      </c>
      <c r="C38" s="14">
        <v>304746367.47999996</v>
      </c>
      <c r="D38" s="14">
        <v>827934.60000000009</v>
      </c>
      <c r="E38" s="33">
        <f t="shared" si="20"/>
        <v>0.19920882593455297</v>
      </c>
      <c r="F38" s="17">
        <f t="shared" si="21"/>
        <v>1342940.8212289517</v>
      </c>
      <c r="G38" s="35">
        <f>ROUND(F38/D38,4)</f>
        <v>1.6220000000000001</v>
      </c>
      <c r="H38" s="20"/>
      <c r="I38" s="51">
        <f t="shared" si="22"/>
        <v>0.54069999999999996</v>
      </c>
      <c r="K38" s="5"/>
      <c r="L38" s="5"/>
      <c r="M38" s="5"/>
      <c r="N38" s="5"/>
      <c r="O38" s="5"/>
    </row>
    <row r="39" spans="1:15" x14ac:dyDescent="0.2">
      <c r="A39" s="12" t="s">
        <v>3</v>
      </c>
      <c r="B39" s="13" t="s">
        <v>9</v>
      </c>
      <c r="C39" s="14">
        <v>280858035.11999995</v>
      </c>
      <c r="D39" s="14">
        <v>559020.80000000005</v>
      </c>
      <c r="E39" s="33">
        <f t="shared" si="20"/>
        <v>0.18359332678251697</v>
      </c>
      <c r="F39" s="17">
        <f t="shared" si="21"/>
        <v>1237670.9309178425</v>
      </c>
      <c r="G39" s="35">
        <f>ROUND(F39/D39,4)</f>
        <v>2.214</v>
      </c>
      <c r="H39" s="20"/>
      <c r="I39" s="51">
        <f t="shared" si="22"/>
        <v>0.73799999999999999</v>
      </c>
      <c r="K39" s="5"/>
      <c r="L39" s="5"/>
      <c r="M39" s="5"/>
      <c r="N39" s="5"/>
      <c r="O39" s="5"/>
    </row>
    <row r="40" spans="1:15" x14ac:dyDescent="0.2">
      <c r="A40" s="12" t="s">
        <v>36</v>
      </c>
      <c r="B40" s="13" t="s">
        <v>9</v>
      </c>
      <c r="C40" s="14">
        <v>45336838.930000007</v>
      </c>
      <c r="D40" s="14">
        <v>81689.16</v>
      </c>
      <c r="E40" s="33">
        <f t="shared" si="20"/>
        <v>2.9636115204628187E-2</v>
      </c>
      <c r="F40" s="17">
        <f t="shared" si="21"/>
        <v>199788.08019286624</v>
      </c>
      <c r="G40" s="35">
        <v>0</v>
      </c>
      <c r="H40" s="20"/>
      <c r="I40" s="51">
        <f t="shared" si="22"/>
        <v>0</v>
      </c>
      <c r="K40" s="5"/>
      <c r="L40" s="5"/>
      <c r="M40" s="5"/>
      <c r="N40" s="5"/>
      <c r="O40" s="5"/>
    </row>
    <row r="41" spans="1:15" x14ac:dyDescent="0.2">
      <c r="A41" s="12" t="s">
        <v>35</v>
      </c>
      <c r="B41" s="13" t="s">
        <v>8</v>
      </c>
      <c r="C41" s="14">
        <v>3224454.2799999993</v>
      </c>
      <c r="D41" s="14">
        <v>0</v>
      </c>
      <c r="E41" s="33">
        <f t="shared" si="20"/>
        <v>2.1077847677400123E-3</v>
      </c>
      <c r="F41" s="17">
        <f t="shared" si="21"/>
        <v>14209.361426047499</v>
      </c>
      <c r="G41" s="35">
        <f>ROUND(F41/H41/12,2)</f>
        <v>1.33</v>
      </c>
      <c r="H41" s="17">
        <v>893</v>
      </c>
      <c r="I41" s="51">
        <f>ROUND(G41/3,2)</f>
        <v>0.44</v>
      </c>
      <c r="K41" s="5"/>
      <c r="L41" s="5"/>
      <c r="M41" s="5"/>
      <c r="N41" s="5"/>
      <c r="O41" s="5"/>
    </row>
    <row r="42" spans="1:15" x14ac:dyDescent="0.2">
      <c r="A42" s="12"/>
      <c r="B42" s="13"/>
      <c r="C42" s="14">
        <v>0</v>
      </c>
      <c r="D42" s="14">
        <v>0</v>
      </c>
      <c r="E42" s="33"/>
      <c r="F42" s="17"/>
      <c r="G42" s="35"/>
      <c r="H42" s="17"/>
      <c r="I42" s="51">
        <f t="shared" ref="I42:I44" si="23">ROUND(G42/3,2)</f>
        <v>0</v>
      </c>
      <c r="K42" s="5"/>
      <c r="L42" s="5"/>
      <c r="M42" s="5"/>
      <c r="N42" s="5"/>
      <c r="O42" s="5"/>
    </row>
    <row r="43" spans="1:15" x14ac:dyDescent="0.2">
      <c r="A43" s="12" t="s">
        <v>4</v>
      </c>
      <c r="B43" s="13" t="s">
        <v>9</v>
      </c>
      <c r="C43" s="14">
        <v>64549.626027000006</v>
      </c>
      <c r="D43" s="14">
        <v>177.37559722708892</v>
      </c>
      <c r="E43" s="33">
        <f t="shared" si="20"/>
        <v>4.2195269862230732E-5</v>
      </c>
      <c r="F43" s="17">
        <f t="shared" si="21"/>
        <v>284.45401500121307</v>
      </c>
      <c r="G43" s="35">
        <f>ROUND(F43/H43/12,2)</f>
        <v>0.03</v>
      </c>
      <c r="H43" s="17">
        <v>748</v>
      </c>
      <c r="I43" s="51">
        <f t="shared" si="23"/>
        <v>0.01</v>
      </c>
      <c r="K43" s="5"/>
      <c r="L43" s="5"/>
      <c r="M43" s="5"/>
      <c r="N43" s="5"/>
      <c r="O43" s="5"/>
    </row>
    <row r="44" spans="1:15" x14ac:dyDescent="0.2">
      <c r="A44" s="12" t="s">
        <v>5</v>
      </c>
      <c r="B44" s="13" t="s">
        <v>9</v>
      </c>
      <c r="C44" s="14">
        <v>17369156.460000001</v>
      </c>
      <c r="D44" s="14">
        <v>49540.717703939197</v>
      </c>
      <c r="E44" s="33">
        <f t="shared" si="20"/>
        <v>1.1353996749763512E-2</v>
      </c>
      <c r="F44" s="17">
        <f t="shared" si="21"/>
        <v>76541.516912346415</v>
      </c>
      <c r="G44" s="35">
        <f>ROUND(F44/H44/12,2)</f>
        <v>0.27</v>
      </c>
      <c r="H44" s="17">
        <v>23413</v>
      </c>
      <c r="I44" s="52">
        <f t="shared" si="23"/>
        <v>0.09</v>
      </c>
      <c r="K44" s="5"/>
      <c r="L44" s="5"/>
      <c r="M44" s="5"/>
      <c r="N44" s="5"/>
      <c r="O44" s="5"/>
    </row>
    <row r="45" spans="1:15" x14ac:dyDescent="0.2">
      <c r="A45" s="22" t="s">
        <v>6</v>
      </c>
      <c r="B45" s="23"/>
      <c r="C45" s="24">
        <f>SUM(C34:C44)</f>
        <v>1529783462.4060268</v>
      </c>
      <c r="D45" s="24">
        <f>SUM(D34:D44)</f>
        <v>3577485.1688942038</v>
      </c>
      <c r="E45" s="36">
        <f>SUM(E34:E44)</f>
        <v>0.99999999999999978</v>
      </c>
      <c r="F45" s="27">
        <v>6741372.0999999996</v>
      </c>
      <c r="G45" s="30"/>
      <c r="H45" s="30"/>
      <c r="I45" s="5"/>
      <c r="J45" s="5"/>
      <c r="K45" s="5"/>
      <c r="L45" s="5"/>
      <c r="M45" s="5"/>
      <c r="N45" s="5"/>
      <c r="O45" s="5"/>
    </row>
    <row r="46" spans="1:15" ht="15" thickBot="1" x14ac:dyDescent="0.25">
      <c r="C46" s="2"/>
      <c r="D46" s="1"/>
      <c r="E46" s="2"/>
    </row>
    <row r="47" spans="1:15" x14ac:dyDescent="0.2">
      <c r="A47" s="38"/>
      <c r="B47" s="39" t="s">
        <v>37</v>
      </c>
      <c r="C47" s="40" t="s">
        <v>38</v>
      </c>
      <c r="D47" s="41" t="s">
        <v>41</v>
      </c>
    </row>
    <row r="48" spans="1:15" s="4" customFormat="1" ht="15" x14ac:dyDescent="0.25">
      <c r="A48" s="42" t="s">
        <v>1</v>
      </c>
      <c r="B48" s="43">
        <f>I19+N4</f>
        <v>-4.1000000000000003E-3</v>
      </c>
      <c r="C48" s="44">
        <f>B48/2</f>
        <v>-2.0500000000000002E-3</v>
      </c>
      <c r="D48" s="45">
        <f>ROUND(B48/3,4)</f>
        <v>-1.4E-3</v>
      </c>
    </row>
    <row r="49" spans="1:5" ht="15" thickBot="1" x14ac:dyDescent="0.25">
      <c r="A49" s="46">
        <v>1000</v>
      </c>
      <c r="B49" s="47">
        <f>A49*B48</f>
        <v>-4.1000000000000005</v>
      </c>
      <c r="C49" s="47">
        <f>A49*C48</f>
        <v>-2.0500000000000003</v>
      </c>
      <c r="D49" s="48">
        <f>A49*D48</f>
        <v>-1.4</v>
      </c>
    </row>
    <row r="54" spans="1:5" x14ac:dyDescent="0.2">
      <c r="B54" s="49"/>
      <c r="C54" s="49"/>
      <c r="D54" s="49"/>
      <c r="E54" s="53"/>
    </row>
    <row r="55" spans="1:5" x14ac:dyDescent="0.2">
      <c r="B55" s="49"/>
      <c r="C55" s="49"/>
      <c r="D55" s="49"/>
      <c r="E55" s="53"/>
    </row>
    <row r="56" spans="1:5" x14ac:dyDescent="0.2">
      <c r="B56" s="49"/>
      <c r="C56" s="49"/>
      <c r="D56" s="49"/>
      <c r="E56" s="53"/>
    </row>
    <row r="57" spans="1:5" x14ac:dyDescent="0.2">
      <c r="D57" s="49"/>
      <c r="E57" s="53"/>
    </row>
    <row r="58" spans="1:5" x14ac:dyDescent="0.2">
      <c r="D58" s="49"/>
      <c r="E58" s="53"/>
    </row>
    <row r="59" spans="1:5" x14ac:dyDescent="0.2">
      <c r="C59" s="49"/>
      <c r="D59" s="49"/>
      <c r="E59" s="53"/>
    </row>
    <row r="60" spans="1:5" x14ac:dyDescent="0.2">
      <c r="B60" s="49"/>
      <c r="C60" s="49"/>
      <c r="D60" s="49"/>
      <c r="E60" s="53"/>
    </row>
  </sheetData>
  <pageMargins left="0.23622047244094491" right="0.19685039370078741" top="0.74803149606299213" bottom="0.74803149606299213" header="0.31496062992125984" footer="0.31496062992125984"/>
  <pageSetup scale="63" fitToWidth="0" orientation="landscape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</vt:lpstr>
    </vt:vector>
  </TitlesOfParts>
  <Company>Enwin Utilities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Broadfoot</dc:creator>
  <cp:lastModifiedBy>June Broadfoot </cp:lastModifiedBy>
  <cp:lastPrinted>2013-09-11T16:37:33Z</cp:lastPrinted>
  <dcterms:created xsi:type="dcterms:W3CDTF">2012-02-22T16:45:46Z</dcterms:created>
  <dcterms:modified xsi:type="dcterms:W3CDTF">2013-09-11T16:38:32Z</dcterms:modified>
</cp:coreProperties>
</file>