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8610" windowHeight="10365" activeTab="0"/>
  </bookViews>
  <sheets>
    <sheet name="Aid to Construction" sheetId="1" r:id="rId1"/>
    <sheet name="Detailed Budget" sheetId="2" r:id="rId2"/>
    <sheet name="Variables" sheetId="3" r:id="rId3"/>
    <sheet name="CF Timeline" sheetId="4" r:id="rId4"/>
    <sheet name="Sheet2" sheetId="5" r:id="rId5"/>
  </sheets>
  <definedNames>
    <definedName name="_xlnm.Print_Area" localSheetId="0">'Aid to Construction'!$A$1:$I$88</definedName>
  </definedNames>
  <calcPr fullCalcOnLoad="1"/>
</workbook>
</file>

<file path=xl/sharedStrings.xml><?xml version="1.0" encoding="utf-8"?>
<sst xmlns="http://schemas.openxmlformats.org/spreadsheetml/2006/main" count="263" uniqueCount="170">
  <si>
    <t>TOTAL</t>
  </si>
  <si>
    <t xml:space="preserve">   (FIRM CD - M*3)</t>
  </si>
  <si>
    <t xml:space="preserve">   6"</t>
  </si>
  <si>
    <t xml:space="preserve">   4"</t>
  </si>
  <si>
    <t xml:space="preserve">   3"</t>
  </si>
  <si>
    <t xml:space="preserve">   2"</t>
  </si>
  <si>
    <t>1.25"</t>
  </si>
  <si>
    <t xml:space="preserve">   1"</t>
  </si>
  <si>
    <t xml:space="preserve">   1/2"</t>
  </si>
  <si>
    <t>COST PER METER</t>
  </si>
  <si>
    <t xml:space="preserve">  </t>
  </si>
  <si>
    <t>Tax Shield</t>
  </si>
  <si>
    <t xml:space="preserve">                       ----------------------------------    x    ------------------</t>
  </si>
  <si>
    <t xml:space="preserve">                       (CCA rate + discount rate)      2x(1+ disc. rate)</t>
  </si>
  <si>
    <t>PV of tax shield =</t>
  </si>
  <si>
    <t xml:space="preserve"> </t>
  </si>
  <si>
    <t>MATERIALS</t>
  </si>
  <si>
    <t>Quantity</t>
  </si>
  <si>
    <t>Price</t>
  </si>
  <si>
    <t>Amount</t>
  </si>
  <si>
    <t>6"</t>
  </si>
  <si>
    <t>P.E. Pipe</t>
  </si>
  <si>
    <t>m    @</t>
  </si>
  <si>
    <t>=</t>
  </si>
  <si>
    <t>4"</t>
  </si>
  <si>
    <t>3"</t>
  </si>
  <si>
    <t>2"</t>
  </si>
  <si>
    <t>1"</t>
  </si>
  <si>
    <t>1/2"</t>
  </si>
  <si>
    <t>Tracer Wire</t>
  </si>
  <si>
    <t>$</t>
  </si>
  <si>
    <t>TOTAL JOB</t>
  </si>
  <si>
    <t>Date of last test:</t>
  </si>
  <si>
    <t>Other</t>
  </si>
  <si>
    <t xml:space="preserve">   IND - 4</t>
  </si>
  <si>
    <t>Gas Sales Revenues ($)</t>
  </si>
  <si>
    <t>Total</t>
  </si>
  <si>
    <t>Less</t>
  </si>
  <si>
    <t xml:space="preserve"> M9 Delivery Costs</t>
  </si>
  <si>
    <t xml:space="preserve"> O&amp;M Expense</t>
  </si>
  <si>
    <t xml:space="preserve"> Capital Tax</t>
  </si>
  <si>
    <t xml:space="preserve"> Property Taxes</t>
  </si>
  <si>
    <t>Add</t>
  </si>
  <si>
    <t xml:space="preserve"> Fixed Revenue</t>
  </si>
  <si>
    <t>Pre-Tax Revenue</t>
  </si>
  <si>
    <t>Less: Income Tax</t>
  </si>
  <si>
    <t>Net Revenue</t>
  </si>
  <si>
    <t>Total Revenue</t>
  </si>
  <si>
    <t xml:space="preserve">   Residential</t>
  </si>
  <si>
    <t xml:space="preserve">   Commercial</t>
  </si>
  <si>
    <t xml:space="preserve">   Seasonal</t>
  </si>
  <si>
    <t xml:space="preserve">   Industrial - Rate 3 - Firm</t>
  </si>
  <si>
    <t xml:space="preserve">   Industrial- Rate 1</t>
  </si>
  <si>
    <t xml:space="preserve">   Industrial - Rate 3 - Interruptible</t>
  </si>
  <si>
    <t>Year 1</t>
  </si>
  <si>
    <t>Year 2</t>
  </si>
  <si>
    <t>Year 3</t>
  </si>
  <si>
    <t>Year 4</t>
  </si>
  <si>
    <t>Year 5</t>
  </si>
  <si>
    <t>Cumulative</t>
  </si>
  <si>
    <t>Rate Class</t>
  </si>
  <si>
    <t>Sales Volumes (m*3)</t>
  </si>
  <si>
    <t>Commercial</t>
  </si>
  <si>
    <t>Residential</t>
  </si>
  <si>
    <t xml:space="preserve">  Industrial- Rate 1</t>
  </si>
  <si>
    <t>Seasonal</t>
  </si>
  <si>
    <t>Total Potential</t>
  </si>
  <si>
    <t>Customer Additions</t>
  </si>
  <si>
    <t xml:space="preserve"> Residential</t>
  </si>
  <si>
    <t xml:space="preserve"> Commercial</t>
  </si>
  <si>
    <t xml:space="preserve"> IND - RATE 4</t>
  </si>
  <si>
    <t xml:space="preserve"> Seasonal</t>
  </si>
  <si>
    <t xml:space="preserve"> Industrial - Rate 3 - Firm</t>
  </si>
  <si>
    <t xml:space="preserve"> Industrial - Rate 3 - Interruptible </t>
  </si>
  <si>
    <t>Contingency</t>
  </si>
  <si>
    <t>Pipeline (Meters)</t>
  </si>
  <si>
    <t>Cost Per Meter</t>
  </si>
  <si>
    <t>NPV of Costs</t>
  </si>
  <si>
    <t>NPV of Revenue plus Tax Shield</t>
  </si>
  <si>
    <t>Aid to Construction</t>
  </si>
  <si>
    <t>Benefit/Cost Ratio</t>
  </si>
  <si>
    <t>Pipeline Costs</t>
  </si>
  <si>
    <t>Service Costs</t>
  </si>
  <si>
    <t>Total Pipeline Costs</t>
  </si>
  <si>
    <t>Meters &amp; Regulators</t>
  </si>
  <si>
    <t>Project Costs</t>
  </si>
  <si>
    <t>Formula based on the following:</t>
  </si>
  <si>
    <t xml:space="preserve"> Tax shield = (UCC x tax rate x CCA rate)     (2+discount rate)</t>
  </si>
  <si>
    <t>Costs</t>
  </si>
  <si>
    <t>Annual</t>
  </si>
  <si>
    <t>Natural Resource Gas Limited</t>
  </si>
  <si>
    <t>Variables Used to Calculate Cost of Pipeline Additions</t>
  </si>
  <si>
    <t>PROPERTY TAX ASSESSMENT RATES</t>
  </si>
  <si>
    <t>RATE 3</t>
  </si>
  <si>
    <t>Average rate</t>
  </si>
  <si>
    <t xml:space="preserve">   CUSTOMER CHARGE</t>
  </si>
  <si>
    <t xml:space="preserve">   FIRM CD PER M*3</t>
  </si>
  <si>
    <t xml:space="preserve">   FIRM COMMODITY</t>
  </si>
  <si>
    <t>FEDERAL CAPITAL TAX RATE</t>
  </si>
  <si>
    <t xml:space="preserve">   INT COMMODITY</t>
  </si>
  <si>
    <t>PROV. CAPITAL TAX RATE</t>
  </si>
  <si>
    <t>Allocation</t>
  </si>
  <si>
    <t>Cost of Debt/Capital</t>
  </si>
  <si>
    <t>LT DEBT</t>
  </si>
  <si>
    <t>DISCOUNT RATE</t>
  </si>
  <si>
    <t>DEMAND L</t>
  </si>
  <si>
    <t>ST DEBT</t>
  </si>
  <si>
    <t>EQUITY</t>
  </si>
  <si>
    <t>MARGINAL TAX RATE</t>
  </si>
  <si>
    <t>COST OF GAS</t>
  </si>
  <si>
    <t>Industrial (R1 and R4)</t>
  </si>
  <si>
    <t>Contract</t>
  </si>
  <si>
    <t>(UNION M9 DELIVERY CHARGE)</t>
  </si>
  <si>
    <t>METERS/</t>
  </si>
  <si>
    <t>SERVICES</t>
  </si>
  <si>
    <t>USE PER</t>
  </si>
  <si>
    <t>SELLING</t>
  </si>
  <si>
    <t>O &amp; M</t>
  </si>
  <si>
    <t>REGS</t>
  </si>
  <si>
    <t>COST</t>
  </si>
  <si>
    <t>CUSTOMER</t>
  </si>
  <si>
    <t>PRICE</t>
  </si>
  <si>
    <t>EXPENSE</t>
  </si>
  <si>
    <t>COST EACH</t>
  </si>
  <si>
    <t>EACH</t>
  </si>
  <si>
    <t>(M*3)</t>
  </si>
  <si>
    <t>PER M*3</t>
  </si>
  <si>
    <t>PER CUST</t>
  </si>
  <si>
    <t>Demand</t>
  </si>
  <si>
    <t>Steel</t>
  </si>
  <si>
    <t>DESCRIPTION: IGPC Ethanol Plant</t>
  </si>
  <si>
    <t>Nature of Project (MA, MR): Facility Expansion</t>
  </si>
  <si>
    <t>Year 6</t>
  </si>
  <si>
    <t>Year 7</t>
  </si>
  <si>
    <t xml:space="preserve">   less Class 49 Pipelines</t>
  </si>
  <si>
    <t>Class 1 Equipment</t>
  </si>
  <si>
    <t>Class 49 Equipment</t>
  </si>
  <si>
    <t>Class 1</t>
  </si>
  <si>
    <t>Class 49</t>
  </si>
  <si>
    <t>CLASS 1 CCA RATE</t>
  </si>
  <si>
    <t>CLASS 49 CCA RATE</t>
  </si>
  <si>
    <t xml:space="preserve">   IND - RATE 3 </t>
  </si>
  <si>
    <t>Planned for fiscal: 2008</t>
  </si>
  <si>
    <t>Depreciation</t>
  </si>
  <si>
    <t>Principal Repayment</t>
  </si>
  <si>
    <t>Interest Expense</t>
  </si>
  <si>
    <t>Interest</t>
  </si>
  <si>
    <t>Discount rate for Capital</t>
  </si>
  <si>
    <t>Assumptions</t>
  </si>
  <si>
    <t>Pipeline was Complete as of July 15, 2008</t>
  </si>
  <si>
    <t># days of service</t>
  </si>
  <si>
    <t># days in 2008</t>
  </si>
  <si>
    <t>Equivalent Discount factor</t>
  </si>
  <si>
    <t>Net Revenue mid-period</t>
  </si>
  <si>
    <t>NRG</t>
  </si>
  <si>
    <t>IGPC CiAC computation</t>
  </si>
  <si>
    <t>Timeline of Cash Flows</t>
  </si>
  <si>
    <t>Capital</t>
  </si>
  <si>
    <t>Revenues less Operating Costs</t>
  </si>
  <si>
    <t>April 1 2015</t>
  </si>
  <si>
    <t>Cost Data</t>
  </si>
  <si>
    <t>PV Capital</t>
  </si>
  <si>
    <t xml:space="preserve">Net Revenues </t>
  </si>
  <si>
    <t>PV Net Revenues</t>
  </si>
  <si>
    <t>Discount Factor</t>
  </si>
  <si>
    <t>Factor</t>
  </si>
  <si>
    <t>Cumulatives PV Net Revenues</t>
  </si>
  <si>
    <t>Check</t>
  </si>
  <si>
    <t>Class 51</t>
  </si>
  <si>
    <t>CLASS 51 CCA RATE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</si>
</sst>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;;"/>
    <numFmt numFmtId="174" formatCode="#,##0.0_);\(#,##0.0\)"/>
    <numFmt numFmtId="175" formatCode="[$-1009]mmmm\ d\,\ yyyy"/>
    <numFmt numFmtId="176" formatCode="_-&quot;$&quot;* #,##0.0_-;\-&quot;$&quot;* #,##0.0_-;_-&quot;$&quot;* &quot;-&quot;??_-;_-@_-"/>
    <numFmt numFmtId="177" formatCode="_-&quot;$&quot;* #,##0_-;\-&quot;$&quot;* #,##0_-;_-&quot;$&quot;* &quot;-&quot;??_-;_-@_-"/>
    <numFmt numFmtId="178" formatCode="0.0%"/>
    <numFmt numFmtId="179" formatCode="_-&quot;$&quot;* #,##0.000000_-;\-&quot;$&quot;* #,##0.000000_-;_-&quot;$&quot;* &quot;-&quot;??????_-;_-@_-"/>
    <numFmt numFmtId="180" formatCode="0.000%"/>
    <numFmt numFmtId="181" formatCode="0.0000"/>
    <numFmt numFmtId="182" formatCode="0.000000"/>
    <numFmt numFmtId="183" formatCode="_-* #,##0_-;\-* #,##0_-;_-* &quot;-&quot;??_-;_-@_-"/>
    <numFmt numFmtId="184" formatCode="#,##0._);\(#,##0.\)"/>
    <numFmt numFmtId="185" formatCode="&quot;$&quot;#,##0.00"/>
    <numFmt numFmtId="186" formatCode="&quot;$&quot;#,##0"/>
    <numFmt numFmtId="187" formatCode="_-* #,##0.0_-;\-* #,##0.0_-;_-* &quot;-&quot;??_-;_-@_-"/>
    <numFmt numFmtId="188" formatCode="_([$$-409]* #,##0.00_);_([$$-409]* \(#,##0.00\);_([$$-409]* &quot;-&quot;??_);_(@_)"/>
    <numFmt numFmtId="189" formatCode="_([$$-409]* #,##0.0_);_([$$-409]* \(#,##0.0\);_([$$-409]* &quot;-&quot;??_);_(@_)"/>
    <numFmt numFmtId="190" formatCode="_([$$-409]* #,##0_);_([$$-409]* \(#,##0\);_([$$-409]* &quot;-&quot;??_);_(@_)"/>
    <numFmt numFmtId="191" formatCode="&quot;$&quot;#,##0.0"/>
  </numFmts>
  <fonts count="53">
    <font>
      <sz val="10"/>
      <name val="Times New Roman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fill"/>
    </xf>
    <xf numFmtId="0" fontId="0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39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39" fontId="0" fillId="0" borderId="0" xfId="0" applyNumberFormat="1" applyFont="1" applyAlignment="1">
      <alignment/>
    </xf>
    <xf numFmtId="39" fontId="4" fillId="0" borderId="11" xfId="0" applyNumberFormat="1" applyFont="1" applyBorder="1" applyAlignment="1">
      <alignment/>
    </xf>
    <xf numFmtId="0" fontId="0" fillId="0" borderId="0" xfId="0" applyNumberFormat="1" applyFont="1" applyAlignment="1">
      <alignment horizontal="fill"/>
    </xf>
    <xf numFmtId="39" fontId="4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39" fontId="3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6" fillId="0" borderId="10" xfId="0" applyNumberFormat="1" applyFont="1" applyBorder="1" applyAlignment="1">
      <alignment horizontal="fill"/>
    </xf>
    <xf numFmtId="39" fontId="0" fillId="0" borderId="12" xfId="0" applyNumberFormat="1" applyBorder="1" applyAlignment="1">
      <alignment/>
    </xf>
    <xf numFmtId="171" fontId="4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169" fontId="0" fillId="33" borderId="0" xfId="0" applyNumberFormat="1" applyFont="1" applyFill="1" applyAlignment="1">
      <alignment/>
    </xf>
    <xf numFmtId="169" fontId="0" fillId="0" borderId="0" xfId="0" applyNumberFormat="1" applyFont="1" applyAlignment="1">
      <alignment/>
    </xf>
    <xf numFmtId="171" fontId="0" fillId="33" borderId="0" xfId="0" applyNumberFormat="1" applyFont="1" applyFill="1" applyAlignment="1">
      <alignment/>
    </xf>
    <xf numFmtId="171" fontId="4" fillId="33" borderId="0" xfId="0" applyNumberFormat="1" applyFont="1" applyFill="1" applyAlignment="1">
      <alignment/>
    </xf>
    <xf numFmtId="37" fontId="7" fillId="0" borderId="0" xfId="0" applyNumberFormat="1" applyFont="1" applyAlignment="1">
      <alignment horizontal="center"/>
    </xf>
    <xf numFmtId="169" fontId="0" fillId="0" borderId="13" xfId="0" applyNumberFormat="1" applyFont="1" applyBorder="1" applyAlignment="1">
      <alignment/>
    </xf>
    <xf numFmtId="0" fontId="3" fillId="0" borderId="0" xfId="0" applyNumberFormat="1" applyFont="1" applyAlignment="1">
      <alignment horizontal="center" wrapText="1"/>
    </xf>
    <xf numFmtId="37" fontId="0" fillId="0" borderId="0" xfId="0" applyNumberFormat="1" applyFont="1" applyBorder="1" applyAlignment="1">
      <alignment/>
    </xf>
    <xf numFmtId="37" fontId="8" fillId="0" borderId="0" xfId="0" applyNumberFormat="1" applyFont="1" applyAlignment="1">
      <alignment horizontal="center"/>
    </xf>
    <xf numFmtId="169" fontId="1" fillId="0" borderId="0" xfId="0" applyNumberFormat="1" applyFont="1" applyAlignment="1">
      <alignment/>
    </xf>
    <xf numFmtId="169" fontId="1" fillId="0" borderId="13" xfId="0" applyNumberFormat="1" applyFont="1" applyBorder="1" applyAlignment="1">
      <alignment/>
    </xf>
    <xf numFmtId="170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17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69" fontId="1" fillId="0" borderId="11" xfId="0" applyNumberFormat="1" applyFont="1" applyBorder="1" applyAlignment="1">
      <alignment/>
    </xf>
    <xf numFmtId="169" fontId="1" fillId="0" borderId="0" xfId="0" applyNumberFormat="1" applyFont="1" applyBorder="1" applyAlignment="1">
      <alignment/>
    </xf>
    <xf numFmtId="168" fontId="1" fillId="0" borderId="0" xfId="0" applyNumberFormat="1" applyFont="1" applyAlignment="1">
      <alignment/>
    </xf>
    <xf numFmtId="168" fontId="1" fillId="0" borderId="10" xfId="0" applyNumberFormat="1" applyFont="1" applyBorder="1" applyAlignment="1">
      <alignment/>
    </xf>
    <xf numFmtId="0" fontId="9" fillId="0" borderId="0" xfId="0" applyNumberFormat="1" applyFont="1" applyFill="1" applyBorder="1" applyAlignment="1">
      <alignment/>
    </xf>
    <xf numFmtId="0" fontId="1" fillId="0" borderId="0" xfId="0" applyNumberFormat="1" applyFont="1" applyAlignment="1">
      <alignment wrapText="1"/>
    </xf>
    <xf numFmtId="169" fontId="1" fillId="33" borderId="0" xfId="0" applyNumberFormat="1" applyFont="1" applyFill="1" applyAlignment="1">
      <alignment/>
    </xf>
    <xf numFmtId="170" fontId="1" fillId="33" borderId="0" xfId="0" applyNumberFormat="1" applyFont="1" applyFill="1" applyAlignment="1">
      <alignment/>
    </xf>
    <xf numFmtId="0" fontId="8" fillId="0" borderId="0" xfId="0" applyNumberFormat="1" applyFont="1" applyBorder="1" applyAlignment="1">
      <alignment horizontal="center"/>
    </xf>
    <xf numFmtId="0" fontId="9" fillId="0" borderId="0" xfId="0" applyNumberFormat="1" applyFont="1" applyAlignment="1">
      <alignment/>
    </xf>
    <xf numFmtId="10" fontId="1" fillId="0" borderId="0" xfId="57" applyNumberFormat="1" applyFont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1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79" fontId="1" fillId="33" borderId="0" xfId="0" applyNumberFormat="1" applyFont="1" applyFill="1" applyAlignment="1">
      <alignment/>
    </xf>
    <xf numFmtId="10" fontId="1" fillId="33" borderId="0" xfId="57" applyNumberFormat="1" applyFont="1" applyFill="1" applyAlignment="1">
      <alignment/>
    </xf>
    <xf numFmtId="10" fontId="1" fillId="0" borderId="13" xfId="57" applyNumberFormat="1" applyFont="1" applyBorder="1" applyAlignment="1">
      <alignment/>
    </xf>
    <xf numFmtId="182" fontId="1" fillId="0" borderId="0" xfId="0" applyNumberFormat="1" applyFont="1" applyAlignment="1">
      <alignment/>
    </xf>
    <xf numFmtId="0" fontId="1" fillId="33" borderId="0" xfId="0" applyNumberFormat="1" applyFont="1" applyFill="1" applyAlignment="1">
      <alignment/>
    </xf>
    <xf numFmtId="182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wrapText="1"/>
    </xf>
    <xf numFmtId="10" fontId="1" fillId="33" borderId="0" xfId="57" applyNumberFormat="1" applyFont="1" applyFill="1" applyBorder="1" applyAlignment="1">
      <alignment/>
    </xf>
    <xf numFmtId="169" fontId="1" fillId="0" borderId="0" xfId="0" applyNumberFormat="1" applyFont="1" applyFill="1" applyAlignment="1">
      <alignment/>
    </xf>
    <xf numFmtId="10" fontId="0" fillId="33" borderId="0" xfId="57" applyNumberFormat="1" applyFont="1" applyFill="1" applyAlignment="1">
      <alignment/>
    </xf>
    <xf numFmtId="2" fontId="1" fillId="33" borderId="0" xfId="0" applyNumberFormat="1" applyFont="1" applyFill="1" applyAlignment="1">
      <alignment/>
    </xf>
    <xf numFmtId="179" fontId="1" fillId="0" borderId="0" xfId="0" applyNumberFormat="1" applyFont="1" applyFill="1" applyAlignment="1">
      <alignment/>
    </xf>
    <xf numFmtId="170" fontId="1" fillId="0" borderId="0" xfId="0" applyNumberFormat="1" applyFont="1" applyFill="1" applyAlignment="1">
      <alignment/>
    </xf>
    <xf numFmtId="10" fontId="1" fillId="0" borderId="0" xfId="57" applyNumberFormat="1" applyFont="1" applyFill="1" applyAlignment="1">
      <alignment/>
    </xf>
    <xf numFmtId="170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169" fontId="1" fillId="0" borderId="13" xfId="0" applyNumberFormat="1" applyFont="1" applyFill="1" applyBorder="1" applyAlignment="1">
      <alignment/>
    </xf>
    <xf numFmtId="169" fontId="1" fillId="0" borderId="11" xfId="0" applyNumberFormat="1" applyFont="1" applyFill="1" applyBorder="1" applyAlignment="1">
      <alignment/>
    </xf>
    <xf numFmtId="0" fontId="1" fillId="0" borderId="0" xfId="0" applyNumberFormat="1" applyFont="1" applyBorder="1" applyAlignment="1">
      <alignment horizontal="center"/>
    </xf>
    <xf numFmtId="37" fontId="8" fillId="0" borderId="14" xfId="0" applyNumberFormat="1" applyFont="1" applyBorder="1" applyAlignment="1">
      <alignment horizontal="center"/>
    </xf>
    <xf numFmtId="168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37" fontId="0" fillId="0" borderId="15" xfId="0" applyNumberFormat="1" applyFont="1" applyFill="1" applyBorder="1" applyAlignment="1">
      <alignment/>
    </xf>
    <xf numFmtId="0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/>
    </xf>
    <xf numFmtId="10" fontId="1" fillId="0" borderId="0" xfId="57" applyNumberFormat="1" applyFont="1" applyFill="1" applyBorder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172" fontId="10" fillId="0" borderId="0" xfId="0" applyNumberFormat="1" applyFont="1" applyAlignment="1">
      <alignment/>
    </xf>
    <xf numFmtId="37" fontId="8" fillId="0" borderId="0" xfId="0" applyNumberFormat="1" applyFont="1" applyAlignment="1">
      <alignment horizontal="right"/>
    </xf>
    <xf numFmtId="168" fontId="1" fillId="0" borderId="0" xfId="0" applyNumberFormat="1" applyFont="1" applyAlignment="1">
      <alignment horizontal="right"/>
    </xf>
    <xf numFmtId="169" fontId="1" fillId="0" borderId="0" xfId="0" applyNumberFormat="1" applyFont="1" applyAlignment="1">
      <alignment horizontal="right"/>
    </xf>
    <xf numFmtId="169" fontId="1" fillId="0" borderId="11" xfId="0" applyNumberFormat="1" applyFont="1" applyBorder="1" applyAlignment="1">
      <alignment horizontal="right"/>
    </xf>
    <xf numFmtId="168" fontId="1" fillId="0" borderId="11" xfId="0" applyNumberFormat="1" applyFont="1" applyBorder="1" applyAlignment="1">
      <alignment horizontal="right"/>
    </xf>
    <xf numFmtId="169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169" fontId="1" fillId="0" borderId="10" xfId="0" applyNumberFormat="1" applyFont="1" applyBorder="1" applyAlignment="1">
      <alignment horizontal="right"/>
    </xf>
    <xf numFmtId="168" fontId="1" fillId="0" borderId="10" xfId="0" applyNumberFormat="1" applyFont="1" applyBorder="1" applyAlignment="1">
      <alignment horizontal="right"/>
    </xf>
    <xf numFmtId="37" fontId="8" fillId="0" borderId="14" xfId="0" applyNumberFormat="1" applyFont="1" applyBorder="1" applyAlignment="1">
      <alignment horizontal="right"/>
    </xf>
    <xf numFmtId="186" fontId="10" fillId="0" borderId="0" xfId="0" applyNumberFormat="1" applyFont="1" applyAlignment="1">
      <alignment/>
    </xf>
    <xf numFmtId="186" fontId="10" fillId="0" borderId="0" xfId="0" applyNumberFormat="1" applyFont="1" applyFill="1" applyAlignment="1">
      <alignment/>
    </xf>
    <xf numFmtId="186" fontId="11" fillId="0" borderId="0" xfId="0" applyNumberFormat="1" applyFont="1" applyAlignment="1">
      <alignment/>
    </xf>
    <xf numFmtId="186" fontId="10" fillId="0" borderId="16" xfId="0" applyNumberFormat="1" applyFont="1" applyFill="1" applyBorder="1" applyAlignment="1">
      <alignment/>
    </xf>
    <xf numFmtId="168" fontId="1" fillId="33" borderId="0" xfId="0" applyNumberFormat="1" applyFont="1" applyFill="1" applyAlignment="1">
      <alignment/>
    </xf>
    <xf numFmtId="10" fontId="1" fillId="0" borderId="0" xfId="57" applyNumberFormat="1" applyFont="1" applyBorder="1" applyAlignment="1">
      <alignment/>
    </xf>
    <xf numFmtId="171" fontId="1" fillId="0" borderId="0" xfId="57" applyNumberFormat="1" applyFont="1" applyBorder="1" applyAlignment="1">
      <alignment/>
    </xf>
    <xf numFmtId="171" fontId="1" fillId="0" borderId="0" xfId="57" applyNumberFormat="1" applyFont="1" applyFill="1" applyBorder="1" applyAlignment="1">
      <alignment horizontal="left" indent="2"/>
    </xf>
    <xf numFmtId="171" fontId="1" fillId="0" borderId="0" xfId="0" applyNumberFormat="1" applyFont="1" applyBorder="1" applyAlignment="1">
      <alignment/>
    </xf>
    <xf numFmtId="181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170" fontId="0" fillId="33" borderId="0" xfId="0" applyNumberFormat="1" applyFont="1" applyFill="1" applyAlignment="1">
      <alignment/>
    </xf>
    <xf numFmtId="170" fontId="0" fillId="33" borderId="0" xfId="0" applyNumberFormat="1" applyFont="1" applyFill="1" applyAlignment="1">
      <alignment/>
    </xf>
    <xf numFmtId="168" fontId="10" fillId="0" borderId="0" xfId="0" applyNumberFormat="1" applyFont="1" applyAlignment="1">
      <alignment/>
    </xf>
    <xf numFmtId="37" fontId="1" fillId="0" borderId="0" xfId="0" applyNumberFormat="1" applyFont="1" applyAlignment="1" applyProtection="1">
      <alignment/>
      <protection/>
    </xf>
    <xf numFmtId="177" fontId="13" fillId="0" borderId="0" xfId="0" applyNumberFormat="1" applyFont="1" applyAlignment="1">
      <alignment wrapText="1"/>
    </xf>
    <xf numFmtId="177" fontId="12" fillId="0" borderId="0" xfId="0" applyNumberFormat="1" applyFont="1" applyAlignment="1">
      <alignment/>
    </xf>
    <xf numFmtId="169" fontId="12" fillId="0" borderId="0" xfId="0" applyNumberFormat="1" applyFont="1" applyAlignment="1">
      <alignment/>
    </xf>
    <xf numFmtId="15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0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51" fillId="0" borderId="0" xfId="0" applyNumberFormat="1" applyFont="1" applyAlignment="1">
      <alignment horizontal="right"/>
    </xf>
    <xf numFmtId="168" fontId="52" fillId="0" borderId="0" xfId="0" applyNumberFormat="1" applyFont="1" applyAlignment="1">
      <alignment/>
    </xf>
    <xf numFmtId="186" fontId="10" fillId="0" borderId="17" xfId="0" applyNumberFormat="1" applyFont="1" applyFill="1" applyBorder="1" applyAlignment="1">
      <alignment/>
    </xf>
    <xf numFmtId="168" fontId="14" fillId="0" borderId="0" xfId="0" applyNumberFormat="1" applyFont="1" applyBorder="1" applyAlignment="1">
      <alignment/>
    </xf>
    <xf numFmtId="190" fontId="14" fillId="0" borderId="0" xfId="42" applyNumberFormat="1" applyFont="1" applyBorder="1" applyAlignment="1">
      <alignment/>
    </xf>
    <xf numFmtId="168" fontId="1" fillId="0" borderId="0" xfId="0" applyNumberFormat="1" applyFont="1" applyBorder="1" applyAlignment="1">
      <alignment/>
    </xf>
    <xf numFmtId="186" fontId="1" fillId="0" borderId="0" xfId="0" applyNumberFormat="1" applyFont="1" applyBorder="1" applyAlignment="1">
      <alignment/>
    </xf>
    <xf numFmtId="0" fontId="1" fillId="0" borderId="11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02"/>
  <sheetViews>
    <sheetView tabSelected="1" zoomScale="75" zoomScaleNormal="75" zoomScalePageLayoutView="0" workbookViewId="0" topLeftCell="A1">
      <selection activeCell="C5" sqref="C5"/>
    </sheetView>
  </sheetViews>
  <sheetFormatPr defaultColWidth="9.33203125" defaultRowHeight="12.75"/>
  <cols>
    <col min="1" max="1" width="64.33203125" style="4" bestFit="1" customWidth="1"/>
    <col min="2" max="2" width="35.33203125" style="4" bestFit="1" customWidth="1"/>
    <col min="3" max="3" width="18.16015625" style="4" bestFit="1" customWidth="1"/>
    <col min="4" max="4" width="17.66015625" style="4" customWidth="1"/>
    <col min="5" max="6" width="13.5" style="4" bestFit="1" customWidth="1"/>
    <col min="7" max="7" width="19.5" style="4" customWidth="1"/>
    <col min="8" max="8" width="17.16015625" style="4" customWidth="1"/>
    <col min="9" max="9" width="17.33203125" style="4" customWidth="1"/>
    <col min="10" max="10" width="1.83203125" style="4" customWidth="1"/>
    <col min="11" max="11" width="15.66015625" style="4" bestFit="1" customWidth="1"/>
    <col min="12" max="17" width="12.83203125" style="4" customWidth="1"/>
    <col min="18" max="18" width="1.83203125" style="4" customWidth="1"/>
    <col min="19" max="23" width="10.83203125" style="4" customWidth="1"/>
    <col min="24" max="16384" width="9.33203125" style="4" customWidth="1"/>
  </cols>
  <sheetData>
    <row r="1" spans="1:43" ht="12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</row>
    <row r="2" spans="1:43" ht="18">
      <c r="A2" s="100" t="str">
        <f>+'Detailed Budget'!A2</f>
        <v>DESCRIPTION: IGPC Ethanol Plant</v>
      </c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</row>
    <row r="3" spans="1:43" ht="12.7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</row>
    <row r="4" spans="1:43" ht="12.75">
      <c r="A4" s="28"/>
      <c r="B4" s="67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</row>
    <row r="5" spans="1:43" ht="18">
      <c r="A5" s="100" t="s">
        <v>88</v>
      </c>
      <c r="B5" s="126">
        <f>I32</f>
        <v>8399880.2704</v>
      </c>
      <c r="C5" s="55"/>
      <c r="D5" s="139"/>
      <c r="E5" s="139"/>
      <c r="F5" s="139"/>
      <c r="G5" s="140"/>
      <c r="H5" s="141"/>
      <c r="I5" s="141"/>
      <c r="J5" s="28"/>
      <c r="K5" s="46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</row>
    <row r="6" spans="1:43" ht="15">
      <c r="A6" s="28"/>
      <c r="B6" s="55"/>
      <c r="C6" s="55"/>
      <c r="D6" s="139"/>
      <c r="E6" s="139"/>
      <c r="F6" s="139"/>
      <c r="G6" s="140"/>
      <c r="H6" s="141"/>
      <c r="I6" s="123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</row>
    <row r="7" spans="1:43" ht="18">
      <c r="A7" s="100" t="s">
        <v>77</v>
      </c>
      <c r="B7" s="113">
        <f>+B5*Variables!J35</f>
        <v>8521305.759025125</v>
      </c>
      <c r="C7" s="55"/>
      <c r="D7" s="139"/>
      <c r="E7" s="139"/>
      <c r="F7" s="139"/>
      <c r="G7" s="140"/>
      <c r="H7" s="141"/>
      <c r="I7" s="123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</row>
    <row r="8" spans="1:43" ht="18">
      <c r="A8" s="100" t="s">
        <v>78</v>
      </c>
      <c r="B8" s="114">
        <f>+'CF Timeline'!D18+'Aid to Construction'!D36</f>
        <v>4993608.305918606</v>
      </c>
      <c r="C8" s="55"/>
      <c r="D8" s="142"/>
      <c r="E8" s="123"/>
      <c r="F8" s="123"/>
      <c r="G8" s="123"/>
      <c r="H8" s="123"/>
      <c r="I8" s="123"/>
      <c r="J8" s="28"/>
      <c r="K8" s="55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</row>
    <row r="9" spans="1:43" ht="18">
      <c r="A9" s="101"/>
      <c r="B9" s="115"/>
      <c r="C9" s="55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</row>
    <row r="10" spans="1:43" ht="18">
      <c r="A10" s="100" t="s">
        <v>79</v>
      </c>
      <c r="B10" s="116">
        <f>MAX(0,B7-B8)</f>
        <v>3527697.453106519</v>
      </c>
      <c r="C10" s="138"/>
      <c r="D10" s="55"/>
      <c r="E10" s="28"/>
      <c r="F10" s="28"/>
      <c r="G10" s="55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</row>
    <row r="11" spans="1:43" ht="18">
      <c r="A11" s="101"/>
      <c r="B11" s="101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</row>
    <row r="12" spans="1:43" ht="18">
      <c r="A12" s="100" t="s">
        <v>80</v>
      </c>
      <c r="B12" s="102">
        <f>IF(B7&gt;0,+B8/B7,0)</f>
        <v>0.5860144497960014</v>
      </c>
      <c r="C12" s="49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</row>
    <row r="13" spans="1:43" ht="12.75">
      <c r="A13" s="89"/>
      <c r="B13" s="89"/>
      <c r="D13" s="28"/>
      <c r="E13" s="50"/>
      <c r="F13" s="51" t="s">
        <v>10</v>
      </c>
      <c r="G13" s="51"/>
      <c r="H13" s="51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</row>
    <row r="14" spans="1:43" ht="12.75">
      <c r="A14" s="52"/>
      <c r="B14" s="28"/>
      <c r="C14" s="28"/>
      <c r="D14" s="28"/>
      <c r="E14" s="28"/>
      <c r="F14" s="28"/>
      <c r="G14" s="28"/>
      <c r="H14" s="28"/>
      <c r="I14" s="28"/>
      <c r="J14" s="28"/>
      <c r="K14" s="143" t="s">
        <v>76</v>
      </c>
      <c r="L14" s="143"/>
      <c r="M14" s="143"/>
      <c r="N14" s="143"/>
      <c r="O14" s="143"/>
      <c r="P14" s="92"/>
      <c r="Q14" s="92"/>
      <c r="R14" s="28"/>
      <c r="S14" s="143" t="s">
        <v>75</v>
      </c>
      <c r="T14" s="143"/>
      <c r="U14" s="143"/>
      <c r="V14" s="143"/>
      <c r="W14" s="143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</row>
    <row r="15" spans="1:43" ht="12.75">
      <c r="A15" s="28" t="s">
        <v>81</v>
      </c>
      <c r="B15" s="103" t="s">
        <v>54</v>
      </c>
      <c r="C15" s="103" t="s">
        <v>55</v>
      </c>
      <c r="D15" s="103" t="s">
        <v>56</v>
      </c>
      <c r="E15" s="103" t="s">
        <v>57</v>
      </c>
      <c r="F15" s="103" t="s">
        <v>58</v>
      </c>
      <c r="G15" s="103" t="s">
        <v>132</v>
      </c>
      <c r="H15" s="103" t="s">
        <v>133</v>
      </c>
      <c r="I15" s="69" t="s">
        <v>36</v>
      </c>
      <c r="J15" s="28"/>
      <c r="K15" s="43" t="s">
        <v>54</v>
      </c>
      <c r="L15" s="43" t="s">
        <v>55</v>
      </c>
      <c r="M15" s="43" t="s">
        <v>56</v>
      </c>
      <c r="N15" s="43" t="s">
        <v>57</v>
      </c>
      <c r="O15" s="43" t="s">
        <v>58</v>
      </c>
      <c r="P15" s="43"/>
      <c r="Q15" s="43"/>
      <c r="R15" s="58"/>
      <c r="S15" s="43" t="s">
        <v>54</v>
      </c>
      <c r="T15" s="43" t="s">
        <v>55</v>
      </c>
      <c r="U15" s="43" t="s">
        <v>56</v>
      </c>
      <c r="V15" s="43" t="s">
        <v>57</v>
      </c>
      <c r="W15" s="43" t="s">
        <v>58</v>
      </c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</row>
    <row r="16" spans="1:43" ht="12.75">
      <c r="A16" s="28" t="s">
        <v>2</v>
      </c>
      <c r="B16" s="104">
        <f aca="true" t="shared" si="0" ref="B16:B22">S16*K16</f>
        <v>7778599.270400001</v>
      </c>
      <c r="C16" s="104">
        <f aca="true" t="shared" si="1" ref="C16:F22">T16*L16</f>
        <v>0</v>
      </c>
      <c r="D16" s="104">
        <f t="shared" si="1"/>
        <v>0</v>
      </c>
      <c r="E16" s="104">
        <f t="shared" si="1"/>
        <v>0</v>
      </c>
      <c r="F16" s="104">
        <f t="shared" si="1"/>
        <v>0</v>
      </c>
      <c r="G16" s="104">
        <f aca="true" t="shared" si="2" ref="G16:G22">X16*R16</f>
        <v>0</v>
      </c>
      <c r="H16" s="104">
        <f aca="true" t="shared" si="3" ref="H16:H22">Y16*S16</f>
        <v>0</v>
      </c>
      <c r="I16" s="104">
        <f>SUM(B16:H16)</f>
        <v>7778599.270400001</v>
      </c>
      <c r="J16" s="28"/>
      <c r="K16" s="46">
        <f>+'Detailed Budget'!$H$24*IF(S16&gt;0,1,0)</f>
        <v>272.6272</v>
      </c>
      <c r="L16" s="60">
        <v>0</v>
      </c>
      <c r="M16" s="60">
        <v>0</v>
      </c>
      <c r="N16" s="60">
        <v>0</v>
      </c>
      <c r="O16" s="60">
        <v>0</v>
      </c>
      <c r="P16" s="60"/>
      <c r="Q16" s="60"/>
      <c r="R16" s="46"/>
      <c r="S16" s="44">
        <f>+'Detailed Budget'!D9</f>
        <v>28532</v>
      </c>
      <c r="T16" s="59">
        <v>0</v>
      </c>
      <c r="U16" s="59">
        <v>0</v>
      </c>
      <c r="V16" s="59">
        <v>0</v>
      </c>
      <c r="W16" s="59">
        <v>0</v>
      </c>
      <c r="X16" s="44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</row>
    <row r="17" spans="1:43" ht="12.75">
      <c r="A17" s="28" t="s">
        <v>3</v>
      </c>
      <c r="B17" s="105">
        <f t="shared" si="0"/>
        <v>0</v>
      </c>
      <c r="C17" s="105">
        <f t="shared" si="1"/>
        <v>0</v>
      </c>
      <c r="D17" s="105">
        <f t="shared" si="1"/>
        <v>0</v>
      </c>
      <c r="E17" s="105">
        <f t="shared" si="1"/>
        <v>0</v>
      </c>
      <c r="F17" s="105">
        <f t="shared" si="1"/>
        <v>0</v>
      </c>
      <c r="G17" s="105">
        <f t="shared" si="2"/>
        <v>0</v>
      </c>
      <c r="H17" s="105">
        <f t="shared" si="3"/>
        <v>0</v>
      </c>
      <c r="I17" s="104">
        <f aca="true" t="shared" si="4" ref="I17:I22">SUM(B17:H17)</f>
        <v>0</v>
      </c>
      <c r="J17" s="28"/>
      <c r="K17" s="46">
        <f>+'Detailed Budget'!$H$24*IF(S17&gt;0,1,0)</f>
        <v>0</v>
      </c>
      <c r="L17" s="60">
        <v>0</v>
      </c>
      <c r="M17" s="60">
        <v>0</v>
      </c>
      <c r="N17" s="60">
        <v>0</v>
      </c>
      <c r="O17" s="60">
        <v>0</v>
      </c>
      <c r="P17" s="60"/>
      <c r="Q17" s="60"/>
      <c r="R17" s="46"/>
      <c r="S17" s="44">
        <f>+'Detailed Budget'!D10</f>
        <v>0</v>
      </c>
      <c r="T17" s="59">
        <v>0</v>
      </c>
      <c r="U17" s="59">
        <v>0</v>
      </c>
      <c r="V17" s="59">
        <v>0</v>
      </c>
      <c r="W17" s="59">
        <v>0</v>
      </c>
      <c r="X17" s="44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</row>
    <row r="18" spans="1:43" ht="12.75">
      <c r="A18" s="28" t="s">
        <v>4</v>
      </c>
      <c r="B18" s="105">
        <f t="shared" si="0"/>
        <v>0</v>
      </c>
      <c r="C18" s="105">
        <f t="shared" si="1"/>
        <v>0</v>
      </c>
      <c r="D18" s="105">
        <f t="shared" si="1"/>
        <v>0</v>
      </c>
      <c r="E18" s="105">
        <f t="shared" si="1"/>
        <v>0</v>
      </c>
      <c r="F18" s="105">
        <f t="shared" si="1"/>
        <v>0</v>
      </c>
      <c r="G18" s="105">
        <f t="shared" si="2"/>
        <v>0</v>
      </c>
      <c r="H18" s="105">
        <f t="shared" si="3"/>
        <v>0</v>
      </c>
      <c r="I18" s="104">
        <f t="shared" si="4"/>
        <v>0</v>
      </c>
      <c r="J18" s="28"/>
      <c r="K18" s="46">
        <f>+'Detailed Budget'!$H$24*IF(S18&gt;0,1,0)</f>
        <v>0</v>
      </c>
      <c r="L18" s="60">
        <v>0</v>
      </c>
      <c r="M18" s="60">
        <v>0</v>
      </c>
      <c r="N18" s="60">
        <v>0</v>
      </c>
      <c r="O18" s="60">
        <v>0</v>
      </c>
      <c r="P18" s="60"/>
      <c r="Q18" s="60"/>
      <c r="R18" s="46"/>
      <c r="S18" s="44">
        <f>+'Detailed Budget'!D11</f>
        <v>0</v>
      </c>
      <c r="T18" s="59">
        <v>0</v>
      </c>
      <c r="U18" s="59">
        <v>0</v>
      </c>
      <c r="V18" s="59">
        <v>0</v>
      </c>
      <c r="W18" s="59">
        <v>0</v>
      </c>
      <c r="X18" s="44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</row>
    <row r="19" spans="1:43" ht="12.75">
      <c r="A19" s="28" t="s">
        <v>5</v>
      </c>
      <c r="B19" s="105">
        <f t="shared" si="0"/>
        <v>0</v>
      </c>
      <c r="C19" s="105">
        <f t="shared" si="1"/>
        <v>0</v>
      </c>
      <c r="D19" s="105">
        <f t="shared" si="1"/>
        <v>0</v>
      </c>
      <c r="E19" s="105">
        <f t="shared" si="1"/>
        <v>0</v>
      </c>
      <c r="F19" s="105">
        <f t="shared" si="1"/>
        <v>0</v>
      </c>
      <c r="G19" s="105">
        <f t="shared" si="2"/>
        <v>0</v>
      </c>
      <c r="H19" s="105">
        <f t="shared" si="3"/>
        <v>0</v>
      </c>
      <c r="I19" s="104">
        <f t="shared" si="4"/>
        <v>0</v>
      </c>
      <c r="J19" s="28"/>
      <c r="K19" s="46">
        <f>+'Detailed Budget'!$H$24*IF(S19&gt;0,1,0)</f>
        <v>0</v>
      </c>
      <c r="L19" s="60">
        <v>0</v>
      </c>
      <c r="M19" s="60">
        <v>0</v>
      </c>
      <c r="N19" s="60">
        <v>0</v>
      </c>
      <c r="O19" s="60">
        <v>0</v>
      </c>
      <c r="P19" s="60"/>
      <c r="Q19" s="60"/>
      <c r="R19" s="46"/>
      <c r="S19" s="44">
        <f>+'Detailed Budget'!D12</f>
        <v>0</v>
      </c>
      <c r="T19" s="59">
        <v>0</v>
      </c>
      <c r="U19" s="59">
        <v>0</v>
      </c>
      <c r="V19" s="59">
        <v>0</v>
      </c>
      <c r="W19" s="59">
        <v>0</v>
      </c>
      <c r="X19" s="44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</row>
    <row r="20" spans="1:43" ht="12.75">
      <c r="A20" s="28" t="s">
        <v>6</v>
      </c>
      <c r="B20" s="105">
        <f t="shared" si="0"/>
        <v>0</v>
      </c>
      <c r="C20" s="105">
        <f t="shared" si="1"/>
        <v>0</v>
      </c>
      <c r="D20" s="105">
        <f t="shared" si="1"/>
        <v>0</v>
      </c>
      <c r="E20" s="105">
        <f t="shared" si="1"/>
        <v>0</v>
      </c>
      <c r="F20" s="105">
        <f t="shared" si="1"/>
        <v>0</v>
      </c>
      <c r="G20" s="105">
        <f t="shared" si="2"/>
        <v>0</v>
      </c>
      <c r="H20" s="105">
        <f t="shared" si="3"/>
        <v>0</v>
      </c>
      <c r="I20" s="104">
        <f t="shared" si="4"/>
        <v>0</v>
      </c>
      <c r="J20" s="28"/>
      <c r="K20" s="46">
        <f>+'Detailed Budget'!$H$24*IF(S20&gt;0,1,0)</f>
        <v>0</v>
      </c>
      <c r="L20" s="60">
        <v>0</v>
      </c>
      <c r="M20" s="60">
        <v>0</v>
      </c>
      <c r="N20" s="60">
        <v>0</v>
      </c>
      <c r="O20" s="60">
        <v>0</v>
      </c>
      <c r="P20" s="60"/>
      <c r="Q20" s="60"/>
      <c r="R20" s="46"/>
      <c r="S20" s="44">
        <f>+'Detailed Budget'!D13</f>
        <v>0</v>
      </c>
      <c r="T20" s="59">
        <v>0</v>
      </c>
      <c r="U20" s="59">
        <v>0</v>
      </c>
      <c r="V20" s="59">
        <v>0</v>
      </c>
      <c r="W20" s="59">
        <v>0</v>
      </c>
      <c r="X20" s="44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</row>
    <row r="21" spans="1:43" ht="12.75">
      <c r="A21" s="28" t="s">
        <v>7</v>
      </c>
      <c r="B21" s="105">
        <f t="shared" si="0"/>
        <v>0</v>
      </c>
      <c r="C21" s="105">
        <f t="shared" si="1"/>
        <v>0</v>
      </c>
      <c r="D21" s="105">
        <f t="shared" si="1"/>
        <v>0</v>
      </c>
      <c r="E21" s="105">
        <f t="shared" si="1"/>
        <v>0</v>
      </c>
      <c r="F21" s="105">
        <f t="shared" si="1"/>
        <v>0</v>
      </c>
      <c r="G21" s="105">
        <f t="shared" si="2"/>
        <v>0</v>
      </c>
      <c r="H21" s="105">
        <f t="shared" si="3"/>
        <v>0</v>
      </c>
      <c r="I21" s="104">
        <f t="shared" si="4"/>
        <v>0</v>
      </c>
      <c r="J21" s="28"/>
      <c r="K21" s="46">
        <f>+'Detailed Budget'!$H$24*IF(S21&gt;0,1,0)</f>
        <v>0</v>
      </c>
      <c r="L21" s="60">
        <v>0</v>
      </c>
      <c r="M21" s="60">
        <v>0</v>
      </c>
      <c r="N21" s="60">
        <v>0</v>
      </c>
      <c r="O21" s="60">
        <v>0</v>
      </c>
      <c r="P21" s="60"/>
      <c r="Q21" s="60"/>
      <c r="R21" s="46"/>
      <c r="S21" s="44">
        <f>+'Detailed Budget'!D14</f>
        <v>0</v>
      </c>
      <c r="T21" s="59">
        <v>0</v>
      </c>
      <c r="U21" s="59">
        <v>0</v>
      </c>
      <c r="V21" s="59">
        <v>0</v>
      </c>
      <c r="W21" s="59">
        <v>0</v>
      </c>
      <c r="X21" s="44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</row>
    <row r="22" spans="1:43" ht="12.75">
      <c r="A22" s="28" t="s">
        <v>8</v>
      </c>
      <c r="B22" s="106">
        <f t="shared" si="0"/>
        <v>0</v>
      </c>
      <c r="C22" s="106">
        <f t="shared" si="1"/>
        <v>0</v>
      </c>
      <c r="D22" s="106">
        <f t="shared" si="1"/>
        <v>0</v>
      </c>
      <c r="E22" s="106">
        <f t="shared" si="1"/>
        <v>0</v>
      </c>
      <c r="F22" s="106">
        <f t="shared" si="1"/>
        <v>0</v>
      </c>
      <c r="G22" s="106">
        <f t="shared" si="2"/>
        <v>0</v>
      </c>
      <c r="H22" s="106">
        <f t="shared" si="3"/>
        <v>0</v>
      </c>
      <c r="I22" s="107">
        <f t="shared" si="4"/>
        <v>0</v>
      </c>
      <c r="J22" s="28"/>
      <c r="K22" s="46">
        <f>+'Detailed Budget'!$H$24*IF(S22&gt;0,1,0)</f>
        <v>0</v>
      </c>
      <c r="L22" s="60">
        <v>0</v>
      </c>
      <c r="M22" s="60">
        <v>0</v>
      </c>
      <c r="N22" s="60">
        <v>0</v>
      </c>
      <c r="O22" s="60">
        <v>0</v>
      </c>
      <c r="P22" s="60"/>
      <c r="Q22" s="60"/>
      <c r="R22" s="46"/>
      <c r="S22" s="44">
        <f>+'Detailed Budget'!D15</f>
        <v>0</v>
      </c>
      <c r="T22" s="59">
        <v>0</v>
      </c>
      <c r="U22" s="59">
        <v>0</v>
      </c>
      <c r="V22" s="59">
        <v>0</v>
      </c>
      <c r="W22" s="59">
        <v>0</v>
      </c>
      <c r="X22" s="44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</row>
    <row r="23" spans="1:43" ht="12.75">
      <c r="A23" s="28" t="s">
        <v>83</v>
      </c>
      <c r="B23" s="105">
        <f aca="true" t="shared" si="5" ref="B23:H23">SUM(B16:B22)</f>
        <v>7778599.270400001</v>
      </c>
      <c r="C23" s="105">
        <f t="shared" si="5"/>
        <v>0</v>
      </c>
      <c r="D23" s="105">
        <f t="shared" si="5"/>
        <v>0</v>
      </c>
      <c r="E23" s="105">
        <f t="shared" si="5"/>
        <v>0</v>
      </c>
      <c r="F23" s="105">
        <f t="shared" si="5"/>
        <v>0</v>
      </c>
      <c r="G23" s="105">
        <f t="shared" si="5"/>
        <v>0</v>
      </c>
      <c r="H23" s="105">
        <f t="shared" si="5"/>
        <v>0</v>
      </c>
      <c r="I23" s="105">
        <f>SUM(B23:H23)</f>
        <v>7778599.270400001</v>
      </c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</row>
    <row r="24" spans="1:43" ht="12.75">
      <c r="A24" s="28" t="s">
        <v>82</v>
      </c>
      <c r="B24" s="108">
        <f>(B46*Variables!$C$42)+(B47*Variables!$C$43)+(B48*Variables!$C$44)+(B50*Variables!$C$46)+((B51+B52)*Variables!$C$47)</f>
        <v>0</v>
      </c>
      <c r="C24" s="108">
        <f>(C46*Variables!$C$42)+(C47*Variables!$C$43)+(C48*Variables!$C$44)+(C50*Variables!$C$46)+((C51+C52)*Variables!$C$47)</f>
        <v>0</v>
      </c>
      <c r="D24" s="108">
        <f>(D46*Variables!$C$42)+(D47*Variables!$C$43)+(D48*Variables!$C$44)+(D50*Variables!$C$46)+((D51+D52)*Variables!$C$47)</f>
        <v>0</v>
      </c>
      <c r="E24" s="108">
        <f>(E46*Variables!$C$42)+(E47*Variables!$C$43)+(E48*Variables!$C$44)+(E50*Variables!$C$46)+((E51+E52)*Variables!$C$47)</f>
        <v>0</v>
      </c>
      <c r="F24" s="108">
        <f>(F46*Variables!$C$42)+(F47*Variables!$C$43)+(F48*Variables!$C$44)+(F50*Variables!$C$46)+((F51+F52)*Variables!$C$47)</f>
        <v>0</v>
      </c>
      <c r="G24" s="108">
        <f>(G46*Variables!$C$42)+(G47*Variables!$C$43)+(G48*Variables!$C$44)+(G50*Variables!$C$46)+((G51+G52)*Variables!$C$47)</f>
        <v>0</v>
      </c>
      <c r="H24" s="108">
        <f>(H46*Variables!$C$42)+(H47*Variables!$C$43)+(H48*Variables!$C$44)+(H50*Variables!$C$46)+((H51+H52)*Variables!$C$47)</f>
        <v>0</v>
      </c>
      <c r="I24" s="108">
        <f>SUM(B24:H24)</f>
        <v>0</v>
      </c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</row>
    <row r="25" spans="1:43" ht="12.75">
      <c r="A25" s="28" t="s">
        <v>84</v>
      </c>
      <c r="B25" s="108">
        <f>(B46*Variables!$B$42)+(B47*Variables!$B$43)+(B48*Variables!$B$44)+(B50*Variables!$B$46)+((B51+B52)*Variables!$B$47)</f>
        <v>847754</v>
      </c>
      <c r="C25" s="108">
        <f>(C46*Variables!$B$42)+(C47*Variables!$B$43)+(C48*Variables!$B$44)+(C50*Variables!$B$46)+((C51+C52)*Variables!$B$47)</f>
        <v>0</v>
      </c>
      <c r="D25" s="108">
        <f>(D46*Variables!$B$42)+(D47*Variables!$B$43)+(D48*Variables!$B$44)+(D50*Variables!$B$46)+((D51+D52)*Variables!$B$47)</f>
        <v>0</v>
      </c>
      <c r="E25" s="108">
        <f>(E46*Variables!$B$42)+(E47*Variables!$B$43)+(E48*Variables!$B$44)+(E50*Variables!$B$46)+((E51+E52)*Variables!$B$47)</f>
        <v>0</v>
      </c>
      <c r="F25" s="108">
        <f>(F46*Variables!$B$42)+(F47*Variables!$B$43)+(F48*Variables!$B$44)+(F50*Variables!$B$46)+((F51+F52)*Variables!$B$47)</f>
        <v>0</v>
      </c>
      <c r="G25" s="108">
        <f>(G46*Variables!$B$42)+(G47*Variables!$B$43)+(G48*Variables!$B$44)+(G50*Variables!$B$46)+((G51+G52)*Variables!$B$47)</f>
        <v>0</v>
      </c>
      <c r="H25" s="108">
        <f>(H46*Variables!$B$42)+(H47*Variables!$B$43)+(H48*Variables!$B$44)+(H50*Variables!$B$46)+((H51+H52)*Variables!$B$47)</f>
        <v>0</v>
      </c>
      <c r="I25" s="108">
        <f>SUM(B25:H25)</f>
        <v>847754</v>
      </c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</row>
    <row r="26" spans="1:43" ht="12.75">
      <c r="A26" s="28" t="s">
        <v>134</v>
      </c>
      <c r="B26" s="106">
        <f aca="true" t="shared" si="6" ref="B26:H26">-B30</f>
        <v>0</v>
      </c>
      <c r="C26" s="106">
        <f t="shared" si="6"/>
        <v>0</v>
      </c>
      <c r="D26" s="106">
        <f t="shared" si="6"/>
        <v>0</v>
      </c>
      <c r="E26" s="106">
        <f t="shared" si="6"/>
        <v>0</v>
      </c>
      <c r="F26" s="106">
        <f t="shared" si="6"/>
        <v>0</v>
      </c>
      <c r="G26" s="106">
        <f t="shared" si="6"/>
        <v>0</v>
      </c>
      <c r="H26" s="106">
        <f t="shared" si="6"/>
        <v>0</v>
      </c>
      <c r="I26" s="106">
        <f>SUM(B26:H26)</f>
        <v>0</v>
      </c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</row>
    <row r="27" spans="1:43" ht="12.75">
      <c r="A27" s="28" t="s">
        <v>135</v>
      </c>
      <c r="B27" s="105">
        <f>B23+B24+B25+B26</f>
        <v>8626353.2704</v>
      </c>
      <c r="C27" s="105">
        <f aca="true" t="shared" si="7" ref="C27:H27">C23+C24+C25+C26</f>
        <v>0</v>
      </c>
      <c r="D27" s="105">
        <f t="shared" si="7"/>
        <v>0</v>
      </c>
      <c r="E27" s="105">
        <f t="shared" si="7"/>
        <v>0</v>
      </c>
      <c r="F27" s="105">
        <f t="shared" si="7"/>
        <v>0</v>
      </c>
      <c r="G27" s="105">
        <f t="shared" si="7"/>
        <v>0</v>
      </c>
      <c r="H27" s="105">
        <f t="shared" si="7"/>
        <v>0</v>
      </c>
      <c r="I27" s="105">
        <f>SUM(B27:H27)-226473*K27</f>
        <v>8399880.2704</v>
      </c>
      <c r="J27" s="28"/>
      <c r="K27" s="28">
        <v>1</v>
      </c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</row>
    <row r="28" spans="1:43" ht="12.75">
      <c r="A28" s="28"/>
      <c r="B28" s="105"/>
      <c r="C28" s="105"/>
      <c r="D28" s="105"/>
      <c r="E28" s="105"/>
      <c r="F28" s="105"/>
      <c r="G28" s="105"/>
      <c r="H28" s="105"/>
      <c r="I28" s="105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</row>
    <row r="29" spans="2:43" ht="12.75">
      <c r="B29" s="109"/>
      <c r="C29" s="109"/>
      <c r="D29" s="109"/>
      <c r="E29" s="109"/>
      <c r="F29" s="109"/>
      <c r="G29" s="109"/>
      <c r="H29" s="109"/>
      <c r="I29" s="109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</row>
    <row r="30" spans="1:43" ht="13.5" thickBot="1">
      <c r="A30" s="28" t="s">
        <v>136</v>
      </c>
      <c r="B30" s="110">
        <v>0</v>
      </c>
      <c r="C30" s="110">
        <f aca="true" t="shared" si="8" ref="C30:H30">C25</f>
        <v>0</v>
      </c>
      <c r="D30" s="110">
        <f t="shared" si="8"/>
        <v>0</v>
      </c>
      <c r="E30" s="110">
        <f t="shared" si="8"/>
        <v>0</v>
      </c>
      <c r="F30" s="110">
        <f t="shared" si="8"/>
        <v>0</v>
      </c>
      <c r="G30" s="110">
        <f t="shared" si="8"/>
        <v>0</v>
      </c>
      <c r="H30" s="110">
        <f t="shared" si="8"/>
        <v>0</v>
      </c>
      <c r="I30" s="110">
        <f>SUM(B30:H30)</f>
        <v>0</v>
      </c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</row>
    <row r="31" spans="1:43" ht="12.75">
      <c r="A31" s="28"/>
      <c r="B31" s="108"/>
      <c r="C31" s="108"/>
      <c r="D31" s="108"/>
      <c r="E31" s="108"/>
      <c r="F31" s="108"/>
      <c r="G31" s="108"/>
      <c r="H31" s="108"/>
      <c r="I31" s="10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</row>
    <row r="32" spans="1:43" ht="13.5" thickBot="1">
      <c r="A32" s="28" t="s">
        <v>85</v>
      </c>
      <c r="B32" s="111">
        <f aca="true" t="shared" si="9" ref="B32:H32">B27+B30</f>
        <v>8626353.2704</v>
      </c>
      <c r="C32" s="111">
        <f t="shared" si="9"/>
        <v>0</v>
      </c>
      <c r="D32" s="111">
        <f t="shared" si="9"/>
        <v>0</v>
      </c>
      <c r="E32" s="111">
        <f t="shared" si="9"/>
        <v>0</v>
      </c>
      <c r="F32" s="111">
        <f t="shared" si="9"/>
        <v>0</v>
      </c>
      <c r="G32" s="111">
        <f t="shared" si="9"/>
        <v>0</v>
      </c>
      <c r="H32" s="111">
        <f t="shared" si="9"/>
        <v>0</v>
      </c>
      <c r="I32" s="111">
        <f>I27</f>
        <v>8399880.2704</v>
      </c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</row>
    <row r="33" spans="1:43" ht="12.7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</row>
    <row r="34" spans="2:43" ht="12.75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</row>
    <row r="35" spans="1:43" ht="12.75">
      <c r="A35" s="62" t="s">
        <v>11</v>
      </c>
      <c r="B35" s="136" t="s">
        <v>137</v>
      </c>
      <c r="C35" s="136" t="s">
        <v>138</v>
      </c>
      <c r="D35" s="27" t="s">
        <v>168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</row>
    <row r="36" spans="1:43" ht="12.75">
      <c r="A36" s="28" t="s">
        <v>14</v>
      </c>
      <c r="B36" s="137">
        <f>+(+I27*Variables!B33*Variables!B30)/(+Variables!B30+Variables!E33)*(2+Variables!E33)/(2*(1+Variables!E33))</f>
        <v>1061120.431386087</v>
      </c>
      <c r="C36" s="137">
        <f>+(+I27*Variables!B33*Variables!B31)/(+Variables!B31+Variables!E33)*(2+Variables!E33)/(2*(1+Variables!E33))</f>
        <v>1558564.6708008132</v>
      </c>
      <c r="D36" s="55">
        <f>+(+I27*Variables!B33*Variables!B32)/(+Variables!B32+Variables!E33)*(2+Variables!E33)/(2*(1+Variables!E33))</f>
        <v>1347931.696531025</v>
      </c>
      <c r="E36" s="48"/>
      <c r="F36" s="48"/>
      <c r="G36" s="48"/>
      <c r="H36" s="48"/>
      <c r="I36" s="48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28"/>
      <c r="AP36" s="28"/>
      <c r="AQ36" s="28"/>
    </row>
    <row r="37" spans="1:43" ht="12.75">
      <c r="A37" s="27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</row>
    <row r="38" spans="1:43" ht="12.75">
      <c r="A38" s="28" t="s">
        <v>86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</row>
    <row r="39" spans="1:43" ht="12.75">
      <c r="A39" s="28" t="s">
        <v>87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</row>
    <row r="40" spans="1:43" ht="12.75">
      <c r="A40" s="28" t="s">
        <v>12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</row>
    <row r="41" spans="1:43" ht="12.75">
      <c r="A41" s="28" t="s">
        <v>13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</row>
    <row r="42" spans="1:43" ht="12.7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</row>
    <row r="43" spans="1:43" ht="12.75">
      <c r="A43" s="28"/>
      <c r="B43" s="143" t="s">
        <v>89</v>
      </c>
      <c r="C43" s="143"/>
      <c r="D43" s="143"/>
      <c r="E43" s="143"/>
      <c r="F43" s="143"/>
      <c r="G43" s="92"/>
      <c r="H43" s="92"/>
      <c r="I43" s="68"/>
      <c r="K43" s="143" t="s">
        <v>59</v>
      </c>
      <c r="L43" s="143"/>
      <c r="M43" s="143"/>
      <c r="N43" s="143"/>
      <c r="O43" s="143"/>
      <c r="P43" s="92"/>
      <c r="Q43" s="92"/>
      <c r="R43" s="54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</row>
    <row r="44" spans="1:43" ht="12.75">
      <c r="A44" s="57" t="s">
        <v>67</v>
      </c>
      <c r="B44" s="103" t="s">
        <v>54</v>
      </c>
      <c r="C44" s="103" t="s">
        <v>55</v>
      </c>
      <c r="D44" s="103" t="s">
        <v>56</v>
      </c>
      <c r="E44" s="103" t="s">
        <v>57</v>
      </c>
      <c r="F44" s="103" t="s">
        <v>58</v>
      </c>
      <c r="G44" s="112" t="s">
        <v>132</v>
      </c>
      <c r="H44" s="112" t="s">
        <v>133</v>
      </c>
      <c r="I44" s="64"/>
      <c r="J44" s="28"/>
      <c r="K44" s="43" t="s">
        <v>54</v>
      </c>
      <c r="L44" s="43" t="s">
        <v>55</v>
      </c>
      <c r="M44" s="43" t="s">
        <v>56</v>
      </c>
      <c r="N44" s="43" t="s">
        <v>57</v>
      </c>
      <c r="O44" s="43" t="s">
        <v>58</v>
      </c>
      <c r="P44" s="93" t="s">
        <v>132</v>
      </c>
      <c r="Q44" s="93" t="s">
        <v>133</v>
      </c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</row>
    <row r="45" spans="1:43" ht="12.75">
      <c r="A45" s="28" t="s">
        <v>60</v>
      </c>
      <c r="B45" s="28"/>
      <c r="C45" s="28"/>
      <c r="D45" s="28"/>
      <c r="E45" s="28"/>
      <c r="F45" s="28"/>
      <c r="G45" s="28"/>
      <c r="H45" s="28"/>
      <c r="I45" s="65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</row>
    <row r="46" spans="1:43" ht="12.75">
      <c r="A46" s="28" t="s">
        <v>48</v>
      </c>
      <c r="B46" s="44">
        <f>+'Detailed Budget'!D30</f>
        <v>0</v>
      </c>
      <c r="C46" s="44">
        <f>+'Detailed Budget'!E30</f>
        <v>0</v>
      </c>
      <c r="D46" s="44">
        <f>+'Detailed Budget'!F30</f>
        <v>0</v>
      </c>
      <c r="E46" s="44">
        <f>+'Detailed Budget'!G30</f>
        <v>0</v>
      </c>
      <c r="F46" s="44">
        <f>+'Detailed Budget'!H30</f>
        <v>0</v>
      </c>
      <c r="G46" s="44">
        <f>+'Detailed Budget'!I30</f>
        <v>0</v>
      </c>
      <c r="H46" s="44">
        <f>+'Detailed Budget'!J30</f>
        <v>0</v>
      </c>
      <c r="I46" s="66"/>
      <c r="J46" s="28"/>
      <c r="K46" s="44">
        <f>SUM($B46:B46)</f>
        <v>0</v>
      </c>
      <c r="L46" s="44">
        <f>SUM($B46:C46)</f>
        <v>0</v>
      </c>
      <c r="M46" s="44">
        <f>SUM($B46:D46)</f>
        <v>0</v>
      </c>
      <c r="N46" s="44">
        <f>SUM($B46:E46)</f>
        <v>0</v>
      </c>
      <c r="O46" s="44">
        <f>SUM($B46:F46)</f>
        <v>0</v>
      </c>
      <c r="P46" s="44">
        <f>SUM($B46:G46)</f>
        <v>0</v>
      </c>
      <c r="Q46" s="44">
        <f>SUM($B46:H46)</f>
        <v>0</v>
      </c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</row>
    <row r="47" spans="1:43" ht="12.75">
      <c r="A47" s="28" t="s">
        <v>49</v>
      </c>
      <c r="B47" s="44">
        <f>+'Detailed Budget'!D31</f>
        <v>0</v>
      </c>
      <c r="C47" s="44">
        <f>+'Detailed Budget'!E31</f>
        <v>0</v>
      </c>
      <c r="D47" s="44">
        <f>+'Detailed Budget'!F31</f>
        <v>0</v>
      </c>
      <c r="E47" s="44">
        <f>+'Detailed Budget'!G31</f>
        <v>0</v>
      </c>
      <c r="F47" s="44">
        <f>+'Detailed Budget'!H31</f>
        <v>0</v>
      </c>
      <c r="G47" s="44">
        <f>+'Detailed Budget'!I31</f>
        <v>0</v>
      </c>
      <c r="H47" s="44">
        <f>+'Detailed Budget'!J31</f>
        <v>0</v>
      </c>
      <c r="I47" s="66"/>
      <c r="J47" s="28"/>
      <c r="K47" s="44">
        <f>SUM($B47:B47)</f>
        <v>0</v>
      </c>
      <c r="L47" s="44">
        <f>SUM($B47:C47)</f>
        <v>0</v>
      </c>
      <c r="M47" s="44">
        <f>SUM($B47:D47)</f>
        <v>0</v>
      </c>
      <c r="N47" s="44">
        <f>SUM($B47:E47)</f>
        <v>0</v>
      </c>
      <c r="O47" s="44">
        <f>SUM($B47:F47)</f>
        <v>0</v>
      </c>
      <c r="P47" s="44">
        <f>SUM($B47:G47)</f>
        <v>0</v>
      </c>
      <c r="Q47" s="44">
        <f>SUM($B47:H47)</f>
        <v>0</v>
      </c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</row>
    <row r="48" spans="1:43" ht="12.75">
      <c r="A48" s="28" t="s">
        <v>52</v>
      </c>
      <c r="B48" s="44">
        <f>+'Detailed Budget'!D32</f>
        <v>0</v>
      </c>
      <c r="C48" s="44">
        <f>+'Detailed Budget'!E32</f>
        <v>0</v>
      </c>
      <c r="D48" s="44">
        <f>+'Detailed Budget'!F32</f>
        <v>0</v>
      </c>
      <c r="E48" s="44">
        <f>+'Detailed Budget'!G32</f>
        <v>0</v>
      </c>
      <c r="F48" s="44">
        <f>+'Detailed Budget'!H32</f>
        <v>0</v>
      </c>
      <c r="G48" s="44">
        <f>+'Detailed Budget'!I32</f>
        <v>0</v>
      </c>
      <c r="H48" s="44">
        <f>+'Detailed Budget'!J32</f>
        <v>0</v>
      </c>
      <c r="I48" s="66"/>
      <c r="J48" s="28"/>
      <c r="K48" s="44">
        <f>SUM($B48:B48)</f>
        <v>0</v>
      </c>
      <c r="L48" s="44">
        <f>SUM($B48:C48)</f>
        <v>0</v>
      </c>
      <c r="M48" s="44">
        <f>SUM($B48:D48)</f>
        <v>0</v>
      </c>
      <c r="N48" s="44">
        <f>SUM($B48:E48)</f>
        <v>0</v>
      </c>
      <c r="O48" s="44">
        <f>SUM($B48:F48)</f>
        <v>0</v>
      </c>
      <c r="P48" s="44">
        <f>SUM($B48:G48)</f>
        <v>0</v>
      </c>
      <c r="Q48" s="44">
        <f>SUM($B48:H48)</f>
        <v>0</v>
      </c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</row>
    <row r="49" spans="1:43" ht="12.75">
      <c r="A49" s="28" t="s">
        <v>34</v>
      </c>
      <c r="B49" s="44">
        <f>+'Detailed Budget'!D33</f>
        <v>0</v>
      </c>
      <c r="C49" s="44">
        <f>+'Detailed Budget'!E33</f>
        <v>0</v>
      </c>
      <c r="D49" s="44">
        <f>+'Detailed Budget'!F33</f>
        <v>0</v>
      </c>
      <c r="E49" s="44">
        <f>+'Detailed Budget'!G33</f>
        <v>0</v>
      </c>
      <c r="F49" s="44">
        <f>+'Detailed Budget'!H33</f>
        <v>0</v>
      </c>
      <c r="G49" s="44">
        <f>+'Detailed Budget'!I33</f>
        <v>0</v>
      </c>
      <c r="H49" s="44">
        <f>+'Detailed Budget'!J33</f>
        <v>0</v>
      </c>
      <c r="I49" s="66"/>
      <c r="J49" s="28"/>
      <c r="K49" s="44">
        <f>SUM($B49:B49)</f>
        <v>0</v>
      </c>
      <c r="L49" s="44">
        <f>SUM($B49:C49)</f>
        <v>0</v>
      </c>
      <c r="M49" s="44">
        <f>SUM($B49:D49)</f>
        <v>0</v>
      </c>
      <c r="N49" s="44">
        <f>SUM($B49:E49)</f>
        <v>0</v>
      </c>
      <c r="O49" s="44">
        <f>SUM($B49:F49)</f>
        <v>0</v>
      </c>
      <c r="P49" s="44">
        <f>SUM($B49:G49)</f>
        <v>0</v>
      </c>
      <c r="Q49" s="44">
        <f>SUM($B49:H49)</f>
        <v>0</v>
      </c>
      <c r="R49" s="28"/>
      <c r="S49" s="89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</row>
    <row r="50" spans="1:43" ht="12.75">
      <c r="A50" s="28" t="s">
        <v>50</v>
      </c>
      <c r="B50" s="44">
        <f>+'Detailed Budget'!D34</f>
        <v>0</v>
      </c>
      <c r="C50" s="44">
        <f>+'Detailed Budget'!E34</f>
        <v>0</v>
      </c>
      <c r="D50" s="44">
        <f>+'Detailed Budget'!F34</f>
        <v>0</v>
      </c>
      <c r="E50" s="44">
        <f>+'Detailed Budget'!G34</f>
        <v>0</v>
      </c>
      <c r="F50" s="44">
        <f>+'Detailed Budget'!H34</f>
        <v>0</v>
      </c>
      <c r="G50" s="44">
        <f>+'Detailed Budget'!I34</f>
        <v>0</v>
      </c>
      <c r="H50" s="44">
        <f>+'Detailed Budget'!J34</f>
        <v>0</v>
      </c>
      <c r="I50" s="66"/>
      <c r="J50" s="28"/>
      <c r="K50" s="44">
        <f>SUM($B50:B50)</f>
        <v>0</v>
      </c>
      <c r="L50" s="44">
        <f>SUM($B50:C50)</f>
        <v>0</v>
      </c>
      <c r="M50" s="44">
        <f>SUM($B50:D50)</f>
        <v>0</v>
      </c>
      <c r="N50" s="44">
        <f>SUM($B50:E50)</f>
        <v>0</v>
      </c>
      <c r="O50" s="44">
        <f>SUM($B50:F50)</f>
        <v>0</v>
      </c>
      <c r="P50" s="44">
        <f>SUM($B50:G50)</f>
        <v>0</v>
      </c>
      <c r="Q50" s="44">
        <f>SUM($B50:H50)</f>
        <v>0</v>
      </c>
      <c r="R50" s="28"/>
      <c r="S50" s="89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</row>
    <row r="51" spans="1:43" ht="12.75">
      <c r="A51" s="28" t="s">
        <v>51</v>
      </c>
      <c r="B51" s="44">
        <f>+'Detailed Budget'!D35</f>
        <v>1</v>
      </c>
      <c r="C51" s="44">
        <f>+'Detailed Budget'!E35</f>
        <v>0</v>
      </c>
      <c r="D51" s="44">
        <f>+'Detailed Budget'!F35</f>
        <v>0</v>
      </c>
      <c r="E51" s="44">
        <f>+'Detailed Budget'!G35</f>
        <v>0</v>
      </c>
      <c r="F51" s="44">
        <f>+'Detailed Budget'!H35</f>
        <v>0</v>
      </c>
      <c r="G51" s="44">
        <f>+'Detailed Budget'!J35</f>
        <v>0</v>
      </c>
      <c r="H51" s="44">
        <f>+'Detailed Budget'!J35</f>
        <v>0</v>
      </c>
      <c r="I51" s="66"/>
      <c r="J51" s="28"/>
      <c r="K51" s="44">
        <f>SUM($B51:B51)</f>
        <v>1</v>
      </c>
      <c r="L51" s="44">
        <f>SUM($B51:C51)</f>
        <v>1</v>
      </c>
      <c r="M51" s="44">
        <f>SUM($B51:D51)</f>
        <v>1</v>
      </c>
      <c r="N51" s="44">
        <f>SUM($B51:E51)</f>
        <v>1</v>
      </c>
      <c r="O51" s="44">
        <f>SUM($B51:F51)</f>
        <v>1</v>
      </c>
      <c r="P51" s="44">
        <f>SUM($B51:G51)</f>
        <v>1</v>
      </c>
      <c r="Q51" s="44">
        <f>SUM($B51:H51)</f>
        <v>1</v>
      </c>
      <c r="R51" s="28"/>
      <c r="S51" s="89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</row>
    <row r="52" spans="1:43" ht="12.75">
      <c r="A52" s="28" t="s">
        <v>53</v>
      </c>
      <c r="B52" s="44">
        <f>+'Detailed Budget'!D36</f>
        <v>0</v>
      </c>
      <c r="C52" s="44">
        <f>+'Detailed Budget'!E36</f>
        <v>0</v>
      </c>
      <c r="D52" s="44">
        <f>+'Detailed Budget'!F36</f>
        <v>0</v>
      </c>
      <c r="E52" s="44">
        <f>+'Detailed Budget'!G36</f>
        <v>0</v>
      </c>
      <c r="F52" s="44">
        <f>+'Detailed Budget'!H36</f>
        <v>0</v>
      </c>
      <c r="G52" s="44">
        <f>+'Detailed Budget'!I36</f>
        <v>0</v>
      </c>
      <c r="H52" s="44">
        <f>+'Detailed Budget'!J36</f>
        <v>0</v>
      </c>
      <c r="I52" s="66"/>
      <c r="J52" s="28"/>
      <c r="K52" s="54">
        <f>SUM($B52:B52)</f>
        <v>0</v>
      </c>
      <c r="L52" s="54">
        <f>SUM($B52:C52)</f>
        <v>0</v>
      </c>
      <c r="M52" s="54">
        <f>SUM($B52:D52)</f>
        <v>0</v>
      </c>
      <c r="N52" s="54">
        <f>SUM($B52:E52)</f>
        <v>0</v>
      </c>
      <c r="O52" s="54">
        <f>SUM($B52:F52)</f>
        <v>0</v>
      </c>
      <c r="P52" s="54">
        <f>SUM($B52:G52)</f>
        <v>0</v>
      </c>
      <c r="Q52" s="54">
        <f>SUM($B52:H52)</f>
        <v>0</v>
      </c>
      <c r="R52" s="28"/>
      <c r="S52" s="89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</row>
    <row r="53" spans="1:43" ht="12.75">
      <c r="A53" s="28" t="s">
        <v>1</v>
      </c>
      <c r="B53" s="59">
        <v>108188</v>
      </c>
      <c r="C53" s="59">
        <v>0</v>
      </c>
      <c r="D53" s="59">
        <v>0</v>
      </c>
      <c r="E53" s="59">
        <v>0</v>
      </c>
      <c r="F53" s="59">
        <v>0</v>
      </c>
      <c r="G53" s="59">
        <v>0</v>
      </c>
      <c r="H53" s="59">
        <v>0</v>
      </c>
      <c r="I53" s="66"/>
      <c r="J53" s="28"/>
      <c r="K53" s="54">
        <f>SUM($B53:B53)</f>
        <v>108188</v>
      </c>
      <c r="L53" s="54">
        <f>SUM($B53:C53)</f>
        <v>108188</v>
      </c>
      <c r="M53" s="54">
        <f>SUM($B53:D53)</f>
        <v>108188</v>
      </c>
      <c r="N53" s="54">
        <f>SUM($B53:E53)</f>
        <v>108188</v>
      </c>
      <c r="O53" s="54">
        <f>SUM($B53:F53)</f>
        <v>108188</v>
      </c>
      <c r="P53" s="54">
        <f>SUM($B53:G53)</f>
        <v>108188</v>
      </c>
      <c r="Q53" s="54">
        <f>SUM($B53:H53)</f>
        <v>108188</v>
      </c>
      <c r="R53" s="28"/>
      <c r="S53" s="89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</row>
    <row r="54" spans="1:43" ht="13.5" thickBot="1">
      <c r="A54" s="28" t="s">
        <v>36</v>
      </c>
      <c r="B54" s="90">
        <f aca="true" t="shared" si="10" ref="B54:H54">SUM(B46:B52)</f>
        <v>1</v>
      </c>
      <c r="C54" s="90">
        <f t="shared" si="10"/>
        <v>0</v>
      </c>
      <c r="D54" s="90">
        <f t="shared" si="10"/>
        <v>0</v>
      </c>
      <c r="E54" s="90">
        <f t="shared" si="10"/>
        <v>0</v>
      </c>
      <c r="F54" s="90">
        <f t="shared" si="10"/>
        <v>0</v>
      </c>
      <c r="G54" s="90">
        <f t="shared" si="10"/>
        <v>0</v>
      </c>
      <c r="H54" s="90">
        <f t="shared" si="10"/>
        <v>0</v>
      </c>
      <c r="I54" s="66"/>
      <c r="J54" s="28"/>
      <c r="K54" s="90">
        <f aca="true" t="shared" si="11" ref="K54:Q54">SUM(K46:K52)</f>
        <v>1</v>
      </c>
      <c r="L54" s="90">
        <f t="shared" si="11"/>
        <v>1</v>
      </c>
      <c r="M54" s="90">
        <f t="shared" si="11"/>
        <v>1</v>
      </c>
      <c r="N54" s="90">
        <f t="shared" si="11"/>
        <v>1</v>
      </c>
      <c r="O54" s="90">
        <f t="shared" si="11"/>
        <v>1</v>
      </c>
      <c r="P54" s="90">
        <f t="shared" si="11"/>
        <v>1</v>
      </c>
      <c r="Q54" s="90">
        <f t="shared" si="11"/>
        <v>1</v>
      </c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</row>
    <row r="55" spans="1:43" ht="12.75">
      <c r="A55" s="28"/>
      <c r="B55" s="48"/>
      <c r="C55" s="48"/>
      <c r="D55" s="48"/>
      <c r="E55" s="48"/>
      <c r="F55" s="48"/>
      <c r="G55" s="48"/>
      <c r="H55" s="48"/>
      <c r="I55" s="4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</row>
    <row r="56" spans="1:43" ht="12.75">
      <c r="A56" s="27" t="s">
        <v>61</v>
      </c>
      <c r="B56" s="143" t="s">
        <v>89</v>
      </c>
      <c r="C56" s="143"/>
      <c r="D56" s="143"/>
      <c r="E56" s="143"/>
      <c r="F56" s="143"/>
      <c r="G56" s="92"/>
      <c r="H56" s="92"/>
      <c r="I56" s="48"/>
      <c r="K56" s="143" t="s">
        <v>59</v>
      </c>
      <c r="L56" s="143"/>
      <c r="M56" s="143"/>
      <c r="N56" s="143"/>
      <c r="O56" s="143"/>
      <c r="P56" s="92"/>
      <c r="Q56" s="92"/>
      <c r="R56" s="52"/>
      <c r="S56" s="52"/>
      <c r="T56" s="52"/>
      <c r="U56" s="52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</row>
    <row r="57" spans="1:43" ht="12.75">
      <c r="A57" s="28" t="s">
        <v>60</v>
      </c>
      <c r="B57" s="103" t="s">
        <v>54</v>
      </c>
      <c r="C57" s="103" t="s">
        <v>55</v>
      </c>
      <c r="D57" s="103" t="s">
        <v>56</v>
      </c>
      <c r="E57" s="103" t="s">
        <v>57</v>
      </c>
      <c r="F57" s="103" t="s">
        <v>58</v>
      </c>
      <c r="G57" s="112" t="s">
        <v>132</v>
      </c>
      <c r="H57" s="112" t="s">
        <v>133</v>
      </c>
      <c r="I57" s="61"/>
      <c r="K57" s="43" t="s">
        <v>54</v>
      </c>
      <c r="L57" s="43" t="s">
        <v>55</v>
      </c>
      <c r="M57" s="43" t="s">
        <v>56</v>
      </c>
      <c r="N57" s="43" t="s">
        <v>57</v>
      </c>
      <c r="O57" s="43" t="s">
        <v>58</v>
      </c>
      <c r="P57" s="93" t="s">
        <v>132</v>
      </c>
      <c r="Q57" s="93" t="s">
        <v>133</v>
      </c>
      <c r="R57" s="43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</row>
    <row r="58" spans="1:43" ht="12.75">
      <c r="A58" s="28" t="s">
        <v>48</v>
      </c>
      <c r="B58" s="44">
        <f>B46*Variables!$D$42</f>
        <v>0</v>
      </c>
      <c r="C58" s="44">
        <f>C46*Variables!$D$42</f>
        <v>0</v>
      </c>
      <c r="D58" s="44">
        <f>D46*Variables!$D$42</f>
        <v>0</v>
      </c>
      <c r="E58" s="44">
        <f>E46*Variables!$D$42</f>
        <v>0</v>
      </c>
      <c r="F58" s="44">
        <f>F46*Variables!$D$42</f>
        <v>0</v>
      </c>
      <c r="G58" s="44">
        <f>G46*Variables!$D$42</f>
        <v>0</v>
      </c>
      <c r="H58" s="44">
        <f>H46*Variables!$D$42</f>
        <v>0</v>
      </c>
      <c r="I58" s="54"/>
      <c r="K58" s="44">
        <f aca="true" t="shared" si="12" ref="K58:K64">B58</f>
        <v>0</v>
      </c>
      <c r="L58" s="44">
        <f aca="true" t="shared" si="13" ref="L58:Q62">K58+C58</f>
        <v>0</v>
      </c>
      <c r="M58" s="44">
        <f t="shared" si="13"/>
        <v>0</v>
      </c>
      <c r="N58" s="44">
        <f t="shared" si="13"/>
        <v>0</v>
      </c>
      <c r="O58" s="44">
        <f t="shared" si="13"/>
        <v>0</v>
      </c>
      <c r="P58" s="44">
        <f t="shared" si="13"/>
        <v>0</v>
      </c>
      <c r="Q58" s="44">
        <f t="shared" si="13"/>
        <v>0</v>
      </c>
      <c r="R58" s="44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</row>
    <row r="59" spans="1:43" ht="12.75">
      <c r="A59" s="28" t="s">
        <v>49</v>
      </c>
      <c r="B59" s="44">
        <f>B47*Variables!$D$43</f>
        <v>0</v>
      </c>
      <c r="C59" s="44">
        <f>C47*Variables!$D$43</f>
        <v>0</v>
      </c>
      <c r="D59" s="44">
        <f>D47*Variables!$D$43</f>
        <v>0</v>
      </c>
      <c r="E59" s="44">
        <f>E47*Variables!$D$43</f>
        <v>0</v>
      </c>
      <c r="F59" s="44">
        <f>F47*Variables!$D$43</f>
        <v>0</v>
      </c>
      <c r="G59" s="44">
        <f>G47*Variables!$D$43</f>
        <v>0</v>
      </c>
      <c r="H59" s="44">
        <f>H47*Variables!$D$43</f>
        <v>0</v>
      </c>
      <c r="I59" s="54"/>
      <c r="K59" s="44">
        <f t="shared" si="12"/>
        <v>0</v>
      </c>
      <c r="L59" s="44">
        <f t="shared" si="13"/>
        <v>0</v>
      </c>
      <c r="M59" s="44">
        <f t="shared" si="13"/>
        <v>0</v>
      </c>
      <c r="N59" s="44">
        <f t="shared" si="13"/>
        <v>0</v>
      </c>
      <c r="O59" s="44">
        <f t="shared" si="13"/>
        <v>0</v>
      </c>
      <c r="P59" s="44">
        <f t="shared" si="13"/>
        <v>0</v>
      </c>
      <c r="Q59" s="44">
        <f t="shared" si="13"/>
        <v>0</v>
      </c>
      <c r="R59" s="44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</row>
    <row r="60" spans="1:43" ht="12.75">
      <c r="A60" s="28" t="s">
        <v>52</v>
      </c>
      <c r="B60" s="44">
        <f>B48*Variables!$D$44</f>
        <v>0</v>
      </c>
      <c r="C60" s="44">
        <f>C48*Variables!$D$44</f>
        <v>0</v>
      </c>
      <c r="D60" s="44">
        <f>D48*Variables!$D$44</f>
        <v>0</v>
      </c>
      <c r="E60" s="44">
        <f>E48*Variables!$D$44</f>
        <v>0</v>
      </c>
      <c r="F60" s="44">
        <f>F48*Variables!$D$44</f>
        <v>0</v>
      </c>
      <c r="G60" s="44">
        <f>G48*Variables!$D$44</f>
        <v>0</v>
      </c>
      <c r="H60" s="44">
        <f>H48*Variables!$D$44</f>
        <v>0</v>
      </c>
      <c r="I60" s="54"/>
      <c r="K60" s="44">
        <f t="shared" si="12"/>
        <v>0</v>
      </c>
      <c r="L60" s="44">
        <f t="shared" si="13"/>
        <v>0</v>
      </c>
      <c r="M60" s="44">
        <f t="shared" si="13"/>
        <v>0</v>
      </c>
      <c r="N60" s="44">
        <f t="shared" si="13"/>
        <v>0</v>
      </c>
      <c r="O60" s="44">
        <f t="shared" si="13"/>
        <v>0</v>
      </c>
      <c r="P60" s="44">
        <f t="shared" si="13"/>
        <v>0</v>
      </c>
      <c r="Q60" s="44">
        <f t="shared" si="13"/>
        <v>0</v>
      </c>
      <c r="R60" s="44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</row>
    <row r="61" spans="1:43" ht="12.75">
      <c r="A61" s="28" t="s">
        <v>34</v>
      </c>
      <c r="B61" s="44">
        <f>B49*Variables!$D$45</f>
        <v>0</v>
      </c>
      <c r="C61" s="44">
        <f>C49*Variables!$D$45</f>
        <v>0</v>
      </c>
      <c r="D61" s="44">
        <f>D49*Variables!$D$45</f>
        <v>0</v>
      </c>
      <c r="E61" s="44">
        <f>E49*Variables!$D$45</f>
        <v>0</v>
      </c>
      <c r="F61" s="44">
        <f>F49*Variables!$D$45</f>
        <v>0</v>
      </c>
      <c r="G61" s="44">
        <f>G49*Variables!$D$45</f>
        <v>0</v>
      </c>
      <c r="H61" s="44">
        <f>H49*Variables!$D$45</f>
        <v>0</v>
      </c>
      <c r="I61" s="54"/>
      <c r="K61" s="44">
        <f t="shared" si="12"/>
        <v>0</v>
      </c>
      <c r="L61" s="44">
        <f t="shared" si="13"/>
        <v>0</v>
      </c>
      <c r="M61" s="44">
        <f t="shared" si="13"/>
        <v>0</v>
      </c>
      <c r="N61" s="44">
        <f t="shared" si="13"/>
        <v>0</v>
      </c>
      <c r="O61" s="44">
        <f t="shared" si="13"/>
        <v>0</v>
      </c>
      <c r="P61" s="44">
        <f t="shared" si="13"/>
        <v>0</v>
      </c>
      <c r="Q61" s="44">
        <f t="shared" si="13"/>
        <v>0</v>
      </c>
      <c r="R61" s="44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</row>
    <row r="62" spans="1:43" ht="12.75">
      <c r="A62" s="28" t="s">
        <v>50</v>
      </c>
      <c r="B62" s="44">
        <f>B50*Variables!$D$46</f>
        <v>0</v>
      </c>
      <c r="C62" s="44">
        <f>C50*Variables!$D$46</f>
        <v>0</v>
      </c>
      <c r="D62" s="44">
        <f>D50*Variables!$D$46</f>
        <v>0</v>
      </c>
      <c r="E62" s="44">
        <f>E50*Variables!$D$46</f>
        <v>0</v>
      </c>
      <c r="F62" s="44">
        <f>F50*Variables!$D$46</f>
        <v>0</v>
      </c>
      <c r="G62" s="44">
        <f>G50*Variables!$D$46</f>
        <v>0</v>
      </c>
      <c r="H62" s="44">
        <f>H50*Variables!$D$46</f>
        <v>0</v>
      </c>
      <c r="I62" s="54"/>
      <c r="K62" s="44">
        <f t="shared" si="12"/>
        <v>0</v>
      </c>
      <c r="L62" s="44">
        <f t="shared" si="13"/>
        <v>0</v>
      </c>
      <c r="M62" s="44">
        <f t="shared" si="13"/>
        <v>0</v>
      </c>
      <c r="N62" s="44">
        <f t="shared" si="13"/>
        <v>0</v>
      </c>
      <c r="O62" s="44">
        <f t="shared" si="13"/>
        <v>0</v>
      </c>
      <c r="P62" s="44">
        <f t="shared" si="13"/>
        <v>0</v>
      </c>
      <c r="Q62" s="44">
        <f t="shared" si="13"/>
        <v>0</v>
      </c>
      <c r="R62" s="44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</row>
    <row r="63" spans="1:43" ht="12.75">
      <c r="A63" s="28" t="s">
        <v>51</v>
      </c>
      <c r="B63" s="59">
        <v>33416618</v>
      </c>
      <c r="C63" s="59">
        <v>0</v>
      </c>
      <c r="D63" s="59">
        <v>0</v>
      </c>
      <c r="E63" s="59">
        <v>0</v>
      </c>
      <c r="F63" s="59">
        <v>0</v>
      </c>
      <c r="G63" s="59">
        <v>0</v>
      </c>
      <c r="H63" s="59">
        <v>0</v>
      </c>
      <c r="I63" s="54"/>
      <c r="K63" s="44">
        <f>B63</f>
        <v>33416618</v>
      </c>
      <c r="L63" s="44">
        <f aca="true" t="shared" si="14" ref="L63:Q63">K63+C63</f>
        <v>33416618</v>
      </c>
      <c r="M63" s="44">
        <f t="shared" si="14"/>
        <v>33416618</v>
      </c>
      <c r="N63" s="44">
        <f t="shared" si="14"/>
        <v>33416618</v>
      </c>
      <c r="O63" s="44">
        <f t="shared" si="14"/>
        <v>33416618</v>
      </c>
      <c r="P63" s="44">
        <f t="shared" si="14"/>
        <v>33416618</v>
      </c>
      <c r="Q63" s="44">
        <f t="shared" si="14"/>
        <v>33416618</v>
      </c>
      <c r="R63" s="44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</row>
    <row r="64" spans="1:43" ht="12.75">
      <c r="A64" s="28" t="s">
        <v>53</v>
      </c>
      <c r="B64" s="44">
        <f>B52*Variables!$D$47</f>
        <v>0</v>
      </c>
      <c r="C64" s="44">
        <f>C52*Variables!$D$47</f>
        <v>0</v>
      </c>
      <c r="D64" s="44">
        <f>D52*Variables!$D$47</f>
        <v>0</v>
      </c>
      <c r="E64" s="44">
        <f>E52*Variables!$D$47</f>
        <v>0</v>
      </c>
      <c r="F64" s="44">
        <f>F52*Variables!$D$47</f>
        <v>0</v>
      </c>
      <c r="G64" s="44">
        <f>G52*Variables!$D$47</f>
        <v>0</v>
      </c>
      <c r="H64" s="44">
        <f>H52*Variables!$D$47</f>
        <v>0</v>
      </c>
      <c r="I64" s="54"/>
      <c r="K64" s="53">
        <f t="shared" si="12"/>
        <v>0</v>
      </c>
      <c r="L64" s="53">
        <f aca="true" t="shared" si="15" ref="L64:Q64">K64+C64</f>
        <v>0</v>
      </c>
      <c r="M64" s="53">
        <f t="shared" si="15"/>
        <v>0</v>
      </c>
      <c r="N64" s="53">
        <f t="shared" si="15"/>
        <v>0</v>
      </c>
      <c r="O64" s="53">
        <f t="shared" si="15"/>
        <v>0</v>
      </c>
      <c r="P64" s="53">
        <f t="shared" si="15"/>
        <v>0</v>
      </c>
      <c r="Q64" s="53">
        <f t="shared" si="15"/>
        <v>0</v>
      </c>
      <c r="R64" s="54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</row>
    <row r="65" spans="1:43" ht="13.5" thickBot="1">
      <c r="A65" s="28" t="s">
        <v>36</v>
      </c>
      <c r="B65" s="45">
        <f aca="true" t="shared" si="16" ref="B65:H65">B58+B59+B60+B62+B63+B64</f>
        <v>33416618</v>
      </c>
      <c r="C65" s="45">
        <f t="shared" si="16"/>
        <v>0</v>
      </c>
      <c r="D65" s="45">
        <f t="shared" si="16"/>
        <v>0</v>
      </c>
      <c r="E65" s="45">
        <f t="shared" si="16"/>
        <v>0</v>
      </c>
      <c r="F65" s="45">
        <f t="shared" si="16"/>
        <v>0</v>
      </c>
      <c r="G65" s="45">
        <f t="shared" si="16"/>
        <v>0</v>
      </c>
      <c r="H65" s="45">
        <f t="shared" si="16"/>
        <v>0</v>
      </c>
      <c r="I65" s="54"/>
      <c r="K65" s="45">
        <f aca="true" t="shared" si="17" ref="K65:Q65">K58+K59+K60+K62+K63+K64</f>
        <v>33416618</v>
      </c>
      <c r="L65" s="45">
        <f t="shared" si="17"/>
        <v>33416618</v>
      </c>
      <c r="M65" s="45">
        <f t="shared" si="17"/>
        <v>33416618</v>
      </c>
      <c r="N65" s="45">
        <f t="shared" si="17"/>
        <v>33416618</v>
      </c>
      <c r="O65" s="45">
        <f t="shared" si="17"/>
        <v>33416618</v>
      </c>
      <c r="P65" s="45">
        <f t="shared" si="17"/>
        <v>33416618</v>
      </c>
      <c r="Q65" s="45">
        <f t="shared" si="17"/>
        <v>33416618</v>
      </c>
      <c r="R65" s="54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</row>
    <row r="66" spans="1:43" ht="12.75">
      <c r="A66" s="28"/>
      <c r="B66" s="48"/>
      <c r="C66" s="48"/>
      <c r="D66" s="48"/>
      <c r="E66" s="48"/>
      <c r="F66" s="48"/>
      <c r="G66" s="48"/>
      <c r="H66" s="48"/>
      <c r="I66" s="4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</row>
    <row r="67" spans="1:43" ht="12.75">
      <c r="A67" s="27" t="s">
        <v>35</v>
      </c>
      <c r="B67" s="48"/>
      <c r="C67" s="48"/>
      <c r="D67" s="48"/>
      <c r="E67" s="48"/>
      <c r="F67" s="48"/>
      <c r="G67" s="48"/>
      <c r="H67" s="48"/>
      <c r="I67" s="4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</row>
    <row r="68" spans="1:43" ht="12.75">
      <c r="A68" s="28" t="s">
        <v>48</v>
      </c>
      <c r="B68" s="55">
        <f>K58*Variables!$E$42</f>
        <v>0</v>
      </c>
      <c r="C68" s="55">
        <f>L58*Variables!$E$42</f>
        <v>0</v>
      </c>
      <c r="D68" s="55">
        <f>M58*Variables!$E$42</f>
        <v>0</v>
      </c>
      <c r="E68" s="55">
        <f>N58*Variables!$E$42</f>
        <v>0</v>
      </c>
      <c r="F68" s="55">
        <f>O58*Variables!$E$42</f>
        <v>0</v>
      </c>
      <c r="G68" s="55">
        <f>P58*Variables!$E$42</f>
        <v>0</v>
      </c>
      <c r="H68" s="55">
        <f>Q58*Variables!$E$42</f>
        <v>0</v>
      </c>
      <c r="I68" s="4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</row>
    <row r="69" spans="1:43" ht="12.75">
      <c r="A69" s="28" t="s">
        <v>49</v>
      </c>
      <c r="B69" s="44">
        <f>K59*Variables!$E$43</f>
        <v>0</v>
      </c>
      <c r="C69" s="44">
        <f>L59*Variables!$E$43</f>
        <v>0</v>
      </c>
      <c r="D69" s="44">
        <f>M59*Variables!$E$43</f>
        <v>0</v>
      </c>
      <c r="E69" s="44">
        <f>N59*Variables!$E$43</f>
        <v>0</v>
      </c>
      <c r="F69" s="44">
        <f>O59*Variables!$E$43</f>
        <v>0</v>
      </c>
      <c r="G69" s="44">
        <f>P59*Variables!$E$43</f>
        <v>0</v>
      </c>
      <c r="H69" s="44">
        <f>Q59*Variables!$E$43</f>
        <v>0</v>
      </c>
      <c r="I69" s="4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</row>
    <row r="70" spans="1:43" ht="12.75">
      <c r="A70" s="28" t="s">
        <v>52</v>
      </c>
      <c r="B70" s="44">
        <f>K60*Variables!$E$44</f>
        <v>0</v>
      </c>
      <c r="C70" s="44">
        <f>L60*Variables!$E$44</f>
        <v>0</v>
      </c>
      <c r="D70" s="44">
        <f>M60*Variables!$E$44</f>
        <v>0</v>
      </c>
      <c r="E70" s="44">
        <f>N60*Variables!$E$44</f>
        <v>0</v>
      </c>
      <c r="F70" s="44">
        <f>O60*Variables!$E$44</f>
        <v>0</v>
      </c>
      <c r="G70" s="44">
        <f>P60*Variables!$E$44</f>
        <v>0</v>
      </c>
      <c r="H70" s="44">
        <f>Q60*Variables!$E$44</f>
        <v>0</v>
      </c>
      <c r="I70" s="4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</row>
    <row r="71" spans="1:43" ht="12.75">
      <c r="A71" s="28" t="s">
        <v>34</v>
      </c>
      <c r="B71" s="44">
        <f>K61*Variables!$E$45</f>
        <v>0</v>
      </c>
      <c r="C71" s="44">
        <f>L61*Variables!$E$45</f>
        <v>0</v>
      </c>
      <c r="D71" s="44">
        <f>M61*Variables!$E$45</f>
        <v>0</v>
      </c>
      <c r="E71" s="44">
        <f>N61*Variables!$E$45</f>
        <v>0</v>
      </c>
      <c r="F71" s="44">
        <f>O61*Variables!$E$45</f>
        <v>0</v>
      </c>
      <c r="G71" s="44">
        <f>P61*Variables!$E$45</f>
        <v>0</v>
      </c>
      <c r="H71" s="44">
        <f>Q61*Variables!$E$45</f>
        <v>0</v>
      </c>
      <c r="I71" s="4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</row>
    <row r="72" spans="1:43" ht="12.75">
      <c r="A72" s="28" t="s">
        <v>50</v>
      </c>
      <c r="B72" s="44">
        <f>K62*Variables!$E$46</f>
        <v>0</v>
      </c>
      <c r="C72" s="44">
        <f>L62*Variables!$E$46</f>
        <v>0</v>
      </c>
      <c r="D72" s="44">
        <f>M62*Variables!$E$46</f>
        <v>0</v>
      </c>
      <c r="E72" s="44">
        <f>N62*Variables!$E$46</f>
        <v>0</v>
      </c>
      <c r="F72" s="44">
        <f>O62*Variables!$E$46</f>
        <v>0</v>
      </c>
      <c r="G72" s="44">
        <f>P62*Variables!$E$46</f>
        <v>0</v>
      </c>
      <c r="H72" s="44">
        <f>Q62*Variables!$E$46</f>
        <v>0</v>
      </c>
      <c r="I72" s="4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</row>
    <row r="73" spans="1:43" ht="12.75">
      <c r="A73" s="28" t="s">
        <v>51</v>
      </c>
      <c r="B73" s="80">
        <f>1246774</f>
        <v>1246774</v>
      </c>
      <c r="C73" s="80">
        <f aca="true" t="shared" si="18" ref="C73:H73">1246774</f>
        <v>1246774</v>
      </c>
      <c r="D73" s="80">
        <f t="shared" si="18"/>
        <v>1246774</v>
      </c>
      <c r="E73" s="80">
        <f t="shared" si="18"/>
        <v>1246774</v>
      </c>
      <c r="F73" s="80">
        <f t="shared" si="18"/>
        <v>1246774</v>
      </c>
      <c r="G73" s="80">
        <f t="shared" si="18"/>
        <v>1246774</v>
      </c>
      <c r="H73" s="80">
        <f t="shared" si="18"/>
        <v>1246774</v>
      </c>
      <c r="I73" s="4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</row>
    <row r="74" spans="1:43" ht="12.75">
      <c r="A74" s="28" t="s">
        <v>53</v>
      </c>
      <c r="B74" s="44">
        <f>K64*Variables!$B$22</f>
        <v>0</v>
      </c>
      <c r="C74" s="44">
        <f>L64*Variables!$B$22</f>
        <v>0</v>
      </c>
      <c r="D74" s="44">
        <f>M64*Variables!$B$22</f>
        <v>0</v>
      </c>
      <c r="E74" s="44">
        <f>N64*Variables!$B$22</f>
        <v>0</v>
      </c>
      <c r="F74" s="44">
        <f>O64*Variables!$B$22</f>
        <v>0</v>
      </c>
      <c r="G74" s="44">
        <f>P64*Variables!$B$22</f>
        <v>0</v>
      </c>
      <c r="H74" s="44">
        <f>Q64*Variables!$B$22</f>
        <v>0</v>
      </c>
      <c r="I74" s="4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</row>
    <row r="75" spans="1:43" ht="12.75">
      <c r="A75" s="28" t="s">
        <v>47</v>
      </c>
      <c r="B75" s="44">
        <f aca="true" t="shared" si="19" ref="B75:H75">SUM(B68:B74)</f>
        <v>1246774</v>
      </c>
      <c r="C75" s="44">
        <f t="shared" si="19"/>
        <v>1246774</v>
      </c>
      <c r="D75" s="44">
        <f t="shared" si="19"/>
        <v>1246774</v>
      </c>
      <c r="E75" s="44">
        <f t="shared" si="19"/>
        <v>1246774</v>
      </c>
      <c r="F75" s="44">
        <f t="shared" si="19"/>
        <v>1246774</v>
      </c>
      <c r="G75" s="44">
        <f t="shared" si="19"/>
        <v>1246774</v>
      </c>
      <c r="H75" s="44">
        <f t="shared" si="19"/>
        <v>1246774</v>
      </c>
      <c r="I75" s="4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</row>
    <row r="76" spans="1:43" ht="12.75">
      <c r="A76" s="28"/>
      <c r="B76" s="44"/>
      <c r="C76" s="44"/>
      <c r="D76" s="44"/>
      <c r="E76" s="44"/>
      <c r="F76" s="44"/>
      <c r="G76" s="44"/>
      <c r="H76" s="44"/>
      <c r="I76" s="4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</row>
    <row r="77" spans="1:43" ht="12.75">
      <c r="A77" s="28" t="s">
        <v>37</v>
      </c>
      <c r="B77" s="44"/>
      <c r="C77" s="44"/>
      <c r="D77" s="44"/>
      <c r="E77" s="44"/>
      <c r="F77" s="44"/>
      <c r="G77" s="44"/>
      <c r="H77" s="44"/>
      <c r="I77" s="4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</row>
    <row r="78" spans="1:43" ht="12.75">
      <c r="A78" s="28" t="s">
        <v>38</v>
      </c>
      <c r="B78" s="80">
        <f>+K58*Variables!$B$36+Variables!$C$36*K59+K60*Variables!$D$36+K61*Variables!$D$36+Variables!$E$36*K62+(K63+K64)*Variables!$F$36+K53*Variables!$G$36*12</f>
        <v>422217.436228</v>
      </c>
      <c r="C78" s="80">
        <f>+L58*Variables!$B$36+Variables!$C$36*L59+L60*Variables!$D$36+L61*Variables!$D$36+Variables!$E$36*L62+(L63+L64)*Variables!$F$36+L53*Variables!$G$36*12</f>
        <v>422217.436228</v>
      </c>
      <c r="D78" s="80">
        <f>+M58*Variables!$B$36+Variables!$C$36*M59+M60*Variables!$D$36+M61*Variables!$D$36+Variables!$E$36*M62+(M63+M64)*Variables!$F$36+M53*Variables!$G$36*12</f>
        <v>422217.436228</v>
      </c>
      <c r="E78" s="80">
        <f>+N58*Variables!$B$36+Variables!$C$36*N59+N60*Variables!$D$36+N61*Variables!$D$36+Variables!$E$36*N62+(N63+N64)*Variables!$F$36+N53*Variables!$G$36*12</f>
        <v>422217.436228</v>
      </c>
      <c r="F78" s="80">
        <f>+O58*Variables!$B$36+Variables!$C$36*O59+O60*Variables!$D$36+O61*Variables!$D$36+Variables!$E$36*O62+(O63+O64)*Variables!$F$36+O53*Variables!$G$36*12</f>
        <v>422217.436228</v>
      </c>
      <c r="G78" s="80">
        <f>+P58*Variables!$B$36+Variables!$C$36*P59+P60*Variables!$D$36+P61*Variables!$D$36+Variables!$E$36*P62+(P63+P64)*Variables!$F$36+P53*Variables!$G$36*12</f>
        <v>422217.436228</v>
      </c>
      <c r="H78" s="80">
        <f>+Q58*Variables!$B$36+Variables!$C$36*Q59+Q60*Variables!$D$36+Q61*Variables!$D$36+Variables!$E$36*Q62+(Q63+Q64)*Variables!$F$36+Q53*Variables!$G$36*12</f>
        <v>422217.436228</v>
      </c>
      <c r="I78" s="4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</row>
    <row r="79" spans="1:43" ht="12.75">
      <c r="A79" s="28" t="s">
        <v>39</v>
      </c>
      <c r="B79" s="44">
        <f>(+K46)*Variables!$F$42+(K47)*Variables!$F$43+(K48)*Variables!$F$44+(K50)*Variables!$F$46+(K51+K52)*Variables!$F$47</f>
        <v>50000</v>
      </c>
      <c r="C79" s="44">
        <f>(+L46)*Variables!$F$42+(L47)*Variables!$F$43+(L48)*Variables!$F$44+(L50)*Variables!$F$46+(L51+L52)*Variables!$F$47</f>
        <v>50000</v>
      </c>
      <c r="D79" s="44">
        <f>(+M46)*Variables!$F$42+(M47)*Variables!$F$43+(M48)*Variables!$F$44+(M50)*Variables!$F$46+(M51+M52)*Variables!$F$47</f>
        <v>50000</v>
      </c>
      <c r="E79" s="44">
        <f>(+N46)*Variables!$F$42+(N47)*Variables!$F$43+(N48)*Variables!$F$44+(N50)*Variables!$F$46+(N51+N52)*Variables!$F$47</f>
        <v>50000</v>
      </c>
      <c r="F79" s="44">
        <f>(+O46)*Variables!$F$42+(O47)*Variables!$F$43+(O48)*Variables!$F$44+(O50)*Variables!$F$46+(O51+O52)*Variables!$F$47</f>
        <v>50000</v>
      </c>
      <c r="G79" s="44">
        <f>(+P46)*Variables!$F$42+(P47)*Variables!$F$43+(P48)*Variables!$F$44+(P50)*Variables!$F$46+(P51+P52)*Variables!$F$47</f>
        <v>50000</v>
      </c>
      <c r="H79" s="44">
        <f>(+Q46)*Variables!$F$42+(Q47)*Variables!$F$43+(Q48)*Variables!$F$44+(Q50)*Variables!$F$46+(Q51+Q52)*Variables!$F$47</f>
        <v>50000</v>
      </c>
      <c r="I79" s="4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</row>
    <row r="80" spans="1:43" ht="12.75">
      <c r="A80" s="28" t="s">
        <v>40</v>
      </c>
      <c r="B80" s="54">
        <f>+Variables!F22*B32</f>
        <v>24585.10682064</v>
      </c>
      <c r="C80" s="54">
        <f aca="true" t="shared" si="20" ref="C80:H80">+$B$80</f>
        <v>24585.10682064</v>
      </c>
      <c r="D80" s="54">
        <f t="shared" si="20"/>
        <v>24585.10682064</v>
      </c>
      <c r="E80" s="54">
        <f t="shared" si="20"/>
        <v>24585.10682064</v>
      </c>
      <c r="F80" s="54">
        <f t="shared" si="20"/>
        <v>24585.10682064</v>
      </c>
      <c r="G80" s="54">
        <f t="shared" si="20"/>
        <v>24585.10682064</v>
      </c>
      <c r="H80" s="54">
        <f t="shared" si="20"/>
        <v>24585.10682064</v>
      </c>
      <c r="I80" s="4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</row>
    <row r="81" spans="1:43" ht="12.75">
      <c r="A81" s="28" t="s">
        <v>41</v>
      </c>
      <c r="B81" s="54">
        <f>Variables!$E$13*(S16)+Variables!$E$14*(S17)+Variables!$E$15*(S18)+Variables!$E$16*(S19+S20+S21+S22)+K$54*Variables!$E$17</f>
        <v>58405.004</v>
      </c>
      <c r="C81" s="54">
        <f>Variables!$E$13*(T16)+Variables!$E$14*(T17)+Variables!$E$15*(T18)+Variables!$E$16*(T19+T20+T21+T22)+(L$54-K54)*Variables!$E$17+B81</f>
        <v>58405.004</v>
      </c>
      <c r="D81" s="54">
        <f>Variables!$E$13*(U16)+Variables!$E$14*(U17)+Variables!$E$15*(U18)+Variables!$E$16*(U19+U20+U21+U22)+(M$54-L54)*Variables!$E$17+C81</f>
        <v>58405.004</v>
      </c>
      <c r="E81" s="54">
        <f>Variables!$E$13*(V16)+Variables!$E$14*(V17)+Variables!$E$15*(V18)+Variables!$E$16*(V19+V20+V21+V22)+(N$54-M54)*Variables!$E$17+D81</f>
        <v>58405.004</v>
      </c>
      <c r="F81" s="54">
        <f>Variables!$E$13*(W16)+Variables!$E$14*(W17)+Variables!$E$15*(W18)+Variables!$E$16*(W19+W20+W21+W22)+(O$54-N54)*Variables!$E$17+E81</f>
        <v>58405.004</v>
      </c>
      <c r="G81" s="54">
        <f>Variables!$E$13*(X16)+Variables!$E$14*(X17)+Variables!$E$15*(X18)+Variables!$E$16*(X19+X20+X21+X22)+(P$54-O54)*Variables!$E$17+F81</f>
        <v>58405.004</v>
      </c>
      <c r="H81" s="54">
        <f>Variables!$E$13*(Y16)+Variables!$E$14*(Y17)+Variables!$E$15*(Y18)+Variables!$E$16*(Y19+Y20+Y21+Y22)+(Q$54-P54)*Variables!$E$17+G81</f>
        <v>58405.004</v>
      </c>
      <c r="I81" s="4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</row>
    <row r="82" spans="1:43" ht="12.75">
      <c r="A82" s="28"/>
      <c r="B82" s="54"/>
      <c r="C82" s="54"/>
      <c r="D82" s="54"/>
      <c r="E82" s="54"/>
      <c r="F82" s="54"/>
      <c r="G82" s="54"/>
      <c r="H82" s="54"/>
      <c r="I82" s="4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</row>
    <row r="83" spans="1:43" ht="12.75">
      <c r="A83" s="28" t="s">
        <v>42</v>
      </c>
      <c r="B83" s="44"/>
      <c r="C83" s="44"/>
      <c r="D83" s="44"/>
      <c r="E83" s="44"/>
      <c r="F83" s="44"/>
      <c r="G83" s="44"/>
      <c r="H83" s="44"/>
      <c r="I83" s="4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</row>
    <row r="84" spans="1:43" ht="12.75">
      <c r="A84" s="28" t="s">
        <v>43</v>
      </c>
      <c r="B84" s="44">
        <f>((+K46+K47+K48)*Variables!$B$8*12)+(K50*Variables!$B$15*12)+((K51+K52)*Variables!$B$19*12)+(Variables!$B$20*K$53*K$51*12)</f>
        <v>334028.903424</v>
      </c>
      <c r="C84" s="44">
        <f>((+L46+L47+L48)*Variables!$B$8*12)+(L50*Variables!$B$15*12)+((L51+L52)*Variables!$B$19*12)+(Variables!$B$20*L$53*L$51*12)</f>
        <v>334028.903424</v>
      </c>
      <c r="D84" s="44">
        <f>((+M46+M47+M48)*Variables!$B$8*12)+(M50*Variables!$B$15*12)+((M51+M52)*Variables!$B$19*12)+(Variables!$B$20*M$53*M$51*12)</f>
        <v>334028.903424</v>
      </c>
      <c r="E84" s="44">
        <f>((+N46+N47+N48)*Variables!$B$8*12)+(N50*Variables!$B$15*12)+((N51+N52)*Variables!$B$19*12)+(Variables!$B$20*N$53*N$51*12)</f>
        <v>334028.903424</v>
      </c>
      <c r="F84" s="44">
        <f>((+O46+O47+O48)*Variables!$B$8*12)+(O50*Variables!$B$15*12)+((O51+O52)*Variables!$B$19*12)+(Variables!$B$20*O$53*O$51*12)</f>
        <v>334028.903424</v>
      </c>
      <c r="G84" s="44">
        <f>((+P46+P47+P48)*Variables!$B$8*12)+(P50*Variables!$B$15*12)+((P51+P52)*Variables!$B$19*12)+(Variables!$B$20*P$53*P$51*12)</f>
        <v>334028.903424</v>
      </c>
      <c r="H84" s="44">
        <f>((+Q46+Q47+Q48)*Variables!$B$8*12)+(Q50*Variables!$B$15*12)+((Q51+Q52)*Variables!$B$19*12)+(Variables!$B$20*Q$53*Q$51*12)</f>
        <v>334028.903424</v>
      </c>
      <c r="I84" s="4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</row>
    <row r="86" spans="1:43" ht="12.75">
      <c r="A86" s="28" t="s">
        <v>44</v>
      </c>
      <c r="B86" s="44">
        <f aca="true" t="shared" si="21" ref="B86:H86">B75-B78+B84-B79-B80-B81</f>
        <v>1025595.3563753602</v>
      </c>
      <c r="C86" s="44">
        <f t="shared" si="21"/>
        <v>1025595.3563753602</v>
      </c>
      <c r="D86" s="44">
        <f t="shared" si="21"/>
        <v>1025595.3563753602</v>
      </c>
      <c r="E86" s="44">
        <f t="shared" si="21"/>
        <v>1025595.3563753602</v>
      </c>
      <c r="F86" s="44">
        <f t="shared" si="21"/>
        <v>1025595.3563753602</v>
      </c>
      <c r="G86" s="44">
        <f t="shared" si="21"/>
        <v>1025595.3563753602</v>
      </c>
      <c r="H86" s="44">
        <f t="shared" si="21"/>
        <v>1025595.3563753602</v>
      </c>
      <c r="I86" s="4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</row>
    <row r="87" spans="1:43" ht="12.75">
      <c r="A87" s="28" t="s">
        <v>45</v>
      </c>
      <c r="B87" s="91">
        <f>B86*Variables!$B$33</f>
        <v>370445.04272278014</v>
      </c>
      <c r="C87" s="91">
        <f>C86*Variables!$B$33</f>
        <v>370445.04272278014</v>
      </c>
      <c r="D87" s="91">
        <f>D86*Variables!$B$33</f>
        <v>370445.04272278014</v>
      </c>
      <c r="E87" s="91">
        <f>E86*Variables!$B$33</f>
        <v>370445.04272278014</v>
      </c>
      <c r="F87" s="91">
        <f>F86*Variables!$B$33</f>
        <v>370445.04272278014</v>
      </c>
      <c r="G87" s="91">
        <f>G86*Variables!$B$33</f>
        <v>370445.04272278014</v>
      </c>
      <c r="H87" s="91">
        <f>H86*Variables!$B$33</f>
        <v>370445.04272278014</v>
      </c>
      <c r="I87" s="4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</row>
    <row r="88" spans="1:43" ht="13.5" thickBot="1">
      <c r="A88" s="28" t="s">
        <v>46</v>
      </c>
      <c r="B88" s="56">
        <f aca="true" t="shared" si="22" ref="B88:H88">B86-B87</f>
        <v>655150.31365258</v>
      </c>
      <c r="C88" s="56">
        <f t="shared" si="22"/>
        <v>655150.31365258</v>
      </c>
      <c r="D88" s="56">
        <f t="shared" si="22"/>
        <v>655150.31365258</v>
      </c>
      <c r="E88" s="56">
        <f t="shared" si="22"/>
        <v>655150.31365258</v>
      </c>
      <c r="F88" s="56">
        <f t="shared" si="22"/>
        <v>655150.31365258</v>
      </c>
      <c r="G88" s="56">
        <f t="shared" si="22"/>
        <v>655150.31365258</v>
      </c>
      <c r="H88" s="56">
        <f t="shared" si="22"/>
        <v>655150.31365258</v>
      </c>
      <c r="I88" s="48"/>
      <c r="J88" s="48">
        <f>I88</f>
        <v>0</v>
      </c>
      <c r="K88" s="127">
        <f aca="true" t="shared" si="23" ref="K88:P88">J88</f>
        <v>0</v>
      </c>
      <c r="L88" s="48">
        <f t="shared" si="23"/>
        <v>0</v>
      </c>
      <c r="M88" s="48">
        <f t="shared" si="23"/>
        <v>0</v>
      </c>
      <c r="N88" s="48">
        <f t="shared" si="23"/>
        <v>0</v>
      </c>
      <c r="O88" s="48">
        <f t="shared" si="23"/>
        <v>0</v>
      </c>
      <c r="P88" s="48">
        <f t="shared" si="23"/>
        <v>0</v>
      </c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28"/>
      <c r="AP88" s="28"/>
      <c r="AQ88" s="28"/>
    </row>
    <row r="89" spans="1:43" ht="12.75">
      <c r="A89" s="28" t="s">
        <v>153</v>
      </c>
      <c r="B89" s="44">
        <f>+B88/2</f>
        <v>327575.15682629</v>
      </c>
      <c r="C89" s="44">
        <f aca="true" t="shared" si="24" ref="C89:H89">+C88/2</f>
        <v>327575.15682629</v>
      </c>
      <c r="D89" s="44">
        <f t="shared" si="24"/>
        <v>327575.15682629</v>
      </c>
      <c r="E89" s="44">
        <f t="shared" si="24"/>
        <v>327575.15682629</v>
      </c>
      <c r="F89" s="44">
        <f t="shared" si="24"/>
        <v>327575.15682629</v>
      </c>
      <c r="G89" s="44">
        <f t="shared" si="24"/>
        <v>327575.15682629</v>
      </c>
      <c r="H89" s="44">
        <f t="shared" si="24"/>
        <v>327575.15682629</v>
      </c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28"/>
      <c r="AP89" s="28"/>
      <c r="AQ89" s="28"/>
    </row>
    <row r="90" spans="1:8" ht="12.75">
      <c r="A90" s="4" t="s">
        <v>145</v>
      </c>
      <c r="B90" s="80">
        <v>244601</v>
      </c>
      <c r="C90" s="80">
        <v>239204</v>
      </c>
      <c r="D90" s="80">
        <v>233546.2</v>
      </c>
      <c r="E90" s="80">
        <v>227613.2</v>
      </c>
      <c r="F90" s="80">
        <v>221392.2</v>
      </c>
      <c r="G90" s="80">
        <v>214870.2</v>
      </c>
      <c r="H90" s="80">
        <v>208030.2</v>
      </c>
    </row>
    <row r="91" spans="1:8" ht="12.75">
      <c r="A91" s="4" t="s">
        <v>143</v>
      </c>
      <c r="B91" s="80">
        <v>130000</v>
      </c>
      <c r="C91" s="80">
        <v>130000</v>
      </c>
      <c r="D91" s="80">
        <v>130000</v>
      </c>
      <c r="E91" s="80">
        <v>130000</v>
      </c>
      <c r="F91" s="80">
        <v>130000</v>
      </c>
      <c r="G91" s="80">
        <v>130000</v>
      </c>
      <c r="H91" s="80">
        <v>130000</v>
      </c>
    </row>
    <row r="93" spans="2:8" ht="13.5" thickBot="1">
      <c r="B93" s="56">
        <f>B88-B90-B91</f>
        <v>280549.31365258</v>
      </c>
      <c r="C93" s="56">
        <f aca="true" t="shared" si="25" ref="C93:H93">C88-C90-C91</f>
        <v>285946.31365258</v>
      </c>
      <c r="D93" s="56">
        <f t="shared" si="25"/>
        <v>291604.11365258</v>
      </c>
      <c r="E93" s="56">
        <f t="shared" si="25"/>
        <v>297537.11365258</v>
      </c>
      <c r="F93" s="56">
        <f t="shared" si="25"/>
        <v>303758.11365258</v>
      </c>
      <c r="G93" s="56">
        <f t="shared" si="25"/>
        <v>310280.11365258</v>
      </c>
      <c r="H93" s="56">
        <f t="shared" si="25"/>
        <v>317120.11365258</v>
      </c>
    </row>
    <row r="95" spans="12:13" ht="32.25">
      <c r="L95" s="128" t="s">
        <v>144</v>
      </c>
      <c r="M95" s="128" t="s">
        <v>146</v>
      </c>
    </row>
    <row r="96" spans="12:13" ht="12.75">
      <c r="L96" s="129">
        <v>111152</v>
      </c>
      <c r="M96" s="129">
        <v>244601.2</v>
      </c>
    </row>
    <row r="97" spans="12:13" ht="12.75">
      <c r="L97" s="130">
        <v>116549</v>
      </c>
      <c r="M97" s="130">
        <v>239204.2</v>
      </c>
    </row>
    <row r="98" spans="12:13" ht="12.75">
      <c r="L98" s="130">
        <v>122207</v>
      </c>
      <c r="M98" s="130">
        <v>233546.2</v>
      </c>
    </row>
    <row r="99" spans="12:13" ht="12.75">
      <c r="L99" s="130">
        <v>128140</v>
      </c>
      <c r="M99" s="130">
        <v>227613.2</v>
      </c>
    </row>
    <row r="100" spans="12:13" ht="12.75">
      <c r="L100" s="130">
        <v>134361</v>
      </c>
      <c r="M100" s="130">
        <v>221392.2</v>
      </c>
    </row>
    <row r="101" spans="12:13" ht="12.75">
      <c r="L101" s="130">
        <v>140883</v>
      </c>
      <c r="M101" s="130">
        <v>214870.2</v>
      </c>
    </row>
    <row r="102" spans="12:13" ht="12.75">
      <c r="L102" s="130">
        <v>147723</v>
      </c>
      <c r="M102" s="130">
        <v>208030.2</v>
      </c>
    </row>
  </sheetData>
  <sheetProtection selectLockedCells="1" selectUnlockedCells="1"/>
  <mergeCells count="6">
    <mergeCell ref="B43:F43"/>
    <mergeCell ref="B56:F56"/>
    <mergeCell ref="K14:O14"/>
    <mergeCell ref="S14:W14"/>
    <mergeCell ref="K56:O56"/>
    <mergeCell ref="K43:O43"/>
  </mergeCells>
  <printOptions/>
  <pageMargins left="0.25" right="0.196850393700787" top="0.29" bottom="0.078740157480315" header="0.0393700787401575" footer="0"/>
  <pageSetup fitToHeight="1" fitToWidth="1" horizontalDpi="1200" verticalDpi="1200" orientation="portrait" scale="54" r:id="rId1"/>
  <headerFooter alignWithMargins="0">
    <oddFooter>&amp;L&amp;"Arial,Regular"&amp;8&amp;P of &amp;N</oddFooter>
  </headerFooter>
  <rowBreaks count="1" manualBreakCount="1">
    <brk id="4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75" zoomScaleNormal="75" zoomScalePageLayoutView="0" workbookViewId="0" topLeftCell="A13">
      <selection activeCell="E10" sqref="E10"/>
    </sheetView>
  </sheetViews>
  <sheetFormatPr defaultColWidth="9.33203125" defaultRowHeight="12.75"/>
  <cols>
    <col min="2" max="2" width="25.16015625" style="0" customWidth="1"/>
    <col min="3" max="3" width="12.83203125" style="0" customWidth="1"/>
    <col min="4" max="4" width="14.33203125" style="0" bestFit="1" customWidth="1"/>
    <col min="5" max="7" width="12.83203125" style="0" customWidth="1"/>
    <col min="8" max="8" width="15.5" style="0" customWidth="1"/>
    <col min="9" max="9" width="12.83203125" style="0" customWidth="1"/>
    <col min="11" max="11" width="12.83203125" style="0" bestFit="1" customWidth="1"/>
  </cols>
  <sheetData>
    <row r="1" spans="1:9" ht="12.75">
      <c r="A1" s="7"/>
      <c r="B1" s="7"/>
      <c r="C1" s="7"/>
      <c r="D1" s="7"/>
      <c r="E1" s="7"/>
      <c r="F1" s="7"/>
      <c r="G1" s="7"/>
      <c r="H1" s="7"/>
      <c r="I1" s="7"/>
    </row>
    <row r="2" spans="1:9" ht="12.75">
      <c r="A2" s="8" t="s">
        <v>130</v>
      </c>
      <c r="B2" s="9"/>
      <c r="C2" s="28"/>
      <c r="D2" s="8"/>
      <c r="E2" s="10"/>
      <c r="F2" s="10"/>
      <c r="G2" s="10"/>
      <c r="H2" s="10"/>
      <c r="I2" s="10"/>
    </row>
    <row r="3" spans="1:9" ht="12.75">
      <c r="A3" s="8" t="s">
        <v>142</v>
      </c>
      <c r="B3" s="4"/>
      <c r="C3" s="29"/>
      <c r="D3" s="8"/>
      <c r="E3" s="10"/>
      <c r="F3" s="10"/>
      <c r="G3" s="10"/>
      <c r="H3" s="10"/>
      <c r="I3" s="10"/>
    </row>
    <row r="4" spans="1:9" ht="12.75">
      <c r="A4" s="8" t="s">
        <v>32</v>
      </c>
      <c r="B4" s="4"/>
      <c r="C4" s="29"/>
      <c r="D4" s="8"/>
      <c r="E4" s="10"/>
      <c r="F4" s="10"/>
      <c r="G4" s="10"/>
      <c r="H4" s="10"/>
      <c r="I4" s="10"/>
    </row>
    <row r="5" spans="1:9" ht="12.75">
      <c r="A5" s="8" t="s">
        <v>131</v>
      </c>
      <c r="B5" s="8"/>
      <c r="C5" s="30"/>
      <c r="D5" s="8"/>
      <c r="E5" s="10"/>
      <c r="F5" s="10"/>
      <c r="G5" s="10"/>
      <c r="H5" s="10"/>
      <c r="I5" s="10"/>
    </row>
    <row r="6" spans="1:9" ht="13.5" thickBot="1">
      <c r="A6" s="31"/>
      <c r="B6" s="11"/>
      <c r="C6" s="11"/>
      <c r="D6" s="11"/>
      <c r="E6" s="11"/>
      <c r="F6" s="11"/>
      <c r="G6" s="11"/>
      <c r="H6" s="11"/>
      <c r="I6" s="12"/>
    </row>
    <row r="7" spans="1:9" ht="12.75">
      <c r="A7" s="13" t="s">
        <v>16</v>
      </c>
      <c r="B7" s="13"/>
      <c r="C7" s="13"/>
      <c r="D7" s="13" t="s">
        <v>17</v>
      </c>
      <c r="E7" s="13"/>
      <c r="F7" s="13" t="s">
        <v>18</v>
      </c>
      <c r="G7" s="13"/>
      <c r="H7" s="13" t="s">
        <v>19</v>
      </c>
      <c r="I7" s="14"/>
    </row>
    <row r="8" spans="1:9" ht="12.75">
      <c r="A8" s="13"/>
      <c r="B8" s="13"/>
      <c r="C8" s="13"/>
      <c r="D8" s="13"/>
      <c r="E8" s="13"/>
      <c r="F8" s="13"/>
      <c r="G8" s="13"/>
      <c r="H8" s="13"/>
      <c r="I8" s="14"/>
    </row>
    <row r="9" spans="1:11" ht="12.75">
      <c r="A9" s="15" t="s">
        <v>20</v>
      </c>
      <c r="B9" s="14" t="s">
        <v>21</v>
      </c>
      <c r="C9" s="13"/>
      <c r="D9" s="37">
        <v>28532</v>
      </c>
      <c r="E9" s="14" t="s">
        <v>22</v>
      </c>
      <c r="F9" s="124">
        <f>8600000/1.13/D9</f>
        <v>266.7397823155247</v>
      </c>
      <c r="G9" s="16" t="s">
        <v>23</v>
      </c>
      <c r="H9" s="17">
        <v>7084133.53208491</v>
      </c>
      <c r="I9" s="17"/>
      <c r="K9" s="94"/>
    </row>
    <row r="10" spans="1:9" ht="12.75">
      <c r="A10" s="15" t="s">
        <v>24</v>
      </c>
      <c r="B10" s="14" t="s">
        <v>21</v>
      </c>
      <c r="C10" s="13"/>
      <c r="D10" s="37">
        <v>0</v>
      </c>
      <c r="E10" s="14" t="s">
        <v>22</v>
      </c>
      <c r="F10" s="86"/>
      <c r="G10" s="16" t="s">
        <v>23</v>
      </c>
      <c r="H10" s="17">
        <f aca="true" t="shared" si="0" ref="H10:H17">D10*F10</f>
        <v>0</v>
      </c>
      <c r="I10" s="17"/>
    </row>
    <row r="11" spans="1:9" ht="12.75">
      <c r="A11" s="15" t="s">
        <v>25</v>
      </c>
      <c r="B11" s="14" t="s">
        <v>21</v>
      </c>
      <c r="C11" s="14"/>
      <c r="D11" s="37">
        <v>0</v>
      </c>
      <c r="E11" s="14" t="s">
        <v>22</v>
      </c>
      <c r="F11" s="86"/>
      <c r="G11" s="16" t="s">
        <v>23</v>
      </c>
      <c r="H11" s="17">
        <f t="shared" si="0"/>
        <v>0</v>
      </c>
      <c r="I11" s="17"/>
    </row>
    <row r="12" spans="1:9" ht="12.75">
      <c r="A12" s="15" t="s">
        <v>26</v>
      </c>
      <c r="B12" s="14" t="s">
        <v>21</v>
      </c>
      <c r="C12" s="14"/>
      <c r="D12" s="37">
        <v>0</v>
      </c>
      <c r="E12" s="14" t="s">
        <v>22</v>
      </c>
      <c r="F12" s="86"/>
      <c r="G12" s="16" t="s">
        <v>23</v>
      </c>
      <c r="H12" s="17">
        <f t="shared" si="0"/>
        <v>0</v>
      </c>
      <c r="I12" s="17"/>
    </row>
    <row r="13" spans="1:9" ht="12.75">
      <c r="A13" s="15" t="s">
        <v>6</v>
      </c>
      <c r="B13" s="14" t="s">
        <v>21</v>
      </c>
      <c r="C13" s="14"/>
      <c r="D13" s="37">
        <v>0</v>
      </c>
      <c r="E13" s="14" t="s">
        <v>22</v>
      </c>
      <c r="F13" s="86"/>
      <c r="G13" s="16" t="s">
        <v>23</v>
      </c>
      <c r="H13" s="17">
        <f t="shared" si="0"/>
        <v>0</v>
      </c>
      <c r="I13" s="17"/>
    </row>
    <row r="14" spans="1:9" ht="12.75">
      <c r="A14" s="15" t="s">
        <v>27</v>
      </c>
      <c r="B14" s="14" t="s">
        <v>21</v>
      </c>
      <c r="C14" s="14"/>
      <c r="D14" s="37">
        <v>0</v>
      </c>
      <c r="E14" s="14" t="s">
        <v>22</v>
      </c>
      <c r="F14" s="86"/>
      <c r="G14" s="16" t="s">
        <v>23</v>
      </c>
      <c r="H14" s="17">
        <f t="shared" si="0"/>
        <v>0</v>
      </c>
      <c r="I14" s="17"/>
    </row>
    <row r="15" spans="1:9" ht="12.75">
      <c r="A15" s="15" t="s">
        <v>28</v>
      </c>
      <c r="B15" s="14" t="s">
        <v>21</v>
      </c>
      <c r="C15" s="14"/>
      <c r="D15" s="38">
        <v>0</v>
      </c>
      <c r="E15" s="18" t="s">
        <v>22</v>
      </c>
      <c r="F15" s="86"/>
      <c r="G15" s="19" t="s">
        <v>23</v>
      </c>
      <c r="H15" s="20">
        <f t="shared" si="0"/>
        <v>0</v>
      </c>
      <c r="I15" s="20"/>
    </row>
    <row r="16" spans="1:9" ht="12.75">
      <c r="A16" s="15"/>
      <c r="B16" s="14" t="s">
        <v>33</v>
      </c>
      <c r="C16" s="14"/>
      <c r="D16" s="33"/>
      <c r="E16" s="18"/>
      <c r="F16" s="87"/>
      <c r="G16" s="19"/>
      <c r="H16" s="20"/>
      <c r="I16" s="20"/>
    </row>
    <row r="17" spans="1:9" ht="12.75">
      <c r="A17" s="18"/>
      <c r="B17" s="18" t="s">
        <v>29</v>
      </c>
      <c r="C17" s="18"/>
      <c r="D17" s="34">
        <f>SUM(D9:D15)</f>
        <v>28532</v>
      </c>
      <c r="E17" s="18" t="s">
        <v>22</v>
      </c>
      <c r="F17" s="125">
        <v>0</v>
      </c>
      <c r="G17" s="19" t="s">
        <v>23</v>
      </c>
      <c r="H17" s="21">
        <f t="shared" si="0"/>
        <v>0</v>
      </c>
      <c r="I17" s="20"/>
    </row>
    <row r="18" spans="1:9" ht="12.75">
      <c r="A18" s="18"/>
      <c r="B18" s="18"/>
      <c r="C18" s="18"/>
      <c r="D18" s="18"/>
      <c r="E18" s="18"/>
      <c r="F18" s="88"/>
      <c r="G18" s="19" t="s">
        <v>30</v>
      </c>
      <c r="H18" s="21">
        <f>SUM(H9:H17)</f>
        <v>7084133.53208491</v>
      </c>
      <c r="I18" s="20"/>
    </row>
    <row r="19" spans="1:9" ht="12.75">
      <c r="A19" s="18"/>
      <c r="B19" s="18"/>
      <c r="C19" s="18"/>
      <c r="D19" s="18"/>
      <c r="E19" s="18"/>
      <c r="F19" s="88"/>
      <c r="G19" s="18"/>
      <c r="H19" s="20"/>
      <c r="I19" s="20"/>
    </row>
    <row r="20" spans="1:9" ht="12.75">
      <c r="A20" s="18"/>
      <c r="B20" s="18"/>
      <c r="C20" s="18"/>
      <c r="D20" s="18"/>
      <c r="E20" s="18"/>
      <c r="F20" s="18"/>
      <c r="G20" s="18"/>
      <c r="H20" s="20"/>
      <c r="I20" s="20"/>
    </row>
    <row r="21" spans="1:8" ht="12.75">
      <c r="A21" s="18" t="s">
        <v>0</v>
      </c>
      <c r="B21" s="22"/>
      <c r="C21" s="22"/>
      <c r="D21" s="22"/>
      <c r="E21" s="22"/>
      <c r="F21" s="22"/>
      <c r="G21" s="22"/>
      <c r="H21" s="20">
        <f>H18</f>
        <v>7084133.53208491</v>
      </c>
    </row>
    <row r="22" spans="1:8" ht="12.75">
      <c r="A22" s="18" t="s">
        <v>74</v>
      </c>
      <c r="B22" s="18"/>
      <c r="C22" s="81">
        <v>0.13</v>
      </c>
      <c r="D22" s="18"/>
      <c r="E22" s="18"/>
      <c r="F22" s="18"/>
      <c r="G22" s="18"/>
      <c r="H22" s="21">
        <f>H21*C22-226473+1</f>
        <v>694465.3591710384</v>
      </c>
    </row>
    <row r="23" spans="1:8" ht="13.5" thickBot="1">
      <c r="A23" s="18" t="s">
        <v>31</v>
      </c>
      <c r="B23" s="18"/>
      <c r="C23" s="22"/>
      <c r="D23" s="22"/>
      <c r="E23" s="22"/>
      <c r="F23" s="22"/>
      <c r="G23" s="22"/>
      <c r="H23" s="23">
        <f>H22+H21</f>
        <v>7778598.891255949</v>
      </c>
    </row>
    <row r="24" spans="1:8" ht="13.5" thickBot="1">
      <c r="A24" s="18" t="s">
        <v>9</v>
      </c>
      <c r="B24" s="18"/>
      <c r="C24" s="18"/>
      <c r="D24" s="18"/>
      <c r="E24" s="18"/>
      <c r="F24" s="18"/>
      <c r="G24" s="18"/>
      <c r="H24" s="23">
        <f>ROUND(H23/D17,4)</f>
        <v>272.6272</v>
      </c>
    </row>
    <row r="25" spans="1:8" ht="13.5" thickBot="1">
      <c r="A25" s="1"/>
      <c r="B25" s="1"/>
      <c r="C25" s="1"/>
      <c r="D25" s="1"/>
      <c r="E25" s="1"/>
      <c r="F25" s="1"/>
      <c r="G25" s="1"/>
      <c r="H25" s="32">
        <f>+'Aid to Construction'!B12</f>
        <v>0.5860144497960014</v>
      </c>
    </row>
    <row r="26" spans="2:10" ht="12.75">
      <c r="B26" s="14"/>
      <c r="C26" s="14"/>
      <c r="D26" s="14"/>
      <c r="E26" s="14"/>
      <c r="F26" s="14"/>
      <c r="G26" s="14"/>
      <c r="H26" s="96"/>
      <c r="J26" s="95"/>
    </row>
    <row r="27" spans="2:10" ht="12.75">
      <c r="B27" s="14"/>
      <c r="C27" s="14"/>
      <c r="D27" s="14"/>
      <c r="E27" s="14"/>
      <c r="F27" s="14"/>
      <c r="G27" s="14"/>
      <c r="H27" s="17"/>
      <c r="I27" s="42"/>
      <c r="J27" s="24"/>
    </row>
    <row r="28" spans="1:10" ht="12.75">
      <c r="A28" s="26" t="s">
        <v>67</v>
      </c>
      <c r="B28" s="14"/>
      <c r="C28" s="14"/>
      <c r="D28" s="14"/>
      <c r="E28" s="14"/>
      <c r="F28" s="14"/>
      <c r="G28" s="14"/>
      <c r="H28" s="17"/>
      <c r="I28" s="17"/>
      <c r="J28" s="24"/>
    </row>
    <row r="29" spans="1:10" ht="25.5">
      <c r="A29" s="14" t="s">
        <v>60</v>
      </c>
      <c r="C29" s="41" t="s">
        <v>66</v>
      </c>
      <c r="D29" s="39" t="s">
        <v>54</v>
      </c>
      <c r="E29" s="39" t="s">
        <v>55</v>
      </c>
      <c r="F29" s="39" t="s">
        <v>56</v>
      </c>
      <c r="G29" s="39" t="s">
        <v>57</v>
      </c>
      <c r="H29" s="39" t="s">
        <v>58</v>
      </c>
      <c r="I29" s="25" t="s">
        <v>0</v>
      </c>
      <c r="J29" s="24"/>
    </row>
    <row r="30" spans="1:10" ht="12.75">
      <c r="A30" s="1" t="s">
        <v>68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6">
        <f aca="true" t="shared" si="1" ref="I30:I36">SUM(D30:H30)</f>
        <v>0</v>
      </c>
      <c r="J30" s="24"/>
    </row>
    <row r="31" spans="1:10" ht="12.75">
      <c r="A31" s="14" t="s">
        <v>69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6">
        <f t="shared" si="1"/>
        <v>0</v>
      </c>
      <c r="J31" s="24"/>
    </row>
    <row r="32" spans="1:10" ht="12.75">
      <c r="A32" s="1" t="s">
        <v>64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6">
        <f t="shared" si="1"/>
        <v>0</v>
      </c>
      <c r="J32" s="24"/>
    </row>
    <row r="33" spans="1:10" ht="12.75">
      <c r="A33" s="14" t="s">
        <v>70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6">
        <f t="shared" si="1"/>
        <v>0</v>
      </c>
      <c r="J33" s="24"/>
    </row>
    <row r="34" spans="1:10" ht="12.75">
      <c r="A34" s="1" t="s">
        <v>71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6">
        <f t="shared" si="1"/>
        <v>0</v>
      </c>
      <c r="J34" s="24"/>
    </row>
    <row r="35" spans="1:10" ht="12.75">
      <c r="A35" s="1" t="s">
        <v>72</v>
      </c>
      <c r="C35" s="35">
        <v>1</v>
      </c>
      <c r="D35" s="35">
        <v>1</v>
      </c>
      <c r="E35" s="35">
        <v>0</v>
      </c>
      <c r="F35" s="35">
        <v>0</v>
      </c>
      <c r="G35" s="35">
        <v>0</v>
      </c>
      <c r="H35" s="35">
        <v>0</v>
      </c>
      <c r="I35" s="36">
        <f t="shared" si="1"/>
        <v>1</v>
      </c>
      <c r="J35" s="24"/>
    </row>
    <row r="36" spans="1:10" ht="12.75">
      <c r="A36" s="1" t="s">
        <v>73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6">
        <f t="shared" si="1"/>
        <v>0</v>
      </c>
      <c r="J36" s="24"/>
    </row>
    <row r="37" spans="1:10" ht="13.5" thickBot="1">
      <c r="A37" s="14"/>
      <c r="B37" s="14"/>
      <c r="C37" s="40">
        <f>SUM(C30:C36)</f>
        <v>1</v>
      </c>
      <c r="D37" s="40">
        <f aca="true" t="shared" si="2" ref="D37:I37">SUM(D30:D36)</f>
        <v>1</v>
      </c>
      <c r="E37" s="40">
        <f t="shared" si="2"/>
        <v>0</v>
      </c>
      <c r="F37" s="40">
        <f t="shared" si="2"/>
        <v>0</v>
      </c>
      <c r="G37" s="40">
        <f t="shared" si="2"/>
        <v>0</v>
      </c>
      <c r="H37" s="40">
        <f t="shared" si="2"/>
        <v>0</v>
      </c>
      <c r="I37" s="40">
        <f t="shared" si="2"/>
        <v>1</v>
      </c>
      <c r="J37" s="24"/>
    </row>
    <row r="38" spans="1:9" ht="12.75">
      <c r="A38" s="5" t="s">
        <v>15</v>
      </c>
      <c r="B38" s="5"/>
      <c r="C38" s="5"/>
      <c r="D38" s="5"/>
      <c r="E38" s="5"/>
      <c r="F38" s="5"/>
      <c r="G38" s="5"/>
      <c r="H38" s="6"/>
      <c r="I38" s="6"/>
    </row>
    <row r="39" spans="1:9" ht="12.75">
      <c r="A39" s="5" t="s">
        <v>15</v>
      </c>
      <c r="B39" s="5"/>
      <c r="C39" s="5"/>
      <c r="D39" s="5"/>
      <c r="E39" s="5"/>
      <c r="F39" s="5"/>
      <c r="G39" s="5"/>
      <c r="H39" s="6"/>
      <c r="I39" s="6"/>
    </row>
    <row r="40" spans="1:9" ht="12.75">
      <c r="A40" s="5" t="s">
        <v>15</v>
      </c>
      <c r="B40" s="5"/>
      <c r="C40" s="5"/>
      <c r="D40" s="5"/>
      <c r="E40" s="5"/>
      <c r="F40" s="5"/>
      <c r="G40" s="5"/>
      <c r="H40" s="6"/>
      <c r="I40" s="6"/>
    </row>
    <row r="41" spans="1:9" ht="12.75">
      <c r="A41" s="1"/>
      <c r="B41" s="1"/>
      <c r="C41" s="1"/>
      <c r="D41" s="1"/>
      <c r="E41" s="1"/>
      <c r="F41" s="1"/>
      <c r="G41" s="1"/>
      <c r="H41" s="3"/>
      <c r="I41" s="3"/>
    </row>
    <row r="42" spans="1:9" ht="12.75">
      <c r="A42" s="1"/>
      <c r="B42" s="1"/>
      <c r="C42" s="1"/>
      <c r="D42" s="1"/>
      <c r="E42" s="1"/>
      <c r="F42" s="1"/>
      <c r="G42" s="1"/>
      <c r="H42" s="3"/>
      <c r="I42" s="3"/>
    </row>
    <row r="43" spans="1:9" ht="12.75">
      <c r="A43" s="2"/>
      <c r="B43" s="1"/>
      <c r="C43" s="1"/>
      <c r="D43" s="1"/>
      <c r="E43" s="1"/>
      <c r="F43" s="1"/>
      <c r="G43" s="1"/>
      <c r="H43" s="3"/>
      <c r="I43" s="3"/>
    </row>
    <row r="44" spans="1:9" ht="12.75">
      <c r="A44" s="1"/>
      <c r="B44" s="1"/>
      <c r="C44" s="1"/>
      <c r="D44" s="1"/>
      <c r="E44" s="1"/>
      <c r="F44" s="1"/>
      <c r="G44" s="1"/>
      <c r="H44" s="3"/>
      <c r="I44" s="3"/>
    </row>
    <row r="45" spans="1:9" ht="12.75">
      <c r="A45" s="1"/>
      <c r="B45" s="1"/>
      <c r="C45" s="1"/>
      <c r="D45" s="1"/>
      <c r="E45" s="1"/>
      <c r="F45" s="1"/>
      <c r="G45" s="1"/>
      <c r="H45" s="3"/>
      <c r="I45" s="3"/>
    </row>
  </sheetData>
  <sheetProtection/>
  <printOptions/>
  <pageMargins left="0.5" right="0.25" top="1" bottom="1" header="0.5" footer="0.5"/>
  <pageSetup fitToHeight="1" fitToWidth="1" horizontalDpi="300" verticalDpi="300" orientation="landscape" scale="87" r:id="rId1"/>
  <headerFooter alignWithMargins="0">
    <oddFooter>&amp;L&amp;8&amp;P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PageLayoutView="0" workbookViewId="0" topLeftCell="A1">
      <selection activeCell="H30" sqref="H30"/>
    </sheetView>
  </sheetViews>
  <sheetFormatPr defaultColWidth="9.33203125" defaultRowHeight="12.75"/>
  <cols>
    <col min="1" max="1" width="41" style="4" customWidth="1"/>
    <col min="2" max="2" width="13.66015625" style="4" customWidth="1"/>
    <col min="3" max="3" width="13.5" style="4" customWidth="1"/>
    <col min="4" max="4" width="20.83203125" style="4" customWidth="1"/>
    <col min="5" max="5" width="17.83203125" style="4" customWidth="1"/>
    <col min="6" max="7" width="12.5" style="4" bestFit="1" customWidth="1"/>
    <col min="8" max="8" width="14.5" style="4" bestFit="1" customWidth="1"/>
    <col min="9" max="16384" width="9.33203125" style="4" customWidth="1"/>
  </cols>
  <sheetData>
    <row r="1" ht="12.75">
      <c r="A1" s="70" t="s">
        <v>90</v>
      </c>
    </row>
    <row r="2" ht="12.75">
      <c r="A2" s="70" t="s">
        <v>91</v>
      </c>
    </row>
    <row r="4" spans="1:8" ht="12.75">
      <c r="A4" s="28"/>
      <c r="B4" s="49"/>
      <c r="C4" s="28"/>
      <c r="D4" s="27"/>
      <c r="E4" s="28"/>
      <c r="F4" s="28"/>
      <c r="G4" s="28"/>
      <c r="H4" s="28"/>
    </row>
    <row r="5" spans="1:8" ht="12.75">
      <c r="A5" s="27"/>
      <c r="B5" s="28"/>
      <c r="C5" s="28"/>
      <c r="D5" s="69"/>
      <c r="E5" s="69"/>
      <c r="F5" s="69"/>
      <c r="G5" s="30"/>
      <c r="H5" s="30"/>
    </row>
    <row r="6" spans="1:8" ht="12.75">
      <c r="A6" s="28"/>
      <c r="B6" s="83"/>
      <c r="C6" s="28"/>
      <c r="D6" s="85"/>
      <c r="E6" s="85"/>
      <c r="F6" s="85"/>
      <c r="G6" s="85"/>
      <c r="H6" s="85"/>
    </row>
    <row r="7" spans="1:8" ht="12.75">
      <c r="A7" s="28"/>
      <c r="B7" s="83"/>
      <c r="C7" s="28"/>
      <c r="D7" s="99"/>
      <c r="E7" s="99"/>
      <c r="F7" s="99"/>
      <c r="G7" s="99"/>
      <c r="H7" s="99"/>
    </row>
    <row r="8" spans="1:8" ht="12.75">
      <c r="A8" s="28"/>
      <c r="B8" s="84"/>
      <c r="C8" s="28"/>
      <c r="D8" s="119"/>
      <c r="E8" s="119"/>
      <c r="F8" s="120"/>
      <c r="G8" s="119"/>
      <c r="H8" s="119"/>
    </row>
    <row r="9" spans="1:8" ht="12.75">
      <c r="A9" s="28"/>
      <c r="B9" s="28"/>
      <c r="C9" s="28"/>
      <c r="D9" s="121"/>
      <c r="E9" s="121"/>
      <c r="F9" s="119"/>
      <c r="G9" s="121"/>
      <c r="H9" s="121"/>
    </row>
    <row r="10" spans="1:8" ht="12.75">
      <c r="A10" s="28"/>
      <c r="B10" s="74"/>
      <c r="C10" s="28"/>
      <c r="D10" s="122"/>
      <c r="E10" s="122"/>
      <c r="F10" s="122"/>
      <c r="G10" s="122"/>
      <c r="H10" s="123"/>
    </row>
    <row r="11" spans="1:8" ht="12.75">
      <c r="A11" s="27"/>
      <c r="B11" s="74"/>
      <c r="C11" s="28"/>
      <c r="D11" s="28"/>
      <c r="E11" s="28"/>
      <c r="F11" s="28"/>
      <c r="G11" s="28"/>
      <c r="H11" s="28"/>
    </row>
    <row r="12" spans="1:8" ht="12.75">
      <c r="A12" s="28"/>
      <c r="B12" s="83"/>
      <c r="C12" s="28"/>
      <c r="D12" s="27" t="s">
        <v>92</v>
      </c>
      <c r="E12" s="28"/>
      <c r="F12" s="28"/>
      <c r="G12" s="28"/>
      <c r="H12" s="28"/>
    </row>
    <row r="13" spans="1:8" ht="12.75">
      <c r="A13" s="28"/>
      <c r="B13" s="83"/>
      <c r="C13" s="28"/>
      <c r="D13" s="28" t="s">
        <v>20</v>
      </c>
      <c r="E13" s="98">
        <f>ROUND(+F$18*F13,3)</f>
        <v>2.047</v>
      </c>
      <c r="F13" s="82">
        <f>3.2808*24.6</f>
        <v>80.70768000000001</v>
      </c>
      <c r="G13" s="28" t="s">
        <v>129</v>
      </c>
      <c r="H13" s="28"/>
    </row>
    <row r="14" spans="1:8" ht="12.75">
      <c r="A14" s="28"/>
      <c r="B14" s="83"/>
      <c r="C14" s="28"/>
      <c r="D14" s="28" t="s">
        <v>24</v>
      </c>
      <c r="E14" s="47">
        <f>ROUND(+F$18*F14,2)</f>
        <v>0</v>
      </c>
      <c r="F14" s="75">
        <v>0</v>
      </c>
      <c r="G14" s="28"/>
      <c r="H14" s="28"/>
    </row>
    <row r="15" spans="1:8" ht="12.75">
      <c r="A15" s="28"/>
      <c r="B15" s="84"/>
      <c r="C15" s="28"/>
      <c r="D15" s="28" t="s">
        <v>25</v>
      </c>
      <c r="E15" s="47">
        <f>ROUND(+F$18*F15,2)</f>
        <v>0</v>
      </c>
      <c r="F15" s="75">
        <v>0</v>
      </c>
      <c r="G15" s="28"/>
      <c r="H15" s="28"/>
    </row>
    <row r="16" spans="1:8" ht="12.75">
      <c r="A16" s="28"/>
      <c r="B16" s="28"/>
      <c r="C16" s="28"/>
      <c r="D16" s="28" t="s">
        <v>26</v>
      </c>
      <c r="E16" s="47">
        <f>ROUND(+F$18*F16,2)</f>
        <v>0</v>
      </c>
      <c r="F16" s="75">
        <v>0</v>
      </c>
      <c r="G16" s="28"/>
      <c r="H16" s="28"/>
    </row>
    <row r="17" spans="1:8" ht="12.75">
      <c r="A17" s="28"/>
      <c r="B17" s="28"/>
      <c r="C17" s="28"/>
      <c r="D17" s="28"/>
      <c r="E17" s="47">
        <f>ROUND(+F$18*F17,2)</f>
        <v>0</v>
      </c>
      <c r="F17" s="75">
        <v>0</v>
      </c>
      <c r="G17" s="28"/>
      <c r="H17" s="28"/>
    </row>
    <row r="18" spans="1:8" ht="12.75">
      <c r="A18" s="27" t="s">
        <v>93</v>
      </c>
      <c r="B18" s="28"/>
      <c r="C18" s="28"/>
      <c r="D18" s="28" t="s">
        <v>94</v>
      </c>
      <c r="E18" s="47"/>
      <c r="F18" s="75">
        <v>0.025362</v>
      </c>
      <c r="G18" s="28"/>
      <c r="H18" s="28"/>
    </row>
    <row r="19" spans="1:8" ht="12.75">
      <c r="A19" s="28" t="s">
        <v>95</v>
      </c>
      <c r="B19" s="60">
        <v>150</v>
      </c>
      <c r="C19" s="28"/>
      <c r="D19" s="28"/>
      <c r="E19" s="47"/>
      <c r="F19" s="28"/>
      <c r="G19" s="28"/>
      <c r="H19" s="28"/>
    </row>
    <row r="20" spans="1:8" ht="12.75">
      <c r="A20" s="28" t="s">
        <v>96</v>
      </c>
      <c r="B20" s="71">
        <v>0.255904</v>
      </c>
      <c r="C20" s="28"/>
      <c r="D20" s="28"/>
      <c r="E20" s="47"/>
      <c r="F20" s="28"/>
      <c r="G20" s="28"/>
      <c r="H20" s="46"/>
    </row>
    <row r="21" spans="1:8" ht="12.75">
      <c r="A21" s="28" t="s">
        <v>97</v>
      </c>
      <c r="B21" s="71">
        <v>0.03731</v>
      </c>
      <c r="C21" s="28"/>
      <c r="D21" s="28" t="s">
        <v>98</v>
      </c>
      <c r="E21" s="47"/>
      <c r="F21" s="75">
        <v>0</v>
      </c>
      <c r="G21" s="28"/>
      <c r="H21" s="28"/>
    </row>
    <row r="22" spans="1:8" ht="12.75">
      <c r="A22" s="28" t="s">
        <v>99</v>
      </c>
      <c r="B22" s="71">
        <v>0.060992</v>
      </c>
      <c r="C22" s="28"/>
      <c r="D22" s="28" t="s">
        <v>100</v>
      </c>
      <c r="E22" s="47"/>
      <c r="F22" s="75">
        <v>0.00285</v>
      </c>
      <c r="G22" s="28"/>
      <c r="H22" s="28"/>
    </row>
    <row r="23" spans="1:8" ht="12.75">
      <c r="A23" s="28"/>
      <c r="B23" s="74"/>
      <c r="C23" s="28"/>
      <c r="D23" s="28"/>
      <c r="E23" s="47"/>
      <c r="F23" s="28"/>
      <c r="G23" s="28"/>
      <c r="H23" s="28"/>
    </row>
    <row r="24" spans="1:8" ht="12.75">
      <c r="A24" s="27"/>
      <c r="B24" s="74"/>
      <c r="C24" s="28"/>
      <c r="D24" s="28"/>
      <c r="E24" s="47"/>
      <c r="F24" s="28"/>
      <c r="G24" s="28"/>
      <c r="H24" s="28"/>
    </row>
    <row r="25" spans="1:8" ht="12.75">
      <c r="A25" s="28"/>
      <c r="B25" s="83"/>
      <c r="C25" s="28"/>
      <c r="D25" s="28"/>
      <c r="E25" s="47"/>
      <c r="F25" s="28"/>
      <c r="G25" s="28"/>
      <c r="H25" s="28"/>
    </row>
    <row r="26" spans="1:8" ht="12.75">
      <c r="A26" s="28"/>
      <c r="B26" s="83"/>
      <c r="C26" s="28"/>
      <c r="D26" s="28"/>
      <c r="E26" s="47"/>
      <c r="F26" s="28"/>
      <c r="G26" s="28"/>
      <c r="H26" s="28"/>
    </row>
    <row r="27" spans="1:8" ht="12.75">
      <c r="A27" s="28"/>
      <c r="B27" s="84"/>
      <c r="C27" s="28"/>
      <c r="D27" s="28"/>
      <c r="E27" s="47"/>
      <c r="F27" s="28"/>
      <c r="G27" s="28"/>
      <c r="H27" s="28"/>
    </row>
    <row r="28" spans="1:8" s="78" customFormat="1" ht="25.5">
      <c r="A28" s="58"/>
      <c r="B28" s="76"/>
      <c r="C28" s="58"/>
      <c r="D28" s="77" t="s">
        <v>101</v>
      </c>
      <c r="E28" s="77" t="s">
        <v>102</v>
      </c>
      <c r="F28" s="58"/>
      <c r="G28" s="58"/>
      <c r="H28" s="58"/>
    </row>
    <row r="29" spans="1:8" ht="12.75">
      <c r="A29" s="28" t="s">
        <v>104</v>
      </c>
      <c r="B29" s="63">
        <f>E33</f>
        <v>0.0706</v>
      </c>
      <c r="C29" s="28" t="s">
        <v>103</v>
      </c>
      <c r="D29" s="72">
        <v>0.6621</v>
      </c>
      <c r="E29" s="72">
        <v>0.0831</v>
      </c>
      <c r="F29" s="28"/>
      <c r="G29" s="85"/>
      <c r="H29" s="85"/>
    </row>
    <row r="30" spans="1:8" ht="12.75">
      <c r="A30" s="28" t="s">
        <v>139</v>
      </c>
      <c r="B30" s="72">
        <v>0.04</v>
      </c>
      <c r="C30" s="28" t="s">
        <v>105</v>
      </c>
      <c r="D30" s="72">
        <v>0</v>
      </c>
      <c r="E30" s="72">
        <v>0</v>
      </c>
      <c r="F30" s="28"/>
      <c r="G30" s="85"/>
      <c r="H30" s="85" t="s">
        <v>147</v>
      </c>
    </row>
    <row r="31" spans="1:8" ht="12.75">
      <c r="A31" s="28" t="s">
        <v>140</v>
      </c>
      <c r="B31" s="72">
        <v>0.08</v>
      </c>
      <c r="C31" s="28" t="s">
        <v>106</v>
      </c>
      <c r="D31" s="72">
        <v>-0.0821</v>
      </c>
      <c r="E31" s="72">
        <v>0.06</v>
      </c>
      <c r="F31" s="28"/>
      <c r="G31" s="85"/>
      <c r="H31" s="85" t="s">
        <v>148</v>
      </c>
    </row>
    <row r="32" spans="1:8" ht="12.75">
      <c r="A32" s="4" t="s">
        <v>169</v>
      </c>
      <c r="B32" s="72">
        <v>0.06</v>
      </c>
      <c r="C32" s="28" t="s">
        <v>107</v>
      </c>
      <c r="D32" s="79">
        <v>0.42</v>
      </c>
      <c r="E32" s="72">
        <v>0.092</v>
      </c>
      <c r="F32" s="28"/>
      <c r="G32" s="99"/>
      <c r="H32" s="99" t="s">
        <v>149</v>
      </c>
    </row>
    <row r="33" spans="1:10" ht="13.5" thickBot="1">
      <c r="A33" s="28" t="s">
        <v>108</v>
      </c>
      <c r="B33" s="72">
        <v>0.3612</v>
      </c>
      <c r="C33" s="28"/>
      <c r="D33" s="73">
        <f>SUM(D29:D32)</f>
        <v>1</v>
      </c>
      <c r="E33" s="73">
        <f>ROUND((+D29*E29+D30*E30+D31*E31)*(1-B33)+D32*E32,4)</f>
        <v>0.0706</v>
      </c>
      <c r="F33" s="28"/>
      <c r="G33" s="118"/>
      <c r="H33" s="118" t="s">
        <v>150</v>
      </c>
      <c r="J33" s="4">
        <f>16+31+30</f>
        <v>77</v>
      </c>
    </row>
    <row r="34" spans="1:10" ht="12.75">
      <c r="A34" s="28"/>
      <c r="B34" s="28"/>
      <c r="C34" s="28"/>
      <c r="D34" s="28"/>
      <c r="E34" s="28"/>
      <c r="F34" s="28"/>
      <c r="G34" s="28"/>
      <c r="H34" s="28" t="s">
        <v>151</v>
      </c>
      <c r="J34" s="4">
        <v>366</v>
      </c>
    </row>
    <row r="35" spans="1:10" ht="12.75">
      <c r="A35" s="28" t="s">
        <v>109</v>
      </c>
      <c r="B35" s="30" t="s">
        <v>63</v>
      </c>
      <c r="C35" s="30" t="s">
        <v>62</v>
      </c>
      <c r="D35" s="30" t="s">
        <v>110</v>
      </c>
      <c r="E35" s="30" t="s">
        <v>65</v>
      </c>
      <c r="F35" s="30" t="s">
        <v>111</v>
      </c>
      <c r="G35" s="97" t="s">
        <v>128</v>
      </c>
      <c r="H35" s="28" t="s">
        <v>152</v>
      </c>
      <c r="J35" s="4">
        <f>+(1+B29)^(J33/J34)</f>
        <v>1.014455621356058</v>
      </c>
    </row>
    <row r="36" spans="1:8" ht="12.75">
      <c r="A36" s="28" t="s">
        <v>112</v>
      </c>
      <c r="B36" s="71">
        <v>0.00545</v>
      </c>
      <c r="C36" s="71">
        <f>+B36</f>
        <v>0.00545</v>
      </c>
      <c r="D36" s="71">
        <f>+C36</f>
        <v>0.00545</v>
      </c>
      <c r="E36" s="71">
        <f>+D36</f>
        <v>0.00545</v>
      </c>
      <c r="F36" s="71">
        <f>+E36</f>
        <v>0.00545</v>
      </c>
      <c r="G36" s="71">
        <v>0.184938</v>
      </c>
      <c r="H36" s="28"/>
    </row>
    <row r="37" spans="1:8" ht="12.75">
      <c r="A37" s="28"/>
      <c r="B37" s="28"/>
      <c r="C37" s="28"/>
      <c r="D37" s="28"/>
      <c r="E37" s="28"/>
      <c r="F37" s="28"/>
      <c r="G37" s="28"/>
      <c r="H37" s="28"/>
    </row>
    <row r="38" spans="1:8" ht="12.75">
      <c r="A38" s="28"/>
      <c r="B38" s="30" t="s">
        <v>113</v>
      </c>
      <c r="C38" s="30" t="s">
        <v>114</v>
      </c>
      <c r="D38" s="30" t="s">
        <v>115</v>
      </c>
      <c r="E38" s="30" t="s">
        <v>116</v>
      </c>
      <c r="F38" s="30" t="s">
        <v>117</v>
      </c>
      <c r="G38" s="28"/>
      <c r="H38" s="28"/>
    </row>
    <row r="39" spans="1:8" ht="12.75">
      <c r="A39" s="28"/>
      <c r="B39" s="30" t="s">
        <v>118</v>
      </c>
      <c r="C39" s="30" t="s">
        <v>119</v>
      </c>
      <c r="D39" s="30" t="s">
        <v>120</v>
      </c>
      <c r="E39" s="30" t="s">
        <v>121</v>
      </c>
      <c r="F39" s="30" t="s">
        <v>122</v>
      </c>
      <c r="G39" s="28"/>
      <c r="H39" s="28"/>
    </row>
    <row r="40" spans="1:8" ht="12.75">
      <c r="A40" s="28"/>
      <c r="B40" s="30" t="s">
        <v>123</v>
      </c>
      <c r="C40" s="30" t="s">
        <v>124</v>
      </c>
      <c r="D40" s="30" t="s">
        <v>125</v>
      </c>
      <c r="E40" s="30" t="s">
        <v>126</v>
      </c>
      <c r="F40" s="30" t="s">
        <v>127</v>
      </c>
      <c r="G40" s="28"/>
      <c r="H40" s="28"/>
    </row>
    <row r="41" spans="1:8" ht="12.75">
      <c r="A41" s="28"/>
      <c r="B41" s="28"/>
      <c r="C41" s="28"/>
      <c r="D41" s="28"/>
      <c r="E41" s="28"/>
      <c r="F41" s="28"/>
      <c r="G41" s="28"/>
      <c r="H41" s="28"/>
    </row>
    <row r="42" spans="1:8" ht="12.75">
      <c r="A42" s="89"/>
      <c r="B42" s="80"/>
      <c r="C42" s="80"/>
      <c r="D42" s="80"/>
      <c r="E42" s="83"/>
      <c r="F42" s="98"/>
      <c r="G42" s="28"/>
      <c r="H42" s="28"/>
    </row>
    <row r="43" spans="1:8" ht="12.75">
      <c r="A43" s="89"/>
      <c r="B43" s="80"/>
      <c r="C43" s="80"/>
      <c r="D43" s="80"/>
      <c r="E43" s="83"/>
      <c r="F43" s="98"/>
      <c r="G43" s="28"/>
      <c r="H43" s="28"/>
    </row>
    <row r="44" spans="1:8" ht="12.75">
      <c r="A44" s="89"/>
      <c r="B44" s="80"/>
      <c r="C44" s="80"/>
      <c r="D44" s="80"/>
      <c r="E44" s="83"/>
      <c r="F44" s="98"/>
      <c r="G44" s="28"/>
      <c r="H44" s="28"/>
    </row>
    <row r="45" spans="1:8" ht="12.75">
      <c r="A45" s="89"/>
      <c r="B45" s="80"/>
      <c r="C45" s="80"/>
      <c r="D45" s="80"/>
      <c r="E45" s="83"/>
      <c r="F45" s="98"/>
      <c r="G45" s="28"/>
      <c r="H45" s="28"/>
    </row>
    <row r="46" spans="1:8" ht="12.75">
      <c r="A46" s="89"/>
      <c r="B46" s="80"/>
      <c r="C46" s="80"/>
      <c r="D46" s="80"/>
      <c r="E46" s="83"/>
      <c r="F46" s="98"/>
      <c r="G46" s="28"/>
      <c r="H46" s="28"/>
    </row>
    <row r="47" spans="1:8" ht="12.75">
      <c r="A47" s="28" t="s">
        <v>141</v>
      </c>
      <c r="B47" s="59">
        <v>847754</v>
      </c>
      <c r="C47" s="59">
        <v>0</v>
      </c>
      <c r="D47" s="59"/>
      <c r="E47" s="71">
        <v>0</v>
      </c>
      <c r="F47" s="117">
        <v>50000</v>
      </c>
      <c r="G47" s="28"/>
      <c r="H47" s="28"/>
    </row>
    <row r="48" spans="1:8" ht="12.75">
      <c r="A48" s="28"/>
      <c r="B48" s="28"/>
      <c r="C48" s="28"/>
      <c r="D48" s="28"/>
      <c r="E48" s="28"/>
      <c r="F48" s="28"/>
      <c r="G48" s="28"/>
      <c r="H48" s="28"/>
    </row>
    <row r="49" spans="1:8" ht="12.75">
      <c r="A49" s="28"/>
      <c r="B49" s="28"/>
      <c r="C49" s="28"/>
      <c r="D49" s="28"/>
      <c r="E49" s="28"/>
      <c r="F49" s="28"/>
      <c r="G49" s="28"/>
      <c r="H49" s="28"/>
    </row>
  </sheetData>
  <sheetProtection/>
  <printOptions/>
  <pageMargins left="0.75" right="0.75" top="1" bottom="1" header="0.5" footer="0.5"/>
  <pageSetup fitToHeight="1" fitToWidth="1" horizontalDpi="600" verticalDpi="600" orientation="landscape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D18" sqref="D18"/>
    </sheetView>
  </sheetViews>
  <sheetFormatPr defaultColWidth="9.33203125" defaultRowHeight="12.75"/>
  <cols>
    <col min="2" max="2" width="12.66015625" style="0" bestFit="1" customWidth="1"/>
    <col min="4" max="4" width="9.66015625" style="0" bestFit="1" customWidth="1"/>
    <col min="6" max="11" width="10" style="0" bestFit="1" customWidth="1"/>
    <col min="12" max="13" width="9.83203125" style="0" bestFit="1" customWidth="1"/>
  </cols>
  <sheetData>
    <row r="1" ht="12.75">
      <c r="A1" t="s">
        <v>154</v>
      </c>
    </row>
    <row r="2" ht="12.75">
      <c r="A2" t="s">
        <v>155</v>
      </c>
    </row>
    <row r="3" ht="12.75">
      <c r="A3" t="s">
        <v>156</v>
      </c>
    </row>
    <row r="5" ht="12.75">
      <c r="B5" t="s">
        <v>164</v>
      </c>
    </row>
    <row r="6" ht="12.75">
      <c r="B6" s="134">
        <f>+Variables!B29</f>
        <v>0.0706</v>
      </c>
    </row>
    <row r="7" ht="12.75">
      <c r="B7" s="134"/>
    </row>
    <row r="8" ht="12.75">
      <c r="B8" t="s">
        <v>160</v>
      </c>
    </row>
    <row r="9" spans="2:13" ht="12.75">
      <c r="B9" s="131">
        <v>39644</v>
      </c>
      <c r="D9" s="131">
        <v>39722</v>
      </c>
      <c r="F9" s="131">
        <v>39904</v>
      </c>
      <c r="G9" s="131">
        <v>40269</v>
      </c>
      <c r="H9" s="131">
        <v>40634</v>
      </c>
      <c r="I9" s="131">
        <v>41000</v>
      </c>
      <c r="J9" s="131">
        <v>41365</v>
      </c>
      <c r="K9" s="131">
        <v>41730</v>
      </c>
      <c r="L9" s="131" t="s">
        <v>159</v>
      </c>
      <c r="M9" s="131">
        <v>41912</v>
      </c>
    </row>
    <row r="10" spans="1:2" ht="12.75">
      <c r="A10" t="s">
        <v>157</v>
      </c>
      <c r="B10" s="132">
        <f>+'Aid to Construction'!B5</f>
        <v>8399880.2704</v>
      </c>
    </row>
    <row r="11" spans="1:4" ht="12.75">
      <c r="A11" t="s">
        <v>165</v>
      </c>
      <c r="B11" s="132"/>
      <c r="D11">
        <f>+(1+B6)^((16+31+30)/366)</f>
        <v>1.014455621356058</v>
      </c>
    </row>
    <row r="12" spans="1:4" ht="12.75">
      <c r="A12" t="s">
        <v>161</v>
      </c>
      <c r="D12">
        <f>+B10*D11</f>
        <v>8521305.759025125</v>
      </c>
    </row>
    <row r="14" ht="12.75">
      <c r="B14" t="s">
        <v>158</v>
      </c>
    </row>
    <row r="15" spans="1:12" ht="12.75">
      <c r="A15" t="s">
        <v>162</v>
      </c>
      <c r="F15" s="133">
        <f>+'Aid to Construction'!B88</f>
        <v>655150.31365258</v>
      </c>
      <c r="G15" s="133">
        <f>+'Aid to Construction'!C88</f>
        <v>655150.31365258</v>
      </c>
      <c r="H15" s="133">
        <f>+'Aid to Construction'!D88</f>
        <v>655150.31365258</v>
      </c>
      <c r="I15" s="133">
        <f>+'Aid to Construction'!E88</f>
        <v>655150.31365258</v>
      </c>
      <c r="J15" s="133">
        <f>+'Aid to Construction'!F88</f>
        <v>655150.31365258</v>
      </c>
      <c r="K15" s="133">
        <f>+'Aid to Construction'!G88</f>
        <v>655150.31365258</v>
      </c>
      <c r="L15" s="133">
        <f>+'Aid to Construction'!H88</f>
        <v>655150.31365258</v>
      </c>
    </row>
    <row r="16" spans="1:12" ht="12.75">
      <c r="A16" t="s">
        <v>165</v>
      </c>
      <c r="F16">
        <f>1/(+(1+$B$6)^(0.5))</f>
        <v>0.9664655553706584</v>
      </c>
      <c r="G16">
        <f>1/(+(1+$B$6)^(1.5))</f>
        <v>0.9027326315810371</v>
      </c>
      <c r="H16">
        <f>1/(+(1+$B$6)^(2.5))</f>
        <v>0.8432025327676417</v>
      </c>
      <c r="I16">
        <f>1/(+(1+$B$6)^(3.5))</f>
        <v>0.7875981064521219</v>
      </c>
      <c r="J16">
        <f>1/(+(1+$B$6)^(4.5))</f>
        <v>0.7356604767906986</v>
      </c>
      <c r="K16">
        <f>1/(+(1+$B$6)^(5.5))</f>
        <v>0.6871478393337367</v>
      </c>
      <c r="L16">
        <f>1/(+(1+$B$6)^(6.5))</f>
        <v>0.641834335264092</v>
      </c>
    </row>
    <row r="17" spans="1:12" ht="12.75">
      <c r="A17" t="s">
        <v>163</v>
      </c>
      <c r="F17">
        <f>+F15*F16</f>
        <v>633180.2117355018</v>
      </c>
      <c r="G17">
        <f aca="true" t="shared" si="0" ref="G17:L17">+G15*G16</f>
        <v>591425.5667247354</v>
      </c>
      <c r="H17">
        <f t="shared" si="0"/>
        <v>552424.4038153703</v>
      </c>
      <c r="I17">
        <f t="shared" si="0"/>
        <v>515995.1464742858</v>
      </c>
      <c r="J17">
        <f t="shared" si="0"/>
        <v>481968.1921112327</v>
      </c>
      <c r="K17">
        <f t="shared" si="0"/>
        <v>450185.12246519024</v>
      </c>
      <c r="L17">
        <f t="shared" si="0"/>
        <v>420497.96606126503</v>
      </c>
    </row>
    <row r="18" spans="1:4" ht="12.75">
      <c r="A18" t="s">
        <v>166</v>
      </c>
      <c r="D18">
        <f>SUM(F17:L17)</f>
        <v>3645676.6093875812</v>
      </c>
    </row>
    <row r="20" spans="1:2" ht="12.75">
      <c r="A20" t="s">
        <v>167</v>
      </c>
      <c r="B20" s="135">
        <f>NPV(B6,F15:L15)</f>
        <v>3523420.8689935883</v>
      </c>
    </row>
    <row r="21" ht="12.75">
      <c r="B21">
        <f>+B20*((1+B6)^0.5)</f>
        <v>3645676.6093875817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  <HyperlinkBase> 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/>
  <dc:creator/>
  <cp:keywords/>
  <dc:description/>
  <cp:lastModifiedBy/>
  <dcterms:modified xsi:type="dcterms:W3CDTF">2013-09-11T19:35:55Z</dcterms:modified>
  <cp:category/>
  <cp:version/>
  <cp:contentType/>
  <cp:contentStatus/>
</cp:coreProperties>
</file>