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05" yWindow="150" windowWidth="8085" windowHeight="8685" activeTab="0"/>
  </bookViews>
  <sheets>
    <sheet name="Table" sheetId="1" r:id="rId1"/>
    <sheet name="Residential" sheetId="2" r:id="rId2"/>
    <sheet name="GS &lt;50" sheetId="3" r:id="rId3"/>
    <sheet name="GS 50-2999" sheetId="4" r:id="rId4"/>
    <sheet name="GS3000-4999" sheetId="5" r:id="rId5"/>
    <sheet name="UMSL" sheetId="6" r:id="rId6"/>
    <sheet name="Sentinel Lights" sheetId="7" r:id="rId7"/>
    <sheet name="Street Lighting" sheetId="8" r:id="rId8"/>
  </sheets>
  <externalReferences>
    <externalReference r:id="rId11"/>
    <externalReference r:id="rId12"/>
  </externalReferences>
  <definedNames>
    <definedName name="BI_LDCLIST">'[2]3. Rate Class Selection'!$B$19:$B$26</definedName>
    <definedName name="rateclasses">'[1]hidden1'!$A$1:$A$22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<sst xmlns="http://schemas.openxmlformats.org/spreadsheetml/2006/main" count="334" uniqueCount="60">
  <si>
    <t>Distribution Volumetric Rate</t>
  </si>
  <si>
    <t>Debt Retirement Charge (DRC)</t>
  </si>
  <si>
    <t>Loss Factor</t>
  </si>
  <si>
    <t>Consumption</t>
  </si>
  <si>
    <t>kWh</t>
  </si>
  <si>
    <t>kW</t>
  </si>
  <si>
    <t>Load Factor</t>
  </si>
  <si>
    <t>Volume</t>
  </si>
  <si>
    <t>HST</t>
  </si>
  <si>
    <t>Residential</t>
  </si>
  <si>
    <t>GS&lt;50</t>
  </si>
  <si>
    <t>GS 50 - 2,999</t>
  </si>
  <si>
    <t>GS 3,000 - 4,999</t>
  </si>
  <si>
    <t>UMSL</t>
  </si>
  <si>
    <t>Street Lights</t>
  </si>
  <si>
    <t>Sentinel Lights</t>
  </si>
  <si>
    <t>Rate Class</t>
  </si>
  <si>
    <t>Distribution Bill Impact</t>
  </si>
  <si>
    <t>Total Bill Impact</t>
  </si>
  <si>
    <t>$</t>
  </si>
  <si>
    <t>%</t>
  </si>
  <si>
    <t>RESIDENTIAL</t>
  </si>
  <si>
    <t xml:space="preserve"> kWh</t>
  </si>
  <si>
    <t>If Billed on a kW basis:</t>
  </si>
  <si>
    <t>Demand</t>
  </si>
  <si>
    <t>Current Board-Approved</t>
  </si>
  <si>
    <t>Proposed</t>
  </si>
  <si>
    <t>Impact</t>
  </si>
  <si>
    <t>Rate</t>
  </si>
  <si>
    <t>Charge</t>
  </si>
  <si>
    <t>$ Change</t>
  </si>
  <si>
    <t>% Change</t>
  </si>
  <si>
    <t>($)</t>
  </si>
  <si>
    <t>Monthly Service Charge</t>
  </si>
  <si>
    <t>Sub-Total A (excluding pass through)</t>
  </si>
  <si>
    <t>Line Losses on Cost of Power</t>
  </si>
  <si>
    <t>Low Voltage Service Charge</t>
  </si>
  <si>
    <t>Smart Meter Entity Charge</t>
  </si>
  <si>
    <t>Sub-Total B - Distribution (includes Sub-Total A)</t>
  </si>
  <si>
    <t>RTSR - Network</t>
  </si>
  <si>
    <t>RTSR - Connection and/or Line and Transformation Connection</t>
  </si>
  <si>
    <t>Sub-Total C - Delivery (including Sub-Total B)</t>
  </si>
  <si>
    <t>Wholesale Market Service Charge (WMSC)</t>
  </si>
  <si>
    <t>Rural and Remote Rate Protection (RRRP)</t>
  </si>
  <si>
    <t>Standard Supply Service Charge</t>
  </si>
  <si>
    <t>TOU - Off Peak</t>
  </si>
  <si>
    <t>TOU - Mid Peak</t>
  </si>
  <si>
    <t>TOU - On Peak</t>
  </si>
  <si>
    <t>Total Bill on TOU (before Taxes)</t>
  </si>
  <si>
    <r>
      <t xml:space="preserve">Total Bill </t>
    </r>
    <r>
      <rPr>
        <sz val="10"/>
        <rFont val="Arial"/>
        <family val="2"/>
      </rPr>
      <t>(including HST)</t>
    </r>
  </si>
  <si>
    <r>
      <t xml:space="preserve">Ontario Clean Energy Benefit </t>
    </r>
    <r>
      <rPr>
        <b/>
        <i/>
        <vertAlign val="superscript"/>
        <sz val="10"/>
        <rFont val="Arial"/>
        <family val="2"/>
      </rPr>
      <t>1</t>
    </r>
  </si>
  <si>
    <t>Total Bill on TOU (including OCEB)</t>
  </si>
  <si>
    <t>GENERAL SERVICE LESS THAN 50 KW</t>
  </si>
  <si>
    <t>GENERAL SERVICE 50 TO 2,999 KW</t>
  </si>
  <si>
    <t>GENERAL SERVICE 3,000 TO 4,999 KW</t>
  </si>
  <si>
    <t>UNMETERED SCATTERED LOAD</t>
  </si>
  <si>
    <t>SENTINEL LIGHTING</t>
  </si>
  <si>
    <t>STREET LIGHTING</t>
  </si>
  <si>
    <t>Rate Class:</t>
  </si>
  <si>
    <t>TABLE 2- 2014 BILL IMPACTS w/o RATE RIDERS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</si>
</sst>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"/>
    <numFmt numFmtId="165" formatCode="_-* #,##0.00_-;\-* #,##0.00_-;_-* &quot;-&quot;??_-;_-@_-"/>
    <numFmt numFmtId="166" formatCode="0.00000;\(0.00000\)"/>
    <numFmt numFmtId="167" formatCode="_-* #,##0.0000_-;\-* #,##0.0000_-;_-* &quot;-&quot;??_-;_-@_-"/>
    <numFmt numFmtId="168" formatCode="_-* #,##0_-"/>
    <numFmt numFmtId="169" formatCode="0.0000"/>
    <numFmt numFmtId="170" formatCode="0.0%"/>
    <numFmt numFmtId="171" formatCode="0.0%;\(0.0\)%"/>
    <numFmt numFmtId="172" formatCode="0.0000;\(0.0000\)"/>
    <numFmt numFmtId="173" formatCode="#,##0.00_ ;\-#,##0.00\ "/>
    <numFmt numFmtId="174" formatCode="0.00%;\(0.00\)%"/>
    <numFmt numFmtId="175" formatCode="_-&quot;$&quot;* #,##0.00_-;\-&quot;$&quot;* #,##0.00_-;_-&quot;$&quot;* &quot;-&quot;??_-;_-@_-"/>
    <numFmt numFmtId="176" formatCode="#,##0.00_ ;\(#,##0.00\)"/>
    <numFmt numFmtId="177" formatCode="#,##0.00000"/>
    <numFmt numFmtId="178" formatCode="0%;\(0%\)"/>
    <numFmt numFmtId="179" formatCode="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_);\(0.00\)"/>
    <numFmt numFmtId="185" formatCode="_-* #,##0.0_-"/>
    <numFmt numFmtId="186" formatCode="_-* #,##0_-;\-* #,##0_-;_-* &quot;-&quot;??_-;_-@_-"/>
    <numFmt numFmtId="187" formatCode="_-&quot;$&quot;* #,##0.0000_-;\-&quot;$&quot;* #,##0.0000_-;_-&quot;$&quot;* &quot;-&quot;??_-;_-@_-"/>
  </numFmts>
  <fonts count="5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vertAlign val="superscript"/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0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b/>
      <sz val="12"/>
      <color indexed="10"/>
      <name val="Arial"/>
      <family val="2"/>
    </font>
    <font>
      <b/>
      <u val="single"/>
      <sz val="10"/>
      <color indexed="10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0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8"/>
      <color rgb="FF000000"/>
      <name val="Arial"/>
      <family val="2"/>
    </font>
    <font>
      <b/>
      <sz val="12"/>
      <color rgb="FFFF0000"/>
      <name val="Arial"/>
      <family val="2"/>
    </font>
    <font>
      <b/>
      <u val="single"/>
      <sz val="10"/>
      <color rgb="FFFF0000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0" tint="-0.4999699890613556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>
      <alignment/>
    </xf>
    <xf numFmtId="0" fontId="53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3" fontId="2" fillId="0" borderId="16" xfId="0" applyNumberFormat="1" applyFont="1" applyBorder="1" applyAlignment="1">
      <alignment/>
    </xf>
    <xf numFmtId="0" fontId="2" fillId="0" borderId="16" xfId="0" applyFont="1" applyBorder="1" applyAlignment="1">
      <alignment/>
    </xf>
    <xf numFmtId="3" fontId="2" fillId="0" borderId="13" xfId="0" applyNumberFormat="1" applyFont="1" applyBorder="1" applyAlignment="1">
      <alignment/>
    </xf>
    <xf numFmtId="10" fontId="2" fillId="0" borderId="17" xfId="61" applyNumberFormat="1" applyFont="1" applyBorder="1" applyAlignment="1">
      <alignment/>
    </xf>
    <xf numFmtId="10" fontId="2" fillId="0" borderId="18" xfId="61" applyNumberFormat="1" applyFont="1" applyBorder="1" applyAlignment="1">
      <alignment/>
    </xf>
    <xf numFmtId="10" fontId="2" fillId="0" borderId="19" xfId="61" applyNumberFormat="1" applyFont="1" applyBorder="1" applyAlignment="1">
      <alignment/>
    </xf>
    <xf numFmtId="10" fontId="2" fillId="0" borderId="13" xfId="61" applyNumberFormat="1" applyFont="1" applyBorder="1" applyAlignment="1">
      <alignment/>
    </xf>
    <xf numFmtId="10" fontId="2" fillId="0" borderId="11" xfId="61" applyNumberFormat="1" applyFont="1" applyBorder="1" applyAlignment="1">
      <alignment/>
    </xf>
    <xf numFmtId="10" fontId="2" fillId="0" borderId="16" xfId="61" applyNumberFormat="1" applyFont="1" applyBorder="1" applyAlignment="1">
      <alignment/>
    </xf>
    <xf numFmtId="43" fontId="2" fillId="0" borderId="13" xfId="42" applyFont="1" applyBorder="1" applyAlignment="1">
      <alignment/>
    </xf>
    <xf numFmtId="43" fontId="2" fillId="0" borderId="11" xfId="42" applyFont="1" applyBorder="1" applyAlignment="1">
      <alignment/>
    </xf>
    <xf numFmtId="43" fontId="2" fillId="0" borderId="16" xfId="42" applyFont="1" applyBorder="1" applyAlignment="1">
      <alignment/>
    </xf>
    <xf numFmtId="0" fontId="1" fillId="0" borderId="0" xfId="58" applyFont="1" applyAlignment="1" applyProtection="1">
      <alignment horizontal="right"/>
      <protection locked="0"/>
    </xf>
    <xf numFmtId="0" fontId="0" fillId="0" borderId="0" xfId="58" applyProtection="1">
      <alignment/>
      <protection locked="0"/>
    </xf>
    <xf numFmtId="0" fontId="4" fillId="33" borderId="0" xfId="58" applyFont="1" applyFill="1" applyAlignment="1" applyProtection="1">
      <alignment vertical="center"/>
      <protection locked="0"/>
    </xf>
    <xf numFmtId="0" fontId="0" fillId="0" borderId="0" xfId="58" applyFont="1" applyAlignment="1" applyProtection="1">
      <alignment horizontal="right"/>
      <protection/>
    </xf>
    <xf numFmtId="0" fontId="0" fillId="0" borderId="0" xfId="58" applyProtection="1">
      <alignment/>
      <protection/>
    </xf>
    <xf numFmtId="0" fontId="54" fillId="0" borderId="0" xfId="58" applyFont="1" applyAlignment="1" applyProtection="1">
      <alignment horizontal="left"/>
      <protection/>
    </xf>
    <xf numFmtId="0" fontId="4" fillId="0" borderId="0" xfId="58" applyFont="1" applyAlignment="1" applyProtection="1">
      <alignment horizontal="center"/>
      <protection/>
    </xf>
    <xf numFmtId="0" fontId="4" fillId="0" borderId="0" xfId="58" applyFont="1" applyAlignment="1" applyProtection="1">
      <alignment horizontal="center"/>
      <protection locked="0"/>
    </xf>
    <xf numFmtId="167" fontId="1" fillId="33" borderId="0" xfId="42" applyNumberFormat="1" applyFont="1" applyFill="1" applyBorder="1" applyAlignment="1" applyProtection="1">
      <alignment/>
      <protection locked="0"/>
    </xf>
    <xf numFmtId="0" fontId="1" fillId="0" borderId="0" xfId="58" applyFont="1" applyAlignment="1" applyProtection="1">
      <alignment horizontal="center" vertical="center"/>
      <protection locked="0"/>
    </xf>
    <xf numFmtId="0" fontId="1" fillId="0" borderId="0" xfId="58" applyFont="1" applyProtection="1">
      <alignment/>
      <protection locked="0"/>
    </xf>
    <xf numFmtId="186" fontId="1" fillId="34" borderId="0" xfId="42" applyNumberFormat="1" applyFont="1" applyFill="1" applyBorder="1" applyAlignment="1" applyProtection="1">
      <alignment/>
      <protection locked="0"/>
    </xf>
    <xf numFmtId="0" fontId="1" fillId="0" borderId="0" xfId="58" applyFont="1" applyProtection="1">
      <alignment/>
      <protection/>
    </xf>
    <xf numFmtId="0" fontId="55" fillId="0" borderId="0" xfId="58" applyFont="1" applyFill="1" applyAlignment="1" applyProtection="1">
      <alignment horizontal="right"/>
      <protection locked="0"/>
    </xf>
    <xf numFmtId="0" fontId="1" fillId="0" borderId="20" xfId="58" applyFont="1" applyBorder="1" applyAlignment="1" applyProtection="1">
      <alignment horizontal="right"/>
      <protection locked="0"/>
    </xf>
    <xf numFmtId="0" fontId="0" fillId="0" borderId="20" xfId="58" applyBorder="1" applyProtection="1">
      <alignment/>
      <protection locked="0"/>
    </xf>
    <xf numFmtId="0" fontId="1" fillId="0" borderId="20" xfId="58" applyFont="1" applyBorder="1" applyAlignment="1" applyProtection="1">
      <alignment horizontal="center" vertical="center"/>
      <protection locked="0"/>
    </xf>
    <xf numFmtId="0" fontId="1" fillId="0" borderId="20" xfId="58" applyFont="1" applyBorder="1" applyProtection="1">
      <alignment/>
      <protection locked="0"/>
    </xf>
    <xf numFmtId="0" fontId="1" fillId="0" borderId="20" xfId="58" applyFont="1" applyFill="1" applyBorder="1" applyProtection="1">
      <alignment/>
      <protection/>
    </xf>
    <xf numFmtId="9" fontId="1" fillId="0" borderId="20" xfId="61" applyFont="1" applyFill="1" applyBorder="1" applyAlignment="1" applyProtection="1">
      <alignment/>
      <protection/>
    </xf>
    <xf numFmtId="0" fontId="1" fillId="0" borderId="0" xfId="58" applyFont="1" applyAlignment="1" applyProtection="1">
      <alignment horizontal="right"/>
      <protection/>
    </xf>
    <xf numFmtId="0" fontId="1" fillId="0" borderId="0" xfId="58" applyFont="1" applyAlignment="1" applyProtection="1">
      <alignment horizontal="center" vertical="center"/>
      <protection/>
    </xf>
    <xf numFmtId="0" fontId="0" fillId="0" borderId="0" xfId="58" applyFont="1" applyProtection="1">
      <alignment/>
      <protection/>
    </xf>
    <xf numFmtId="0" fontId="1" fillId="0" borderId="0" xfId="58" applyFont="1" applyAlignment="1" applyProtection="1">
      <alignment/>
      <protection/>
    </xf>
    <xf numFmtId="0" fontId="1" fillId="0" borderId="0" xfId="58" applyFont="1" applyAlignment="1" applyProtection="1">
      <alignment horizontal="center"/>
      <protection/>
    </xf>
    <xf numFmtId="0" fontId="1" fillId="0" borderId="21" xfId="58" applyFont="1" applyBorder="1" applyAlignment="1" applyProtection="1">
      <alignment horizontal="center"/>
      <protection/>
    </xf>
    <xf numFmtId="0" fontId="1" fillId="0" borderId="22" xfId="58" applyFont="1" applyBorder="1" applyAlignment="1" applyProtection="1">
      <alignment horizontal="center"/>
      <protection/>
    </xf>
    <xf numFmtId="0" fontId="1" fillId="0" borderId="23" xfId="58" applyFont="1" applyBorder="1" applyAlignment="1" applyProtection="1">
      <alignment horizontal="center"/>
      <protection/>
    </xf>
    <xf numFmtId="0" fontId="1" fillId="0" borderId="24" xfId="58" applyFont="1" applyBorder="1" applyAlignment="1" applyProtection="1" quotePrefix="1">
      <alignment horizontal="center"/>
      <protection/>
    </xf>
    <xf numFmtId="0" fontId="1" fillId="0" borderId="25" xfId="58" applyFont="1" applyBorder="1" applyAlignment="1" applyProtection="1" quotePrefix="1">
      <alignment horizontal="center"/>
      <protection/>
    </xf>
    <xf numFmtId="0" fontId="0" fillId="0" borderId="0" xfId="58" applyBorder="1" applyAlignment="1" applyProtection="1">
      <alignment vertical="top"/>
      <protection/>
    </xf>
    <xf numFmtId="0" fontId="0" fillId="33" borderId="0" xfId="58" applyFill="1" applyBorder="1" applyAlignment="1" applyProtection="1">
      <alignment vertical="top"/>
      <protection/>
    </xf>
    <xf numFmtId="0" fontId="0" fillId="0" borderId="0" xfId="58" applyFill="1" applyBorder="1" applyAlignment="1" applyProtection="1">
      <alignment vertical="top"/>
      <protection locked="0"/>
    </xf>
    <xf numFmtId="44" fontId="56" fillId="33" borderId="26" xfId="44" applyFont="1" applyFill="1" applyBorder="1" applyAlignment="1" applyProtection="1">
      <alignment horizontal="right" vertical="center"/>
      <protection locked="0"/>
    </xf>
    <xf numFmtId="0" fontId="5" fillId="0" borderId="26" xfId="58" applyFont="1" applyFill="1" applyBorder="1" applyAlignment="1" applyProtection="1">
      <alignment horizontal="right" vertical="center"/>
      <protection/>
    </xf>
    <xf numFmtId="175" fontId="56" fillId="0" borderId="22" xfId="46" applyFont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horizontal="right" vertical="center"/>
      <protection locked="0"/>
    </xf>
    <xf numFmtId="0" fontId="5" fillId="0" borderId="22" xfId="58" applyFont="1" applyFill="1" applyBorder="1" applyAlignment="1" applyProtection="1">
      <alignment horizontal="right" vertical="center"/>
      <protection locked="0"/>
    </xf>
    <xf numFmtId="175" fontId="56" fillId="0" borderId="22" xfId="46" applyNumberFormat="1" applyFont="1" applyBorder="1" applyAlignment="1" applyProtection="1">
      <alignment horizontal="right" vertical="center"/>
      <protection/>
    </xf>
    <xf numFmtId="175" fontId="5" fillId="0" borderId="26" xfId="58" applyNumberFormat="1" applyFont="1" applyBorder="1" applyAlignment="1" applyProtection="1">
      <alignment horizontal="right" vertical="center"/>
      <protection/>
    </xf>
    <xf numFmtId="10" fontId="56" fillId="0" borderId="22" xfId="62" applyNumberFormat="1" applyFont="1" applyBorder="1" applyAlignment="1" applyProtection="1">
      <alignment horizontal="right" vertical="center"/>
      <protection/>
    </xf>
    <xf numFmtId="187" fontId="56" fillId="33" borderId="26" xfId="46" applyNumberFormat="1" applyFont="1" applyFill="1" applyBorder="1" applyAlignment="1" applyProtection="1">
      <alignment horizontal="right" vertical="center"/>
      <protection locked="0"/>
    </xf>
    <xf numFmtId="186" fontId="5" fillId="0" borderId="26" xfId="58" applyNumberFormat="1" applyFont="1" applyFill="1" applyBorder="1" applyAlignment="1" applyProtection="1">
      <alignment horizontal="right" vertical="center"/>
      <protection locked="0"/>
    </xf>
    <xf numFmtId="186" fontId="5" fillId="0" borderId="22" xfId="58" applyNumberFormat="1" applyFont="1" applyFill="1" applyBorder="1" applyAlignment="1" applyProtection="1">
      <alignment horizontal="right" vertical="center"/>
      <protection locked="0"/>
    </xf>
    <xf numFmtId="0" fontId="1" fillId="7" borderId="27" xfId="58" applyFont="1" applyFill="1" applyBorder="1" applyAlignment="1" applyProtection="1">
      <alignment vertical="top"/>
      <protection/>
    </xf>
    <xf numFmtId="0" fontId="0" fillId="7" borderId="20" xfId="58" applyFill="1" applyBorder="1" applyAlignment="1" applyProtection="1">
      <alignment vertical="top"/>
      <protection/>
    </xf>
    <xf numFmtId="0" fontId="0" fillId="7" borderId="20" xfId="58" applyFill="1" applyBorder="1" applyAlignment="1" applyProtection="1">
      <alignment vertical="top"/>
      <protection locked="0"/>
    </xf>
    <xf numFmtId="187" fontId="56" fillId="7" borderId="24" xfId="46" applyNumberFormat="1" applyFont="1" applyFill="1" applyBorder="1" applyAlignment="1" applyProtection="1">
      <alignment horizontal="right" vertical="center"/>
      <protection locked="0"/>
    </xf>
    <xf numFmtId="0" fontId="5" fillId="7" borderId="24" xfId="58" applyFont="1" applyFill="1" applyBorder="1" applyAlignment="1" applyProtection="1">
      <alignment horizontal="right" vertical="center"/>
      <protection locked="0"/>
    </xf>
    <xf numFmtId="175" fontId="56" fillId="7" borderId="25" xfId="46" applyFont="1" applyFill="1" applyBorder="1" applyAlignment="1" applyProtection="1">
      <alignment horizontal="right" vertical="center"/>
      <protection/>
    </xf>
    <xf numFmtId="0" fontId="5" fillId="33" borderId="0" xfId="58" applyFont="1" applyFill="1" applyAlignment="1" applyProtection="1">
      <alignment horizontal="right" vertical="center"/>
      <protection locked="0"/>
    </xf>
    <xf numFmtId="0" fontId="5" fillId="7" borderId="25" xfId="58" applyFont="1" applyFill="1" applyBorder="1" applyAlignment="1" applyProtection="1">
      <alignment horizontal="right" vertical="center"/>
      <protection locked="0"/>
    </xf>
    <xf numFmtId="0" fontId="5" fillId="7" borderId="0" xfId="58" applyFont="1" applyFill="1" applyAlignment="1" applyProtection="1">
      <alignment horizontal="right" vertical="center"/>
      <protection locked="0"/>
    </xf>
    <xf numFmtId="175" fontId="6" fillId="7" borderId="24" xfId="58" applyNumberFormat="1" applyFont="1" applyFill="1" applyBorder="1" applyAlignment="1" applyProtection="1">
      <alignment horizontal="right" vertical="center"/>
      <protection/>
    </xf>
    <xf numFmtId="10" fontId="6" fillId="7" borderId="25" xfId="62" applyNumberFormat="1" applyFont="1" applyFill="1" applyBorder="1" applyAlignment="1" applyProtection="1">
      <alignment horizontal="right" vertical="center"/>
      <protection/>
    </xf>
    <xf numFmtId="0" fontId="0" fillId="0" borderId="0" xfId="58" applyFont="1" applyFill="1" applyAlignment="1" applyProtection="1">
      <alignment vertical="top" wrapText="1"/>
      <protection/>
    </xf>
    <xf numFmtId="0" fontId="0" fillId="0" borderId="0" xfId="58" applyAlignment="1" applyProtection="1">
      <alignment vertical="top"/>
      <protection/>
    </xf>
    <xf numFmtId="0" fontId="0" fillId="33" borderId="0" xfId="58" applyFill="1" applyAlignment="1" applyProtection="1">
      <alignment vertical="top"/>
      <protection/>
    </xf>
    <xf numFmtId="0" fontId="0" fillId="0" borderId="0" xfId="58" applyFill="1" applyAlignment="1" applyProtection="1">
      <alignment vertical="top"/>
      <protection locked="0"/>
    </xf>
    <xf numFmtId="186" fontId="5" fillId="0" borderId="26" xfId="42" applyNumberFormat="1" applyFont="1" applyFill="1" applyBorder="1" applyAlignment="1" applyProtection="1">
      <alignment horizontal="right" vertical="center"/>
      <protection locked="0"/>
    </xf>
    <xf numFmtId="0" fontId="5" fillId="0" borderId="0" xfId="58" applyFont="1" applyAlignment="1" applyProtection="1">
      <alignment horizontal="right" vertical="center"/>
      <protection locked="0"/>
    </xf>
    <xf numFmtId="0" fontId="0" fillId="0" borderId="0" xfId="58" applyFont="1" applyAlignment="1" applyProtection="1">
      <alignment vertical="top"/>
      <protection/>
    </xf>
    <xf numFmtId="0" fontId="1" fillId="7" borderId="28" xfId="58" applyFont="1" applyFill="1" applyBorder="1" applyAlignment="1" applyProtection="1">
      <alignment vertical="top" wrapText="1"/>
      <protection/>
    </xf>
    <xf numFmtId="0" fontId="0" fillId="7" borderId="29" xfId="58" applyFill="1" applyBorder="1" applyProtection="1">
      <alignment/>
      <protection/>
    </xf>
    <xf numFmtId="0" fontId="0" fillId="7" borderId="29" xfId="58" applyFill="1" applyBorder="1" applyProtection="1">
      <alignment/>
      <protection locked="0"/>
    </xf>
    <xf numFmtId="0" fontId="5" fillId="7" borderId="11" xfId="58" applyFont="1" applyFill="1" applyBorder="1" applyAlignment="1" applyProtection="1">
      <alignment horizontal="right" vertical="center"/>
      <protection locked="0"/>
    </xf>
    <xf numFmtId="175" fontId="6" fillId="7" borderId="30" xfId="58" applyNumberFormat="1" applyFont="1" applyFill="1" applyBorder="1" applyAlignment="1" applyProtection="1">
      <alignment horizontal="right" vertical="center"/>
      <protection/>
    </xf>
    <xf numFmtId="0" fontId="5" fillId="7" borderId="30" xfId="58" applyFont="1" applyFill="1" applyBorder="1" applyAlignment="1" applyProtection="1">
      <alignment horizontal="right" vertical="center"/>
      <protection locked="0"/>
    </xf>
    <xf numFmtId="175" fontId="6" fillId="7" borderId="11" xfId="58" applyNumberFormat="1" applyFont="1" applyFill="1" applyBorder="1" applyAlignment="1" applyProtection="1">
      <alignment horizontal="right" vertical="center"/>
      <protection/>
    </xf>
    <xf numFmtId="10" fontId="6" fillId="7" borderId="30" xfId="62" applyNumberFormat="1" applyFont="1" applyFill="1" applyBorder="1" applyAlignment="1" applyProtection="1">
      <alignment horizontal="right" vertical="center"/>
      <protection/>
    </xf>
    <xf numFmtId="0" fontId="0" fillId="0" borderId="0" xfId="58" applyAlignment="1" applyProtection="1">
      <alignment vertical="center"/>
      <protection/>
    </xf>
    <xf numFmtId="0" fontId="0" fillId="33" borderId="0" xfId="58" applyFill="1" applyAlignment="1" applyProtection="1">
      <alignment vertical="center"/>
      <protection/>
    </xf>
    <xf numFmtId="0" fontId="0" fillId="0" borderId="0" xfId="58" applyFill="1" applyAlignment="1" applyProtection="1">
      <alignment vertical="center"/>
      <protection locked="0"/>
    </xf>
    <xf numFmtId="186" fontId="5" fillId="33" borderId="26" xfId="42" applyNumberFormat="1" applyFont="1" applyFill="1" applyBorder="1" applyAlignment="1" applyProtection="1">
      <alignment horizontal="right" vertical="center"/>
      <protection locked="0"/>
    </xf>
    <xf numFmtId="186" fontId="5" fillId="33" borderId="22" xfId="42" applyNumberFormat="1" applyFont="1" applyFill="1" applyBorder="1" applyAlignment="1" applyProtection="1">
      <alignment horizontal="right" vertical="center"/>
      <protection locked="0"/>
    </xf>
    <xf numFmtId="0" fontId="0" fillId="7" borderId="29" xfId="58" applyFill="1" applyBorder="1" applyAlignment="1" applyProtection="1">
      <alignment vertical="top"/>
      <protection/>
    </xf>
    <xf numFmtId="0" fontId="0" fillId="7" borderId="29" xfId="58" applyFill="1" applyBorder="1" applyAlignment="1" applyProtection="1">
      <alignment vertical="top"/>
      <protection locked="0"/>
    </xf>
    <xf numFmtId="0" fontId="6" fillId="33" borderId="0" xfId="58" applyFont="1" applyFill="1" applyAlignment="1" applyProtection="1">
      <alignment horizontal="right" vertical="center"/>
      <protection locked="0"/>
    </xf>
    <xf numFmtId="0" fontId="6" fillId="7" borderId="11" xfId="58" applyFont="1" applyFill="1" applyBorder="1" applyAlignment="1" applyProtection="1">
      <alignment horizontal="right" vertical="center"/>
      <protection locked="0"/>
    </xf>
    <xf numFmtId="0" fontId="6" fillId="7" borderId="30" xfId="58" applyFont="1" applyFill="1" applyBorder="1" applyAlignment="1" applyProtection="1">
      <alignment horizontal="right" vertical="center"/>
      <protection locked="0"/>
    </xf>
    <xf numFmtId="0" fontId="6" fillId="7" borderId="0" xfId="58" applyFont="1" applyFill="1" applyAlignment="1" applyProtection="1">
      <alignment horizontal="right" vertical="center"/>
      <protection locked="0"/>
    </xf>
    <xf numFmtId="0" fontId="0" fillId="0" borderId="0" xfId="58" applyAlignment="1" applyProtection="1">
      <alignment vertical="top" wrapText="1"/>
      <protection/>
    </xf>
    <xf numFmtId="187" fontId="5" fillId="33" borderId="26" xfId="46" applyNumberFormat="1" applyFont="1" applyFill="1" applyBorder="1" applyAlignment="1" applyProtection="1">
      <alignment horizontal="right" vertical="center"/>
      <protection locked="0"/>
    </xf>
    <xf numFmtId="175" fontId="5" fillId="0" borderId="22" xfId="46" applyFont="1" applyBorder="1" applyAlignment="1" applyProtection="1">
      <alignment horizontal="right" vertical="center"/>
      <protection/>
    </xf>
    <xf numFmtId="10" fontId="5" fillId="0" borderId="22" xfId="62" applyNumberFormat="1" applyFont="1" applyBorder="1" applyAlignment="1" applyProtection="1">
      <alignment horizontal="right" vertical="center"/>
      <protection/>
    </xf>
    <xf numFmtId="187" fontId="5" fillId="0" borderId="26" xfId="46" applyNumberFormat="1" applyFont="1" applyFill="1" applyBorder="1" applyAlignment="1" applyProtection="1">
      <alignment horizontal="right" vertical="center"/>
      <protection locked="0"/>
    </xf>
    <xf numFmtId="0" fontId="0" fillId="35" borderId="31" xfId="58" applyFont="1" applyFill="1" applyBorder="1" applyProtection="1">
      <alignment/>
      <protection/>
    </xf>
    <xf numFmtId="0" fontId="0" fillId="35" borderId="32" xfId="58" applyFill="1" applyBorder="1" applyAlignment="1" applyProtection="1">
      <alignment vertical="top"/>
      <protection/>
    </xf>
    <xf numFmtId="0" fontId="0" fillId="35" borderId="32" xfId="58" applyFill="1" applyBorder="1" applyAlignment="1" applyProtection="1">
      <alignment vertical="top"/>
      <protection locked="0"/>
    </xf>
    <xf numFmtId="187" fontId="5" fillId="35" borderId="33" xfId="46" applyNumberFormat="1" applyFont="1" applyFill="1" applyBorder="1" applyAlignment="1" applyProtection="1">
      <alignment horizontal="right" vertical="center"/>
      <protection locked="0"/>
    </xf>
    <xf numFmtId="0" fontId="5" fillId="35" borderId="34" xfId="58" applyFont="1" applyFill="1" applyBorder="1" applyAlignment="1" applyProtection="1">
      <alignment horizontal="right" vertical="center"/>
      <protection locked="0"/>
    </xf>
    <xf numFmtId="175" fontId="5" fillId="35" borderId="32" xfId="46" applyFont="1" applyFill="1" applyBorder="1" applyAlignment="1" applyProtection="1">
      <alignment horizontal="right" vertical="center"/>
      <protection/>
    </xf>
    <xf numFmtId="0" fontId="5" fillId="35" borderId="32" xfId="58" applyFont="1" applyFill="1" applyBorder="1" applyAlignment="1" applyProtection="1">
      <alignment horizontal="right" vertical="center"/>
      <protection locked="0"/>
    </xf>
    <xf numFmtId="0" fontId="5" fillId="35" borderId="33" xfId="58" applyFont="1" applyFill="1" applyBorder="1" applyAlignment="1" applyProtection="1">
      <alignment horizontal="right" vertical="center"/>
      <protection locked="0"/>
    </xf>
    <xf numFmtId="175" fontId="5" fillId="35" borderId="33" xfId="58" applyNumberFormat="1" applyFont="1" applyFill="1" applyBorder="1" applyAlignment="1" applyProtection="1">
      <alignment horizontal="right" vertical="center"/>
      <protection/>
    </xf>
    <xf numFmtId="10" fontId="5" fillId="35" borderId="35" xfId="62" applyNumberFormat="1" applyFont="1" applyFill="1" applyBorder="1" applyAlignment="1" applyProtection="1">
      <alignment horizontal="right" vertical="center"/>
      <protection/>
    </xf>
    <xf numFmtId="0" fontId="1" fillId="0" borderId="0" xfId="58" applyFont="1" applyFill="1" applyAlignment="1" applyProtection="1">
      <alignment vertical="top"/>
      <protection/>
    </xf>
    <xf numFmtId="0" fontId="0" fillId="0" borderId="0" xfId="58" applyAlignment="1" applyProtection="1">
      <alignment vertical="top"/>
      <protection locked="0"/>
    </xf>
    <xf numFmtId="9" fontId="5" fillId="0" borderId="26" xfId="58" applyNumberFormat="1" applyFont="1" applyFill="1" applyBorder="1" applyAlignment="1" applyProtection="1">
      <alignment horizontal="right" vertical="center"/>
      <protection/>
    </xf>
    <xf numFmtId="9" fontId="5" fillId="0" borderId="0" xfId="58" applyNumberFormat="1" applyFont="1" applyFill="1" applyBorder="1" applyAlignment="1" applyProtection="1">
      <alignment horizontal="right" vertical="center"/>
      <protection/>
    </xf>
    <xf numFmtId="175" fontId="6" fillId="0" borderId="36" xfId="58" applyNumberFormat="1" applyFont="1" applyFill="1" applyBorder="1" applyAlignment="1" applyProtection="1">
      <alignment horizontal="right" vertical="center"/>
      <protection/>
    </xf>
    <xf numFmtId="0" fontId="6" fillId="0" borderId="26" xfId="58" applyFont="1" applyFill="1" applyBorder="1" applyAlignment="1" applyProtection="1">
      <alignment horizontal="right" vertical="center"/>
      <protection/>
    </xf>
    <xf numFmtId="9" fontId="6" fillId="0" borderId="26" xfId="58" applyNumberFormat="1" applyFont="1" applyFill="1" applyBorder="1" applyAlignment="1" applyProtection="1">
      <alignment horizontal="right" vertical="center"/>
      <protection/>
    </xf>
    <xf numFmtId="175" fontId="6" fillId="0" borderId="37" xfId="58" applyNumberFormat="1" applyFont="1" applyFill="1" applyBorder="1" applyAlignment="1" applyProtection="1">
      <alignment horizontal="right" vertical="center"/>
      <protection/>
    </xf>
    <xf numFmtId="0" fontId="6" fillId="0" borderId="0" xfId="58" applyFont="1" applyFill="1" applyBorder="1" applyAlignment="1" applyProtection="1">
      <alignment horizontal="right" vertical="center"/>
      <protection locked="0"/>
    </xf>
    <xf numFmtId="175" fontId="6" fillId="0" borderId="26" xfId="58" applyNumberFormat="1" applyFont="1" applyFill="1" applyBorder="1" applyAlignment="1" applyProtection="1">
      <alignment horizontal="right" vertical="center"/>
      <protection/>
    </xf>
    <xf numFmtId="10" fontId="6" fillId="0" borderId="22" xfId="62" applyNumberFormat="1" applyFont="1" applyFill="1" applyBorder="1" applyAlignment="1" applyProtection="1">
      <alignment horizontal="right" vertical="center"/>
      <protection/>
    </xf>
    <xf numFmtId="0" fontId="0" fillId="0" borderId="0" xfId="58" applyFont="1" applyFill="1" applyAlignment="1" applyProtection="1">
      <alignment horizontal="left" vertical="top" indent="1"/>
      <protection/>
    </xf>
    <xf numFmtId="0" fontId="5" fillId="0" borderId="0" xfId="58" applyFont="1" applyFill="1" applyBorder="1" applyAlignment="1" applyProtection="1">
      <alignment horizontal="right" vertical="center"/>
      <protection/>
    </xf>
    <xf numFmtId="175" fontId="5" fillId="0" borderId="36" xfId="58" applyNumberFormat="1" applyFont="1" applyFill="1" applyBorder="1" applyAlignment="1" applyProtection="1">
      <alignment horizontal="right" vertical="center"/>
      <protection/>
    </xf>
    <xf numFmtId="175" fontId="5" fillId="0" borderId="22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Fill="1" applyBorder="1" applyAlignment="1" applyProtection="1">
      <alignment horizontal="right" vertical="center"/>
      <protection locked="0"/>
    </xf>
    <xf numFmtId="175" fontId="5" fillId="0" borderId="26" xfId="58" applyNumberFormat="1" applyFont="1" applyFill="1" applyBorder="1" applyAlignment="1" applyProtection="1">
      <alignment horizontal="right" vertical="center"/>
      <protection/>
    </xf>
    <xf numFmtId="10" fontId="5" fillId="0" borderId="22" xfId="62" applyNumberFormat="1" applyFont="1" applyFill="1" applyBorder="1" applyAlignment="1" applyProtection="1">
      <alignment horizontal="right" vertical="center"/>
      <protection/>
    </xf>
    <xf numFmtId="0" fontId="1" fillId="0" borderId="0" xfId="58" applyFont="1" applyAlignment="1" applyProtection="1">
      <alignment horizontal="left" vertical="top" wrapText="1" indent="1"/>
      <protection/>
    </xf>
    <xf numFmtId="175" fontId="57" fillId="0" borderId="36" xfId="58" applyNumberFormat="1" applyFont="1" applyFill="1" applyBorder="1" applyAlignment="1" applyProtection="1">
      <alignment horizontal="right" vertical="center"/>
      <protection/>
    </xf>
    <xf numFmtId="175" fontId="57" fillId="0" borderId="22" xfId="58" applyNumberFormat="1" applyFont="1" applyFill="1" applyBorder="1" applyAlignment="1" applyProtection="1">
      <alignment horizontal="right" vertical="center"/>
      <protection/>
    </xf>
    <xf numFmtId="175" fontId="57" fillId="0" borderId="26" xfId="58" applyNumberFormat="1" applyFont="1" applyFill="1" applyBorder="1" applyAlignment="1" applyProtection="1">
      <alignment horizontal="right" vertical="center"/>
      <protection/>
    </xf>
    <xf numFmtId="10" fontId="57" fillId="0" borderId="22" xfId="62" applyNumberFormat="1" applyFont="1" applyFill="1" applyBorder="1" applyAlignment="1" applyProtection="1">
      <alignment horizontal="right" vertical="center"/>
      <protection/>
    </xf>
    <xf numFmtId="0" fontId="0" fillId="7" borderId="0" xfId="58" applyFill="1" applyAlignment="1" applyProtection="1">
      <alignment vertical="top"/>
      <protection locked="0"/>
    </xf>
    <xf numFmtId="0" fontId="5" fillId="7" borderId="24" xfId="58" applyFont="1" applyFill="1" applyBorder="1" applyAlignment="1" applyProtection="1">
      <alignment horizontal="right" vertical="center"/>
      <protection/>
    </xf>
    <xf numFmtId="0" fontId="5" fillId="7" borderId="20" xfId="58" applyFont="1" applyFill="1" applyBorder="1" applyAlignment="1" applyProtection="1">
      <alignment horizontal="right" vertical="center"/>
      <protection/>
    </xf>
    <xf numFmtId="175" fontId="6" fillId="7" borderId="27" xfId="58" applyNumberFormat="1" applyFont="1" applyFill="1" applyBorder="1" applyAlignment="1" applyProtection="1">
      <alignment horizontal="right" vertical="center"/>
      <protection/>
    </xf>
    <xf numFmtId="0" fontId="6" fillId="7" borderId="24" xfId="58" applyFont="1" applyFill="1" applyBorder="1" applyAlignment="1" applyProtection="1">
      <alignment horizontal="right" vertical="center"/>
      <protection/>
    </xf>
    <xf numFmtId="175" fontId="6" fillId="7" borderId="25" xfId="58" applyNumberFormat="1" applyFont="1" applyFill="1" applyBorder="1" applyAlignment="1" applyProtection="1">
      <alignment horizontal="right" vertical="center"/>
      <protection/>
    </xf>
    <xf numFmtId="0" fontId="6" fillId="7" borderId="20" xfId="58" applyFont="1" applyFill="1" applyBorder="1" applyAlignment="1" applyProtection="1">
      <alignment horizontal="right" vertical="center"/>
      <protection locked="0"/>
    </xf>
    <xf numFmtId="187" fontId="0" fillId="35" borderId="34" xfId="46" applyNumberFormat="1" applyFill="1" applyBorder="1" applyAlignment="1" applyProtection="1">
      <alignment vertical="top"/>
      <protection locked="0"/>
    </xf>
    <xf numFmtId="0" fontId="0" fillId="35" borderId="32" xfId="58" applyFill="1" applyBorder="1" applyAlignment="1" applyProtection="1">
      <alignment vertical="center"/>
      <protection locked="0"/>
    </xf>
    <xf numFmtId="175" fontId="0" fillId="35" borderId="38" xfId="46" applyFill="1" applyBorder="1" applyAlignment="1" applyProtection="1">
      <alignment vertical="center"/>
      <protection locked="0"/>
    </xf>
    <xf numFmtId="0" fontId="0" fillId="35" borderId="34" xfId="58" applyFill="1" applyBorder="1" applyAlignment="1" applyProtection="1">
      <alignment vertical="center"/>
      <protection locked="0"/>
    </xf>
    <xf numFmtId="175" fontId="0" fillId="35" borderId="33" xfId="46" applyFill="1" applyBorder="1" applyAlignment="1" applyProtection="1">
      <alignment vertical="center"/>
      <protection locked="0"/>
    </xf>
    <xf numFmtId="175" fontId="0" fillId="35" borderId="34" xfId="58" applyNumberFormat="1" applyFill="1" applyBorder="1" applyAlignment="1" applyProtection="1">
      <alignment vertical="center"/>
      <protection locked="0"/>
    </xf>
    <xf numFmtId="10" fontId="0" fillId="35" borderId="35" xfId="62" applyNumberFormat="1" applyFill="1" applyBorder="1" applyAlignment="1" applyProtection="1">
      <alignment vertical="center"/>
      <protection locked="0"/>
    </xf>
    <xf numFmtId="175" fontId="0" fillId="0" borderId="0" xfId="58" applyNumberFormat="1" applyProtection="1">
      <alignment/>
      <protection locked="0"/>
    </xf>
    <xf numFmtId="186" fontId="1" fillId="0" borderId="0" xfId="42" applyNumberFormat="1" applyFont="1" applyFill="1" applyBorder="1" applyAlignment="1" applyProtection="1">
      <alignment/>
      <protection/>
    </xf>
    <xf numFmtId="0" fontId="1" fillId="34" borderId="20" xfId="58" applyFont="1" applyFill="1" applyBorder="1" applyProtection="1">
      <alignment/>
      <protection locked="0"/>
    </xf>
    <xf numFmtId="9" fontId="1" fillId="34" borderId="20" xfId="61" applyFont="1" applyFill="1" applyBorder="1" applyAlignment="1" applyProtection="1">
      <alignment/>
      <protection locked="0"/>
    </xf>
    <xf numFmtId="10" fontId="2" fillId="0" borderId="11" xfId="42" applyNumberFormat="1" applyFont="1" applyBorder="1" applyAlignment="1">
      <alignment/>
    </xf>
    <xf numFmtId="0" fontId="7" fillId="0" borderId="0" xfId="58" applyFont="1" applyAlignment="1" applyProtection="1">
      <alignment horizontal="left" vertical="top" wrapText="1" indent="1"/>
      <protection/>
    </xf>
    <xf numFmtId="0" fontId="1" fillId="7" borderId="0" xfId="58" applyFont="1" applyFill="1" applyAlignment="1" applyProtection="1">
      <alignment horizontal="left" vertical="top" wrapText="1"/>
      <protection/>
    </xf>
    <xf numFmtId="0" fontId="1" fillId="2" borderId="0" xfId="58" applyFont="1" applyFill="1" applyAlignment="1" applyProtection="1">
      <alignment horizontal="left" vertical="center"/>
      <protection locked="0"/>
    </xf>
    <xf numFmtId="0" fontId="58" fillId="0" borderId="0" xfId="58" applyFont="1" applyAlignment="1" applyProtection="1">
      <alignment horizontal="left" vertical="top"/>
      <protection/>
    </xf>
    <xf numFmtId="0" fontId="1" fillId="0" borderId="28" xfId="58" applyFont="1" applyBorder="1" applyAlignment="1" applyProtection="1">
      <alignment horizontal="center"/>
      <protection/>
    </xf>
    <xf numFmtId="0" fontId="1" fillId="0" borderId="29" xfId="58" applyFont="1" applyBorder="1" applyAlignment="1" applyProtection="1">
      <alignment horizontal="center"/>
      <protection/>
    </xf>
    <xf numFmtId="0" fontId="1" fillId="0" borderId="30" xfId="58" applyFont="1" applyBorder="1" applyAlignment="1" applyProtection="1">
      <alignment horizontal="center"/>
      <protection/>
    </xf>
    <xf numFmtId="0" fontId="1" fillId="0" borderId="0" xfId="58" applyFont="1" applyAlignment="1" applyProtection="1">
      <alignment horizontal="center" wrapText="1"/>
      <protection/>
    </xf>
    <xf numFmtId="0" fontId="0" fillId="0" borderId="0" xfId="58" applyAlignment="1" applyProtection="1">
      <alignment horizontal="center" wrapText="1"/>
      <protection/>
    </xf>
    <xf numFmtId="0" fontId="1" fillId="0" borderId="26" xfId="58" applyFont="1" applyFill="1" applyBorder="1" applyAlignment="1" applyProtection="1">
      <alignment horizontal="center" wrapText="1"/>
      <protection/>
    </xf>
    <xf numFmtId="0" fontId="0" fillId="0" borderId="24" xfId="58" applyBorder="1" applyAlignment="1" applyProtection="1">
      <alignment wrapText="1"/>
      <protection/>
    </xf>
    <xf numFmtId="0" fontId="1" fillId="0" borderId="22" xfId="58" applyFont="1" applyFill="1" applyBorder="1" applyAlignment="1" applyProtection="1">
      <alignment horizontal="center" wrapText="1"/>
      <protection/>
    </xf>
    <xf numFmtId="0" fontId="0" fillId="0" borderId="25" xfId="58" applyBorder="1" applyAlignment="1" applyProtection="1">
      <alignment wrapText="1"/>
      <protection/>
    </xf>
    <xf numFmtId="0" fontId="0" fillId="0" borderId="20" xfId="58" applyBorder="1" applyAlignment="1" applyProtection="1">
      <alignment horizontal="left" vertical="center" wrapText="1"/>
      <protection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  <xf numFmtId="0" fontId="53" fillId="0" borderId="31" xfId="0" applyFont="1" applyBorder="1" applyAlignment="1">
      <alignment horizontal="center"/>
    </xf>
    <xf numFmtId="0" fontId="53" fillId="0" borderId="35" xfId="0" applyFont="1" applyBorder="1" applyAlignment="1">
      <alignment horizontal="center"/>
    </xf>
    <xf numFmtId="0" fontId="3" fillId="0" borderId="41" xfId="0" applyFont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ch_rick\Distribution%20Rate%20Application\2012%20IRM%20rate%20filing\Essex_2012_IRM_Rate_Generato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ackUp\2014%20IRM%20Rate%20Generator_V2%203%20092413_w%20revised%20def%20var%20figures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Info"/>
      <sheetName val="2. Table of Contents"/>
      <sheetName val="3. Rate Classes"/>
      <sheetName val="4. Current MFC"/>
      <sheetName val="5. Current DVR"/>
      <sheetName val="6. Current Rate_Riders"/>
      <sheetName val="7. Current RTSR-Network"/>
      <sheetName val="8. Current RTSR-Connection"/>
      <sheetName val="9. 2012 Cont. Sched. Def_Var"/>
      <sheetName val="10. Billing Det. for Def_Var"/>
      <sheetName val="11. Cost Allocation Def_Var"/>
      <sheetName val="12. Calc. of Def_Var RR"/>
      <sheetName val="13. Proposed MFC"/>
      <sheetName val="14. Proposed Rate_Riders"/>
      <sheetName val="15. Proposed RTSR-Network"/>
      <sheetName val="16. Proposed RTSR-Connection"/>
      <sheetName val="17. GDP-IPI - X"/>
      <sheetName val="HIDDEN FINAL MFC"/>
      <sheetName val="HIDDEN FINAL DVC"/>
      <sheetName val="HIDDEN FINAL RATE RIDERS"/>
      <sheetName val="HIDDEN FINAL DEF_VAR"/>
      <sheetName val="HIDDEN RTSR_NET"/>
      <sheetName val="HIDDEN RTSR_CONNECT"/>
      <sheetName val="18. LF - Current and Proposed"/>
      <sheetName val="19. Other Charges"/>
      <sheetName val="HIDDEN LF AND CHARGES"/>
      <sheetName val="20. 2012 Final Tariff"/>
      <sheetName val="21. Bill Impacts"/>
      <sheetName val="hidden1"/>
      <sheetName val="DRC SSS WMSR SPC RRRP"/>
      <sheetName val="CURRENT RATES"/>
      <sheetName val="PROPOSED RATES"/>
      <sheetName val="listclasses worksheet HIDE"/>
    </sheetNames>
    <sheetDataSet>
      <sheetData sheetId="28">
        <row r="1">
          <cell r="A1" t="str">
            <v>Residential Regular</v>
          </cell>
        </row>
        <row r="2">
          <cell r="A2" t="str">
            <v>General Service Less Than 50 kW</v>
          </cell>
        </row>
        <row r="3">
          <cell r="A3" t="str">
            <v>General Service 50 to 2,999 kW</v>
          </cell>
        </row>
        <row r="4">
          <cell r="A4" t="str">
            <v>General Service 3,000 to 4,999 kW</v>
          </cell>
        </row>
        <row r="5">
          <cell r="A5" t="str">
            <v>Unmetered Scattered Load</v>
          </cell>
        </row>
        <row r="6">
          <cell r="A6" t="str">
            <v>Sentinel Lighting</v>
          </cell>
        </row>
        <row r="7">
          <cell r="A7" t="str">
            <v>Street Lighting</v>
          </cell>
        </row>
        <row r="8">
          <cell r="A8" t="str">
            <v/>
          </cell>
        </row>
        <row r="9">
          <cell r="A9" t="str">
            <v/>
          </cell>
        </row>
        <row r="10">
          <cell r="A10" t="str">
            <v/>
          </cell>
        </row>
        <row r="11">
          <cell r="A11" t="str">
            <v/>
          </cell>
        </row>
        <row r="12">
          <cell r="A12" t="str">
            <v/>
          </cell>
        </row>
        <row r="13">
          <cell r="A13" t="str">
            <v/>
          </cell>
        </row>
        <row r="14">
          <cell r="A14" t="str">
            <v/>
          </cell>
        </row>
        <row r="15">
          <cell r="A15" t="str">
            <v/>
          </cell>
        </row>
        <row r="16">
          <cell r="A16" t="str">
            <v/>
          </cell>
        </row>
        <row r="17">
          <cell r="A17" t="str">
            <v/>
          </cell>
        </row>
        <row r="18">
          <cell r="A18" t="str">
            <v/>
          </cell>
        </row>
        <row r="19">
          <cell r="A19" t="str">
            <v/>
          </cell>
        </row>
        <row r="20">
          <cell r="A20" t="str">
            <v/>
          </cell>
        </row>
        <row r="21">
          <cell r="A21" t="str">
            <v/>
          </cell>
        </row>
        <row r="22">
          <cell r="A22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 Information Sheet"/>
      <sheetName val="2. Table of Contents"/>
      <sheetName val="3. Rate Class Selection"/>
      <sheetName val="4. Current Tariff Schedule"/>
      <sheetName val="4. Hidden"/>
      <sheetName val="5. 2014 Continuity Schedule"/>
      <sheetName val="6. Billing Det. for Def-Var"/>
      <sheetName val="6. hidden"/>
      <sheetName val="7. Allocating Def-Var Balances"/>
      <sheetName val="8. Calculation of Def-Var RR"/>
      <sheetName val="9. Rev2Cost_GDPIPI"/>
      <sheetName val="9. hidden"/>
      <sheetName val="10. Other Charges &amp; LF"/>
      <sheetName val="11. Proposed Rates"/>
      <sheetName val="11. Hidden"/>
      <sheetName val="12. Summary Sheet"/>
      <sheetName val="13. Final Tariff Schedule"/>
      <sheetName val="14. Bill Impacts"/>
      <sheetName val="14. Bill Impacts1"/>
      <sheetName val="lists"/>
    </sheetNames>
    <sheetDataSet>
      <sheetData sheetId="2">
        <row r="19">
          <cell r="B19" t="str">
            <v>RESIDENTIAL</v>
          </cell>
        </row>
        <row r="20">
          <cell r="B20" t="str">
            <v>GENERAL SERVICE LESS THAN 50 KW</v>
          </cell>
        </row>
        <row r="21">
          <cell r="B21" t="str">
            <v>GENERAL SERVICE 50 TO 2,999 KW</v>
          </cell>
        </row>
        <row r="22">
          <cell r="B22" t="str">
            <v>GENERAL SERVICE 3,000 TO 4,999 KW</v>
          </cell>
        </row>
        <row r="23">
          <cell r="B23" t="str">
            <v>UNMETERED SCATTERED LOAD</v>
          </cell>
        </row>
        <row r="24">
          <cell r="B24" t="str">
            <v>SENTINEL LIGHTING</v>
          </cell>
        </row>
        <row r="25">
          <cell r="B25" t="str">
            <v>STREET LIGHTING</v>
          </cell>
        </row>
        <row r="26">
          <cell r="B26" t="str">
            <v>microFIT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A1" sqref="A1:G10"/>
    </sheetView>
  </sheetViews>
  <sheetFormatPr defaultColWidth="9.140625" defaultRowHeight="12.75"/>
  <cols>
    <col min="1" max="1" width="12.7109375" style="2" bestFit="1" customWidth="1"/>
    <col min="2" max="3" width="9.140625" style="2" customWidth="1"/>
    <col min="4" max="4" width="10.421875" style="2" bestFit="1" customWidth="1"/>
    <col min="5" max="5" width="9.140625" style="2" customWidth="1"/>
    <col min="6" max="6" width="10.421875" style="2" bestFit="1" customWidth="1"/>
    <col min="7" max="7" width="6.8515625" style="2" bestFit="1" customWidth="1"/>
    <col min="8" max="16384" width="9.140625" style="2" customWidth="1"/>
  </cols>
  <sheetData>
    <row r="1" spans="1:7" ht="12" thickBot="1">
      <c r="A1" s="178" t="s">
        <v>59</v>
      </c>
      <c r="B1" s="178"/>
      <c r="C1" s="178"/>
      <c r="D1" s="178"/>
      <c r="E1" s="178"/>
      <c r="F1" s="178"/>
      <c r="G1" s="178"/>
    </row>
    <row r="2" spans="1:7" ht="12" thickBot="1">
      <c r="A2" s="174" t="s">
        <v>16</v>
      </c>
      <c r="B2" s="174" t="s">
        <v>4</v>
      </c>
      <c r="C2" s="174" t="s">
        <v>5</v>
      </c>
      <c r="D2" s="176" t="s">
        <v>17</v>
      </c>
      <c r="E2" s="177"/>
      <c r="F2" s="176" t="s">
        <v>18</v>
      </c>
      <c r="G2" s="177"/>
    </row>
    <row r="3" spans="1:7" ht="12" thickBot="1">
      <c r="A3" s="175"/>
      <c r="B3" s="175"/>
      <c r="C3" s="175"/>
      <c r="D3" s="3" t="s">
        <v>19</v>
      </c>
      <c r="E3" s="3" t="s">
        <v>20</v>
      </c>
      <c r="F3" s="3" t="s">
        <v>19</v>
      </c>
      <c r="G3" s="3" t="s">
        <v>20</v>
      </c>
    </row>
    <row r="4" spans="1:7" ht="11.25">
      <c r="A4" s="6" t="s">
        <v>9</v>
      </c>
      <c r="B4" s="12">
        <f>Residential!E5</f>
        <v>800</v>
      </c>
      <c r="C4" s="7">
        <f>Residential!E8</f>
        <v>0</v>
      </c>
      <c r="D4" s="19">
        <f>Residential!M17</f>
        <v>0.14000000000000057</v>
      </c>
      <c r="E4" s="16">
        <f>Residential!N17</f>
        <v>0.005658852061438987</v>
      </c>
      <c r="F4" s="19">
        <f>Residential!M37</f>
        <v>-4.002219840000009</v>
      </c>
      <c r="G4" s="13">
        <f>Residential!N37</f>
        <v>-0.03340454062379587</v>
      </c>
    </row>
    <row r="5" spans="1:7" ht="11.25">
      <c r="A5" s="8" t="s">
        <v>10</v>
      </c>
      <c r="B5" s="5">
        <f>'GS &lt;50'!E5</f>
        <v>2000</v>
      </c>
      <c r="C5" s="4">
        <f>'GS &lt;50'!E8</f>
        <v>0</v>
      </c>
      <c r="D5" s="20">
        <f>'GS &lt;50'!M17</f>
        <v>0.3599999999999923</v>
      </c>
      <c r="E5" s="17">
        <f>'GS &lt;50'!N17</f>
        <v>0.006411398040961572</v>
      </c>
      <c r="F5" s="20">
        <f>'GS &lt;50'!M37</f>
        <v>-9.345434000000012</v>
      </c>
      <c r="G5" s="14">
        <f>'GS &lt;50'!N37</f>
        <v>-0.032323344520281364</v>
      </c>
    </row>
    <row r="6" spans="1:7" ht="11.25">
      <c r="A6" s="8" t="s">
        <v>11</v>
      </c>
      <c r="B6" s="5">
        <f>'GS 50-2999'!E5</f>
        <v>435401.2</v>
      </c>
      <c r="C6" s="5">
        <f>'GS 50-2999'!E8</f>
        <v>1480</v>
      </c>
      <c r="D6" s="20">
        <f>'GS 50-2999'!M17</f>
        <v>16.00799999999981</v>
      </c>
      <c r="E6" s="17">
        <f>'GS 50-2999'!N17</f>
        <v>0.0048128612351807315</v>
      </c>
      <c r="F6" s="20">
        <f>'GS 50-2999'!M37</f>
        <v>-2860.4195358959987</v>
      </c>
      <c r="G6" s="14">
        <f>'GS 50-2999'!N37</f>
        <v>-0.048834271047171744</v>
      </c>
    </row>
    <row r="7" spans="1:7" ht="11.25">
      <c r="A7" s="8" t="s">
        <v>12</v>
      </c>
      <c r="B7" s="5">
        <f>'GS3000-4999'!E5</f>
        <v>1282464</v>
      </c>
      <c r="C7" s="4">
        <f>'GS3000-4999'!E8</f>
        <v>2440</v>
      </c>
      <c r="D7" s="20">
        <f>'GS3000-4999'!M17</f>
        <v>22.830000000000837</v>
      </c>
      <c r="E7" s="17">
        <f>'GS3000-4999'!N17</f>
        <v>0.0048218288818892355</v>
      </c>
      <c r="F7" s="20">
        <f>'GS3000-4999'!M37</f>
        <v>-5288.499465359986</v>
      </c>
      <c r="G7" s="14">
        <f>'GS3000-4999'!N37</f>
        <v>-0.03365857414186225</v>
      </c>
    </row>
    <row r="8" spans="1:7" ht="11.25">
      <c r="A8" s="8" t="s">
        <v>13</v>
      </c>
      <c r="B8" s="5">
        <f>UMSL!E5</f>
        <v>2000</v>
      </c>
      <c r="C8" s="4">
        <f>UMSL!E8</f>
        <v>0</v>
      </c>
      <c r="D8" s="20">
        <f>UMSL!M17</f>
        <v>0.23999999999999488</v>
      </c>
      <c r="E8" s="17">
        <f>UMSL!N17</f>
        <v>0.003666921313980059</v>
      </c>
      <c r="F8" s="20">
        <f>UMSL!M37</f>
        <v>-9.45103400000005</v>
      </c>
      <c r="G8" s="14">
        <f>UMSL!N37</f>
        <v>-0.031739412183929415</v>
      </c>
    </row>
    <row r="9" spans="1:7" ht="11.25">
      <c r="A9" s="8" t="s">
        <v>15</v>
      </c>
      <c r="B9" s="5">
        <f>'Sentinel Lights'!E5</f>
        <v>35.989</v>
      </c>
      <c r="C9" s="4">
        <f>'Sentinel Lights'!E8</f>
        <v>0.1</v>
      </c>
      <c r="D9" s="20">
        <f>'Sentinel Lights'!M17</f>
        <v>0.024459999999999482</v>
      </c>
      <c r="E9" s="159">
        <f>'Sentinel Lights'!N17</f>
        <v>0.005866326422931791</v>
      </c>
      <c r="F9" s="20">
        <f>'Sentinel Lights'!M37</f>
        <v>-0.12713669604000088</v>
      </c>
      <c r="G9" s="14">
        <f>'Sentinel Lights'!N37</f>
        <v>-0.014531901922577459</v>
      </c>
    </row>
    <row r="10" spans="1:7" ht="12" thickBot="1">
      <c r="A10" s="9" t="s">
        <v>14</v>
      </c>
      <c r="B10" s="10">
        <f>'Street Lighting'!E5</f>
        <v>35.989</v>
      </c>
      <c r="C10" s="11">
        <f>'Street Lighting'!E8</f>
        <v>0.1</v>
      </c>
      <c r="D10" s="21">
        <f>'Street Lighting'!M17</f>
        <v>0.024070000000000036</v>
      </c>
      <c r="E10" s="18">
        <f>'Street Lighting'!N17</f>
        <v>0.006049684320585524</v>
      </c>
      <c r="F10" s="21">
        <f>'Street Lighting'!M37</f>
        <v>-0.1264153108199988</v>
      </c>
      <c r="G10" s="15">
        <f>'Street Lighting'!N37</f>
        <v>-0.014789893217318767</v>
      </c>
    </row>
  </sheetData>
  <sheetProtection/>
  <mergeCells count="6">
    <mergeCell ref="A2:A3"/>
    <mergeCell ref="B2:B3"/>
    <mergeCell ref="C2:C3"/>
    <mergeCell ref="D2:E2"/>
    <mergeCell ref="F2:G2"/>
    <mergeCell ref="A1:G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tabSelected="1" zoomScalePageLayoutView="0" workbookViewId="0" topLeftCell="A1">
      <selection activeCell="A1" sqref="A1:G10"/>
    </sheetView>
  </sheetViews>
  <sheetFormatPr defaultColWidth="9.140625" defaultRowHeight="12.75"/>
  <cols>
    <col min="1" max="1" width="37.28125" style="0" customWidth="1"/>
    <col min="2" max="2" width="1.28515625" style="0" customWidth="1"/>
    <col min="3" max="3" width="5.57421875" style="0" bestFit="1" customWidth="1"/>
    <col min="4" max="4" width="3.140625" style="0" customWidth="1"/>
    <col min="5" max="5" width="9.8515625" style="0" bestFit="1" customWidth="1"/>
    <col min="6" max="6" width="8.00390625" style="0" bestFit="1" customWidth="1"/>
    <col min="7" max="7" width="9.8515625" style="0" bestFit="1" customWidth="1"/>
    <col min="8" max="8" width="4.7109375" style="0" customWidth="1"/>
    <col min="9" max="9" width="11.28125" style="0" bestFit="1" customWidth="1"/>
    <col min="10" max="10" width="8.00390625" style="0" bestFit="1" customWidth="1"/>
    <col min="11" max="11" width="9.8515625" style="0" bestFit="1" customWidth="1"/>
    <col min="12" max="12" width="4.7109375" style="0" customWidth="1"/>
    <col min="14" max="14" width="11.00390625" style="0" bestFit="1" customWidth="1"/>
  </cols>
  <sheetData>
    <row r="1" spans="1:14" ht="15.75">
      <c r="A1" s="22"/>
      <c r="B1" s="23"/>
      <c r="C1" s="162" t="s">
        <v>21</v>
      </c>
      <c r="D1" s="162"/>
      <c r="E1" s="162"/>
      <c r="F1" s="162"/>
      <c r="G1" s="162"/>
      <c r="H1" s="162"/>
      <c r="I1" s="162"/>
      <c r="J1" s="162"/>
      <c r="K1" s="162"/>
      <c r="L1" s="24"/>
      <c r="M1" s="24"/>
      <c r="N1" s="24"/>
    </row>
    <row r="2" spans="1:14" ht="15.75">
      <c r="A2" s="25"/>
      <c r="B2" s="26"/>
      <c r="C2" s="27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15.75">
      <c r="A3" s="22" t="s">
        <v>2</v>
      </c>
      <c r="B3" s="23"/>
      <c r="C3" s="29"/>
      <c r="D3" s="29"/>
      <c r="E3" s="30">
        <v>1.0602</v>
      </c>
      <c r="F3" s="29"/>
      <c r="G3" s="29"/>
      <c r="H3" s="29"/>
      <c r="I3" s="29"/>
      <c r="J3" s="29"/>
      <c r="K3" s="29"/>
      <c r="L3" s="29"/>
      <c r="M3" s="29"/>
      <c r="N3" s="29"/>
    </row>
    <row r="4" spans="1:14" ht="15.75">
      <c r="A4" s="25"/>
      <c r="B4" s="26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 ht="12.75">
      <c r="A5" s="22" t="s">
        <v>3</v>
      </c>
      <c r="B5" s="23"/>
      <c r="C5" s="31" t="s">
        <v>22</v>
      </c>
      <c r="D5" s="32"/>
      <c r="E5" s="33">
        <v>800</v>
      </c>
      <c r="F5" s="23"/>
      <c r="G5" s="23"/>
      <c r="H5" s="23"/>
      <c r="I5" s="23"/>
      <c r="J5" s="23"/>
      <c r="K5" s="23"/>
      <c r="L5" s="23"/>
      <c r="M5" s="23"/>
      <c r="N5" s="23"/>
    </row>
    <row r="6" spans="1:14" ht="12.75">
      <c r="A6" s="26"/>
      <c r="B6" s="26"/>
      <c r="C6" s="26"/>
      <c r="D6" s="26"/>
      <c r="E6" s="26"/>
      <c r="F6" s="34"/>
      <c r="G6" s="26"/>
      <c r="H6" s="26"/>
      <c r="I6" s="26"/>
      <c r="J6" s="26"/>
      <c r="K6" s="26"/>
      <c r="L6" s="26"/>
      <c r="M6" s="26"/>
      <c r="N6" s="26"/>
    </row>
    <row r="7" spans="1:14" ht="12.75">
      <c r="A7" s="35" t="s">
        <v>23</v>
      </c>
      <c r="B7" s="23"/>
      <c r="C7" s="23"/>
      <c r="D7" s="23"/>
      <c r="E7" s="23"/>
      <c r="F7" s="32"/>
      <c r="G7" s="23"/>
      <c r="H7" s="23"/>
      <c r="I7" s="23"/>
      <c r="J7" s="23"/>
      <c r="K7" s="23"/>
      <c r="L7" s="23"/>
      <c r="M7" s="23"/>
      <c r="N7" s="23"/>
    </row>
    <row r="8" spans="1:14" ht="12.75">
      <c r="A8" s="36" t="s">
        <v>24</v>
      </c>
      <c r="B8" s="37"/>
      <c r="C8" s="38" t="s">
        <v>5</v>
      </c>
      <c r="D8" s="39"/>
      <c r="E8" s="40"/>
      <c r="F8" s="32"/>
      <c r="G8" s="23"/>
      <c r="H8" s="23"/>
      <c r="I8" s="23"/>
      <c r="J8" s="23"/>
      <c r="K8" s="23"/>
      <c r="L8" s="23"/>
      <c r="M8" s="23"/>
      <c r="N8" s="23"/>
    </row>
    <row r="9" spans="1:14" ht="12.75">
      <c r="A9" s="36" t="s">
        <v>6</v>
      </c>
      <c r="B9" s="37"/>
      <c r="C9" s="38"/>
      <c r="D9" s="39"/>
      <c r="E9" s="41"/>
      <c r="F9" s="23"/>
      <c r="G9" s="23"/>
      <c r="H9" s="23"/>
      <c r="I9" s="23"/>
      <c r="J9" s="23"/>
      <c r="K9" s="23"/>
      <c r="L9" s="23"/>
      <c r="M9" s="23"/>
      <c r="N9" s="23"/>
    </row>
    <row r="10" spans="1:14" ht="12.75">
      <c r="A10" s="42"/>
      <c r="B10" s="26"/>
      <c r="C10" s="43"/>
      <c r="D10" s="34"/>
      <c r="E10" s="163">
        <f>IF(AND(ISNUMBER(E8),ISBLANK(E9)),"Please enter a load factor","")</f>
      </c>
      <c r="F10" s="163"/>
      <c r="G10" s="163"/>
      <c r="H10" s="163"/>
      <c r="I10" s="163"/>
      <c r="J10" s="163"/>
      <c r="K10" s="26"/>
      <c r="L10" s="26"/>
      <c r="M10" s="26"/>
      <c r="N10" s="26"/>
    </row>
    <row r="11" spans="1:14" ht="12.75">
      <c r="A11" s="44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</row>
    <row r="12" spans="1:14" ht="12.75">
      <c r="A12" s="44"/>
      <c r="B12" s="26"/>
      <c r="C12" s="45"/>
      <c r="D12" s="45"/>
      <c r="E12" s="164" t="s">
        <v>25</v>
      </c>
      <c r="F12" s="165"/>
      <c r="G12" s="166"/>
      <c r="H12" s="26"/>
      <c r="I12" s="164" t="s">
        <v>26</v>
      </c>
      <c r="J12" s="165"/>
      <c r="K12" s="166"/>
      <c r="L12" s="26"/>
      <c r="M12" s="164" t="s">
        <v>27</v>
      </c>
      <c r="N12" s="166"/>
    </row>
    <row r="13" spans="1:14" ht="12.75" customHeight="1">
      <c r="A13" s="44"/>
      <c r="B13" s="26"/>
      <c r="C13" s="167"/>
      <c r="D13" s="46"/>
      <c r="E13" s="47" t="s">
        <v>28</v>
      </c>
      <c r="F13" s="47" t="s">
        <v>7</v>
      </c>
      <c r="G13" s="48" t="s">
        <v>29</v>
      </c>
      <c r="H13" s="26"/>
      <c r="I13" s="47" t="s">
        <v>28</v>
      </c>
      <c r="J13" s="49" t="s">
        <v>7</v>
      </c>
      <c r="K13" s="48" t="s">
        <v>29</v>
      </c>
      <c r="L13" s="26"/>
      <c r="M13" s="169" t="s">
        <v>30</v>
      </c>
      <c r="N13" s="171" t="s">
        <v>31</v>
      </c>
    </row>
    <row r="14" spans="1:14" ht="12.75">
      <c r="A14" s="44"/>
      <c r="B14" s="26"/>
      <c r="C14" s="168"/>
      <c r="D14" s="46"/>
      <c r="E14" s="50" t="s">
        <v>32</v>
      </c>
      <c r="F14" s="50"/>
      <c r="G14" s="51" t="s">
        <v>32</v>
      </c>
      <c r="H14" s="26"/>
      <c r="I14" s="50" t="s">
        <v>32</v>
      </c>
      <c r="J14" s="51"/>
      <c r="K14" s="51" t="s">
        <v>32</v>
      </c>
      <c r="L14" s="26"/>
      <c r="M14" s="170"/>
      <c r="N14" s="172"/>
    </row>
    <row r="15" spans="1:14" ht="14.25">
      <c r="A15" s="52" t="s">
        <v>33</v>
      </c>
      <c r="B15" s="52"/>
      <c r="C15" s="53"/>
      <c r="D15" s="54"/>
      <c r="E15" s="55">
        <v>12.74</v>
      </c>
      <c r="F15" s="56">
        <v>1</v>
      </c>
      <c r="G15" s="57">
        <f>F15*E15</f>
        <v>12.74</v>
      </c>
      <c r="H15" s="58"/>
      <c r="I15" s="55">
        <v>12.8</v>
      </c>
      <c r="J15" s="59">
        <v>1</v>
      </c>
      <c r="K15" s="60">
        <f>J15*I15</f>
        <v>12.8</v>
      </c>
      <c r="L15" s="58"/>
      <c r="M15" s="61">
        <f aca="true" t="shared" si="0" ref="M15:M20">K15-G15</f>
        <v>0.0600000000000005</v>
      </c>
      <c r="N15" s="62">
        <f aca="true" t="shared" si="1" ref="N15:N20">IF((G15)=0,"",(M15/G15))</f>
        <v>0.004709576138147605</v>
      </c>
    </row>
    <row r="16" spans="1:14" ht="14.25">
      <c r="A16" s="52" t="s">
        <v>0</v>
      </c>
      <c r="B16" s="52"/>
      <c r="C16" s="53"/>
      <c r="D16" s="54"/>
      <c r="E16" s="63">
        <v>0.015</v>
      </c>
      <c r="F16" s="64">
        <v>800</v>
      </c>
      <c r="G16" s="57">
        <f>F16*E16</f>
        <v>12</v>
      </c>
      <c r="H16" s="58"/>
      <c r="I16" s="63">
        <v>0.0151</v>
      </c>
      <c r="J16" s="65">
        <f>F16</f>
        <v>800</v>
      </c>
      <c r="K16" s="57">
        <f>J16*I16</f>
        <v>12.08</v>
      </c>
      <c r="L16" s="58"/>
      <c r="M16" s="61">
        <f t="shared" si="0"/>
        <v>0.08000000000000007</v>
      </c>
      <c r="N16" s="62">
        <f t="shared" si="1"/>
        <v>0.006666666666666672</v>
      </c>
    </row>
    <row r="17" spans="1:14" ht="15">
      <c r="A17" s="66" t="s">
        <v>34</v>
      </c>
      <c r="B17" s="67"/>
      <c r="C17" s="67"/>
      <c r="D17" s="68"/>
      <c r="E17" s="69"/>
      <c r="F17" s="70"/>
      <c r="G17" s="71">
        <f>SUM(G15:G16)</f>
        <v>24.740000000000002</v>
      </c>
      <c r="H17" s="72"/>
      <c r="I17" s="69"/>
      <c r="J17" s="73"/>
      <c r="K17" s="71">
        <f>SUM(K15:K16)</f>
        <v>24.880000000000003</v>
      </c>
      <c r="L17" s="74"/>
      <c r="M17" s="75">
        <f t="shared" si="0"/>
        <v>0.14000000000000057</v>
      </c>
      <c r="N17" s="76">
        <f t="shared" si="1"/>
        <v>0.005658852061438987</v>
      </c>
    </row>
    <row r="18" spans="1:14" ht="14.25">
      <c r="A18" s="77" t="s">
        <v>35</v>
      </c>
      <c r="B18" s="78"/>
      <c r="C18" s="79"/>
      <c r="D18" s="80"/>
      <c r="E18" s="63">
        <f>E29*0.64+E30*0.18+E31*0.18</f>
        <v>0.08392</v>
      </c>
      <c r="F18" s="81">
        <f>E5*(E3-1)</f>
        <v>48.160000000000025</v>
      </c>
      <c r="G18" s="57">
        <f>E18*F18</f>
        <v>4.041587200000002</v>
      </c>
      <c r="H18" s="72"/>
      <c r="I18" s="63">
        <f>I29*0.64+I30*0.18+I31*0.18</f>
        <v>0.08392</v>
      </c>
      <c r="J18" s="81">
        <f>F18</f>
        <v>48.160000000000025</v>
      </c>
      <c r="K18" s="57">
        <f>I18*J18</f>
        <v>4.041587200000002</v>
      </c>
      <c r="L18" s="82"/>
      <c r="M18" s="61">
        <f t="shared" si="0"/>
        <v>0</v>
      </c>
      <c r="N18" s="62">
        <f t="shared" si="1"/>
        <v>0</v>
      </c>
    </row>
    <row r="19" spans="1:14" ht="14.25">
      <c r="A19" s="83" t="s">
        <v>36</v>
      </c>
      <c r="B19" s="78"/>
      <c r="C19" s="79"/>
      <c r="D19" s="80"/>
      <c r="E19" s="63">
        <v>0.001</v>
      </c>
      <c r="F19" s="81">
        <v>800</v>
      </c>
      <c r="G19" s="57">
        <f>F19*E19</f>
        <v>0.8</v>
      </c>
      <c r="H19" s="72"/>
      <c r="I19" s="63">
        <v>0.001</v>
      </c>
      <c r="J19" s="81">
        <f>F19</f>
        <v>800</v>
      </c>
      <c r="K19" s="57">
        <f>J19*I19</f>
        <v>0.8</v>
      </c>
      <c r="L19" s="82"/>
      <c r="M19" s="61">
        <f t="shared" si="0"/>
        <v>0</v>
      </c>
      <c r="N19" s="62">
        <f t="shared" si="1"/>
        <v>0</v>
      </c>
    </row>
    <row r="20" spans="1:14" ht="14.25">
      <c r="A20" s="83" t="s">
        <v>37</v>
      </c>
      <c r="B20" s="78"/>
      <c r="C20" s="79"/>
      <c r="D20" s="80"/>
      <c r="E20" s="63">
        <v>0.79</v>
      </c>
      <c r="F20" s="81">
        <v>1</v>
      </c>
      <c r="G20" s="57">
        <f>F20*E20</f>
        <v>0.79</v>
      </c>
      <c r="H20" s="72"/>
      <c r="I20" s="63">
        <v>0.79</v>
      </c>
      <c r="J20" s="81">
        <f>F20</f>
        <v>1</v>
      </c>
      <c r="K20" s="57">
        <f>J20*I20</f>
        <v>0.79</v>
      </c>
      <c r="L20" s="82"/>
      <c r="M20" s="61">
        <f t="shared" si="0"/>
        <v>0</v>
      </c>
      <c r="N20" s="62">
        <f t="shared" si="1"/>
        <v>0</v>
      </c>
    </row>
    <row r="21" spans="1:14" ht="25.5">
      <c r="A21" s="84" t="s">
        <v>38</v>
      </c>
      <c r="B21" s="85"/>
      <c r="C21" s="85"/>
      <c r="D21" s="86"/>
      <c r="E21" s="87"/>
      <c r="F21" s="87"/>
      <c r="G21" s="88">
        <f>SUM(G19:G20)+G17</f>
        <v>26.330000000000002</v>
      </c>
      <c r="H21" s="72"/>
      <c r="I21" s="87"/>
      <c r="J21" s="89"/>
      <c r="K21" s="88">
        <f>SUM(K19:K20)+K17</f>
        <v>26.470000000000002</v>
      </c>
      <c r="L21" s="74"/>
      <c r="M21" s="90">
        <f aca="true" t="shared" si="2" ref="M21:M37">K21-G21</f>
        <v>0.14000000000000057</v>
      </c>
      <c r="N21" s="91">
        <f aca="true" t="shared" si="3" ref="N21:N37">IF((G21)=0,"",(M21/G21))</f>
        <v>0.005317128750474765</v>
      </c>
    </row>
    <row r="22" spans="1:14" ht="14.25">
      <c r="A22" s="92" t="s">
        <v>39</v>
      </c>
      <c r="B22" s="92"/>
      <c r="C22" s="93"/>
      <c r="D22" s="94"/>
      <c r="E22" s="63">
        <v>0.0081</v>
      </c>
      <c r="F22" s="95">
        <v>848.1600000000001</v>
      </c>
      <c r="G22" s="57">
        <f>F22*E22</f>
        <v>6.870096</v>
      </c>
      <c r="H22" s="72"/>
      <c r="I22" s="63">
        <v>0.0076</v>
      </c>
      <c r="J22" s="96">
        <f>F22</f>
        <v>848.1600000000001</v>
      </c>
      <c r="K22" s="57">
        <f>J22*I22</f>
        <v>6.446016</v>
      </c>
      <c r="L22" s="82"/>
      <c r="M22" s="61">
        <f t="shared" si="2"/>
        <v>-0.42408</v>
      </c>
      <c r="N22" s="62">
        <f t="shared" si="3"/>
        <v>-0.06172839506172839</v>
      </c>
    </row>
    <row r="23" spans="1:14" ht="25.5" customHeight="1">
      <c r="A23" s="173" t="s">
        <v>40</v>
      </c>
      <c r="B23" s="173"/>
      <c r="C23" s="173"/>
      <c r="D23" s="94"/>
      <c r="E23" s="63">
        <v>0.0081</v>
      </c>
      <c r="F23" s="95">
        <v>848.1600000000001</v>
      </c>
      <c r="G23" s="57">
        <f>F23*E23</f>
        <v>6.870096</v>
      </c>
      <c r="H23" s="72"/>
      <c r="I23" s="63">
        <v>0.0038</v>
      </c>
      <c r="J23" s="96">
        <f>F23</f>
        <v>848.1600000000001</v>
      </c>
      <c r="K23" s="57">
        <f>J23*I23</f>
        <v>3.223008</v>
      </c>
      <c r="L23" s="82"/>
      <c r="M23" s="61">
        <f t="shared" si="2"/>
        <v>-3.647088</v>
      </c>
      <c r="N23" s="62">
        <f t="shared" si="3"/>
        <v>-0.5308641975308642</v>
      </c>
    </row>
    <row r="24" spans="1:14" ht="25.5">
      <c r="A24" s="84" t="s">
        <v>41</v>
      </c>
      <c r="B24" s="97"/>
      <c r="C24" s="97"/>
      <c r="D24" s="98"/>
      <c r="E24" s="87"/>
      <c r="F24" s="87"/>
      <c r="G24" s="88">
        <f>SUM(G21:G23)</f>
        <v>40.070192000000006</v>
      </c>
      <c r="H24" s="99"/>
      <c r="I24" s="100"/>
      <c r="J24" s="101"/>
      <c r="K24" s="88">
        <f>SUM(K21:K23)</f>
        <v>36.139024</v>
      </c>
      <c r="L24" s="102"/>
      <c r="M24" s="90">
        <f t="shared" si="2"/>
        <v>-3.9311680000000067</v>
      </c>
      <c r="N24" s="91">
        <f t="shared" si="3"/>
        <v>-0.09810704176311424</v>
      </c>
    </row>
    <row r="25" spans="1:14" ht="25.5">
      <c r="A25" s="103" t="s">
        <v>42</v>
      </c>
      <c r="B25" s="78"/>
      <c r="C25" s="79"/>
      <c r="D25" s="80"/>
      <c r="E25" s="104">
        <v>0.0044</v>
      </c>
      <c r="F25" s="95">
        <f>E5*E3</f>
        <v>848.1600000000001</v>
      </c>
      <c r="G25" s="105">
        <f aca="true" t="shared" si="4" ref="G25:G31">F25*E25</f>
        <v>3.7319040000000006</v>
      </c>
      <c r="H25" s="82"/>
      <c r="I25" s="104">
        <v>0.0044</v>
      </c>
      <c r="J25" s="96">
        <f>E5*E3</f>
        <v>848.1600000000001</v>
      </c>
      <c r="K25" s="105">
        <f aca="true" t="shared" si="5" ref="K25:K31">J25*I25</f>
        <v>3.7319040000000006</v>
      </c>
      <c r="L25" s="82"/>
      <c r="M25" s="61">
        <f t="shared" si="2"/>
        <v>0</v>
      </c>
      <c r="N25" s="106">
        <f t="shared" si="3"/>
        <v>0</v>
      </c>
    </row>
    <row r="26" spans="1:14" ht="14.25">
      <c r="A26" s="103" t="s">
        <v>43</v>
      </c>
      <c r="B26" s="78"/>
      <c r="C26" s="79"/>
      <c r="D26" s="80"/>
      <c r="E26" s="104">
        <v>0.0012</v>
      </c>
      <c r="F26" s="95">
        <f>E5*E3</f>
        <v>848.1600000000001</v>
      </c>
      <c r="G26" s="105">
        <f t="shared" si="4"/>
        <v>1.017792</v>
      </c>
      <c r="H26" s="82"/>
      <c r="I26" s="104">
        <v>0.0012</v>
      </c>
      <c r="J26" s="96">
        <f>E5*E3</f>
        <v>848.1600000000001</v>
      </c>
      <c r="K26" s="105">
        <f t="shared" si="5"/>
        <v>1.017792</v>
      </c>
      <c r="L26" s="82"/>
      <c r="M26" s="61">
        <f t="shared" si="2"/>
        <v>0</v>
      </c>
      <c r="N26" s="106">
        <f t="shared" si="3"/>
        <v>0</v>
      </c>
    </row>
    <row r="27" spans="1:14" ht="14.25">
      <c r="A27" s="78" t="s">
        <v>44</v>
      </c>
      <c r="B27" s="78"/>
      <c r="C27" s="79"/>
      <c r="D27" s="80"/>
      <c r="E27" s="104">
        <v>0.25</v>
      </c>
      <c r="F27" s="95">
        <v>1</v>
      </c>
      <c r="G27" s="105">
        <f t="shared" si="4"/>
        <v>0.25</v>
      </c>
      <c r="H27" s="82"/>
      <c r="I27" s="104">
        <v>0.25</v>
      </c>
      <c r="J27" s="96">
        <v>1</v>
      </c>
      <c r="K27" s="105">
        <f t="shared" si="5"/>
        <v>0.25</v>
      </c>
      <c r="L27" s="82"/>
      <c r="M27" s="61">
        <f t="shared" si="2"/>
        <v>0</v>
      </c>
      <c r="N27" s="106">
        <f t="shared" si="3"/>
        <v>0</v>
      </c>
    </row>
    <row r="28" spans="1:14" ht="14.25">
      <c r="A28" s="78" t="s">
        <v>1</v>
      </c>
      <c r="B28" s="78"/>
      <c r="C28" s="79"/>
      <c r="D28" s="80"/>
      <c r="E28" s="104">
        <v>0.007</v>
      </c>
      <c r="F28" s="95">
        <f>E5</f>
        <v>800</v>
      </c>
      <c r="G28" s="105">
        <f t="shared" si="4"/>
        <v>5.6000000000000005</v>
      </c>
      <c r="H28" s="82"/>
      <c r="I28" s="104">
        <v>0.007</v>
      </c>
      <c r="J28" s="96">
        <f>E5</f>
        <v>800</v>
      </c>
      <c r="K28" s="105">
        <f t="shared" si="5"/>
        <v>5.6000000000000005</v>
      </c>
      <c r="L28" s="82"/>
      <c r="M28" s="61">
        <f t="shared" si="2"/>
        <v>0</v>
      </c>
      <c r="N28" s="106">
        <f t="shared" si="3"/>
        <v>0</v>
      </c>
    </row>
    <row r="29" spans="1:14" ht="14.25">
      <c r="A29" s="83" t="s">
        <v>45</v>
      </c>
      <c r="B29" s="78"/>
      <c r="C29" s="79"/>
      <c r="D29" s="80"/>
      <c r="E29" s="107">
        <v>0.067</v>
      </c>
      <c r="F29" s="95">
        <v>512</v>
      </c>
      <c r="G29" s="105">
        <f t="shared" si="4"/>
        <v>34.304</v>
      </c>
      <c r="H29" s="82"/>
      <c r="I29" s="104">
        <v>0.067</v>
      </c>
      <c r="J29" s="95">
        <f>F29</f>
        <v>512</v>
      </c>
      <c r="K29" s="105">
        <f t="shared" si="5"/>
        <v>34.304</v>
      </c>
      <c r="L29" s="82"/>
      <c r="M29" s="61">
        <f t="shared" si="2"/>
        <v>0</v>
      </c>
      <c r="N29" s="106">
        <f t="shared" si="3"/>
        <v>0</v>
      </c>
    </row>
    <row r="30" spans="1:14" ht="14.25">
      <c r="A30" s="83" t="s">
        <v>46</v>
      </c>
      <c r="B30" s="78"/>
      <c r="C30" s="79"/>
      <c r="D30" s="80"/>
      <c r="E30" s="107">
        <v>0.104</v>
      </c>
      <c r="F30" s="95">
        <v>144</v>
      </c>
      <c r="G30" s="105">
        <f t="shared" si="4"/>
        <v>14.975999999999999</v>
      </c>
      <c r="H30" s="82"/>
      <c r="I30" s="104">
        <v>0.104</v>
      </c>
      <c r="J30" s="95">
        <f>F30</f>
        <v>144</v>
      </c>
      <c r="K30" s="105">
        <f t="shared" si="5"/>
        <v>14.975999999999999</v>
      </c>
      <c r="L30" s="82"/>
      <c r="M30" s="61">
        <f t="shared" si="2"/>
        <v>0</v>
      </c>
      <c r="N30" s="106">
        <f t="shared" si="3"/>
        <v>0</v>
      </c>
    </row>
    <row r="31" spans="1:14" ht="15" thickBot="1">
      <c r="A31" s="44" t="s">
        <v>47</v>
      </c>
      <c r="B31" s="78"/>
      <c r="C31" s="79"/>
      <c r="D31" s="80"/>
      <c r="E31" s="107">
        <v>0.124</v>
      </c>
      <c r="F31" s="95">
        <v>144</v>
      </c>
      <c r="G31" s="105">
        <f t="shared" si="4"/>
        <v>17.856</v>
      </c>
      <c r="H31" s="82"/>
      <c r="I31" s="104">
        <v>0.124</v>
      </c>
      <c r="J31" s="95">
        <f>F31</f>
        <v>144</v>
      </c>
      <c r="K31" s="105">
        <f t="shared" si="5"/>
        <v>17.856</v>
      </c>
      <c r="L31" s="82"/>
      <c r="M31" s="61">
        <f t="shared" si="2"/>
        <v>0</v>
      </c>
      <c r="N31" s="106">
        <f t="shared" si="3"/>
        <v>0</v>
      </c>
    </row>
    <row r="32" spans="1:14" ht="15" thickBot="1">
      <c r="A32" s="108"/>
      <c r="B32" s="109"/>
      <c r="C32" s="109"/>
      <c r="D32" s="110"/>
      <c r="E32" s="111"/>
      <c r="F32" s="112"/>
      <c r="G32" s="113"/>
      <c r="H32" s="114"/>
      <c r="I32" s="111"/>
      <c r="J32" s="115"/>
      <c r="K32" s="113"/>
      <c r="L32" s="114"/>
      <c r="M32" s="116"/>
      <c r="N32" s="117"/>
    </row>
    <row r="33" spans="1:14" ht="15">
      <c r="A33" s="118" t="s">
        <v>48</v>
      </c>
      <c r="B33" s="78"/>
      <c r="C33" s="78"/>
      <c r="D33" s="119"/>
      <c r="E33" s="120"/>
      <c r="F33" s="121"/>
      <c r="G33" s="122">
        <f>SUM(G24:G28,G29:G31)</f>
        <v>117.80588800000001</v>
      </c>
      <c r="H33" s="123"/>
      <c r="I33" s="124"/>
      <c r="J33" s="124"/>
      <c r="K33" s="125">
        <f>SUM(K24:K28,K29:K31)</f>
        <v>113.87472</v>
      </c>
      <c r="L33" s="126"/>
      <c r="M33" s="127">
        <f>K33-G33</f>
        <v>-3.9311680000000138</v>
      </c>
      <c r="N33" s="128">
        <f>IF((G33)=0,"",(M33/G33))</f>
        <v>-0.03336987706420933</v>
      </c>
    </row>
    <row r="34" spans="1:14" ht="14.25">
      <c r="A34" s="129" t="s">
        <v>8</v>
      </c>
      <c r="B34" s="78"/>
      <c r="C34" s="78"/>
      <c r="D34" s="119"/>
      <c r="E34" s="120">
        <v>0.13</v>
      </c>
      <c r="F34" s="130"/>
      <c r="G34" s="131">
        <f>G33*E34</f>
        <v>15.314765440000002</v>
      </c>
      <c r="H34" s="56"/>
      <c r="I34" s="120">
        <v>0.13</v>
      </c>
      <c r="J34" s="56"/>
      <c r="K34" s="132">
        <f>K33*I34</f>
        <v>14.8037136</v>
      </c>
      <c r="L34" s="133"/>
      <c r="M34" s="134">
        <f t="shared" si="2"/>
        <v>-0.5110518400000021</v>
      </c>
      <c r="N34" s="135">
        <f t="shared" si="3"/>
        <v>-0.03336987706420935</v>
      </c>
    </row>
    <row r="35" spans="1:14" ht="14.25">
      <c r="A35" s="136" t="s">
        <v>49</v>
      </c>
      <c r="B35" s="78"/>
      <c r="C35" s="78"/>
      <c r="D35" s="119"/>
      <c r="E35" s="56"/>
      <c r="F35" s="130"/>
      <c r="G35" s="131">
        <f>G33+G34</f>
        <v>133.12065344</v>
      </c>
      <c r="H35" s="56"/>
      <c r="I35" s="56"/>
      <c r="J35" s="56"/>
      <c r="K35" s="132">
        <f>K33+K34</f>
        <v>128.6784336</v>
      </c>
      <c r="L35" s="133"/>
      <c r="M35" s="134">
        <f t="shared" si="2"/>
        <v>-4.442219840000007</v>
      </c>
      <c r="N35" s="135">
        <f t="shared" si="3"/>
        <v>-0.03336987706420927</v>
      </c>
    </row>
    <row r="36" spans="1:14" ht="14.25" customHeight="1">
      <c r="A36" s="160" t="s">
        <v>50</v>
      </c>
      <c r="B36" s="160"/>
      <c r="C36" s="160"/>
      <c r="D36" s="119"/>
      <c r="E36" s="56"/>
      <c r="F36" s="130"/>
      <c r="G36" s="137">
        <f>ROUND(-G35*10%,2)</f>
        <v>-13.31</v>
      </c>
      <c r="H36" s="56"/>
      <c r="I36" s="56"/>
      <c r="J36" s="56"/>
      <c r="K36" s="138">
        <f>ROUND(-K35*10%,2)</f>
        <v>-12.87</v>
      </c>
      <c r="L36" s="133"/>
      <c r="M36" s="139">
        <f t="shared" si="2"/>
        <v>0.4400000000000013</v>
      </c>
      <c r="N36" s="140">
        <f t="shared" si="3"/>
        <v>-0.03305785123966952</v>
      </c>
    </row>
    <row r="37" spans="1:14" ht="15.75" customHeight="1" thickBot="1">
      <c r="A37" s="161" t="s">
        <v>51</v>
      </c>
      <c r="B37" s="161"/>
      <c r="C37" s="161"/>
      <c r="D37" s="141"/>
      <c r="E37" s="142"/>
      <c r="F37" s="143"/>
      <c r="G37" s="144">
        <f>G35+G36</f>
        <v>119.81065344000001</v>
      </c>
      <c r="H37" s="145"/>
      <c r="I37" s="145"/>
      <c r="J37" s="145"/>
      <c r="K37" s="146">
        <f>K35+K36</f>
        <v>115.8084336</v>
      </c>
      <c r="L37" s="147"/>
      <c r="M37" s="75">
        <f t="shared" si="2"/>
        <v>-4.002219840000009</v>
      </c>
      <c r="N37" s="76">
        <f t="shared" si="3"/>
        <v>-0.03340454062379587</v>
      </c>
    </row>
    <row r="38" spans="1:14" ht="13.5" thickBot="1">
      <c r="A38" s="108"/>
      <c r="B38" s="109"/>
      <c r="C38" s="109"/>
      <c r="D38" s="110"/>
      <c r="E38" s="148"/>
      <c r="F38" s="149"/>
      <c r="G38" s="150"/>
      <c r="H38" s="151"/>
      <c r="I38" s="148"/>
      <c r="J38" s="151"/>
      <c r="K38" s="152"/>
      <c r="L38" s="149"/>
      <c r="M38" s="153"/>
      <c r="N38" s="154"/>
    </row>
    <row r="39" spans="1:14" ht="12.75">
      <c r="A39" s="26"/>
      <c r="B39" s="26"/>
      <c r="C39" s="26"/>
      <c r="D39" s="23"/>
      <c r="E39" s="23"/>
      <c r="F39" s="23"/>
      <c r="G39" s="23"/>
      <c r="H39" s="23"/>
      <c r="I39" s="23"/>
      <c r="J39" s="23"/>
      <c r="K39" s="155"/>
      <c r="L39" s="23"/>
      <c r="M39" s="23"/>
      <c r="N39" s="23"/>
    </row>
    <row r="40" spans="1:14" ht="12.75">
      <c r="A40" s="26"/>
      <c r="B40" s="26"/>
      <c r="C40" s="26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</row>
    <row r="41" spans="1:14" ht="12.75">
      <c r="A41" s="26"/>
      <c r="B41" s="26"/>
      <c r="C41" s="26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</row>
  </sheetData>
  <sheetProtection/>
  <mergeCells count="11">
    <mergeCell ref="M12:N12"/>
    <mergeCell ref="C13:C14"/>
    <mergeCell ref="M13:M14"/>
    <mergeCell ref="N13:N14"/>
    <mergeCell ref="A23:C23"/>
    <mergeCell ref="A36:C36"/>
    <mergeCell ref="A37:C37"/>
    <mergeCell ref="C1:K1"/>
    <mergeCell ref="E10:J10"/>
    <mergeCell ref="E12:G12"/>
    <mergeCell ref="I12:K12"/>
  </mergeCells>
  <dataValidations count="3">
    <dataValidation showInputMessage="1" showErrorMessage="1" prompt="Select Charge Unit - monthly, per kWh, per kW" sqref="C15:C16 C22 C25:C31 C19:C20"/>
    <dataValidation type="list" allowBlank="1" showInputMessage="1" showErrorMessage="1" prompt="Select Charge Unit - monthly, per kWh, per kW" sqref="C32 C38">
      <formula1>"Monthly, per kWh, per kW"</formula1>
    </dataValidation>
    <dataValidation type="list" allowBlank="1" showInputMessage="1" showErrorMessage="1" sqref="D22:D23 D38 D15:D16 D25:D32 D19:D20">
      <formula1>Residential!#REF!</formula1>
    </dataValidation>
  </dataValidations>
  <printOptions/>
  <pageMargins left="0.75" right="0.75" top="1" bottom="1" header="0.5" footer="0.5"/>
  <pageSetup fitToHeight="1" fitToWidth="1" horizontalDpi="600" verticalDpi="600" orientation="portrait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tabSelected="1" zoomScalePageLayoutView="0" workbookViewId="0" topLeftCell="A1">
      <selection activeCell="A1" sqref="A1:G10"/>
    </sheetView>
  </sheetViews>
  <sheetFormatPr defaultColWidth="9.140625" defaultRowHeight="12.75"/>
  <cols>
    <col min="1" max="1" width="35.28125" style="0" bestFit="1" customWidth="1"/>
    <col min="2" max="2" width="4.7109375" style="0" customWidth="1"/>
    <col min="3" max="3" width="5.57421875" style="0" bestFit="1" customWidth="1"/>
    <col min="4" max="4" width="5.57421875" style="0" customWidth="1"/>
    <col min="5" max="5" width="9.8515625" style="0" bestFit="1" customWidth="1"/>
    <col min="6" max="6" width="8.00390625" style="0" bestFit="1" customWidth="1"/>
    <col min="7" max="7" width="9.8515625" style="0" bestFit="1" customWidth="1"/>
    <col min="8" max="8" width="4.7109375" style="0" customWidth="1"/>
    <col min="9" max="9" width="9.8515625" style="0" bestFit="1" customWidth="1"/>
    <col min="10" max="10" width="8.00390625" style="0" bestFit="1" customWidth="1"/>
    <col min="11" max="11" width="9.8515625" style="0" bestFit="1" customWidth="1"/>
    <col min="12" max="12" width="4.7109375" style="0" customWidth="1"/>
    <col min="13" max="13" width="9.57421875" style="0" bestFit="1" customWidth="1"/>
    <col min="14" max="14" width="11.00390625" style="0" bestFit="1" customWidth="1"/>
  </cols>
  <sheetData>
    <row r="1" spans="1:14" ht="15.75">
      <c r="A1" s="22"/>
      <c r="B1" s="23"/>
      <c r="C1" s="162" t="s">
        <v>52</v>
      </c>
      <c r="D1" s="162"/>
      <c r="E1" s="162"/>
      <c r="F1" s="162"/>
      <c r="G1" s="162"/>
      <c r="H1" s="162"/>
      <c r="I1" s="162"/>
      <c r="J1" s="162"/>
      <c r="K1" s="162"/>
      <c r="L1" s="24"/>
      <c r="M1" s="24"/>
      <c r="N1" s="24"/>
    </row>
    <row r="2" spans="1:14" ht="15.75">
      <c r="A2" s="25"/>
      <c r="B2" s="26"/>
      <c r="C2" s="27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15.75">
      <c r="A3" s="22" t="s">
        <v>2</v>
      </c>
      <c r="B3" s="23"/>
      <c r="C3" s="29"/>
      <c r="D3" s="29"/>
      <c r="E3" s="30">
        <v>1.0602</v>
      </c>
      <c r="F3" s="29"/>
      <c r="G3" s="29"/>
      <c r="H3" s="29"/>
      <c r="I3" s="29"/>
      <c r="J3" s="29"/>
      <c r="K3" s="29"/>
      <c r="L3" s="29"/>
      <c r="M3" s="29"/>
      <c r="N3" s="29"/>
    </row>
    <row r="4" spans="1:14" ht="15.75">
      <c r="A4" s="25"/>
      <c r="B4" s="26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 ht="12.75">
      <c r="A5" s="22" t="s">
        <v>3</v>
      </c>
      <c r="B5" s="23"/>
      <c r="C5" s="31" t="s">
        <v>22</v>
      </c>
      <c r="D5" s="32"/>
      <c r="E5" s="33">
        <v>2000</v>
      </c>
      <c r="F5" s="23"/>
      <c r="G5" s="23"/>
      <c r="H5" s="23"/>
      <c r="I5" s="23"/>
      <c r="J5" s="23"/>
      <c r="K5" s="23"/>
      <c r="L5" s="23"/>
      <c r="M5" s="23"/>
      <c r="N5" s="23"/>
    </row>
    <row r="6" spans="1:14" ht="12.75">
      <c r="A6" s="26"/>
      <c r="B6" s="26"/>
      <c r="C6" s="26"/>
      <c r="D6" s="26"/>
      <c r="E6" s="26"/>
      <c r="F6" s="34"/>
      <c r="G6" s="26"/>
      <c r="H6" s="26"/>
      <c r="I6" s="26"/>
      <c r="J6" s="26"/>
      <c r="K6" s="26"/>
      <c r="L6" s="26"/>
      <c r="M6" s="26"/>
      <c r="N6" s="26"/>
    </row>
    <row r="7" spans="1:14" ht="12.75">
      <c r="A7" s="35" t="s">
        <v>23</v>
      </c>
      <c r="B7" s="23"/>
      <c r="C7" s="23"/>
      <c r="D7" s="23"/>
      <c r="E7" s="23"/>
      <c r="F7" s="32"/>
      <c r="G7" s="23"/>
      <c r="H7" s="23"/>
      <c r="I7" s="23"/>
      <c r="J7" s="23"/>
      <c r="K7" s="23"/>
      <c r="L7" s="23"/>
      <c r="M7" s="23"/>
      <c r="N7" s="23"/>
    </row>
    <row r="8" spans="1:14" ht="12.75">
      <c r="A8" s="36" t="s">
        <v>24</v>
      </c>
      <c r="B8" s="37"/>
      <c r="C8" s="38" t="s">
        <v>5</v>
      </c>
      <c r="D8" s="39"/>
      <c r="E8" s="40"/>
      <c r="F8" s="32"/>
      <c r="G8" s="23"/>
      <c r="H8" s="23"/>
      <c r="I8" s="23"/>
      <c r="J8" s="23"/>
      <c r="K8" s="23"/>
      <c r="L8" s="23"/>
      <c r="M8" s="23"/>
      <c r="N8" s="23"/>
    </row>
    <row r="9" spans="1:14" ht="12.75">
      <c r="A9" s="36" t="s">
        <v>6</v>
      </c>
      <c r="B9" s="37"/>
      <c r="C9" s="38"/>
      <c r="D9" s="39"/>
      <c r="E9" s="41"/>
      <c r="F9" s="23"/>
      <c r="G9" s="23"/>
      <c r="H9" s="23"/>
      <c r="I9" s="23"/>
      <c r="J9" s="23"/>
      <c r="K9" s="23"/>
      <c r="L9" s="23"/>
      <c r="M9" s="23"/>
      <c r="N9" s="23"/>
    </row>
    <row r="10" spans="1:14" ht="12.75">
      <c r="A10" s="42"/>
      <c r="B10" s="26"/>
      <c r="C10" s="43"/>
      <c r="D10" s="34"/>
      <c r="E10" s="163">
        <f>IF(AND(ISNUMBER(E8),ISBLANK(E9)),"Please enter a load factor","")</f>
      </c>
      <c r="F10" s="163"/>
      <c r="G10" s="163"/>
      <c r="H10" s="163"/>
      <c r="I10" s="163"/>
      <c r="J10" s="163"/>
      <c r="K10" s="26"/>
      <c r="L10" s="26"/>
      <c r="M10" s="26"/>
      <c r="N10" s="26"/>
    </row>
    <row r="11" spans="1:14" ht="12.75">
      <c r="A11" s="44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</row>
    <row r="12" spans="1:14" ht="12.75">
      <c r="A12" s="44"/>
      <c r="B12" s="26"/>
      <c r="C12" s="45"/>
      <c r="D12" s="45"/>
      <c r="E12" s="164" t="s">
        <v>25</v>
      </c>
      <c r="F12" s="165"/>
      <c r="G12" s="166"/>
      <c r="H12" s="26"/>
      <c r="I12" s="164" t="s">
        <v>26</v>
      </c>
      <c r="J12" s="165"/>
      <c r="K12" s="166"/>
      <c r="L12" s="26"/>
      <c r="M12" s="164" t="s">
        <v>27</v>
      </c>
      <c r="N12" s="166"/>
    </row>
    <row r="13" spans="1:14" ht="12.75" customHeight="1">
      <c r="A13" s="44"/>
      <c r="B13" s="26"/>
      <c r="C13" s="167"/>
      <c r="D13" s="46"/>
      <c r="E13" s="47" t="s">
        <v>28</v>
      </c>
      <c r="F13" s="47" t="s">
        <v>7</v>
      </c>
      <c r="G13" s="48" t="s">
        <v>29</v>
      </c>
      <c r="H13" s="26"/>
      <c r="I13" s="47" t="s">
        <v>28</v>
      </c>
      <c r="J13" s="49" t="s">
        <v>7</v>
      </c>
      <c r="K13" s="48" t="s">
        <v>29</v>
      </c>
      <c r="L13" s="26"/>
      <c r="M13" s="169" t="s">
        <v>30</v>
      </c>
      <c r="N13" s="171" t="s">
        <v>31</v>
      </c>
    </row>
    <row r="14" spans="1:14" ht="12.75">
      <c r="A14" s="44"/>
      <c r="B14" s="26"/>
      <c r="C14" s="168"/>
      <c r="D14" s="46"/>
      <c r="E14" s="50" t="s">
        <v>32</v>
      </c>
      <c r="F14" s="50"/>
      <c r="G14" s="51" t="s">
        <v>32</v>
      </c>
      <c r="H14" s="26"/>
      <c r="I14" s="50" t="s">
        <v>32</v>
      </c>
      <c r="J14" s="51"/>
      <c r="K14" s="51" t="s">
        <v>32</v>
      </c>
      <c r="L14" s="26"/>
      <c r="M14" s="170"/>
      <c r="N14" s="172"/>
    </row>
    <row r="15" spans="1:14" ht="14.25">
      <c r="A15" s="52" t="s">
        <v>33</v>
      </c>
      <c r="B15" s="52"/>
      <c r="C15" s="53"/>
      <c r="D15" s="54"/>
      <c r="E15" s="55">
        <v>33.35</v>
      </c>
      <c r="F15" s="56">
        <v>1</v>
      </c>
      <c r="G15" s="57">
        <f>F15*E15</f>
        <v>33.35</v>
      </c>
      <c r="H15" s="58"/>
      <c r="I15" s="55">
        <v>33.51</v>
      </c>
      <c r="J15" s="59">
        <v>1</v>
      </c>
      <c r="K15" s="60">
        <f>J15*I15</f>
        <v>33.51</v>
      </c>
      <c r="L15" s="58"/>
      <c r="M15" s="61">
        <f aca="true" t="shared" si="0" ref="M15:M20">K15-G15</f>
        <v>0.1599999999999966</v>
      </c>
      <c r="N15" s="62">
        <f aca="true" t="shared" si="1" ref="N15:N20">IF((G15)=0,"",(M15/G15))</f>
        <v>0.004797601199400197</v>
      </c>
    </row>
    <row r="16" spans="1:14" ht="14.25">
      <c r="A16" s="52" t="s">
        <v>0</v>
      </c>
      <c r="B16" s="52"/>
      <c r="C16" s="53"/>
      <c r="D16" s="54"/>
      <c r="E16" s="63">
        <v>0.0114</v>
      </c>
      <c r="F16" s="64">
        <v>2000</v>
      </c>
      <c r="G16" s="57">
        <f>F16*E16</f>
        <v>22.8</v>
      </c>
      <c r="H16" s="58"/>
      <c r="I16" s="63">
        <v>0.0115</v>
      </c>
      <c r="J16" s="65">
        <f>F16</f>
        <v>2000</v>
      </c>
      <c r="K16" s="57">
        <f>J16*I16</f>
        <v>23</v>
      </c>
      <c r="L16" s="58"/>
      <c r="M16" s="61">
        <f t="shared" si="0"/>
        <v>0.1999999999999993</v>
      </c>
      <c r="N16" s="62">
        <f t="shared" si="1"/>
        <v>0.008771929824561372</v>
      </c>
    </row>
    <row r="17" spans="1:14" ht="15">
      <c r="A17" s="66" t="s">
        <v>34</v>
      </c>
      <c r="B17" s="67"/>
      <c r="C17" s="67"/>
      <c r="D17" s="68"/>
      <c r="E17" s="69"/>
      <c r="F17" s="70"/>
      <c r="G17" s="71">
        <f>SUM(G15:G16)</f>
        <v>56.150000000000006</v>
      </c>
      <c r="H17" s="72"/>
      <c r="I17" s="69"/>
      <c r="J17" s="73"/>
      <c r="K17" s="71">
        <f>SUM(K15:K16)</f>
        <v>56.51</v>
      </c>
      <c r="L17" s="74"/>
      <c r="M17" s="75">
        <f t="shared" si="0"/>
        <v>0.3599999999999923</v>
      </c>
      <c r="N17" s="76">
        <f t="shared" si="1"/>
        <v>0.006411398040961572</v>
      </c>
    </row>
    <row r="18" spans="1:14" ht="14.25">
      <c r="A18" s="77" t="s">
        <v>35</v>
      </c>
      <c r="B18" s="78"/>
      <c r="C18" s="79"/>
      <c r="D18" s="80"/>
      <c r="E18" s="63">
        <f>E29*0.64+E30*0.18+E31*0.18</f>
        <v>0.08392</v>
      </c>
      <c r="F18" s="81">
        <f>E5*(E3-1)</f>
        <v>120.40000000000006</v>
      </c>
      <c r="G18" s="57">
        <f>E18*F18</f>
        <v>10.103968000000005</v>
      </c>
      <c r="H18" s="72"/>
      <c r="I18" s="63">
        <f>I29*0.64+I30*0.18+I31*0.18</f>
        <v>0.08392</v>
      </c>
      <c r="J18" s="81">
        <f>F18</f>
        <v>120.40000000000006</v>
      </c>
      <c r="K18" s="57">
        <f>I18*J18</f>
        <v>10.103968000000005</v>
      </c>
      <c r="L18" s="82"/>
      <c r="M18" s="61">
        <f t="shared" si="0"/>
        <v>0</v>
      </c>
      <c r="N18" s="62">
        <f t="shared" si="1"/>
        <v>0</v>
      </c>
    </row>
    <row r="19" spans="1:14" ht="14.25">
      <c r="A19" s="83" t="s">
        <v>36</v>
      </c>
      <c r="B19" s="78"/>
      <c r="C19" s="79"/>
      <c r="D19" s="80"/>
      <c r="E19" s="63">
        <v>0.001</v>
      </c>
      <c r="F19" s="81">
        <v>2000</v>
      </c>
      <c r="G19" s="57">
        <f>F19*E19</f>
        <v>2</v>
      </c>
      <c r="H19" s="72"/>
      <c r="I19" s="63">
        <v>0.001</v>
      </c>
      <c r="J19" s="81">
        <f>F19</f>
        <v>2000</v>
      </c>
      <c r="K19" s="57">
        <f>J19*I19</f>
        <v>2</v>
      </c>
      <c r="L19" s="82"/>
      <c r="M19" s="61">
        <f t="shared" si="0"/>
        <v>0</v>
      </c>
      <c r="N19" s="62">
        <f t="shared" si="1"/>
        <v>0</v>
      </c>
    </row>
    <row r="20" spans="1:14" ht="14.25">
      <c r="A20" s="83" t="s">
        <v>37</v>
      </c>
      <c r="B20" s="78"/>
      <c r="C20" s="79"/>
      <c r="D20" s="80"/>
      <c r="E20" s="63">
        <v>0.79</v>
      </c>
      <c r="F20" s="81">
        <v>1</v>
      </c>
      <c r="G20" s="57">
        <f>F20*E20</f>
        <v>0.79</v>
      </c>
      <c r="H20" s="72"/>
      <c r="I20" s="63">
        <v>0.79</v>
      </c>
      <c r="J20" s="81">
        <f>F20</f>
        <v>1</v>
      </c>
      <c r="K20" s="57">
        <f>J20*I20</f>
        <v>0.79</v>
      </c>
      <c r="L20" s="82"/>
      <c r="M20" s="61">
        <f t="shared" si="0"/>
        <v>0</v>
      </c>
      <c r="N20" s="62">
        <f t="shared" si="1"/>
        <v>0</v>
      </c>
    </row>
    <row r="21" spans="1:14" ht="25.5">
      <c r="A21" s="84" t="s">
        <v>38</v>
      </c>
      <c r="B21" s="85"/>
      <c r="C21" s="85"/>
      <c r="D21" s="86"/>
      <c r="E21" s="87"/>
      <c r="F21" s="87"/>
      <c r="G21" s="88">
        <f>SUM(G19:G20)+G17</f>
        <v>58.940000000000005</v>
      </c>
      <c r="H21" s="72"/>
      <c r="I21" s="87"/>
      <c r="J21" s="89"/>
      <c r="K21" s="88">
        <f>SUM(K19:K20)+K17</f>
        <v>59.3</v>
      </c>
      <c r="L21" s="74"/>
      <c r="M21" s="90">
        <f aca="true" t="shared" si="2" ref="M21:M37">K21-G21</f>
        <v>0.3599999999999923</v>
      </c>
      <c r="N21" s="91">
        <f aca="true" t="shared" si="3" ref="N21:N37">IF((G21)=0,"",(M21/G21))</f>
        <v>0.006107906345435906</v>
      </c>
    </row>
    <row r="22" spans="1:14" ht="14.25">
      <c r="A22" s="92" t="s">
        <v>39</v>
      </c>
      <c r="B22" s="92"/>
      <c r="C22" s="93"/>
      <c r="D22" s="94"/>
      <c r="E22" s="63">
        <v>0.0071</v>
      </c>
      <c r="F22" s="95">
        <v>2120.4</v>
      </c>
      <c r="G22" s="57">
        <f>F22*E22</f>
        <v>15.054840000000002</v>
      </c>
      <c r="H22" s="72"/>
      <c r="I22" s="63">
        <v>0.0067</v>
      </c>
      <c r="J22" s="96">
        <f>F22</f>
        <v>2120.4</v>
      </c>
      <c r="K22" s="57">
        <f>J22*I22</f>
        <v>14.20668</v>
      </c>
      <c r="L22" s="82"/>
      <c r="M22" s="61">
        <f t="shared" si="2"/>
        <v>-0.8481600000000018</v>
      </c>
      <c r="N22" s="62">
        <f t="shared" si="3"/>
        <v>-0.0563380281690142</v>
      </c>
    </row>
    <row r="23" spans="1:14" ht="25.5" customHeight="1">
      <c r="A23" s="173" t="s">
        <v>40</v>
      </c>
      <c r="B23" s="173"/>
      <c r="C23" s="173"/>
      <c r="D23" s="94"/>
      <c r="E23" s="63">
        <v>0.0077</v>
      </c>
      <c r="F23" s="95">
        <v>2120.4</v>
      </c>
      <c r="G23" s="57">
        <f>F23*E23</f>
        <v>16.327080000000002</v>
      </c>
      <c r="H23" s="72"/>
      <c r="I23" s="63">
        <v>0.0036</v>
      </c>
      <c r="J23" s="96">
        <f>F23</f>
        <v>2120.4</v>
      </c>
      <c r="K23" s="57">
        <f>J23*I23</f>
        <v>7.63344</v>
      </c>
      <c r="L23" s="82"/>
      <c r="M23" s="61">
        <f t="shared" si="2"/>
        <v>-8.693640000000002</v>
      </c>
      <c r="N23" s="62">
        <f t="shared" si="3"/>
        <v>-0.5324675324675325</v>
      </c>
    </row>
    <row r="24" spans="1:14" ht="25.5">
      <c r="A24" s="84" t="s">
        <v>41</v>
      </c>
      <c r="B24" s="97"/>
      <c r="C24" s="97"/>
      <c r="D24" s="98"/>
      <c r="E24" s="87"/>
      <c r="F24" s="87"/>
      <c r="G24" s="88">
        <f>SUM(G21:G23)</f>
        <v>90.32192</v>
      </c>
      <c r="H24" s="99"/>
      <c r="I24" s="100"/>
      <c r="J24" s="101"/>
      <c r="K24" s="88">
        <f>SUM(K21:K23)</f>
        <v>81.14012</v>
      </c>
      <c r="L24" s="102"/>
      <c r="M24" s="90">
        <f t="shared" si="2"/>
        <v>-9.18180000000001</v>
      </c>
      <c r="N24" s="91">
        <f t="shared" si="3"/>
        <v>-0.10165638640099778</v>
      </c>
    </row>
    <row r="25" spans="1:14" ht="25.5">
      <c r="A25" s="103" t="s">
        <v>42</v>
      </c>
      <c r="B25" s="78"/>
      <c r="C25" s="79"/>
      <c r="D25" s="80"/>
      <c r="E25" s="104">
        <v>0.0044</v>
      </c>
      <c r="F25" s="95">
        <f>E5*E3</f>
        <v>2120.4</v>
      </c>
      <c r="G25" s="105">
        <f aca="true" t="shared" si="4" ref="G25:G31">F25*E25</f>
        <v>9.32976</v>
      </c>
      <c r="H25" s="82"/>
      <c r="I25" s="104">
        <v>0.0044</v>
      </c>
      <c r="J25" s="96">
        <f>E5*E3</f>
        <v>2120.4</v>
      </c>
      <c r="K25" s="105">
        <f aca="true" t="shared" si="5" ref="K25:K31">J25*I25</f>
        <v>9.32976</v>
      </c>
      <c r="L25" s="82"/>
      <c r="M25" s="61">
        <f t="shared" si="2"/>
        <v>0</v>
      </c>
      <c r="N25" s="106">
        <f t="shared" si="3"/>
        <v>0</v>
      </c>
    </row>
    <row r="26" spans="1:14" ht="25.5">
      <c r="A26" s="103" t="s">
        <v>43</v>
      </c>
      <c r="B26" s="78"/>
      <c r="C26" s="79"/>
      <c r="D26" s="80"/>
      <c r="E26" s="104">
        <v>0.0012</v>
      </c>
      <c r="F26" s="95">
        <f>E5*E3</f>
        <v>2120.4</v>
      </c>
      <c r="G26" s="105">
        <f t="shared" si="4"/>
        <v>2.54448</v>
      </c>
      <c r="H26" s="82"/>
      <c r="I26" s="104">
        <v>0.0012</v>
      </c>
      <c r="J26" s="96">
        <f>E5*E3</f>
        <v>2120.4</v>
      </c>
      <c r="K26" s="105">
        <f t="shared" si="5"/>
        <v>2.54448</v>
      </c>
      <c r="L26" s="82"/>
      <c r="M26" s="61">
        <f t="shared" si="2"/>
        <v>0</v>
      </c>
      <c r="N26" s="106">
        <f t="shared" si="3"/>
        <v>0</v>
      </c>
    </row>
    <row r="27" spans="1:14" ht="14.25">
      <c r="A27" s="78" t="s">
        <v>44</v>
      </c>
      <c r="B27" s="78"/>
      <c r="C27" s="79"/>
      <c r="D27" s="80"/>
      <c r="E27" s="104">
        <v>0.25</v>
      </c>
      <c r="F27" s="95">
        <v>1</v>
      </c>
      <c r="G27" s="105">
        <f t="shared" si="4"/>
        <v>0.25</v>
      </c>
      <c r="H27" s="82"/>
      <c r="I27" s="104">
        <v>0.25</v>
      </c>
      <c r="J27" s="96">
        <v>1</v>
      </c>
      <c r="K27" s="105">
        <f t="shared" si="5"/>
        <v>0.25</v>
      </c>
      <c r="L27" s="82"/>
      <c r="M27" s="61">
        <f t="shared" si="2"/>
        <v>0</v>
      </c>
      <c r="N27" s="106">
        <f t="shared" si="3"/>
        <v>0</v>
      </c>
    </row>
    <row r="28" spans="1:14" ht="14.25">
      <c r="A28" s="78" t="s">
        <v>1</v>
      </c>
      <c r="B28" s="78"/>
      <c r="C28" s="79"/>
      <c r="D28" s="80"/>
      <c r="E28" s="104">
        <v>0.007</v>
      </c>
      <c r="F28" s="95">
        <f>E5</f>
        <v>2000</v>
      </c>
      <c r="G28" s="105">
        <f t="shared" si="4"/>
        <v>14</v>
      </c>
      <c r="H28" s="82"/>
      <c r="I28" s="104">
        <v>0.007</v>
      </c>
      <c r="J28" s="96">
        <f>E5</f>
        <v>2000</v>
      </c>
      <c r="K28" s="105">
        <f t="shared" si="5"/>
        <v>14</v>
      </c>
      <c r="L28" s="82"/>
      <c r="M28" s="61">
        <f t="shared" si="2"/>
        <v>0</v>
      </c>
      <c r="N28" s="106">
        <f t="shared" si="3"/>
        <v>0</v>
      </c>
    </row>
    <row r="29" spans="1:14" ht="14.25">
      <c r="A29" s="83" t="s">
        <v>45</v>
      </c>
      <c r="B29" s="78"/>
      <c r="C29" s="79"/>
      <c r="D29" s="80"/>
      <c r="E29" s="107">
        <v>0.067</v>
      </c>
      <c r="F29" s="95">
        <v>1280</v>
      </c>
      <c r="G29" s="105">
        <f t="shared" si="4"/>
        <v>85.76</v>
      </c>
      <c r="H29" s="82"/>
      <c r="I29" s="104">
        <v>0.067</v>
      </c>
      <c r="J29" s="95">
        <f>F29</f>
        <v>1280</v>
      </c>
      <c r="K29" s="105">
        <f t="shared" si="5"/>
        <v>85.76</v>
      </c>
      <c r="L29" s="82"/>
      <c r="M29" s="61">
        <f t="shared" si="2"/>
        <v>0</v>
      </c>
      <c r="N29" s="106">
        <f t="shared" si="3"/>
        <v>0</v>
      </c>
    </row>
    <row r="30" spans="1:14" ht="14.25">
      <c r="A30" s="83" t="s">
        <v>46</v>
      </c>
      <c r="B30" s="78"/>
      <c r="C30" s="79"/>
      <c r="D30" s="80"/>
      <c r="E30" s="107">
        <v>0.104</v>
      </c>
      <c r="F30" s="95">
        <v>360</v>
      </c>
      <c r="G30" s="105">
        <f t="shared" si="4"/>
        <v>37.44</v>
      </c>
      <c r="H30" s="82"/>
      <c r="I30" s="104">
        <v>0.104</v>
      </c>
      <c r="J30" s="95">
        <f>F30</f>
        <v>360</v>
      </c>
      <c r="K30" s="105">
        <f t="shared" si="5"/>
        <v>37.44</v>
      </c>
      <c r="L30" s="82"/>
      <c r="M30" s="61">
        <f t="shared" si="2"/>
        <v>0</v>
      </c>
      <c r="N30" s="106">
        <f t="shared" si="3"/>
        <v>0</v>
      </c>
    </row>
    <row r="31" spans="1:14" ht="15" thickBot="1">
      <c r="A31" s="44" t="s">
        <v>47</v>
      </c>
      <c r="B31" s="78"/>
      <c r="C31" s="79"/>
      <c r="D31" s="80"/>
      <c r="E31" s="107">
        <v>0.124</v>
      </c>
      <c r="F31" s="95">
        <v>360</v>
      </c>
      <c r="G31" s="105">
        <f t="shared" si="4"/>
        <v>44.64</v>
      </c>
      <c r="H31" s="82"/>
      <c r="I31" s="104">
        <v>0.124</v>
      </c>
      <c r="J31" s="95">
        <f>F31</f>
        <v>360</v>
      </c>
      <c r="K31" s="105">
        <f t="shared" si="5"/>
        <v>44.64</v>
      </c>
      <c r="L31" s="82"/>
      <c r="M31" s="61">
        <f t="shared" si="2"/>
        <v>0</v>
      </c>
      <c r="N31" s="106">
        <f t="shared" si="3"/>
        <v>0</v>
      </c>
    </row>
    <row r="32" spans="1:14" ht="15" thickBot="1">
      <c r="A32" s="108"/>
      <c r="B32" s="109"/>
      <c r="C32" s="109"/>
      <c r="D32" s="110"/>
      <c r="E32" s="111"/>
      <c r="F32" s="112"/>
      <c r="G32" s="113"/>
      <c r="H32" s="114"/>
      <c r="I32" s="111"/>
      <c r="J32" s="115"/>
      <c r="K32" s="113"/>
      <c r="L32" s="114"/>
      <c r="M32" s="116"/>
      <c r="N32" s="117"/>
    </row>
    <row r="33" spans="1:14" ht="15">
      <c r="A33" s="118" t="s">
        <v>48</v>
      </c>
      <c r="B33" s="78"/>
      <c r="C33" s="78"/>
      <c r="D33" s="119"/>
      <c r="E33" s="120"/>
      <c r="F33" s="121"/>
      <c r="G33" s="122">
        <f>SUM(G24:G28,G29:G31)</f>
        <v>284.28616</v>
      </c>
      <c r="H33" s="123"/>
      <c r="I33" s="124"/>
      <c r="J33" s="124"/>
      <c r="K33" s="125">
        <f>SUM(K24:K28,K29:K31)</f>
        <v>275.10436</v>
      </c>
      <c r="L33" s="126"/>
      <c r="M33" s="127">
        <f>K33-G33</f>
        <v>-9.18180000000001</v>
      </c>
      <c r="N33" s="128">
        <f>IF((G33)=0,"",(M33/G33))</f>
        <v>-0.032297738307063596</v>
      </c>
    </row>
    <row r="34" spans="1:14" ht="14.25">
      <c r="A34" s="129" t="s">
        <v>8</v>
      </c>
      <c r="B34" s="78"/>
      <c r="C34" s="78"/>
      <c r="D34" s="119"/>
      <c r="E34" s="120">
        <v>0.13</v>
      </c>
      <c r="F34" s="130"/>
      <c r="G34" s="131">
        <f>G33*E34</f>
        <v>36.9572008</v>
      </c>
      <c r="H34" s="56"/>
      <c r="I34" s="120">
        <v>0.13</v>
      </c>
      <c r="J34" s="56"/>
      <c r="K34" s="132">
        <f>K33*I34</f>
        <v>35.7635668</v>
      </c>
      <c r="L34" s="133"/>
      <c r="M34" s="134">
        <f t="shared" si="2"/>
        <v>-1.193634000000003</v>
      </c>
      <c r="N34" s="135">
        <f t="shared" si="3"/>
        <v>-0.03229773830706364</v>
      </c>
    </row>
    <row r="35" spans="1:14" ht="14.25">
      <c r="A35" s="136" t="s">
        <v>49</v>
      </c>
      <c r="B35" s="78"/>
      <c r="C35" s="78"/>
      <c r="D35" s="119"/>
      <c r="E35" s="56"/>
      <c r="F35" s="130"/>
      <c r="G35" s="131">
        <f>G33+G34</f>
        <v>321.2433608</v>
      </c>
      <c r="H35" s="56"/>
      <c r="I35" s="56"/>
      <c r="J35" s="56"/>
      <c r="K35" s="132">
        <f>K33+K34</f>
        <v>310.86792679999996</v>
      </c>
      <c r="L35" s="133"/>
      <c r="M35" s="134">
        <f t="shared" si="2"/>
        <v>-10.375434000000041</v>
      </c>
      <c r="N35" s="135">
        <f t="shared" si="3"/>
        <v>-0.032297738307063686</v>
      </c>
    </row>
    <row r="36" spans="1:14" ht="14.25" customHeight="1">
      <c r="A36" s="160" t="s">
        <v>50</v>
      </c>
      <c r="B36" s="160"/>
      <c r="C36" s="160"/>
      <c r="D36" s="119"/>
      <c r="E36" s="56"/>
      <c r="F36" s="130"/>
      <c r="G36" s="137">
        <f>ROUND(-G35*10%,2)</f>
        <v>-32.12</v>
      </c>
      <c r="H36" s="56"/>
      <c r="I36" s="56"/>
      <c r="J36" s="56"/>
      <c r="K36" s="138">
        <f>ROUND(-K35*10%,2)</f>
        <v>-31.09</v>
      </c>
      <c r="L36" s="133"/>
      <c r="M36" s="139">
        <f t="shared" si="2"/>
        <v>1.0299999999999976</v>
      </c>
      <c r="N36" s="140">
        <f t="shared" si="3"/>
        <v>-0.032067247820672405</v>
      </c>
    </row>
    <row r="37" spans="1:14" ht="15.75" customHeight="1" thickBot="1">
      <c r="A37" s="161" t="s">
        <v>51</v>
      </c>
      <c r="B37" s="161"/>
      <c r="C37" s="161"/>
      <c r="D37" s="141"/>
      <c r="E37" s="142"/>
      <c r="F37" s="143"/>
      <c r="G37" s="144">
        <f>G35+G36</f>
        <v>289.1233608</v>
      </c>
      <c r="H37" s="145"/>
      <c r="I37" s="145"/>
      <c r="J37" s="145"/>
      <c r="K37" s="146">
        <f>K35+K36</f>
        <v>279.7779268</v>
      </c>
      <c r="L37" s="147"/>
      <c r="M37" s="75">
        <f t="shared" si="2"/>
        <v>-9.345434000000012</v>
      </c>
      <c r="N37" s="76">
        <f t="shared" si="3"/>
        <v>-0.032323344520281364</v>
      </c>
    </row>
    <row r="38" spans="1:14" ht="13.5" thickBot="1">
      <c r="A38" s="108"/>
      <c r="B38" s="109"/>
      <c r="C38" s="109"/>
      <c r="D38" s="110"/>
      <c r="E38" s="148"/>
      <c r="F38" s="149"/>
      <c r="G38" s="150"/>
      <c r="H38" s="151"/>
      <c r="I38" s="148"/>
      <c r="J38" s="151"/>
      <c r="K38" s="152"/>
      <c r="L38" s="149"/>
      <c r="M38" s="153"/>
      <c r="N38" s="154"/>
    </row>
    <row r="39" spans="1:14" ht="12.75">
      <c r="A39" s="26"/>
      <c r="B39" s="26"/>
      <c r="C39" s="26"/>
      <c r="D39" s="23"/>
      <c r="E39" s="23"/>
      <c r="F39" s="23"/>
      <c r="G39" s="23"/>
      <c r="H39" s="23"/>
      <c r="I39" s="23"/>
      <c r="J39" s="23"/>
      <c r="K39" s="155"/>
      <c r="L39" s="23"/>
      <c r="M39" s="23"/>
      <c r="N39" s="23"/>
    </row>
    <row r="40" spans="1:14" ht="12.75">
      <c r="A40" s="26"/>
      <c r="B40" s="26"/>
      <c r="C40" s="26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</row>
    <row r="41" spans="1:14" ht="12.75">
      <c r="A41" s="26"/>
      <c r="B41" s="26"/>
      <c r="C41" s="26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</row>
    <row r="42" spans="1:10" ht="12.75">
      <c r="A42" s="1"/>
      <c r="B42" s="1"/>
      <c r="C42" s="1"/>
      <c r="D42" s="1"/>
      <c r="E42" s="1"/>
      <c r="F42" s="1"/>
      <c r="G42" s="1"/>
      <c r="H42" s="1"/>
      <c r="I42" s="1"/>
      <c r="J42" s="1"/>
    </row>
  </sheetData>
  <sheetProtection/>
  <mergeCells count="11">
    <mergeCell ref="M12:N12"/>
    <mergeCell ref="C13:C14"/>
    <mergeCell ref="M13:M14"/>
    <mergeCell ref="N13:N14"/>
    <mergeCell ref="A23:C23"/>
    <mergeCell ref="A36:C36"/>
    <mergeCell ref="C1:K1"/>
    <mergeCell ref="E10:J10"/>
    <mergeCell ref="E12:G12"/>
    <mergeCell ref="I12:K12"/>
    <mergeCell ref="A37:C37"/>
  </mergeCells>
  <dataValidations count="3">
    <dataValidation showInputMessage="1" showErrorMessage="1" prompt="Select Charge Unit - monthly, per kWh, per kW" sqref="C15:C16 C22 C25:C31 C19:C20"/>
    <dataValidation type="list" allowBlank="1" showInputMessage="1" showErrorMessage="1" prompt="Select Charge Unit - monthly, per kWh, per kW" sqref="C32 C38">
      <formula1>"Monthly, per kWh, per kW"</formula1>
    </dataValidation>
    <dataValidation type="list" allowBlank="1" showInputMessage="1" showErrorMessage="1" sqref="D22:D23 D38 D15:D16 D25:D32 D19:D20">
      <formula1>'GS &lt;50'!#REF!</formula1>
    </dataValidation>
  </dataValidations>
  <printOptions/>
  <pageMargins left="0.75" right="0.75" top="1" bottom="1" header="0.5" footer="0.5"/>
  <pageSetup fitToHeight="1" fitToWidth="1" horizontalDpi="600" verticalDpi="600" orientation="portrait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zoomScalePageLayoutView="0" workbookViewId="0" topLeftCell="A1">
      <selection activeCell="A1" sqref="A1:G10"/>
    </sheetView>
  </sheetViews>
  <sheetFormatPr defaultColWidth="9.140625" defaultRowHeight="12.75"/>
  <cols>
    <col min="1" max="1" width="35.28125" style="0" bestFit="1" customWidth="1"/>
    <col min="2" max="2" width="2.140625" style="0" customWidth="1"/>
    <col min="3" max="3" width="5.57421875" style="0" bestFit="1" customWidth="1"/>
    <col min="4" max="4" width="3.00390625" style="0" customWidth="1"/>
    <col min="5" max="6" width="9.8515625" style="0" bestFit="1" customWidth="1"/>
    <col min="7" max="7" width="12.7109375" style="0" bestFit="1" customWidth="1"/>
    <col min="8" max="8" width="4.7109375" style="0" customWidth="1"/>
    <col min="9" max="9" width="9.8515625" style="0" bestFit="1" customWidth="1"/>
    <col min="10" max="10" width="10.421875" style="0" bestFit="1" customWidth="1"/>
    <col min="11" max="11" width="12.7109375" style="0" bestFit="1" customWidth="1"/>
    <col min="12" max="12" width="4.7109375" style="0" customWidth="1"/>
    <col min="13" max="13" width="11.57421875" style="0" bestFit="1" customWidth="1"/>
    <col min="14" max="14" width="11.00390625" style="0" bestFit="1" customWidth="1"/>
  </cols>
  <sheetData>
    <row r="1" spans="1:14" ht="15.75">
      <c r="A1" s="22"/>
      <c r="B1" s="23"/>
      <c r="C1" s="162" t="s">
        <v>53</v>
      </c>
      <c r="D1" s="162"/>
      <c r="E1" s="162"/>
      <c r="F1" s="162"/>
      <c r="G1" s="162"/>
      <c r="H1" s="162"/>
      <c r="I1" s="162"/>
      <c r="J1" s="162"/>
      <c r="K1" s="162"/>
      <c r="L1" s="24"/>
      <c r="M1" s="24"/>
      <c r="N1" s="24"/>
    </row>
    <row r="2" spans="1:14" ht="15.75">
      <c r="A2" s="25"/>
      <c r="B2" s="26"/>
      <c r="C2" s="27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15.75">
      <c r="A3" s="22" t="s">
        <v>2</v>
      </c>
      <c r="B3" s="23"/>
      <c r="C3" s="29"/>
      <c r="D3" s="29"/>
      <c r="E3" s="30">
        <v>1.0602</v>
      </c>
      <c r="F3" s="29"/>
      <c r="G3" s="29"/>
      <c r="H3" s="29"/>
      <c r="I3" s="29"/>
      <c r="J3" s="29"/>
      <c r="K3" s="29"/>
      <c r="L3" s="29"/>
      <c r="M3" s="29"/>
      <c r="N3" s="29"/>
    </row>
    <row r="4" spans="1:14" ht="15.75">
      <c r="A4" s="25"/>
      <c r="B4" s="26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 ht="12.75">
      <c r="A5" s="22" t="s">
        <v>3</v>
      </c>
      <c r="B5" s="23"/>
      <c r="C5" s="31" t="s">
        <v>22</v>
      </c>
      <c r="D5" s="32"/>
      <c r="E5" s="156">
        <f>730*E8*E9</f>
        <v>435401.2</v>
      </c>
      <c r="F5" s="23"/>
      <c r="G5" s="23"/>
      <c r="H5" s="23"/>
      <c r="I5" s="23"/>
      <c r="J5" s="23"/>
      <c r="K5" s="23"/>
      <c r="L5" s="23"/>
      <c r="M5" s="23"/>
      <c r="N5" s="23"/>
    </row>
    <row r="6" spans="1:14" ht="12.75">
      <c r="A6" s="26"/>
      <c r="B6" s="26"/>
      <c r="C6" s="26"/>
      <c r="D6" s="26"/>
      <c r="E6" s="26"/>
      <c r="F6" s="34"/>
      <c r="G6" s="26"/>
      <c r="H6" s="26"/>
      <c r="I6" s="26"/>
      <c r="J6" s="26"/>
      <c r="K6" s="26"/>
      <c r="L6" s="26"/>
      <c r="M6" s="26"/>
      <c r="N6" s="26"/>
    </row>
    <row r="7" spans="1:14" ht="12.75">
      <c r="A7" s="35" t="s">
        <v>23</v>
      </c>
      <c r="B7" s="23"/>
      <c r="C7" s="23"/>
      <c r="D7" s="23"/>
      <c r="E7" s="23"/>
      <c r="F7" s="32"/>
      <c r="G7" s="23"/>
      <c r="H7" s="23"/>
      <c r="I7" s="23"/>
      <c r="J7" s="23"/>
      <c r="K7" s="23"/>
      <c r="L7" s="23"/>
      <c r="M7" s="23"/>
      <c r="N7" s="23"/>
    </row>
    <row r="8" spans="1:14" ht="12.75">
      <c r="A8" s="36" t="s">
        <v>24</v>
      </c>
      <c r="B8" s="37"/>
      <c r="C8" s="38" t="s">
        <v>5</v>
      </c>
      <c r="D8" s="39"/>
      <c r="E8" s="157">
        <v>1480</v>
      </c>
      <c r="F8" s="32"/>
      <c r="G8" s="23"/>
      <c r="H8" s="23"/>
      <c r="I8" s="23"/>
      <c r="J8" s="23"/>
      <c r="K8" s="23"/>
      <c r="L8" s="23"/>
      <c r="M8" s="23"/>
      <c r="N8" s="23"/>
    </row>
    <row r="9" spans="1:14" ht="12.75">
      <c r="A9" s="36" t="s">
        <v>6</v>
      </c>
      <c r="B9" s="37"/>
      <c r="C9" s="38"/>
      <c r="D9" s="39"/>
      <c r="E9" s="158">
        <v>0.403</v>
      </c>
      <c r="F9" s="23"/>
      <c r="G9" s="23"/>
      <c r="H9" s="23"/>
      <c r="I9" s="23"/>
      <c r="J9" s="23"/>
      <c r="K9" s="23"/>
      <c r="L9" s="23"/>
      <c r="M9" s="23"/>
      <c r="N9" s="23"/>
    </row>
    <row r="10" spans="1:14" ht="12.75">
      <c r="A10" s="42"/>
      <c r="B10" s="26"/>
      <c r="C10" s="43"/>
      <c r="D10" s="34"/>
      <c r="E10" s="163">
        <f>IF(AND(ISNUMBER(E8),ISBLANK(E9)),"Please enter a load factor","")</f>
      </c>
      <c r="F10" s="163"/>
      <c r="G10" s="163"/>
      <c r="H10" s="163"/>
      <c r="I10" s="163"/>
      <c r="J10" s="163"/>
      <c r="K10" s="26"/>
      <c r="L10" s="26"/>
      <c r="M10" s="26"/>
      <c r="N10" s="26"/>
    </row>
    <row r="11" spans="1:14" ht="12.75">
      <c r="A11" s="44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</row>
    <row r="12" spans="1:14" ht="12.75">
      <c r="A12" s="44"/>
      <c r="B12" s="26"/>
      <c r="C12" s="45"/>
      <c r="D12" s="45"/>
      <c r="E12" s="164" t="s">
        <v>25</v>
      </c>
      <c r="F12" s="165"/>
      <c r="G12" s="166"/>
      <c r="H12" s="26"/>
      <c r="I12" s="164" t="s">
        <v>26</v>
      </c>
      <c r="J12" s="165"/>
      <c r="K12" s="166"/>
      <c r="L12" s="26"/>
      <c r="M12" s="164" t="s">
        <v>27</v>
      </c>
      <c r="N12" s="166"/>
    </row>
    <row r="13" spans="1:14" ht="12.75" customHeight="1">
      <c r="A13" s="44"/>
      <c r="B13" s="26"/>
      <c r="C13" s="167"/>
      <c r="D13" s="46"/>
      <c r="E13" s="47" t="s">
        <v>28</v>
      </c>
      <c r="F13" s="47" t="s">
        <v>7</v>
      </c>
      <c r="G13" s="48" t="s">
        <v>29</v>
      </c>
      <c r="H13" s="26"/>
      <c r="I13" s="47" t="s">
        <v>28</v>
      </c>
      <c r="J13" s="49" t="s">
        <v>7</v>
      </c>
      <c r="K13" s="48" t="s">
        <v>29</v>
      </c>
      <c r="L13" s="26"/>
      <c r="M13" s="169" t="s">
        <v>30</v>
      </c>
      <c r="N13" s="171" t="s">
        <v>31</v>
      </c>
    </row>
    <row r="14" spans="1:14" ht="12.75">
      <c r="A14" s="44"/>
      <c r="B14" s="26"/>
      <c r="C14" s="168"/>
      <c r="D14" s="46"/>
      <c r="E14" s="50" t="s">
        <v>32</v>
      </c>
      <c r="F14" s="50"/>
      <c r="G14" s="51" t="s">
        <v>32</v>
      </c>
      <c r="H14" s="26"/>
      <c r="I14" s="50" t="s">
        <v>32</v>
      </c>
      <c r="J14" s="51"/>
      <c r="K14" s="51" t="s">
        <v>32</v>
      </c>
      <c r="L14" s="26"/>
      <c r="M14" s="170"/>
      <c r="N14" s="172"/>
    </row>
    <row r="15" spans="1:14" ht="14.25">
      <c r="A15" s="52" t="s">
        <v>33</v>
      </c>
      <c r="B15" s="52"/>
      <c r="C15" s="53"/>
      <c r="D15" s="54"/>
      <c r="E15" s="55">
        <v>220.9</v>
      </c>
      <c r="F15" s="56">
        <v>1</v>
      </c>
      <c r="G15" s="57">
        <f>F15*E15</f>
        <v>220.9</v>
      </c>
      <c r="H15" s="58"/>
      <c r="I15" s="55">
        <v>221.96</v>
      </c>
      <c r="J15" s="59">
        <v>1</v>
      </c>
      <c r="K15" s="60">
        <f>J15*I15</f>
        <v>221.96</v>
      </c>
      <c r="L15" s="58"/>
      <c r="M15" s="61">
        <f aca="true" t="shared" si="0" ref="M15:M20">K15-G15</f>
        <v>1.0600000000000023</v>
      </c>
      <c r="N15" s="62">
        <f aca="true" t="shared" si="1" ref="N15:N20">IF((G15)=0,"",(M15/G15))</f>
        <v>0.004798551380715266</v>
      </c>
    </row>
    <row r="16" spans="1:14" ht="14.25">
      <c r="A16" s="52" t="s">
        <v>0</v>
      </c>
      <c r="B16" s="52"/>
      <c r="C16" s="53"/>
      <c r="D16" s="54"/>
      <c r="E16" s="63">
        <v>2.0981</v>
      </c>
      <c r="F16" s="64">
        <v>1480</v>
      </c>
      <c r="G16" s="57">
        <f>F16*E16</f>
        <v>3105.188</v>
      </c>
      <c r="H16" s="58"/>
      <c r="I16" s="63">
        <v>2.1082</v>
      </c>
      <c r="J16" s="65">
        <f>F16</f>
        <v>1480</v>
      </c>
      <c r="K16" s="57">
        <f>J16*I16</f>
        <v>3120.136</v>
      </c>
      <c r="L16" s="58"/>
      <c r="M16" s="61">
        <f t="shared" si="0"/>
        <v>14.947999999999865</v>
      </c>
      <c r="N16" s="62">
        <f t="shared" si="1"/>
        <v>0.00481387922405982</v>
      </c>
    </row>
    <row r="17" spans="1:14" ht="15">
      <c r="A17" s="66" t="s">
        <v>34</v>
      </c>
      <c r="B17" s="67"/>
      <c r="C17" s="67"/>
      <c r="D17" s="68"/>
      <c r="E17" s="69"/>
      <c r="F17" s="70"/>
      <c r="G17" s="71">
        <f>SUM(G15:G16)</f>
        <v>3326.088</v>
      </c>
      <c r="H17" s="72"/>
      <c r="I17" s="69"/>
      <c r="J17" s="73"/>
      <c r="K17" s="71">
        <f>SUM(K15:K16)</f>
        <v>3342.096</v>
      </c>
      <c r="L17" s="74"/>
      <c r="M17" s="75">
        <f t="shared" si="0"/>
        <v>16.00799999999981</v>
      </c>
      <c r="N17" s="76">
        <f t="shared" si="1"/>
        <v>0.0048128612351807315</v>
      </c>
    </row>
    <row r="18" spans="1:14" ht="14.25">
      <c r="A18" s="77" t="s">
        <v>35</v>
      </c>
      <c r="B18" s="78"/>
      <c r="C18" s="79"/>
      <c r="D18" s="80"/>
      <c r="E18" s="63">
        <f>E29*0.64+E30*0.18+E31*0.18</f>
        <v>0.08392</v>
      </c>
      <c r="F18" s="81">
        <f>E5*(E3-1)</f>
        <v>26211.152240000014</v>
      </c>
      <c r="G18" s="57">
        <f>E18*F18</f>
        <v>2199.639895980801</v>
      </c>
      <c r="H18" s="72"/>
      <c r="I18" s="63">
        <f>I29*0.64+I30*0.18+I31*0.18</f>
        <v>0.08392</v>
      </c>
      <c r="J18" s="81">
        <f>F18</f>
        <v>26211.152240000014</v>
      </c>
      <c r="K18" s="57">
        <f>I18*J18</f>
        <v>2199.639895980801</v>
      </c>
      <c r="L18" s="82"/>
      <c r="M18" s="61">
        <f t="shared" si="0"/>
        <v>0</v>
      </c>
      <c r="N18" s="62">
        <f t="shared" si="1"/>
        <v>0</v>
      </c>
    </row>
    <row r="19" spans="1:14" ht="14.25">
      <c r="A19" s="83" t="s">
        <v>36</v>
      </c>
      <c r="B19" s="78"/>
      <c r="C19" s="79"/>
      <c r="D19" s="80"/>
      <c r="E19" s="63">
        <v>0.3506</v>
      </c>
      <c r="F19" s="81">
        <v>1480</v>
      </c>
      <c r="G19" s="57">
        <f>F19*E19</f>
        <v>518.888</v>
      </c>
      <c r="H19" s="72"/>
      <c r="I19" s="63">
        <v>0.3506</v>
      </c>
      <c r="J19" s="81">
        <f>F19</f>
        <v>1480</v>
      </c>
      <c r="K19" s="57">
        <f>J19*I19</f>
        <v>518.888</v>
      </c>
      <c r="L19" s="82"/>
      <c r="M19" s="61">
        <f t="shared" si="0"/>
        <v>0</v>
      </c>
      <c r="N19" s="62">
        <f t="shared" si="1"/>
        <v>0</v>
      </c>
    </row>
    <row r="20" spans="1:14" ht="14.25">
      <c r="A20" s="83" t="s">
        <v>37</v>
      </c>
      <c r="B20" s="78"/>
      <c r="C20" s="79"/>
      <c r="D20" s="80"/>
      <c r="E20" s="63"/>
      <c r="F20" s="81">
        <v>1</v>
      </c>
      <c r="G20" s="57">
        <f>F20*E20</f>
        <v>0</v>
      </c>
      <c r="H20" s="72"/>
      <c r="I20" s="63"/>
      <c r="J20" s="81">
        <f>F20</f>
        <v>1</v>
      </c>
      <c r="K20" s="57">
        <f>J20*I20</f>
        <v>0</v>
      </c>
      <c r="L20" s="82"/>
      <c r="M20" s="61">
        <f t="shared" si="0"/>
        <v>0</v>
      </c>
      <c r="N20" s="62">
        <f t="shared" si="1"/>
      </c>
    </row>
    <row r="21" spans="1:14" ht="25.5">
      <c r="A21" s="84" t="s">
        <v>38</v>
      </c>
      <c r="B21" s="85"/>
      <c r="C21" s="85"/>
      <c r="D21" s="86"/>
      <c r="E21" s="87"/>
      <c r="F21" s="87"/>
      <c r="G21" s="88">
        <f>SUM(G19:G20)+G17</f>
        <v>3844.976</v>
      </c>
      <c r="H21" s="72"/>
      <c r="I21" s="87"/>
      <c r="J21" s="89"/>
      <c r="K21" s="88">
        <f>SUM(K19:K20)+K17</f>
        <v>3860.984</v>
      </c>
      <c r="L21" s="74"/>
      <c r="M21" s="90">
        <f aca="true" t="shared" si="2" ref="M21:M37">K21-G21</f>
        <v>16.00799999999981</v>
      </c>
      <c r="N21" s="91">
        <f aca="true" t="shared" si="3" ref="N21:N37">IF((G21)=0,"",(M21/G21))</f>
        <v>0.004163354985830811</v>
      </c>
    </row>
    <row r="22" spans="1:14" ht="14.25">
      <c r="A22" s="92" t="s">
        <v>39</v>
      </c>
      <c r="B22" s="92"/>
      <c r="C22" s="93"/>
      <c r="D22" s="94"/>
      <c r="E22" s="63">
        <v>2.8991</v>
      </c>
      <c r="F22" s="95">
        <v>1569.096</v>
      </c>
      <c r="G22" s="57">
        <f>F22*E22</f>
        <v>4548.9662136</v>
      </c>
      <c r="H22" s="72"/>
      <c r="I22" s="63">
        <v>2.7363</v>
      </c>
      <c r="J22" s="96">
        <f>F22</f>
        <v>1569.096</v>
      </c>
      <c r="K22" s="57">
        <f>J22*I22</f>
        <v>4293.5173847999995</v>
      </c>
      <c r="L22" s="82"/>
      <c r="M22" s="61">
        <f t="shared" si="2"/>
        <v>-255.44882880000023</v>
      </c>
      <c r="N22" s="62">
        <f t="shared" si="3"/>
        <v>-0.05615535855955302</v>
      </c>
    </row>
    <row r="23" spans="1:14" ht="23.25" customHeight="1">
      <c r="A23" s="173" t="s">
        <v>40</v>
      </c>
      <c r="B23" s="173"/>
      <c r="C23" s="173"/>
      <c r="D23" s="94"/>
      <c r="E23" s="63">
        <v>3.0778</v>
      </c>
      <c r="F23" s="95">
        <v>1569.096</v>
      </c>
      <c r="G23" s="57">
        <f>F23*E23</f>
        <v>4829.3636688</v>
      </c>
      <c r="H23" s="72"/>
      <c r="I23" s="63">
        <v>1.4379</v>
      </c>
      <c r="J23" s="96">
        <f>F23</f>
        <v>1569.096</v>
      </c>
      <c r="K23" s="57">
        <f>J23*I23</f>
        <v>2256.2031383999997</v>
      </c>
      <c r="L23" s="82"/>
      <c r="M23" s="61">
        <f t="shared" si="2"/>
        <v>-2573.1605304</v>
      </c>
      <c r="N23" s="62">
        <f t="shared" si="3"/>
        <v>-0.532815647540451</v>
      </c>
    </row>
    <row r="24" spans="1:14" ht="25.5">
      <c r="A24" s="84" t="s">
        <v>41</v>
      </c>
      <c r="B24" s="97"/>
      <c r="C24" s="97"/>
      <c r="D24" s="98"/>
      <c r="E24" s="87"/>
      <c r="F24" s="87"/>
      <c r="G24" s="88">
        <f>SUM(G21:G23)</f>
        <v>13223.3058824</v>
      </c>
      <c r="H24" s="99"/>
      <c r="I24" s="100"/>
      <c r="J24" s="101"/>
      <c r="K24" s="88">
        <f>SUM(K21:K23)</f>
        <v>10410.7045232</v>
      </c>
      <c r="L24" s="102"/>
      <c r="M24" s="90">
        <f t="shared" si="2"/>
        <v>-2812.6013592</v>
      </c>
      <c r="N24" s="91">
        <f t="shared" si="3"/>
        <v>-0.21270031747080173</v>
      </c>
    </row>
    <row r="25" spans="1:14" ht="25.5">
      <c r="A25" s="103" t="s">
        <v>42</v>
      </c>
      <c r="B25" s="78"/>
      <c r="C25" s="79"/>
      <c r="D25" s="80"/>
      <c r="E25" s="104">
        <v>0.0044</v>
      </c>
      <c r="F25" s="95">
        <f>E5*E3</f>
        <v>461612.35224000004</v>
      </c>
      <c r="G25" s="105">
        <f aca="true" t="shared" si="4" ref="G25:G31">F25*E25</f>
        <v>2031.0943498560002</v>
      </c>
      <c r="H25" s="82"/>
      <c r="I25" s="104">
        <v>0.0044</v>
      </c>
      <c r="J25" s="96">
        <f>E5*E3</f>
        <v>461612.35224000004</v>
      </c>
      <c r="K25" s="105">
        <f aca="true" t="shared" si="5" ref="K25:K31">J25*I25</f>
        <v>2031.0943498560002</v>
      </c>
      <c r="L25" s="82"/>
      <c r="M25" s="61">
        <f t="shared" si="2"/>
        <v>0</v>
      </c>
      <c r="N25" s="106">
        <f t="shared" si="3"/>
        <v>0</v>
      </c>
    </row>
    <row r="26" spans="1:14" ht="25.5">
      <c r="A26" s="103" t="s">
        <v>43</v>
      </c>
      <c r="B26" s="78"/>
      <c r="C26" s="79"/>
      <c r="D26" s="80"/>
      <c r="E26" s="104">
        <v>0.0012</v>
      </c>
      <c r="F26" s="95">
        <f>E5*E3</f>
        <v>461612.35224000004</v>
      </c>
      <c r="G26" s="105">
        <f t="shared" si="4"/>
        <v>553.9348226879999</v>
      </c>
      <c r="H26" s="82"/>
      <c r="I26" s="104">
        <v>0.0012</v>
      </c>
      <c r="J26" s="96">
        <f>E5*E3</f>
        <v>461612.35224000004</v>
      </c>
      <c r="K26" s="105">
        <f t="shared" si="5"/>
        <v>553.9348226879999</v>
      </c>
      <c r="L26" s="82"/>
      <c r="M26" s="61">
        <f t="shared" si="2"/>
        <v>0</v>
      </c>
      <c r="N26" s="106">
        <f t="shared" si="3"/>
        <v>0</v>
      </c>
    </row>
    <row r="27" spans="1:14" ht="14.25">
      <c r="A27" s="78" t="s">
        <v>44</v>
      </c>
      <c r="B27" s="78"/>
      <c r="C27" s="79"/>
      <c r="D27" s="80"/>
      <c r="E27" s="104">
        <v>0.25</v>
      </c>
      <c r="F27" s="95">
        <v>1</v>
      </c>
      <c r="G27" s="105">
        <f t="shared" si="4"/>
        <v>0.25</v>
      </c>
      <c r="H27" s="82"/>
      <c r="I27" s="104">
        <v>0.25</v>
      </c>
      <c r="J27" s="96">
        <v>1</v>
      </c>
      <c r="K27" s="105">
        <f t="shared" si="5"/>
        <v>0.25</v>
      </c>
      <c r="L27" s="82"/>
      <c r="M27" s="61">
        <f t="shared" si="2"/>
        <v>0</v>
      </c>
      <c r="N27" s="106">
        <f t="shared" si="3"/>
        <v>0</v>
      </c>
    </row>
    <row r="28" spans="1:14" ht="14.25">
      <c r="A28" s="78" t="s">
        <v>1</v>
      </c>
      <c r="B28" s="78"/>
      <c r="C28" s="79"/>
      <c r="D28" s="80"/>
      <c r="E28" s="104">
        <v>0.007</v>
      </c>
      <c r="F28" s="95">
        <f>E5</f>
        <v>435401.2</v>
      </c>
      <c r="G28" s="105">
        <f t="shared" si="4"/>
        <v>3047.8084000000003</v>
      </c>
      <c r="H28" s="82"/>
      <c r="I28" s="104">
        <v>0.007</v>
      </c>
      <c r="J28" s="96">
        <f>E5</f>
        <v>435401.2</v>
      </c>
      <c r="K28" s="105">
        <f t="shared" si="5"/>
        <v>3047.8084000000003</v>
      </c>
      <c r="L28" s="82"/>
      <c r="M28" s="61">
        <f t="shared" si="2"/>
        <v>0</v>
      </c>
      <c r="N28" s="106">
        <f t="shared" si="3"/>
        <v>0</v>
      </c>
    </row>
    <row r="29" spans="1:14" ht="14.25">
      <c r="A29" s="83" t="s">
        <v>45</v>
      </c>
      <c r="B29" s="78"/>
      <c r="C29" s="79"/>
      <c r="D29" s="80"/>
      <c r="E29" s="107">
        <v>0.067</v>
      </c>
      <c r="F29" s="95">
        <v>295431.90543360007</v>
      </c>
      <c r="G29" s="105">
        <f t="shared" si="4"/>
        <v>19793.937664051206</v>
      </c>
      <c r="H29" s="82"/>
      <c r="I29" s="104">
        <v>0.067</v>
      </c>
      <c r="J29" s="95">
        <f>F29</f>
        <v>295431.90543360007</v>
      </c>
      <c r="K29" s="105">
        <f t="shared" si="5"/>
        <v>19793.937664051206</v>
      </c>
      <c r="L29" s="82"/>
      <c r="M29" s="61">
        <f t="shared" si="2"/>
        <v>0</v>
      </c>
      <c r="N29" s="106">
        <f t="shared" si="3"/>
        <v>0</v>
      </c>
    </row>
    <row r="30" spans="1:14" ht="14.25">
      <c r="A30" s="83" t="s">
        <v>46</v>
      </c>
      <c r="B30" s="78"/>
      <c r="C30" s="79"/>
      <c r="D30" s="80"/>
      <c r="E30" s="107">
        <v>0.104</v>
      </c>
      <c r="F30" s="95">
        <v>83090.2234032</v>
      </c>
      <c r="G30" s="105">
        <f t="shared" si="4"/>
        <v>8641.3832339328</v>
      </c>
      <c r="H30" s="82"/>
      <c r="I30" s="104">
        <v>0.104</v>
      </c>
      <c r="J30" s="95">
        <f>F30</f>
        <v>83090.2234032</v>
      </c>
      <c r="K30" s="105">
        <f t="shared" si="5"/>
        <v>8641.3832339328</v>
      </c>
      <c r="L30" s="82"/>
      <c r="M30" s="61">
        <f t="shared" si="2"/>
        <v>0</v>
      </c>
      <c r="N30" s="106">
        <f t="shared" si="3"/>
        <v>0</v>
      </c>
    </row>
    <row r="31" spans="1:14" ht="15" thickBot="1">
      <c r="A31" s="44" t="s">
        <v>47</v>
      </c>
      <c r="B31" s="78"/>
      <c r="C31" s="79"/>
      <c r="D31" s="80"/>
      <c r="E31" s="107">
        <v>0.124</v>
      </c>
      <c r="F31" s="95">
        <v>83090.2234032</v>
      </c>
      <c r="G31" s="105">
        <f t="shared" si="4"/>
        <v>10303.1877019968</v>
      </c>
      <c r="H31" s="82"/>
      <c r="I31" s="104">
        <v>0.124</v>
      </c>
      <c r="J31" s="95">
        <f>F31</f>
        <v>83090.2234032</v>
      </c>
      <c r="K31" s="105">
        <f t="shared" si="5"/>
        <v>10303.1877019968</v>
      </c>
      <c r="L31" s="82"/>
      <c r="M31" s="61">
        <f t="shared" si="2"/>
        <v>0</v>
      </c>
      <c r="N31" s="106">
        <f t="shared" si="3"/>
        <v>0</v>
      </c>
    </row>
    <row r="32" spans="1:14" ht="15" thickBot="1">
      <c r="A32" s="108"/>
      <c r="B32" s="109"/>
      <c r="C32" s="109"/>
      <c r="D32" s="110"/>
      <c r="E32" s="111"/>
      <c r="F32" s="112"/>
      <c r="G32" s="113"/>
      <c r="H32" s="114"/>
      <c r="I32" s="111"/>
      <c r="J32" s="115"/>
      <c r="K32" s="113"/>
      <c r="L32" s="114"/>
      <c r="M32" s="116"/>
      <c r="N32" s="117"/>
    </row>
    <row r="33" spans="1:14" ht="15">
      <c r="A33" s="118" t="s">
        <v>48</v>
      </c>
      <c r="B33" s="78"/>
      <c r="C33" s="78"/>
      <c r="D33" s="119"/>
      <c r="E33" s="120"/>
      <c r="F33" s="121"/>
      <c r="G33" s="122">
        <f>SUM(G24:G28,G29:G31)</f>
        <v>57594.90205492481</v>
      </c>
      <c r="H33" s="123"/>
      <c r="I33" s="124"/>
      <c r="J33" s="124"/>
      <c r="K33" s="125">
        <f>SUM(K24:K28,K29:K31)</f>
        <v>54782.30069572481</v>
      </c>
      <c r="L33" s="126"/>
      <c r="M33" s="127">
        <f>K33-G33</f>
        <v>-2812.6013592000018</v>
      </c>
      <c r="N33" s="128">
        <f>IF((G33)=0,"",(M33/G33))</f>
        <v>-0.04883420682819796</v>
      </c>
    </row>
    <row r="34" spans="1:14" ht="14.25">
      <c r="A34" s="129" t="s">
        <v>8</v>
      </c>
      <c r="B34" s="78"/>
      <c r="C34" s="78"/>
      <c r="D34" s="119"/>
      <c r="E34" s="120">
        <v>0.13</v>
      </c>
      <c r="F34" s="130"/>
      <c r="G34" s="131">
        <f>G33*E34</f>
        <v>7487.337267140226</v>
      </c>
      <c r="H34" s="56"/>
      <c r="I34" s="120">
        <v>0.13</v>
      </c>
      <c r="J34" s="56"/>
      <c r="K34" s="132">
        <f>K33*I34</f>
        <v>7121.6990904442255</v>
      </c>
      <c r="L34" s="133"/>
      <c r="M34" s="134">
        <f t="shared" si="2"/>
        <v>-365.6381766960003</v>
      </c>
      <c r="N34" s="135">
        <f t="shared" si="3"/>
        <v>-0.04883420682819797</v>
      </c>
    </row>
    <row r="35" spans="1:14" ht="14.25">
      <c r="A35" s="136" t="s">
        <v>49</v>
      </c>
      <c r="B35" s="78"/>
      <c r="C35" s="78"/>
      <c r="D35" s="119"/>
      <c r="E35" s="56"/>
      <c r="F35" s="130"/>
      <c r="G35" s="131">
        <f>G33+G34</f>
        <v>65082.239322065034</v>
      </c>
      <c r="H35" s="56"/>
      <c r="I35" s="56"/>
      <c r="J35" s="56"/>
      <c r="K35" s="132">
        <f>K33+K34</f>
        <v>61903.999786169035</v>
      </c>
      <c r="L35" s="133"/>
      <c r="M35" s="134">
        <f t="shared" si="2"/>
        <v>-3178.2395358959984</v>
      </c>
      <c r="N35" s="135">
        <f t="shared" si="3"/>
        <v>-0.048834206828197904</v>
      </c>
    </row>
    <row r="36" spans="1:14" ht="14.25" customHeight="1">
      <c r="A36" s="160" t="s">
        <v>50</v>
      </c>
      <c r="B36" s="160"/>
      <c r="C36" s="160"/>
      <c r="D36" s="119"/>
      <c r="E36" s="56"/>
      <c r="F36" s="130"/>
      <c r="G36" s="137">
        <f>ROUND(-G35*10%,2)</f>
        <v>-6508.22</v>
      </c>
      <c r="H36" s="56"/>
      <c r="I36" s="56"/>
      <c r="J36" s="56"/>
      <c r="K36" s="138">
        <f>ROUND(-K35*10%,2)</f>
        <v>-6190.4</v>
      </c>
      <c r="L36" s="133"/>
      <c r="M36" s="139">
        <f t="shared" si="2"/>
        <v>317.8200000000006</v>
      </c>
      <c r="N36" s="140">
        <f t="shared" si="3"/>
        <v>-0.048833628857045494</v>
      </c>
    </row>
    <row r="37" spans="1:14" ht="15.75" customHeight="1" thickBot="1">
      <c r="A37" s="161" t="s">
        <v>51</v>
      </c>
      <c r="B37" s="161"/>
      <c r="C37" s="161"/>
      <c r="D37" s="141"/>
      <c r="E37" s="142"/>
      <c r="F37" s="143"/>
      <c r="G37" s="144">
        <f>G35+G36</f>
        <v>58574.01932206503</v>
      </c>
      <c r="H37" s="145"/>
      <c r="I37" s="145"/>
      <c r="J37" s="145"/>
      <c r="K37" s="146">
        <f>K35+K36</f>
        <v>55713.599786169034</v>
      </c>
      <c r="L37" s="147"/>
      <c r="M37" s="75">
        <f t="shared" si="2"/>
        <v>-2860.4195358959987</v>
      </c>
      <c r="N37" s="76">
        <f t="shared" si="3"/>
        <v>-0.048834271047171744</v>
      </c>
    </row>
    <row r="38" spans="1:14" ht="13.5" thickBot="1">
      <c r="A38" s="108"/>
      <c r="B38" s="109"/>
      <c r="C38" s="109"/>
      <c r="D38" s="110"/>
      <c r="E38" s="148"/>
      <c r="F38" s="149"/>
      <c r="G38" s="150"/>
      <c r="H38" s="151"/>
      <c r="I38" s="148"/>
      <c r="J38" s="151"/>
      <c r="K38" s="152"/>
      <c r="L38" s="149"/>
      <c r="M38" s="153"/>
      <c r="N38" s="154"/>
    </row>
  </sheetData>
  <sheetProtection/>
  <mergeCells count="11">
    <mergeCell ref="M12:N12"/>
    <mergeCell ref="C13:C14"/>
    <mergeCell ref="M13:M14"/>
    <mergeCell ref="N13:N14"/>
    <mergeCell ref="A23:C23"/>
    <mergeCell ref="A36:C36"/>
    <mergeCell ref="C1:K1"/>
    <mergeCell ref="E10:J10"/>
    <mergeCell ref="E12:G12"/>
    <mergeCell ref="I12:K12"/>
    <mergeCell ref="A37:C37"/>
  </mergeCells>
  <dataValidations count="3">
    <dataValidation showInputMessage="1" showErrorMessage="1" prompt="Select Charge Unit - monthly, per kWh, per kW" sqref="C15:C16 C22 C25:C31 C19:C20"/>
    <dataValidation type="list" allowBlank="1" showInputMessage="1" showErrorMessage="1" prompt="Select Charge Unit - monthly, per kWh, per kW" sqref="C32 C38">
      <formula1>"Monthly, per kWh, per kW"</formula1>
    </dataValidation>
    <dataValidation type="list" allowBlank="1" showInputMessage="1" showErrorMessage="1" sqref="D22:D23 D38 D15:D16 D25:D32 D19:D20">
      <formula1>'GS 50-2999'!#REF!</formula1>
    </dataValidation>
  </dataValidations>
  <printOptions/>
  <pageMargins left="0.75" right="0.75" top="1" bottom="1" header="0.5" footer="0.5"/>
  <pageSetup fitToHeight="1" fitToWidth="1" horizontalDpi="600" verticalDpi="600" orientation="portrait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zoomScalePageLayoutView="0" workbookViewId="0" topLeftCell="A1">
      <selection activeCell="A1" sqref="A1:G10"/>
    </sheetView>
  </sheetViews>
  <sheetFormatPr defaultColWidth="9.140625" defaultRowHeight="12.75"/>
  <cols>
    <col min="1" max="1" width="35.28125" style="0" bestFit="1" customWidth="1"/>
    <col min="2" max="2" width="2.7109375" style="0" customWidth="1"/>
    <col min="3" max="3" width="5.57421875" style="0" bestFit="1" customWidth="1"/>
    <col min="4" max="4" width="3.28125" style="0" customWidth="1"/>
    <col min="5" max="6" width="11.57421875" style="0" bestFit="1" customWidth="1"/>
    <col min="7" max="7" width="14.00390625" style="0" bestFit="1" customWidth="1"/>
    <col min="8" max="8" width="4.7109375" style="0" customWidth="1"/>
    <col min="9" max="9" width="12.421875" style="0" bestFit="1" customWidth="1"/>
    <col min="10" max="10" width="12.28125" style="0" bestFit="1" customWidth="1"/>
    <col min="11" max="11" width="14.00390625" style="0" bestFit="1" customWidth="1"/>
    <col min="12" max="12" width="4.7109375" style="0" customWidth="1"/>
    <col min="13" max="13" width="14.00390625" style="0" bestFit="1" customWidth="1"/>
    <col min="14" max="14" width="11.00390625" style="0" bestFit="1" customWidth="1"/>
  </cols>
  <sheetData>
    <row r="1" spans="1:14" ht="15" customHeight="1">
      <c r="A1" s="22" t="s">
        <v>16</v>
      </c>
      <c r="B1" s="23"/>
      <c r="C1" s="162" t="s">
        <v>54</v>
      </c>
      <c r="D1" s="162"/>
      <c r="E1" s="162"/>
      <c r="F1" s="162"/>
      <c r="G1" s="162"/>
      <c r="H1" s="162"/>
      <c r="I1" s="162"/>
      <c r="J1" s="162"/>
      <c r="K1" s="162"/>
      <c r="L1" s="24"/>
      <c r="M1" s="24"/>
      <c r="N1" s="24"/>
    </row>
    <row r="2" spans="1:14" ht="15" customHeight="1">
      <c r="A2" s="25"/>
      <c r="B2" s="26"/>
      <c r="C2" s="27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15" customHeight="1">
      <c r="A3" s="22" t="s">
        <v>2</v>
      </c>
      <c r="B3" s="23"/>
      <c r="C3" s="29"/>
      <c r="D3" s="29"/>
      <c r="E3" s="30">
        <v>1.0602</v>
      </c>
      <c r="F3" s="29"/>
      <c r="G3" s="29"/>
      <c r="H3" s="29"/>
      <c r="I3" s="29"/>
      <c r="J3" s="29"/>
      <c r="K3" s="29"/>
      <c r="L3" s="29"/>
      <c r="M3" s="29"/>
      <c r="N3" s="29"/>
    </row>
    <row r="4" spans="1:14" ht="15" customHeight="1">
      <c r="A4" s="25"/>
      <c r="B4" s="26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 ht="15" customHeight="1">
      <c r="A5" s="22" t="s">
        <v>3</v>
      </c>
      <c r="B5" s="23"/>
      <c r="C5" s="31" t="s">
        <v>22</v>
      </c>
      <c r="D5" s="32"/>
      <c r="E5" s="156">
        <f>730*E8*E9</f>
        <v>1282464</v>
      </c>
      <c r="F5" s="23"/>
      <c r="G5" s="23"/>
      <c r="H5" s="23"/>
      <c r="I5" s="23"/>
      <c r="J5" s="23"/>
      <c r="K5" s="23"/>
      <c r="L5" s="23"/>
      <c r="M5" s="23"/>
      <c r="N5" s="23"/>
    </row>
    <row r="6" spans="1:14" ht="9" customHeight="1">
      <c r="A6" s="26"/>
      <c r="B6" s="26"/>
      <c r="C6" s="26"/>
      <c r="D6" s="26"/>
      <c r="E6" s="26"/>
      <c r="F6" s="34"/>
      <c r="G6" s="26"/>
      <c r="H6" s="26"/>
      <c r="I6" s="26"/>
      <c r="J6" s="26"/>
      <c r="K6" s="26"/>
      <c r="L6" s="26"/>
      <c r="M6" s="26"/>
      <c r="N6" s="26"/>
    </row>
    <row r="7" spans="1:14" ht="12.75">
      <c r="A7" s="35" t="s">
        <v>23</v>
      </c>
      <c r="B7" s="23"/>
      <c r="C7" s="23"/>
      <c r="D7" s="23"/>
      <c r="E7" s="23"/>
      <c r="F7" s="32"/>
      <c r="G7" s="23"/>
      <c r="H7" s="23"/>
      <c r="I7" s="23"/>
      <c r="J7" s="23"/>
      <c r="K7" s="23"/>
      <c r="L7" s="23"/>
      <c r="M7" s="23"/>
      <c r="N7" s="23"/>
    </row>
    <row r="8" spans="1:14" ht="15" customHeight="1">
      <c r="A8" s="36" t="s">
        <v>24</v>
      </c>
      <c r="B8" s="37"/>
      <c r="C8" s="38" t="s">
        <v>5</v>
      </c>
      <c r="D8" s="39"/>
      <c r="E8" s="157">
        <v>2440</v>
      </c>
      <c r="F8" s="32"/>
      <c r="G8" s="23"/>
      <c r="H8" s="23"/>
      <c r="I8" s="23"/>
      <c r="J8" s="23"/>
      <c r="K8" s="23"/>
      <c r="L8" s="23"/>
      <c r="M8" s="23"/>
      <c r="N8" s="23"/>
    </row>
    <row r="9" spans="1:14" ht="12.75">
      <c r="A9" s="36" t="s">
        <v>6</v>
      </c>
      <c r="B9" s="37"/>
      <c r="C9" s="38"/>
      <c r="D9" s="39"/>
      <c r="E9" s="158">
        <v>0.72</v>
      </c>
      <c r="F9" s="23"/>
      <c r="G9" s="23"/>
      <c r="H9" s="23"/>
      <c r="I9" s="23"/>
      <c r="J9" s="23"/>
      <c r="K9" s="23"/>
      <c r="L9" s="23"/>
      <c r="M9" s="23"/>
      <c r="N9" s="23"/>
    </row>
    <row r="10" spans="1:14" ht="18.75" customHeight="1">
      <c r="A10" s="42"/>
      <c r="B10" s="26"/>
      <c r="C10" s="43"/>
      <c r="D10" s="34"/>
      <c r="E10" s="163">
        <f>IF(AND(ISNUMBER(E8),ISBLANK(E9)),"Please enter a load factor","")</f>
      </c>
      <c r="F10" s="163"/>
      <c r="G10" s="163"/>
      <c r="H10" s="163"/>
      <c r="I10" s="163"/>
      <c r="J10" s="163"/>
      <c r="K10" s="26"/>
      <c r="L10" s="26"/>
      <c r="M10" s="26"/>
      <c r="N10" s="26"/>
    </row>
    <row r="11" spans="1:14" ht="18.75" customHeight="1">
      <c r="A11" s="44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</row>
    <row r="12" spans="1:14" ht="12.75">
      <c r="A12" s="44"/>
      <c r="B12" s="26"/>
      <c r="C12" s="45"/>
      <c r="D12" s="45"/>
      <c r="E12" s="164" t="s">
        <v>25</v>
      </c>
      <c r="F12" s="165"/>
      <c r="G12" s="166"/>
      <c r="H12" s="26"/>
      <c r="I12" s="164" t="s">
        <v>26</v>
      </c>
      <c r="J12" s="165"/>
      <c r="K12" s="166"/>
      <c r="L12" s="26"/>
      <c r="M12" s="164" t="s">
        <v>27</v>
      </c>
      <c r="N12" s="166"/>
    </row>
    <row r="13" spans="1:14" ht="12.75" customHeight="1">
      <c r="A13" s="44"/>
      <c r="B13" s="26"/>
      <c r="C13" s="167"/>
      <c r="D13" s="46"/>
      <c r="E13" s="47" t="s">
        <v>28</v>
      </c>
      <c r="F13" s="47" t="s">
        <v>7</v>
      </c>
      <c r="G13" s="48" t="s">
        <v>29</v>
      </c>
      <c r="H13" s="26"/>
      <c r="I13" s="47" t="s">
        <v>28</v>
      </c>
      <c r="J13" s="49" t="s">
        <v>7</v>
      </c>
      <c r="K13" s="48" t="s">
        <v>29</v>
      </c>
      <c r="L13" s="26"/>
      <c r="M13" s="169" t="s">
        <v>30</v>
      </c>
      <c r="N13" s="171" t="s">
        <v>31</v>
      </c>
    </row>
    <row r="14" spans="1:14" ht="12.75">
      <c r="A14" s="44"/>
      <c r="B14" s="26"/>
      <c r="C14" s="168"/>
      <c r="D14" s="46"/>
      <c r="E14" s="50" t="s">
        <v>32</v>
      </c>
      <c r="F14" s="50"/>
      <c r="G14" s="51" t="s">
        <v>32</v>
      </c>
      <c r="H14" s="26"/>
      <c r="I14" s="50" t="s">
        <v>32</v>
      </c>
      <c r="J14" s="51"/>
      <c r="K14" s="51" t="s">
        <v>32</v>
      </c>
      <c r="L14" s="26"/>
      <c r="M14" s="170"/>
      <c r="N14" s="172"/>
    </row>
    <row r="15" spans="1:14" ht="14.25">
      <c r="A15" s="52" t="s">
        <v>33</v>
      </c>
      <c r="B15" s="52"/>
      <c r="C15" s="53"/>
      <c r="D15" s="54"/>
      <c r="E15" s="55">
        <v>1451.21</v>
      </c>
      <c r="F15" s="56">
        <v>1</v>
      </c>
      <c r="G15" s="57">
        <f>F15*E15</f>
        <v>1451.21</v>
      </c>
      <c r="H15" s="58"/>
      <c r="I15" s="55">
        <v>1458.18</v>
      </c>
      <c r="J15" s="59">
        <v>1</v>
      </c>
      <c r="K15" s="60">
        <f>J15*I15</f>
        <v>1458.18</v>
      </c>
      <c r="L15" s="58"/>
      <c r="M15" s="61">
        <f aca="true" t="shared" si="0" ref="M15:M20">K15-G15</f>
        <v>6.970000000000027</v>
      </c>
      <c r="N15" s="62">
        <f aca="true" t="shared" si="1" ref="N15:N20">IF((G15)=0,"",(M15/G15))</f>
        <v>0.0048028886239758735</v>
      </c>
    </row>
    <row r="16" spans="1:14" ht="12.75" customHeight="1">
      <c r="A16" s="52" t="s">
        <v>0</v>
      </c>
      <c r="B16" s="52"/>
      <c r="C16" s="53"/>
      <c r="D16" s="54"/>
      <c r="E16" s="63">
        <v>1.3457</v>
      </c>
      <c r="F16" s="64">
        <v>2440</v>
      </c>
      <c r="G16" s="57">
        <f>F16*E16</f>
        <v>3283.508</v>
      </c>
      <c r="H16" s="58"/>
      <c r="I16" s="63">
        <v>1.3522</v>
      </c>
      <c r="J16" s="65">
        <f>F16</f>
        <v>2440</v>
      </c>
      <c r="K16" s="57">
        <f>J16*I16</f>
        <v>3299.3680000000004</v>
      </c>
      <c r="L16" s="58"/>
      <c r="M16" s="61">
        <f t="shared" si="0"/>
        <v>15.860000000000582</v>
      </c>
      <c r="N16" s="62">
        <f t="shared" si="1"/>
        <v>0.004830199895965103</v>
      </c>
    </row>
    <row r="17" spans="1:14" ht="12.75" customHeight="1">
      <c r="A17" s="66" t="s">
        <v>34</v>
      </c>
      <c r="B17" s="67"/>
      <c r="C17" s="67"/>
      <c r="D17" s="68"/>
      <c r="E17" s="69"/>
      <c r="F17" s="70"/>
      <c r="G17" s="71">
        <f>SUM(G15:G16)</f>
        <v>4734.718</v>
      </c>
      <c r="H17" s="72"/>
      <c r="I17" s="69"/>
      <c r="J17" s="73"/>
      <c r="K17" s="71">
        <f>SUM(K15:K16)</f>
        <v>4757.548000000001</v>
      </c>
      <c r="L17" s="74"/>
      <c r="M17" s="75">
        <f t="shared" si="0"/>
        <v>22.830000000000837</v>
      </c>
      <c r="N17" s="76">
        <f t="shared" si="1"/>
        <v>0.0048218288818892355</v>
      </c>
    </row>
    <row r="18" spans="1:14" ht="12.75" customHeight="1">
      <c r="A18" s="77" t="s">
        <v>35</v>
      </c>
      <c r="B18" s="78"/>
      <c r="C18" s="79"/>
      <c r="D18" s="80"/>
      <c r="E18" s="63">
        <f>E29*0.64+E30*0.18+E31*0.18</f>
        <v>0.08392</v>
      </c>
      <c r="F18" s="81">
        <f>E5*(E3-1)</f>
        <v>77204.33280000003</v>
      </c>
      <c r="G18" s="57">
        <f>E18*F18</f>
        <v>6478.9876085760025</v>
      </c>
      <c r="H18" s="72"/>
      <c r="I18" s="63">
        <f>I29*0.64+I30*0.18+I31*0.18</f>
        <v>0.08392</v>
      </c>
      <c r="J18" s="81">
        <f>F18</f>
        <v>77204.33280000003</v>
      </c>
      <c r="K18" s="57">
        <f>I18*J18</f>
        <v>6478.9876085760025</v>
      </c>
      <c r="L18" s="82"/>
      <c r="M18" s="61">
        <f t="shared" si="0"/>
        <v>0</v>
      </c>
      <c r="N18" s="62">
        <f t="shared" si="1"/>
        <v>0</v>
      </c>
    </row>
    <row r="19" spans="1:14" ht="12.75" customHeight="1">
      <c r="A19" s="83" t="s">
        <v>36</v>
      </c>
      <c r="B19" s="78"/>
      <c r="C19" s="79"/>
      <c r="D19" s="80"/>
      <c r="E19" s="63">
        <v>0.4094</v>
      </c>
      <c r="F19" s="81">
        <v>2440</v>
      </c>
      <c r="G19" s="57">
        <f>F19*E19</f>
        <v>998.9359999999999</v>
      </c>
      <c r="H19" s="72"/>
      <c r="I19" s="63">
        <v>0.4094</v>
      </c>
      <c r="J19" s="81">
        <f>F19</f>
        <v>2440</v>
      </c>
      <c r="K19" s="57">
        <f>J19*I19</f>
        <v>998.9359999999999</v>
      </c>
      <c r="L19" s="82"/>
      <c r="M19" s="61">
        <f t="shared" si="0"/>
        <v>0</v>
      </c>
      <c r="N19" s="62">
        <f t="shared" si="1"/>
        <v>0</v>
      </c>
    </row>
    <row r="20" spans="1:14" ht="14.25">
      <c r="A20" s="83" t="s">
        <v>37</v>
      </c>
      <c r="B20" s="78"/>
      <c r="C20" s="79"/>
      <c r="D20" s="80"/>
      <c r="E20" s="63"/>
      <c r="F20" s="81">
        <v>1</v>
      </c>
      <c r="G20" s="57">
        <f>F20*E20</f>
        <v>0</v>
      </c>
      <c r="H20" s="72"/>
      <c r="I20" s="63"/>
      <c r="J20" s="81">
        <f>F20</f>
        <v>1</v>
      </c>
      <c r="K20" s="57">
        <f>J20*I20</f>
        <v>0</v>
      </c>
      <c r="L20" s="82"/>
      <c r="M20" s="61">
        <f t="shared" si="0"/>
        <v>0</v>
      </c>
      <c r="N20" s="62">
        <f t="shared" si="1"/>
      </c>
    </row>
    <row r="21" spans="1:14" ht="25.5">
      <c r="A21" s="84" t="s">
        <v>38</v>
      </c>
      <c r="B21" s="85"/>
      <c r="C21" s="85"/>
      <c r="D21" s="86"/>
      <c r="E21" s="87"/>
      <c r="F21" s="87"/>
      <c r="G21" s="88">
        <f>SUM(G19:G20)+G17</f>
        <v>5733.6539999999995</v>
      </c>
      <c r="H21" s="72"/>
      <c r="I21" s="87"/>
      <c r="J21" s="89"/>
      <c r="K21" s="88">
        <f>SUM(K19:K20)+K17</f>
        <v>5756.484</v>
      </c>
      <c r="L21" s="74"/>
      <c r="M21" s="90">
        <f aca="true" t="shared" si="2" ref="M21:M37">K21-G21</f>
        <v>22.830000000000837</v>
      </c>
      <c r="N21" s="91">
        <f aca="true" t="shared" si="3" ref="N21:N37">IF((G21)=0,"",(M21/G21))</f>
        <v>0.003981754043756536</v>
      </c>
    </row>
    <row r="22" spans="1:14" ht="14.25">
      <c r="A22" s="92" t="s">
        <v>39</v>
      </c>
      <c r="B22" s="92"/>
      <c r="C22" s="93"/>
      <c r="D22" s="94"/>
      <c r="E22" s="63">
        <v>3.5713</v>
      </c>
      <c r="F22" s="95">
        <v>2586.888</v>
      </c>
      <c r="G22" s="57">
        <f>F22*E22</f>
        <v>9238.5531144</v>
      </c>
      <c r="H22" s="72"/>
      <c r="I22" s="63">
        <v>3.3707</v>
      </c>
      <c r="J22" s="96">
        <f>F22</f>
        <v>2586.888</v>
      </c>
      <c r="K22" s="57">
        <f>J22*I22</f>
        <v>8719.623381599999</v>
      </c>
      <c r="L22" s="82"/>
      <c r="M22" s="61">
        <f t="shared" si="2"/>
        <v>-518.9297328000011</v>
      </c>
      <c r="N22" s="62">
        <f t="shared" si="3"/>
        <v>-0.05617002212079648</v>
      </c>
    </row>
    <row r="23" spans="1:14" ht="14.25" customHeight="1">
      <c r="A23" s="173" t="s">
        <v>40</v>
      </c>
      <c r="B23" s="173"/>
      <c r="C23" s="173"/>
      <c r="D23" s="94"/>
      <c r="E23" s="63">
        <v>3.4127</v>
      </c>
      <c r="F23" s="95">
        <v>2586.888</v>
      </c>
      <c r="G23" s="57">
        <f>F23*E23</f>
        <v>8828.2726776</v>
      </c>
      <c r="H23" s="72"/>
      <c r="I23" s="63">
        <v>1.5943</v>
      </c>
      <c r="J23" s="96">
        <f>F23</f>
        <v>2586.888</v>
      </c>
      <c r="K23" s="57">
        <f>J23*I23</f>
        <v>4124.2755384</v>
      </c>
      <c r="L23" s="82"/>
      <c r="M23" s="61">
        <f t="shared" si="2"/>
        <v>-4703.9971392</v>
      </c>
      <c r="N23" s="62">
        <f t="shared" si="3"/>
        <v>-0.5328332405426788</v>
      </c>
    </row>
    <row r="24" spans="1:14" ht="25.5">
      <c r="A24" s="84" t="s">
        <v>41</v>
      </c>
      <c r="B24" s="97"/>
      <c r="C24" s="97"/>
      <c r="D24" s="98"/>
      <c r="E24" s="87"/>
      <c r="F24" s="87"/>
      <c r="G24" s="88">
        <f>SUM(G21:G23)</f>
        <v>23800.479792</v>
      </c>
      <c r="H24" s="99"/>
      <c r="I24" s="100"/>
      <c r="J24" s="101"/>
      <c r="K24" s="88">
        <f>SUM(K21:K23)</f>
        <v>18600.38292</v>
      </c>
      <c r="L24" s="102"/>
      <c r="M24" s="90">
        <f t="shared" si="2"/>
        <v>-5200.096871999998</v>
      </c>
      <c r="N24" s="91">
        <f t="shared" si="3"/>
        <v>-0.21848706065782317</v>
      </c>
    </row>
    <row r="25" spans="1:14" ht="25.5">
      <c r="A25" s="103" t="s">
        <v>42</v>
      </c>
      <c r="B25" s="78"/>
      <c r="C25" s="79"/>
      <c r="D25" s="80"/>
      <c r="E25" s="104">
        <v>0.0044</v>
      </c>
      <c r="F25" s="95">
        <f>E5*E3</f>
        <v>1359668.3328</v>
      </c>
      <c r="G25" s="105">
        <f aca="true" t="shared" si="4" ref="G25:G31">F25*E25</f>
        <v>5982.54066432</v>
      </c>
      <c r="H25" s="82"/>
      <c r="I25" s="104">
        <v>0.0044</v>
      </c>
      <c r="J25" s="96">
        <f>E5*E3</f>
        <v>1359668.3328</v>
      </c>
      <c r="K25" s="105">
        <f aca="true" t="shared" si="5" ref="K25:K31">J25*I25</f>
        <v>5982.54066432</v>
      </c>
      <c r="L25" s="82"/>
      <c r="M25" s="61">
        <f t="shared" si="2"/>
        <v>0</v>
      </c>
      <c r="N25" s="106">
        <f t="shared" si="3"/>
        <v>0</v>
      </c>
    </row>
    <row r="26" spans="1:14" ht="25.5">
      <c r="A26" s="103" t="s">
        <v>43</v>
      </c>
      <c r="B26" s="78"/>
      <c r="C26" s="79"/>
      <c r="D26" s="80"/>
      <c r="E26" s="104">
        <v>0.0012</v>
      </c>
      <c r="F26" s="95">
        <f>E5*E3</f>
        <v>1359668.3328</v>
      </c>
      <c r="G26" s="105">
        <f t="shared" si="4"/>
        <v>1631.6019993599998</v>
      </c>
      <c r="H26" s="82"/>
      <c r="I26" s="104">
        <v>0.0012</v>
      </c>
      <c r="J26" s="96">
        <f>E5*E3</f>
        <v>1359668.3328</v>
      </c>
      <c r="K26" s="105">
        <f t="shared" si="5"/>
        <v>1631.6019993599998</v>
      </c>
      <c r="L26" s="82"/>
      <c r="M26" s="61">
        <f t="shared" si="2"/>
        <v>0</v>
      </c>
      <c r="N26" s="106">
        <f t="shared" si="3"/>
        <v>0</v>
      </c>
    </row>
    <row r="27" spans="1:14" ht="14.25">
      <c r="A27" s="78" t="s">
        <v>44</v>
      </c>
      <c r="B27" s="78"/>
      <c r="C27" s="79"/>
      <c r="D27" s="80"/>
      <c r="E27" s="104">
        <v>0.25</v>
      </c>
      <c r="F27" s="95">
        <v>1</v>
      </c>
      <c r="G27" s="105">
        <f t="shared" si="4"/>
        <v>0.25</v>
      </c>
      <c r="H27" s="82"/>
      <c r="I27" s="104">
        <v>0.25</v>
      </c>
      <c r="J27" s="96">
        <v>1</v>
      </c>
      <c r="K27" s="105">
        <f t="shared" si="5"/>
        <v>0.25</v>
      </c>
      <c r="L27" s="82"/>
      <c r="M27" s="61">
        <f t="shared" si="2"/>
        <v>0</v>
      </c>
      <c r="N27" s="106">
        <f t="shared" si="3"/>
        <v>0</v>
      </c>
    </row>
    <row r="28" spans="1:14" ht="14.25">
      <c r="A28" s="78" t="s">
        <v>1</v>
      </c>
      <c r="B28" s="78"/>
      <c r="C28" s="79"/>
      <c r="D28" s="80"/>
      <c r="E28" s="104">
        <v>0.007</v>
      </c>
      <c r="F28" s="95">
        <f>E5</f>
        <v>1282464</v>
      </c>
      <c r="G28" s="105">
        <f t="shared" si="4"/>
        <v>8977.248</v>
      </c>
      <c r="H28" s="82"/>
      <c r="I28" s="104">
        <v>0.007</v>
      </c>
      <c r="J28" s="96">
        <f>E5</f>
        <v>1282464</v>
      </c>
      <c r="K28" s="105">
        <f t="shared" si="5"/>
        <v>8977.248</v>
      </c>
      <c r="L28" s="82"/>
      <c r="M28" s="61">
        <f t="shared" si="2"/>
        <v>0</v>
      </c>
      <c r="N28" s="106">
        <f t="shared" si="3"/>
        <v>0</v>
      </c>
    </row>
    <row r="29" spans="1:14" ht="14.25">
      <c r="A29" s="83" t="s">
        <v>45</v>
      </c>
      <c r="B29" s="78"/>
      <c r="C29" s="79"/>
      <c r="D29" s="80"/>
      <c r="E29" s="107">
        <v>0.067</v>
      </c>
      <c r="F29" s="95">
        <v>870187.732992</v>
      </c>
      <c r="G29" s="105">
        <f t="shared" si="4"/>
        <v>58302.578110464</v>
      </c>
      <c r="H29" s="82"/>
      <c r="I29" s="104">
        <v>0.067</v>
      </c>
      <c r="J29" s="95">
        <f>F29</f>
        <v>870187.732992</v>
      </c>
      <c r="K29" s="105">
        <f t="shared" si="5"/>
        <v>58302.578110464</v>
      </c>
      <c r="L29" s="82"/>
      <c r="M29" s="61">
        <f t="shared" si="2"/>
        <v>0</v>
      </c>
      <c r="N29" s="106">
        <f t="shared" si="3"/>
        <v>0</v>
      </c>
    </row>
    <row r="30" spans="1:14" ht="14.25">
      <c r="A30" s="83" t="s">
        <v>46</v>
      </c>
      <c r="B30" s="78"/>
      <c r="C30" s="79"/>
      <c r="D30" s="80"/>
      <c r="E30" s="107">
        <v>0.104</v>
      </c>
      <c r="F30" s="95">
        <v>244740.29990399998</v>
      </c>
      <c r="G30" s="105">
        <f t="shared" si="4"/>
        <v>25452.991190015997</v>
      </c>
      <c r="H30" s="82"/>
      <c r="I30" s="104">
        <v>0.104</v>
      </c>
      <c r="J30" s="95">
        <f>F30</f>
        <v>244740.29990399998</v>
      </c>
      <c r="K30" s="105">
        <f t="shared" si="5"/>
        <v>25452.991190015997</v>
      </c>
      <c r="L30" s="82"/>
      <c r="M30" s="61">
        <f t="shared" si="2"/>
        <v>0</v>
      </c>
      <c r="N30" s="106">
        <f t="shared" si="3"/>
        <v>0</v>
      </c>
    </row>
    <row r="31" spans="1:14" ht="15" thickBot="1">
      <c r="A31" s="44" t="s">
        <v>47</v>
      </c>
      <c r="B31" s="78"/>
      <c r="C31" s="79"/>
      <c r="D31" s="80"/>
      <c r="E31" s="107">
        <v>0.124</v>
      </c>
      <c r="F31" s="95">
        <v>244740.29990399998</v>
      </c>
      <c r="G31" s="105">
        <f t="shared" si="4"/>
        <v>30347.797188096</v>
      </c>
      <c r="H31" s="82"/>
      <c r="I31" s="104">
        <v>0.124</v>
      </c>
      <c r="J31" s="95">
        <f>F31</f>
        <v>244740.29990399998</v>
      </c>
      <c r="K31" s="105">
        <f t="shared" si="5"/>
        <v>30347.797188096</v>
      </c>
      <c r="L31" s="82"/>
      <c r="M31" s="61">
        <f t="shared" si="2"/>
        <v>0</v>
      </c>
      <c r="N31" s="106">
        <f t="shared" si="3"/>
        <v>0</v>
      </c>
    </row>
    <row r="32" spans="1:14" ht="15" thickBot="1">
      <c r="A32" s="108"/>
      <c r="B32" s="109"/>
      <c r="C32" s="109"/>
      <c r="D32" s="110"/>
      <c r="E32" s="111"/>
      <c r="F32" s="112"/>
      <c r="G32" s="113"/>
      <c r="H32" s="114"/>
      <c r="I32" s="111"/>
      <c r="J32" s="115"/>
      <c r="K32" s="113"/>
      <c r="L32" s="114"/>
      <c r="M32" s="116"/>
      <c r="N32" s="117"/>
    </row>
    <row r="33" spans="1:14" ht="15">
      <c r="A33" s="118" t="s">
        <v>48</v>
      </c>
      <c r="B33" s="78"/>
      <c r="C33" s="78"/>
      <c r="D33" s="119"/>
      <c r="E33" s="120"/>
      <c r="F33" s="121"/>
      <c r="G33" s="122">
        <f>SUM(G24:G28,G29:G31)</f>
        <v>154495.48694425597</v>
      </c>
      <c r="H33" s="123"/>
      <c r="I33" s="124"/>
      <c r="J33" s="124"/>
      <c r="K33" s="125">
        <f>SUM(K24:K28,K29:K31)</f>
        <v>149295.39007225598</v>
      </c>
      <c r="L33" s="126"/>
      <c r="M33" s="127">
        <f>K33-G33</f>
        <v>-5200.096871999995</v>
      </c>
      <c r="N33" s="128">
        <f>IF((G33)=0,"",(M33/G33))</f>
        <v>-0.03365856812293979</v>
      </c>
    </row>
    <row r="34" spans="1:14" ht="14.25">
      <c r="A34" s="129" t="s">
        <v>8</v>
      </c>
      <c r="B34" s="78"/>
      <c r="C34" s="78"/>
      <c r="D34" s="119"/>
      <c r="E34" s="120">
        <v>0.13</v>
      </c>
      <c r="F34" s="130"/>
      <c r="G34" s="131">
        <f>G33*E34</f>
        <v>20084.413302753277</v>
      </c>
      <c r="H34" s="56"/>
      <c r="I34" s="120">
        <v>0.13</v>
      </c>
      <c r="J34" s="56"/>
      <c r="K34" s="132">
        <f>K33*I34</f>
        <v>19408.400709393278</v>
      </c>
      <c r="L34" s="133"/>
      <c r="M34" s="134">
        <f t="shared" si="2"/>
        <v>-676.0125933599993</v>
      </c>
      <c r="N34" s="135">
        <f t="shared" si="3"/>
        <v>-0.03365856812293979</v>
      </c>
    </row>
    <row r="35" spans="1:14" ht="14.25">
      <c r="A35" s="136" t="s">
        <v>49</v>
      </c>
      <c r="B35" s="78"/>
      <c r="C35" s="78"/>
      <c r="D35" s="119"/>
      <c r="E35" s="56"/>
      <c r="F35" s="130"/>
      <c r="G35" s="131">
        <f>G33+G34</f>
        <v>174579.90024700924</v>
      </c>
      <c r="H35" s="56"/>
      <c r="I35" s="56"/>
      <c r="J35" s="56"/>
      <c r="K35" s="132">
        <f>K33+K34</f>
        <v>168703.79078164927</v>
      </c>
      <c r="L35" s="133"/>
      <c r="M35" s="134">
        <f t="shared" si="2"/>
        <v>-5876.109465359972</v>
      </c>
      <c r="N35" s="135">
        <f t="shared" si="3"/>
        <v>-0.033658568122939665</v>
      </c>
    </row>
    <row r="36" spans="1:14" ht="28.5" customHeight="1">
      <c r="A36" s="160" t="s">
        <v>50</v>
      </c>
      <c r="B36" s="160"/>
      <c r="C36" s="160"/>
      <c r="D36" s="119"/>
      <c r="E36" s="56"/>
      <c r="F36" s="130"/>
      <c r="G36" s="137">
        <f>ROUND(-G35*10%,2)</f>
        <v>-17457.99</v>
      </c>
      <c r="H36" s="56"/>
      <c r="I36" s="56"/>
      <c r="J36" s="56"/>
      <c r="K36" s="138">
        <f>ROUND(-K35*10%,2)</f>
        <v>-16870.38</v>
      </c>
      <c r="L36" s="133"/>
      <c r="M36" s="139">
        <f t="shared" si="2"/>
        <v>587.6100000000006</v>
      </c>
      <c r="N36" s="140">
        <f t="shared" si="3"/>
        <v>-0.03365851395263719</v>
      </c>
    </row>
    <row r="37" spans="1:14" ht="15.75" customHeight="1" thickBot="1">
      <c r="A37" s="161" t="s">
        <v>51</v>
      </c>
      <c r="B37" s="161"/>
      <c r="C37" s="161"/>
      <c r="D37" s="141"/>
      <c r="E37" s="142"/>
      <c r="F37" s="143"/>
      <c r="G37" s="144">
        <f>G35+G36</f>
        <v>157121.91024700925</v>
      </c>
      <c r="H37" s="145"/>
      <c r="I37" s="145"/>
      <c r="J37" s="145"/>
      <c r="K37" s="146">
        <f>K35+K36</f>
        <v>151833.41078164926</v>
      </c>
      <c r="L37" s="147"/>
      <c r="M37" s="75">
        <f t="shared" si="2"/>
        <v>-5288.499465359986</v>
      </c>
      <c r="N37" s="76">
        <f t="shared" si="3"/>
        <v>-0.03365857414186225</v>
      </c>
    </row>
    <row r="38" spans="1:14" ht="13.5" thickBot="1">
      <c r="A38" s="108"/>
      <c r="B38" s="109"/>
      <c r="C38" s="109"/>
      <c r="D38" s="110"/>
      <c r="E38" s="148"/>
      <c r="F38" s="149"/>
      <c r="G38" s="150"/>
      <c r="H38" s="151"/>
      <c r="I38" s="148"/>
      <c r="J38" s="151"/>
      <c r="K38" s="152"/>
      <c r="L38" s="149"/>
      <c r="M38" s="153"/>
      <c r="N38" s="154"/>
    </row>
  </sheetData>
  <sheetProtection/>
  <mergeCells count="11">
    <mergeCell ref="M12:N12"/>
    <mergeCell ref="C13:C14"/>
    <mergeCell ref="M13:M14"/>
    <mergeCell ref="N13:N14"/>
    <mergeCell ref="A23:C23"/>
    <mergeCell ref="A36:C36"/>
    <mergeCell ref="A37:C37"/>
    <mergeCell ref="C1:K1"/>
    <mergeCell ref="E10:J10"/>
    <mergeCell ref="E12:G12"/>
    <mergeCell ref="I12:K12"/>
  </mergeCells>
  <dataValidations count="3">
    <dataValidation showInputMessage="1" showErrorMessage="1" prompt="Select Charge Unit - monthly, per kWh, per kW" sqref="C15:C16 C22 C25:C31 C19:C20"/>
    <dataValidation type="list" allowBlank="1" showInputMessage="1" showErrorMessage="1" prompt="Select Charge Unit - monthly, per kWh, per kW" sqref="C32 C38">
      <formula1>"Monthly, per kWh, per kW"</formula1>
    </dataValidation>
    <dataValidation type="list" allowBlank="1" showInputMessage="1" showErrorMessage="1" sqref="D22:D23 D38 D15:D16 D25:D32 D19:D20">
      <formula1>'GS3000-4999'!#REF!</formula1>
    </dataValidation>
  </dataValidations>
  <printOptions/>
  <pageMargins left="0.75" right="0.75" top="1" bottom="1" header="0.5" footer="0.5"/>
  <pageSetup fitToHeight="1" fitToWidth="1" horizontalDpi="600" verticalDpi="600" orientation="portrait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zoomScalePageLayoutView="0" workbookViewId="0" topLeftCell="A1">
      <selection activeCell="A1" sqref="A1:G10"/>
    </sheetView>
  </sheetViews>
  <sheetFormatPr defaultColWidth="9.140625" defaultRowHeight="12.75"/>
  <cols>
    <col min="1" max="1" width="35.28125" style="0" bestFit="1" customWidth="1"/>
    <col min="2" max="2" width="2.421875" style="0" customWidth="1"/>
    <col min="3" max="3" width="5.57421875" style="0" bestFit="1" customWidth="1"/>
    <col min="4" max="4" width="2.28125" style="0" customWidth="1"/>
    <col min="5" max="5" width="9.8515625" style="0" bestFit="1" customWidth="1"/>
    <col min="6" max="6" width="8.00390625" style="0" bestFit="1" customWidth="1"/>
    <col min="7" max="7" width="9.8515625" style="0" bestFit="1" customWidth="1"/>
    <col min="8" max="8" width="4.7109375" style="0" customWidth="1"/>
    <col min="9" max="9" width="9.8515625" style="0" bestFit="1" customWidth="1"/>
    <col min="10" max="10" width="10.421875" style="0" bestFit="1" customWidth="1"/>
    <col min="11" max="11" width="9.8515625" style="0" bestFit="1" customWidth="1"/>
    <col min="12" max="12" width="4.7109375" style="0" customWidth="1"/>
    <col min="13" max="13" width="9.57421875" style="0" bestFit="1" customWidth="1"/>
    <col min="14" max="14" width="11.00390625" style="0" bestFit="1" customWidth="1"/>
  </cols>
  <sheetData>
    <row r="1" spans="1:14" ht="15.75">
      <c r="A1" s="22"/>
      <c r="B1" s="23"/>
      <c r="C1" s="162" t="s">
        <v>55</v>
      </c>
      <c r="D1" s="162"/>
      <c r="E1" s="162"/>
      <c r="F1" s="162"/>
      <c r="G1" s="162"/>
      <c r="H1" s="162"/>
      <c r="I1" s="162"/>
      <c r="J1" s="162"/>
      <c r="K1" s="162"/>
      <c r="L1" s="24"/>
      <c r="M1" s="24"/>
      <c r="N1" s="24"/>
    </row>
    <row r="2" spans="1:14" ht="15.75">
      <c r="A2" s="25"/>
      <c r="B2" s="26"/>
      <c r="C2" s="27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15.75">
      <c r="A3" s="22" t="s">
        <v>2</v>
      </c>
      <c r="B3" s="23"/>
      <c r="C3" s="29"/>
      <c r="D3" s="29"/>
      <c r="E3" s="30">
        <v>1.0602</v>
      </c>
      <c r="F3" s="29"/>
      <c r="G3" s="29"/>
      <c r="H3" s="29"/>
      <c r="I3" s="29"/>
      <c r="J3" s="29"/>
      <c r="K3" s="29"/>
      <c r="L3" s="29"/>
      <c r="M3" s="29"/>
      <c r="N3" s="29"/>
    </row>
    <row r="4" spans="1:14" ht="15.75">
      <c r="A4" s="25"/>
      <c r="B4" s="26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 ht="12.75">
      <c r="A5" s="22" t="s">
        <v>3</v>
      </c>
      <c r="B5" s="23"/>
      <c r="C5" s="31" t="s">
        <v>22</v>
      </c>
      <c r="D5" s="32"/>
      <c r="E5" s="33">
        <v>2000</v>
      </c>
      <c r="F5" s="23"/>
      <c r="G5" s="23"/>
      <c r="H5" s="23"/>
      <c r="I5" s="23"/>
      <c r="J5" s="23"/>
      <c r="K5" s="23"/>
      <c r="L5" s="23"/>
      <c r="M5" s="23"/>
      <c r="N5" s="23"/>
    </row>
    <row r="6" spans="1:14" ht="12.75">
      <c r="A6" s="26"/>
      <c r="B6" s="26"/>
      <c r="C6" s="26"/>
      <c r="D6" s="26"/>
      <c r="E6" s="26"/>
      <c r="F6" s="34"/>
      <c r="G6" s="26"/>
      <c r="H6" s="26"/>
      <c r="I6" s="26"/>
      <c r="J6" s="26"/>
      <c r="K6" s="26"/>
      <c r="L6" s="26"/>
      <c r="M6" s="26"/>
      <c r="N6" s="26"/>
    </row>
    <row r="7" spans="1:14" ht="12.75">
      <c r="A7" s="35" t="s">
        <v>23</v>
      </c>
      <c r="B7" s="23"/>
      <c r="C7" s="23"/>
      <c r="D7" s="23"/>
      <c r="E7" s="23"/>
      <c r="F7" s="32"/>
      <c r="G7" s="23"/>
      <c r="H7" s="23"/>
      <c r="I7" s="23"/>
      <c r="J7" s="23"/>
      <c r="K7" s="23"/>
      <c r="L7" s="23"/>
      <c r="M7" s="23"/>
      <c r="N7" s="23"/>
    </row>
    <row r="8" spans="1:14" ht="12.75">
      <c r="A8" s="36" t="s">
        <v>24</v>
      </c>
      <c r="B8" s="37"/>
      <c r="C8" s="38" t="s">
        <v>5</v>
      </c>
      <c r="D8" s="39"/>
      <c r="E8" s="40"/>
      <c r="F8" s="32"/>
      <c r="G8" s="23"/>
      <c r="H8" s="23"/>
      <c r="I8" s="23"/>
      <c r="J8" s="23"/>
      <c r="K8" s="23"/>
      <c r="L8" s="23"/>
      <c r="M8" s="23"/>
      <c r="N8" s="23"/>
    </row>
    <row r="9" spans="1:14" ht="12.75">
      <c r="A9" s="36" t="s">
        <v>6</v>
      </c>
      <c r="B9" s="37"/>
      <c r="C9" s="38"/>
      <c r="D9" s="39"/>
      <c r="E9" s="41"/>
      <c r="F9" s="23"/>
      <c r="G9" s="23"/>
      <c r="H9" s="23"/>
      <c r="I9" s="23"/>
      <c r="J9" s="23"/>
      <c r="K9" s="23"/>
      <c r="L9" s="23"/>
      <c r="M9" s="23"/>
      <c r="N9" s="23"/>
    </row>
    <row r="10" spans="1:14" ht="12.75">
      <c r="A10" s="42"/>
      <c r="B10" s="26"/>
      <c r="C10" s="43"/>
      <c r="D10" s="34"/>
      <c r="E10" s="163">
        <f>IF(AND(ISNUMBER(E8),ISBLANK(E9)),"Please enter a load factor","")</f>
      </c>
      <c r="F10" s="163"/>
      <c r="G10" s="163"/>
      <c r="H10" s="163"/>
      <c r="I10" s="163"/>
      <c r="J10" s="163"/>
      <c r="K10" s="26"/>
      <c r="L10" s="26"/>
      <c r="M10" s="26"/>
      <c r="N10" s="26"/>
    </row>
    <row r="11" spans="1:14" ht="12.75">
      <c r="A11" s="44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</row>
    <row r="12" spans="1:14" ht="12.75">
      <c r="A12" s="44"/>
      <c r="B12" s="26"/>
      <c r="C12" s="45"/>
      <c r="D12" s="45"/>
      <c r="E12" s="164" t="s">
        <v>25</v>
      </c>
      <c r="F12" s="165"/>
      <c r="G12" s="166"/>
      <c r="H12" s="26"/>
      <c r="I12" s="164" t="s">
        <v>26</v>
      </c>
      <c r="J12" s="165"/>
      <c r="K12" s="166"/>
      <c r="L12" s="26"/>
      <c r="M12" s="164" t="s">
        <v>27</v>
      </c>
      <c r="N12" s="166"/>
    </row>
    <row r="13" spans="1:14" ht="12.75" customHeight="1">
      <c r="A13" s="44"/>
      <c r="B13" s="26"/>
      <c r="C13" s="167"/>
      <c r="D13" s="46"/>
      <c r="E13" s="47" t="s">
        <v>28</v>
      </c>
      <c r="F13" s="47" t="s">
        <v>7</v>
      </c>
      <c r="G13" s="48" t="s">
        <v>29</v>
      </c>
      <c r="H13" s="26"/>
      <c r="I13" s="47" t="s">
        <v>28</v>
      </c>
      <c r="J13" s="49" t="s">
        <v>7</v>
      </c>
      <c r="K13" s="48" t="s">
        <v>29</v>
      </c>
      <c r="L13" s="26"/>
      <c r="M13" s="169" t="s">
        <v>30</v>
      </c>
      <c r="N13" s="171" t="s">
        <v>31</v>
      </c>
    </row>
    <row r="14" spans="1:14" ht="12.75">
      <c r="A14" s="44"/>
      <c r="B14" s="26"/>
      <c r="C14" s="168"/>
      <c r="D14" s="46"/>
      <c r="E14" s="50" t="s">
        <v>32</v>
      </c>
      <c r="F14" s="50"/>
      <c r="G14" s="51" t="s">
        <v>32</v>
      </c>
      <c r="H14" s="26"/>
      <c r="I14" s="50" t="s">
        <v>32</v>
      </c>
      <c r="J14" s="51"/>
      <c r="K14" s="51" t="s">
        <v>32</v>
      </c>
      <c r="L14" s="26"/>
      <c r="M14" s="170"/>
      <c r="N14" s="172"/>
    </row>
    <row r="15" spans="1:14" ht="14.25">
      <c r="A15" s="52" t="s">
        <v>33</v>
      </c>
      <c r="B15" s="52"/>
      <c r="C15" s="53"/>
      <c r="D15" s="54"/>
      <c r="E15" s="55">
        <v>9.05</v>
      </c>
      <c r="F15" s="56">
        <v>1</v>
      </c>
      <c r="G15" s="57">
        <f>F15*E15</f>
        <v>9.05</v>
      </c>
      <c r="H15" s="58"/>
      <c r="I15" s="55">
        <v>9.09</v>
      </c>
      <c r="J15" s="59">
        <v>1</v>
      </c>
      <c r="K15" s="60">
        <f>J15*I15</f>
        <v>9.09</v>
      </c>
      <c r="L15" s="58"/>
      <c r="M15" s="61">
        <f aca="true" t="shared" si="0" ref="M15:M20">K15-G15</f>
        <v>0.03999999999999915</v>
      </c>
      <c r="N15" s="62">
        <f aca="true" t="shared" si="1" ref="N15:N20">IF((G15)=0,"",(M15/G15))</f>
        <v>0.004419889502762337</v>
      </c>
    </row>
    <row r="16" spans="1:14" ht="14.25">
      <c r="A16" s="52" t="s">
        <v>0</v>
      </c>
      <c r="B16" s="52"/>
      <c r="C16" s="53"/>
      <c r="D16" s="54"/>
      <c r="E16" s="63">
        <v>0.0282</v>
      </c>
      <c r="F16" s="64">
        <v>2000</v>
      </c>
      <c r="G16" s="57">
        <f>F16*E16</f>
        <v>56.4</v>
      </c>
      <c r="H16" s="58"/>
      <c r="I16" s="63">
        <v>0.0283</v>
      </c>
      <c r="J16" s="65">
        <f>F16</f>
        <v>2000</v>
      </c>
      <c r="K16" s="57">
        <f>J16*I16</f>
        <v>56.599999999999994</v>
      </c>
      <c r="L16" s="58"/>
      <c r="M16" s="61">
        <f t="shared" si="0"/>
        <v>0.19999999999999574</v>
      </c>
      <c r="N16" s="62">
        <f t="shared" si="1"/>
        <v>0.0035460992907800663</v>
      </c>
    </row>
    <row r="17" spans="1:14" ht="15">
      <c r="A17" s="66" t="s">
        <v>34</v>
      </c>
      <c r="B17" s="67"/>
      <c r="C17" s="67"/>
      <c r="D17" s="68"/>
      <c r="E17" s="69"/>
      <c r="F17" s="70"/>
      <c r="G17" s="71">
        <f>SUM(G15:G16)</f>
        <v>65.45</v>
      </c>
      <c r="H17" s="72"/>
      <c r="I17" s="69"/>
      <c r="J17" s="73"/>
      <c r="K17" s="71">
        <f>SUM(K15:K16)</f>
        <v>65.69</v>
      </c>
      <c r="L17" s="74"/>
      <c r="M17" s="75">
        <f t="shared" si="0"/>
        <v>0.23999999999999488</v>
      </c>
      <c r="N17" s="76">
        <f t="shared" si="1"/>
        <v>0.003666921313980059</v>
      </c>
    </row>
    <row r="18" spans="1:14" ht="14.25">
      <c r="A18" s="77" t="s">
        <v>35</v>
      </c>
      <c r="B18" s="78"/>
      <c r="C18" s="79"/>
      <c r="D18" s="80"/>
      <c r="E18" s="63">
        <f>E29*0.64+E30*0.18+E31*0.18</f>
        <v>0.08392</v>
      </c>
      <c r="F18" s="81">
        <f>E5*(E3-1)</f>
        <v>120.40000000000006</v>
      </c>
      <c r="G18" s="57">
        <f>E18*F18</f>
        <v>10.103968000000005</v>
      </c>
      <c r="H18" s="72"/>
      <c r="I18" s="63">
        <f>I29*0.64+I30*0.18+I31*0.18</f>
        <v>0.08392</v>
      </c>
      <c r="J18" s="81">
        <f>F18</f>
        <v>120.40000000000006</v>
      </c>
      <c r="K18" s="57">
        <f>I18*J18</f>
        <v>10.103968000000005</v>
      </c>
      <c r="L18" s="82"/>
      <c r="M18" s="61">
        <f t="shared" si="0"/>
        <v>0</v>
      </c>
      <c r="N18" s="62">
        <f t="shared" si="1"/>
        <v>0</v>
      </c>
    </row>
    <row r="19" spans="1:14" ht="14.25">
      <c r="A19" s="83" t="s">
        <v>36</v>
      </c>
      <c r="B19" s="78"/>
      <c r="C19" s="79"/>
      <c r="D19" s="80"/>
      <c r="E19" s="63">
        <v>0.001</v>
      </c>
      <c r="F19" s="81">
        <v>2000</v>
      </c>
      <c r="G19" s="57">
        <f>F19*E19</f>
        <v>2</v>
      </c>
      <c r="H19" s="72"/>
      <c r="I19" s="63">
        <v>0.001</v>
      </c>
      <c r="J19" s="81">
        <f>F19</f>
        <v>2000</v>
      </c>
      <c r="K19" s="57">
        <f>J19*I19</f>
        <v>2</v>
      </c>
      <c r="L19" s="82"/>
      <c r="M19" s="61">
        <f t="shared" si="0"/>
        <v>0</v>
      </c>
      <c r="N19" s="62">
        <f t="shared" si="1"/>
        <v>0</v>
      </c>
    </row>
    <row r="20" spans="1:14" ht="14.25">
      <c r="A20" s="83" t="s">
        <v>37</v>
      </c>
      <c r="B20" s="78"/>
      <c r="C20" s="79"/>
      <c r="D20" s="80"/>
      <c r="E20" s="63"/>
      <c r="F20" s="81">
        <v>1</v>
      </c>
      <c r="G20" s="57">
        <f>F20*E20</f>
        <v>0</v>
      </c>
      <c r="H20" s="72"/>
      <c r="I20" s="63"/>
      <c r="J20" s="81">
        <f>F20</f>
        <v>1</v>
      </c>
      <c r="K20" s="57">
        <f>J20*I20</f>
        <v>0</v>
      </c>
      <c r="L20" s="82"/>
      <c r="M20" s="61">
        <f t="shared" si="0"/>
        <v>0</v>
      </c>
      <c r="N20" s="62">
        <f t="shared" si="1"/>
      </c>
    </row>
    <row r="21" spans="1:14" ht="25.5">
      <c r="A21" s="84" t="s">
        <v>38</v>
      </c>
      <c r="B21" s="85"/>
      <c r="C21" s="85"/>
      <c r="D21" s="86"/>
      <c r="E21" s="87"/>
      <c r="F21" s="87"/>
      <c r="G21" s="88">
        <f>SUM(G19:G20)+G17</f>
        <v>67.45</v>
      </c>
      <c r="H21" s="72"/>
      <c r="I21" s="87"/>
      <c r="J21" s="89"/>
      <c r="K21" s="88">
        <f>SUM(K19:K20)+K17</f>
        <v>67.69</v>
      </c>
      <c r="L21" s="74"/>
      <c r="M21" s="90">
        <f aca="true" t="shared" si="2" ref="M21:M37">K21-G21</f>
        <v>0.23999999999999488</v>
      </c>
      <c r="N21" s="91">
        <f aca="true" t="shared" si="3" ref="N21:N37">IF((G21)=0,"",(M21/G21))</f>
        <v>0.0035581912527797607</v>
      </c>
    </row>
    <row r="22" spans="1:14" ht="14.25">
      <c r="A22" s="92" t="s">
        <v>39</v>
      </c>
      <c r="B22" s="92"/>
      <c r="C22" s="93"/>
      <c r="D22" s="94"/>
      <c r="E22" s="63">
        <v>0.0071</v>
      </c>
      <c r="F22" s="95">
        <v>2120.4</v>
      </c>
      <c r="G22" s="57">
        <f>F22*E22</f>
        <v>15.054840000000002</v>
      </c>
      <c r="H22" s="72"/>
      <c r="I22" s="63">
        <v>0.0067</v>
      </c>
      <c r="J22" s="96">
        <f>F22</f>
        <v>2120.4</v>
      </c>
      <c r="K22" s="57">
        <f>J22*I22</f>
        <v>14.20668</v>
      </c>
      <c r="L22" s="82"/>
      <c r="M22" s="61">
        <f t="shared" si="2"/>
        <v>-0.8481600000000018</v>
      </c>
      <c r="N22" s="62">
        <f t="shared" si="3"/>
        <v>-0.0563380281690142</v>
      </c>
    </row>
    <row r="23" spans="1:14" ht="14.25" customHeight="1">
      <c r="A23" s="173" t="s">
        <v>40</v>
      </c>
      <c r="B23" s="173"/>
      <c r="C23" s="173"/>
      <c r="D23" s="94"/>
      <c r="E23" s="63">
        <v>0.0077</v>
      </c>
      <c r="F23" s="95">
        <v>2120.4</v>
      </c>
      <c r="G23" s="57">
        <f>F23*E23</f>
        <v>16.327080000000002</v>
      </c>
      <c r="H23" s="72"/>
      <c r="I23" s="63">
        <v>0.0036</v>
      </c>
      <c r="J23" s="96">
        <f>F23</f>
        <v>2120.4</v>
      </c>
      <c r="K23" s="57">
        <f>J23*I23</f>
        <v>7.63344</v>
      </c>
      <c r="L23" s="82"/>
      <c r="M23" s="61">
        <f t="shared" si="2"/>
        <v>-8.693640000000002</v>
      </c>
      <c r="N23" s="62">
        <f t="shared" si="3"/>
        <v>-0.5324675324675325</v>
      </c>
    </row>
    <row r="24" spans="1:14" ht="25.5">
      <c r="A24" s="84" t="s">
        <v>41</v>
      </c>
      <c r="B24" s="97"/>
      <c r="C24" s="97"/>
      <c r="D24" s="98"/>
      <c r="E24" s="87"/>
      <c r="F24" s="87"/>
      <c r="G24" s="88">
        <f>SUM(G21:G23)</f>
        <v>98.83192</v>
      </c>
      <c r="H24" s="99"/>
      <c r="I24" s="100"/>
      <c r="J24" s="101"/>
      <c r="K24" s="88">
        <f>SUM(K21:K23)</f>
        <v>89.53012000000001</v>
      </c>
      <c r="L24" s="102"/>
      <c r="M24" s="90">
        <f t="shared" si="2"/>
        <v>-9.301799999999986</v>
      </c>
      <c r="N24" s="91">
        <f t="shared" si="3"/>
        <v>-0.0941173661302946</v>
      </c>
    </row>
    <row r="25" spans="1:14" ht="25.5">
      <c r="A25" s="103" t="s">
        <v>42</v>
      </c>
      <c r="B25" s="78"/>
      <c r="C25" s="79"/>
      <c r="D25" s="80"/>
      <c r="E25" s="104">
        <v>0.0044</v>
      </c>
      <c r="F25" s="95">
        <f>E5*E3</f>
        <v>2120.4</v>
      </c>
      <c r="G25" s="105">
        <f aca="true" t="shared" si="4" ref="G25:G31">F25*E25</f>
        <v>9.32976</v>
      </c>
      <c r="H25" s="82"/>
      <c r="I25" s="104">
        <v>0.0044</v>
      </c>
      <c r="J25" s="96">
        <f>E5*E3</f>
        <v>2120.4</v>
      </c>
      <c r="K25" s="105">
        <f aca="true" t="shared" si="5" ref="K25:K31">J25*I25</f>
        <v>9.32976</v>
      </c>
      <c r="L25" s="82"/>
      <c r="M25" s="61">
        <f t="shared" si="2"/>
        <v>0</v>
      </c>
      <c r="N25" s="106">
        <f t="shared" si="3"/>
        <v>0</v>
      </c>
    </row>
    <row r="26" spans="1:14" ht="25.5">
      <c r="A26" s="103" t="s">
        <v>43</v>
      </c>
      <c r="B26" s="78"/>
      <c r="C26" s="79"/>
      <c r="D26" s="80"/>
      <c r="E26" s="104">
        <v>0.0012</v>
      </c>
      <c r="F26" s="95">
        <f>E5*E3</f>
        <v>2120.4</v>
      </c>
      <c r="G26" s="105">
        <f t="shared" si="4"/>
        <v>2.54448</v>
      </c>
      <c r="H26" s="82"/>
      <c r="I26" s="104">
        <v>0.0012</v>
      </c>
      <c r="J26" s="96">
        <f>E5*E3</f>
        <v>2120.4</v>
      </c>
      <c r="K26" s="105">
        <f t="shared" si="5"/>
        <v>2.54448</v>
      </c>
      <c r="L26" s="82"/>
      <c r="M26" s="61">
        <f t="shared" si="2"/>
        <v>0</v>
      </c>
      <c r="N26" s="106">
        <f t="shared" si="3"/>
        <v>0</v>
      </c>
    </row>
    <row r="27" spans="1:14" ht="14.25">
      <c r="A27" s="78" t="s">
        <v>44</v>
      </c>
      <c r="B27" s="78"/>
      <c r="C27" s="79"/>
      <c r="D27" s="80"/>
      <c r="E27" s="104">
        <v>0.25</v>
      </c>
      <c r="F27" s="95">
        <v>1</v>
      </c>
      <c r="G27" s="105">
        <f t="shared" si="4"/>
        <v>0.25</v>
      </c>
      <c r="H27" s="82"/>
      <c r="I27" s="104">
        <v>0.25</v>
      </c>
      <c r="J27" s="96">
        <v>1</v>
      </c>
      <c r="K27" s="105">
        <f t="shared" si="5"/>
        <v>0.25</v>
      </c>
      <c r="L27" s="82"/>
      <c r="M27" s="61">
        <f t="shared" si="2"/>
        <v>0</v>
      </c>
      <c r="N27" s="106">
        <f t="shared" si="3"/>
        <v>0</v>
      </c>
    </row>
    <row r="28" spans="1:14" ht="14.25">
      <c r="A28" s="78" t="s">
        <v>1</v>
      </c>
      <c r="B28" s="78"/>
      <c r="C28" s="79"/>
      <c r="D28" s="80"/>
      <c r="E28" s="104">
        <v>0.007</v>
      </c>
      <c r="F28" s="95">
        <f>E5</f>
        <v>2000</v>
      </c>
      <c r="G28" s="105">
        <f t="shared" si="4"/>
        <v>14</v>
      </c>
      <c r="H28" s="82"/>
      <c r="I28" s="104">
        <v>0.007</v>
      </c>
      <c r="J28" s="96">
        <f>E5</f>
        <v>2000</v>
      </c>
      <c r="K28" s="105">
        <f t="shared" si="5"/>
        <v>14</v>
      </c>
      <c r="L28" s="82"/>
      <c r="M28" s="61">
        <f t="shared" si="2"/>
        <v>0</v>
      </c>
      <c r="N28" s="106">
        <f t="shared" si="3"/>
        <v>0</v>
      </c>
    </row>
    <row r="29" spans="1:14" ht="14.25">
      <c r="A29" s="83" t="s">
        <v>45</v>
      </c>
      <c r="B29" s="78"/>
      <c r="C29" s="79"/>
      <c r="D29" s="80"/>
      <c r="E29" s="107">
        <v>0.067</v>
      </c>
      <c r="F29" s="95">
        <v>1280</v>
      </c>
      <c r="G29" s="105">
        <f t="shared" si="4"/>
        <v>85.76</v>
      </c>
      <c r="H29" s="82"/>
      <c r="I29" s="104">
        <v>0.067</v>
      </c>
      <c r="J29" s="95">
        <f>F29</f>
        <v>1280</v>
      </c>
      <c r="K29" s="105">
        <f t="shared" si="5"/>
        <v>85.76</v>
      </c>
      <c r="L29" s="82"/>
      <c r="M29" s="61">
        <f t="shared" si="2"/>
        <v>0</v>
      </c>
      <c r="N29" s="106">
        <f t="shared" si="3"/>
        <v>0</v>
      </c>
    </row>
    <row r="30" spans="1:14" ht="14.25">
      <c r="A30" s="83" t="s">
        <v>46</v>
      </c>
      <c r="B30" s="78"/>
      <c r="C30" s="79"/>
      <c r="D30" s="80"/>
      <c r="E30" s="107">
        <v>0.104</v>
      </c>
      <c r="F30" s="95">
        <v>360</v>
      </c>
      <c r="G30" s="105">
        <f t="shared" si="4"/>
        <v>37.44</v>
      </c>
      <c r="H30" s="82"/>
      <c r="I30" s="104">
        <v>0.104</v>
      </c>
      <c r="J30" s="95">
        <f>F30</f>
        <v>360</v>
      </c>
      <c r="K30" s="105">
        <f t="shared" si="5"/>
        <v>37.44</v>
      </c>
      <c r="L30" s="82"/>
      <c r="M30" s="61">
        <f t="shared" si="2"/>
        <v>0</v>
      </c>
      <c r="N30" s="106">
        <f t="shared" si="3"/>
        <v>0</v>
      </c>
    </row>
    <row r="31" spans="1:14" ht="15" thickBot="1">
      <c r="A31" s="44" t="s">
        <v>47</v>
      </c>
      <c r="B31" s="78"/>
      <c r="C31" s="79"/>
      <c r="D31" s="80"/>
      <c r="E31" s="107">
        <v>0.124</v>
      </c>
      <c r="F31" s="95">
        <v>360</v>
      </c>
      <c r="G31" s="105">
        <f t="shared" si="4"/>
        <v>44.64</v>
      </c>
      <c r="H31" s="82"/>
      <c r="I31" s="104">
        <v>0.124</v>
      </c>
      <c r="J31" s="95">
        <f>F31</f>
        <v>360</v>
      </c>
      <c r="K31" s="105">
        <f t="shared" si="5"/>
        <v>44.64</v>
      </c>
      <c r="L31" s="82"/>
      <c r="M31" s="61">
        <f t="shared" si="2"/>
        <v>0</v>
      </c>
      <c r="N31" s="106">
        <f t="shared" si="3"/>
        <v>0</v>
      </c>
    </row>
    <row r="32" spans="1:14" ht="15" thickBot="1">
      <c r="A32" s="108"/>
      <c r="B32" s="109"/>
      <c r="C32" s="109"/>
      <c r="D32" s="110"/>
      <c r="E32" s="111"/>
      <c r="F32" s="112"/>
      <c r="G32" s="113"/>
      <c r="H32" s="114"/>
      <c r="I32" s="111"/>
      <c r="J32" s="115"/>
      <c r="K32" s="113"/>
      <c r="L32" s="114"/>
      <c r="M32" s="116"/>
      <c r="N32" s="117"/>
    </row>
    <row r="33" spans="1:14" ht="15">
      <c r="A33" s="118" t="s">
        <v>48</v>
      </c>
      <c r="B33" s="78"/>
      <c r="C33" s="78"/>
      <c r="D33" s="119"/>
      <c r="E33" s="120"/>
      <c r="F33" s="121"/>
      <c r="G33" s="122">
        <f>SUM(G24:G28,G29:G31)</f>
        <v>292.79616</v>
      </c>
      <c r="H33" s="123"/>
      <c r="I33" s="124"/>
      <c r="J33" s="124"/>
      <c r="K33" s="125">
        <f>SUM(K24:K28,K29:K31)</f>
        <v>283.49436</v>
      </c>
      <c r="L33" s="126"/>
      <c r="M33" s="127">
        <f>K33-G33</f>
        <v>-9.301800000000014</v>
      </c>
      <c r="N33" s="128">
        <f>IF((G33)=0,"",(M33/G33))</f>
        <v>-0.0317688592637281</v>
      </c>
    </row>
    <row r="34" spans="1:14" ht="14.25">
      <c r="A34" s="129" t="s">
        <v>8</v>
      </c>
      <c r="B34" s="78"/>
      <c r="C34" s="78"/>
      <c r="D34" s="119"/>
      <c r="E34" s="120">
        <v>0.13</v>
      </c>
      <c r="F34" s="130"/>
      <c r="G34" s="131">
        <f>G33*E34</f>
        <v>38.0635008</v>
      </c>
      <c r="H34" s="56"/>
      <c r="I34" s="120">
        <v>0.13</v>
      </c>
      <c r="J34" s="56"/>
      <c r="K34" s="132">
        <f>K33*I34</f>
        <v>36.8542668</v>
      </c>
      <c r="L34" s="133"/>
      <c r="M34" s="134">
        <f t="shared" si="2"/>
        <v>-1.2092340000000021</v>
      </c>
      <c r="N34" s="135">
        <f t="shared" si="3"/>
        <v>-0.031768859263728105</v>
      </c>
    </row>
    <row r="35" spans="1:14" ht="14.25">
      <c r="A35" s="136" t="s">
        <v>49</v>
      </c>
      <c r="B35" s="78"/>
      <c r="C35" s="78"/>
      <c r="D35" s="119"/>
      <c r="E35" s="56"/>
      <c r="F35" s="130"/>
      <c r="G35" s="131">
        <f>G33+G34</f>
        <v>330.8596608</v>
      </c>
      <c r="H35" s="56"/>
      <c r="I35" s="56"/>
      <c r="J35" s="56"/>
      <c r="K35" s="132">
        <f>K33+K34</f>
        <v>320.3486268</v>
      </c>
      <c r="L35" s="133"/>
      <c r="M35" s="134">
        <f t="shared" si="2"/>
        <v>-10.511033999999995</v>
      </c>
      <c r="N35" s="135">
        <f t="shared" si="3"/>
        <v>-0.031768859263728036</v>
      </c>
    </row>
    <row r="36" spans="1:14" ht="14.25" customHeight="1">
      <c r="A36" s="160" t="s">
        <v>50</v>
      </c>
      <c r="B36" s="160"/>
      <c r="C36" s="160"/>
      <c r="D36" s="119"/>
      <c r="E36" s="56"/>
      <c r="F36" s="130"/>
      <c r="G36" s="137">
        <f>ROUND(-G35*10%,2)</f>
        <v>-33.09</v>
      </c>
      <c r="H36" s="56"/>
      <c r="I36" s="56"/>
      <c r="J36" s="56"/>
      <c r="K36" s="138">
        <f>ROUND(-K35*10%,2)</f>
        <v>-32.03</v>
      </c>
      <c r="L36" s="133"/>
      <c r="M36" s="139">
        <f t="shared" si="2"/>
        <v>1.0600000000000023</v>
      </c>
      <c r="N36" s="140">
        <f t="shared" si="3"/>
        <v>-0.03203384708371115</v>
      </c>
    </row>
    <row r="37" spans="1:14" ht="15.75" customHeight="1" thickBot="1">
      <c r="A37" s="161" t="s">
        <v>51</v>
      </c>
      <c r="B37" s="161"/>
      <c r="C37" s="161"/>
      <c r="D37" s="141"/>
      <c r="E37" s="142"/>
      <c r="F37" s="143"/>
      <c r="G37" s="144">
        <f>G35+G36</f>
        <v>297.7696608</v>
      </c>
      <c r="H37" s="145"/>
      <c r="I37" s="145"/>
      <c r="J37" s="145"/>
      <c r="K37" s="146">
        <f>K35+K36</f>
        <v>288.31862679999995</v>
      </c>
      <c r="L37" s="147"/>
      <c r="M37" s="75">
        <f t="shared" si="2"/>
        <v>-9.45103400000005</v>
      </c>
      <c r="N37" s="76">
        <f t="shared" si="3"/>
        <v>-0.031739412183929415</v>
      </c>
    </row>
    <row r="38" spans="1:14" ht="13.5" thickBot="1">
      <c r="A38" s="108"/>
      <c r="B38" s="109"/>
      <c r="C38" s="109"/>
      <c r="D38" s="110"/>
      <c r="E38" s="148"/>
      <c r="F38" s="149"/>
      <c r="G38" s="150"/>
      <c r="H38" s="151"/>
      <c r="I38" s="148"/>
      <c r="J38" s="151"/>
      <c r="K38" s="152"/>
      <c r="L38" s="149"/>
      <c r="M38" s="153"/>
      <c r="N38" s="154"/>
    </row>
  </sheetData>
  <sheetProtection/>
  <mergeCells count="11">
    <mergeCell ref="M12:N12"/>
    <mergeCell ref="C13:C14"/>
    <mergeCell ref="M13:M14"/>
    <mergeCell ref="N13:N14"/>
    <mergeCell ref="A23:C23"/>
    <mergeCell ref="A36:C36"/>
    <mergeCell ref="A37:C37"/>
    <mergeCell ref="C1:K1"/>
    <mergeCell ref="E10:J10"/>
    <mergeCell ref="E12:G12"/>
    <mergeCell ref="I12:K12"/>
  </mergeCells>
  <dataValidations count="3">
    <dataValidation showInputMessage="1" showErrorMessage="1" prompt="Select Charge Unit - monthly, per kWh, per kW" sqref="C15:C16 C22 C25:C31 C19:C20"/>
    <dataValidation type="list" allowBlank="1" showInputMessage="1" showErrorMessage="1" prompt="Select Charge Unit - monthly, per kWh, per kW" sqref="C32 C38">
      <formula1>"Monthly, per kWh, per kW"</formula1>
    </dataValidation>
    <dataValidation type="list" allowBlank="1" showInputMessage="1" showErrorMessage="1" sqref="D22:D23 D38 D15:D16 D25:D32 D19:D20">
      <formula1>UMSL!#REF!</formula1>
    </dataValidation>
  </dataValidations>
  <printOptions/>
  <pageMargins left="0.75" right="0.75" top="1" bottom="1" header="0.5" footer="0.5"/>
  <pageSetup fitToHeight="1" fitToWidth="1" horizontalDpi="600" verticalDpi="600" orientation="portrait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zoomScalePageLayoutView="0" workbookViewId="0" topLeftCell="A1">
      <selection activeCell="A1" sqref="A1:G10"/>
    </sheetView>
  </sheetViews>
  <sheetFormatPr defaultColWidth="26.421875" defaultRowHeight="12.75"/>
  <cols>
    <col min="1" max="1" width="35.28125" style="0" bestFit="1" customWidth="1"/>
    <col min="2" max="2" width="1.7109375" style="0" customWidth="1"/>
    <col min="3" max="3" width="5.57421875" style="0" bestFit="1" customWidth="1"/>
    <col min="4" max="4" width="1.7109375" style="0" customWidth="1"/>
    <col min="5" max="5" width="9.8515625" style="0" bestFit="1" customWidth="1"/>
    <col min="6" max="6" width="8.00390625" style="0" bestFit="1" customWidth="1"/>
    <col min="7" max="7" width="7.57421875" style="0" bestFit="1" customWidth="1"/>
    <col min="8" max="8" width="4.7109375" style="0" customWidth="1"/>
    <col min="9" max="9" width="9.8515625" style="0" bestFit="1" customWidth="1"/>
    <col min="10" max="10" width="8.00390625" style="0" bestFit="1" customWidth="1"/>
    <col min="11" max="11" width="7.57421875" style="0" bestFit="1" customWidth="1"/>
    <col min="12" max="12" width="4.7109375" style="0" customWidth="1"/>
    <col min="13" max="13" width="9.57421875" style="0" bestFit="1" customWidth="1"/>
    <col min="14" max="14" width="11.00390625" style="0" bestFit="1" customWidth="1"/>
  </cols>
  <sheetData>
    <row r="1" spans="1:14" ht="15.75">
      <c r="A1" s="22"/>
      <c r="B1" s="23"/>
      <c r="C1" s="162" t="s">
        <v>56</v>
      </c>
      <c r="D1" s="162"/>
      <c r="E1" s="162"/>
      <c r="F1" s="162"/>
      <c r="G1" s="162"/>
      <c r="H1" s="162"/>
      <c r="I1" s="162"/>
      <c r="J1" s="162"/>
      <c r="K1" s="162"/>
      <c r="L1" s="24"/>
      <c r="M1" s="24"/>
      <c r="N1" s="24"/>
    </row>
    <row r="2" spans="1:14" ht="15.75">
      <c r="A2" s="25"/>
      <c r="B2" s="26"/>
      <c r="C2" s="27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15.75">
      <c r="A3" s="22" t="s">
        <v>2</v>
      </c>
      <c r="B3" s="23"/>
      <c r="C3" s="29"/>
      <c r="D3" s="29"/>
      <c r="E3" s="30">
        <v>1.0602</v>
      </c>
      <c r="F3" s="29"/>
      <c r="G3" s="29"/>
      <c r="H3" s="29"/>
      <c r="I3" s="29"/>
      <c r="J3" s="29"/>
      <c r="K3" s="29"/>
      <c r="L3" s="29"/>
      <c r="M3" s="29"/>
      <c r="N3" s="29"/>
    </row>
    <row r="4" spans="1:14" ht="15.75">
      <c r="A4" s="25"/>
      <c r="B4" s="26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 ht="12.75">
      <c r="A5" s="22" t="s">
        <v>3</v>
      </c>
      <c r="B5" s="23"/>
      <c r="C5" s="31" t="s">
        <v>22</v>
      </c>
      <c r="D5" s="32"/>
      <c r="E5" s="156">
        <f>730*E8*E9</f>
        <v>35.989</v>
      </c>
      <c r="F5" s="23"/>
      <c r="G5" s="23"/>
      <c r="H5" s="23"/>
      <c r="I5" s="23"/>
      <c r="J5" s="23"/>
      <c r="K5" s="23"/>
      <c r="L5" s="23"/>
      <c r="M5" s="23"/>
      <c r="N5" s="23"/>
    </row>
    <row r="6" spans="1:14" ht="12.75">
      <c r="A6" s="26"/>
      <c r="B6" s="26"/>
      <c r="C6" s="26"/>
      <c r="D6" s="26"/>
      <c r="E6" s="26"/>
      <c r="F6" s="34"/>
      <c r="G6" s="26"/>
      <c r="H6" s="26"/>
      <c r="I6" s="26"/>
      <c r="J6" s="26"/>
      <c r="K6" s="26"/>
      <c r="L6" s="26"/>
      <c r="M6" s="26"/>
      <c r="N6" s="26"/>
    </row>
    <row r="7" spans="1:14" ht="12.75">
      <c r="A7" s="35" t="s">
        <v>23</v>
      </c>
      <c r="B7" s="23"/>
      <c r="C7" s="23"/>
      <c r="D7" s="23"/>
      <c r="E7" s="23"/>
      <c r="F7" s="32"/>
      <c r="G7" s="23"/>
      <c r="H7" s="23"/>
      <c r="I7" s="23"/>
      <c r="J7" s="23"/>
      <c r="K7" s="23"/>
      <c r="L7" s="23"/>
      <c r="M7" s="23"/>
      <c r="N7" s="23"/>
    </row>
    <row r="8" spans="1:14" ht="12.75">
      <c r="A8" s="36" t="s">
        <v>24</v>
      </c>
      <c r="B8" s="37"/>
      <c r="C8" s="38" t="s">
        <v>5</v>
      </c>
      <c r="D8" s="39"/>
      <c r="E8" s="157">
        <v>0.1</v>
      </c>
      <c r="F8" s="32"/>
      <c r="G8" s="23"/>
      <c r="H8" s="23"/>
      <c r="I8" s="23"/>
      <c r="J8" s="23"/>
      <c r="K8" s="23"/>
      <c r="L8" s="23"/>
      <c r="M8" s="23"/>
      <c r="N8" s="23"/>
    </row>
    <row r="9" spans="1:14" ht="12.75">
      <c r="A9" s="36" t="s">
        <v>6</v>
      </c>
      <c r="B9" s="37"/>
      <c r="C9" s="38"/>
      <c r="D9" s="39"/>
      <c r="E9" s="158">
        <v>0.493</v>
      </c>
      <c r="F9" s="23"/>
      <c r="G9" s="23"/>
      <c r="H9" s="23"/>
      <c r="I9" s="23"/>
      <c r="J9" s="23"/>
      <c r="K9" s="23"/>
      <c r="L9" s="23"/>
      <c r="M9" s="23"/>
      <c r="N9" s="23"/>
    </row>
    <row r="10" spans="1:14" ht="12.75">
      <c r="A10" s="42"/>
      <c r="B10" s="26"/>
      <c r="C10" s="43"/>
      <c r="D10" s="34"/>
      <c r="E10" s="163">
        <f>IF(AND(ISNUMBER(E8),ISBLANK(E9)),"Please enter a load factor","")</f>
      </c>
      <c r="F10" s="163"/>
      <c r="G10" s="163"/>
      <c r="H10" s="163"/>
      <c r="I10" s="163"/>
      <c r="J10" s="163"/>
      <c r="K10" s="26"/>
      <c r="L10" s="26"/>
      <c r="M10" s="26"/>
      <c r="N10" s="26"/>
    </row>
    <row r="11" spans="1:14" ht="12.75">
      <c r="A11" s="44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</row>
    <row r="12" spans="1:14" ht="12.75">
      <c r="A12" s="44"/>
      <c r="B12" s="26"/>
      <c r="C12" s="45"/>
      <c r="D12" s="45"/>
      <c r="E12" s="164" t="s">
        <v>25</v>
      </c>
      <c r="F12" s="165"/>
      <c r="G12" s="166"/>
      <c r="H12" s="26"/>
      <c r="I12" s="164" t="s">
        <v>26</v>
      </c>
      <c r="J12" s="165"/>
      <c r="K12" s="166"/>
      <c r="L12" s="26"/>
      <c r="M12" s="164" t="s">
        <v>27</v>
      </c>
      <c r="N12" s="166"/>
    </row>
    <row r="13" spans="1:14" ht="12.75">
      <c r="A13" s="44"/>
      <c r="B13" s="26"/>
      <c r="C13" s="167"/>
      <c r="D13" s="46"/>
      <c r="E13" s="47" t="s">
        <v>28</v>
      </c>
      <c r="F13" s="47" t="s">
        <v>7</v>
      </c>
      <c r="G13" s="48" t="s">
        <v>29</v>
      </c>
      <c r="H13" s="26"/>
      <c r="I13" s="47" t="s">
        <v>28</v>
      </c>
      <c r="J13" s="49" t="s">
        <v>7</v>
      </c>
      <c r="K13" s="48" t="s">
        <v>29</v>
      </c>
      <c r="L13" s="26"/>
      <c r="M13" s="169" t="s">
        <v>30</v>
      </c>
      <c r="N13" s="171" t="s">
        <v>31</v>
      </c>
    </row>
    <row r="14" spans="1:14" ht="12.75">
      <c r="A14" s="44"/>
      <c r="B14" s="26"/>
      <c r="C14" s="168"/>
      <c r="D14" s="46"/>
      <c r="E14" s="50" t="s">
        <v>32</v>
      </c>
      <c r="F14" s="50"/>
      <c r="G14" s="51" t="s">
        <v>32</v>
      </c>
      <c r="H14" s="26"/>
      <c r="I14" s="50" t="s">
        <v>32</v>
      </c>
      <c r="J14" s="51"/>
      <c r="K14" s="51" t="s">
        <v>32</v>
      </c>
      <c r="L14" s="26"/>
      <c r="M14" s="170"/>
      <c r="N14" s="172"/>
    </row>
    <row r="15" spans="1:14" ht="14.25">
      <c r="A15" s="52" t="s">
        <v>33</v>
      </c>
      <c r="B15" s="52"/>
      <c r="C15" s="53"/>
      <c r="D15" s="54"/>
      <c r="E15" s="55">
        <v>3.24</v>
      </c>
      <c r="F15" s="56">
        <v>1</v>
      </c>
      <c r="G15" s="57">
        <f>F15*E15</f>
        <v>3.24</v>
      </c>
      <c r="H15" s="58"/>
      <c r="I15" s="55">
        <v>3.26</v>
      </c>
      <c r="J15" s="59">
        <v>1</v>
      </c>
      <c r="K15" s="60">
        <f>J15*I15</f>
        <v>3.26</v>
      </c>
      <c r="L15" s="58"/>
      <c r="M15" s="61">
        <f aca="true" t="shared" si="0" ref="M15:M20">K15-G15</f>
        <v>0.019999999999999574</v>
      </c>
      <c r="N15" s="62">
        <f aca="true" t="shared" si="1" ref="N15:N20">IF((G15)=0,"",(M15/G15))</f>
        <v>0.006172839506172707</v>
      </c>
    </row>
    <row r="16" spans="1:14" ht="14.25">
      <c r="A16" s="52" t="s">
        <v>0</v>
      </c>
      <c r="B16" s="52"/>
      <c r="C16" s="53"/>
      <c r="D16" s="54"/>
      <c r="E16" s="63">
        <v>9.2956</v>
      </c>
      <c r="F16" s="64">
        <v>0.1</v>
      </c>
      <c r="G16" s="57">
        <f>F16*E16</f>
        <v>0.92956</v>
      </c>
      <c r="H16" s="58"/>
      <c r="I16" s="63">
        <v>9.3402</v>
      </c>
      <c r="J16" s="65">
        <f>F16</f>
        <v>0.1</v>
      </c>
      <c r="K16" s="57">
        <f>J16*I16</f>
        <v>0.93402</v>
      </c>
      <c r="L16" s="58"/>
      <c r="M16" s="61">
        <f t="shared" si="0"/>
        <v>0.0044599999999999085</v>
      </c>
      <c r="N16" s="62">
        <f t="shared" si="1"/>
        <v>0.004797968931537403</v>
      </c>
    </row>
    <row r="17" spans="1:14" ht="15">
      <c r="A17" s="66" t="s">
        <v>34</v>
      </c>
      <c r="B17" s="67"/>
      <c r="C17" s="67"/>
      <c r="D17" s="68"/>
      <c r="E17" s="69"/>
      <c r="F17" s="70"/>
      <c r="G17" s="71">
        <f>SUM(G15:G16)</f>
        <v>4.169560000000001</v>
      </c>
      <c r="H17" s="72"/>
      <c r="I17" s="69"/>
      <c r="J17" s="73"/>
      <c r="K17" s="71">
        <f>SUM(K15:K16)</f>
        <v>4.19402</v>
      </c>
      <c r="L17" s="74"/>
      <c r="M17" s="75">
        <f t="shared" si="0"/>
        <v>0.024459999999999482</v>
      </c>
      <c r="N17" s="76">
        <f t="shared" si="1"/>
        <v>0.005866326422931791</v>
      </c>
    </row>
    <row r="18" spans="1:14" ht="14.25">
      <c r="A18" s="77" t="s">
        <v>35</v>
      </c>
      <c r="B18" s="78"/>
      <c r="C18" s="79"/>
      <c r="D18" s="80"/>
      <c r="E18" s="63">
        <f>E29*0.64+E30*0.18+E31*0.18</f>
        <v>0.08392</v>
      </c>
      <c r="F18" s="81">
        <f>E5*(E3-1)</f>
        <v>2.166537800000001</v>
      </c>
      <c r="G18" s="57">
        <f>E18*F18</f>
        <v>0.18181585217600005</v>
      </c>
      <c r="H18" s="72"/>
      <c r="I18" s="63">
        <f>I29*0.64+I30*0.18+I31*0.18</f>
        <v>0.08392</v>
      </c>
      <c r="J18" s="81">
        <f>F18</f>
        <v>2.166537800000001</v>
      </c>
      <c r="K18" s="57">
        <f>I18*J18</f>
        <v>0.18181585217600005</v>
      </c>
      <c r="L18" s="82"/>
      <c r="M18" s="61">
        <f t="shared" si="0"/>
        <v>0</v>
      </c>
      <c r="N18" s="62">
        <f t="shared" si="1"/>
        <v>0</v>
      </c>
    </row>
    <row r="19" spans="1:14" ht="14.25">
      <c r="A19" s="83" t="s">
        <v>36</v>
      </c>
      <c r="B19" s="78"/>
      <c r="C19" s="79"/>
      <c r="D19" s="80"/>
      <c r="E19" s="63">
        <v>0.2816</v>
      </c>
      <c r="F19" s="81">
        <v>0.1</v>
      </c>
      <c r="G19" s="57">
        <f>F19*E19</f>
        <v>0.028160000000000004</v>
      </c>
      <c r="H19" s="72"/>
      <c r="I19" s="63">
        <v>0.2816</v>
      </c>
      <c r="J19" s="81">
        <f>F19</f>
        <v>0.1</v>
      </c>
      <c r="K19" s="57">
        <f>J19*I19</f>
        <v>0.028160000000000004</v>
      </c>
      <c r="L19" s="82"/>
      <c r="M19" s="61">
        <f t="shared" si="0"/>
        <v>0</v>
      </c>
      <c r="N19" s="62">
        <f t="shared" si="1"/>
        <v>0</v>
      </c>
    </row>
    <row r="20" spans="1:14" ht="14.25">
      <c r="A20" s="83" t="s">
        <v>37</v>
      </c>
      <c r="B20" s="78"/>
      <c r="C20" s="79"/>
      <c r="D20" s="80"/>
      <c r="E20" s="63"/>
      <c r="F20" s="81">
        <v>1</v>
      </c>
      <c r="G20" s="57">
        <f>F20*E20</f>
        <v>0</v>
      </c>
      <c r="H20" s="72"/>
      <c r="I20" s="63"/>
      <c r="J20" s="81">
        <f>F20</f>
        <v>1</v>
      </c>
      <c r="K20" s="57">
        <f>J20*I20</f>
        <v>0</v>
      </c>
      <c r="L20" s="82"/>
      <c r="M20" s="61">
        <f t="shared" si="0"/>
        <v>0</v>
      </c>
      <c r="N20" s="62">
        <f t="shared" si="1"/>
      </c>
    </row>
    <row r="21" spans="1:14" ht="25.5">
      <c r="A21" s="84" t="s">
        <v>38</v>
      </c>
      <c r="B21" s="85"/>
      <c r="C21" s="85"/>
      <c r="D21" s="86"/>
      <c r="E21" s="87"/>
      <c r="F21" s="87"/>
      <c r="G21" s="88">
        <f>SUM(G19:G20)+G17</f>
        <v>4.19772</v>
      </c>
      <c r="H21" s="72"/>
      <c r="I21" s="87"/>
      <c r="J21" s="89"/>
      <c r="K21" s="88">
        <f>SUM(K19:K20)+K17</f>
        <v>4.22218</v>
      </c>
      <c r="L21" s="74"/>
      <c r="M21" s="90">
        <f aca="true" t="shared" si="2" ref="M21:M37">K21-G21</f>
        <v>0.024459999999999482</v>
      </c>
      <c r="N21" s="91">
        <f aca="true" t="shared" si="3" ref="N21:N37">IF((G21)=0,"",(M21/G21))</f>
        <v>0.00582697273758123</v>
      </c>
    </row>
    <row r="22" spans="1:14" ht="14.25">
      <c r="A22" s="92" t="s">
        <v>39</v>
      </c>
      <c r="B22" s="92"/>
      <c r="C22" s="93"/>
      <c r="D22" s="94"/>
      <c r="E22" s="63">
        <v>2.232</v>
      </c>
      <c r="F22" s="95">
        <v>0.10602</v>
      </c>
      <c r="G22" s="57">
        <f>F22*E22</f>
        <v>0.23663664000000004</v>
      </c>
      <c r="H22" s="72"/>
      <c r="I22" s="63">
        <v>2.1067</v>
      </c>
      <c r="J22" s="96">
        <f>F22</f>
        <v>0.10602</v>
      </c>
      <c r="K22" s="57">
        <f>J22*I22</f>
        <v>0.223352334</v>
      </c>
      <c r="L22" s="82"/>
      <c r="M22" s="61">
        <f t="shared" si="2"/>
        <v>-0.013284306000000023</v>
      </c>
      <c r="N22" s="62">
        <f t="shared" si="3"/>
        <v>-0.056137992831541306</v>
      </c>
    </row>
    <row r="23" spans="1:14" ht="14.25" customHeight="1">
      <c r="A23" s="173" t="s">
        <v>40</v>
      </c>
      <c r="B23" s="173"/>
      <c r="C23" s="173"/>
      <c r="D23" s="94"/>
      <c r="E23" s="63">
        <v>2.3462</v>
      </c>
      <c r="F23" s="95">
        <v>0.10602</v>
      </c>
      <c r="G23" s="57">
        <f>F23*E23</f>
        <v>0.248744124</v>
      </c>
      <c r="H23" s="72"/>
      <c r="I23" s="63">
        <v>1.0961</v>
      </c>
      <c r="J23" s="96">
        <f>F23</f>
        <v>0.10602</v>
      </c>
      <c r="K23" s="57">
        <f>J23*I23</f>
        <v>0.11620852200000001</v>
      </c>
      <c r="L23" s="82"/>
      <c r="M23" s="61">
        <f t="shared" si="2"/>
        <v>-0.132535602</v>
      </c>
      <c r="N23" s="62">
        <f t="shared" si="3"/>
        <v>-0.5328190265109539</v>
      </c>
    </row>
    <row r="24" spans="1:14" ht="25.5">
      <c r="A24" s="84" t="s">
        <v>41</v>
      </c>
      <c r="B24" s="97"/>
      <c r="C24" s="97"/>
      <c r="D24" s="98"/>
      <c r="E24" s="87"/>
      <c r="F24" s="87"/>
      <c r="G24" s="88">
        <f>SUM(G21:G23)</f>
        <v>4.683100764000001</v>
      </c>
      <c r="H24" s="99"/>
      <c r="I24" s="100"/>
      <c r="J24" s="101"/>
      <c r="K24" s="88">
        <f>SUM(K21:K23)</f>
        <v>4.561740856</v>
      </c>
      <c r="L24" s="102"/>
      <c r="M24" s="90">
        <f t="shared" si="2"/>
        <v>-0.12135990800000052</v>
      </c>
      <c r="N24" s="91">
        <f t="shared" si="3"/>
        <v>-0.025914434498809025</v>
      </c>
    </row>
    <row r="25" spans="1:14" ht="25.5">
      <c r="A25" s="103" t="s">
        <v>42</v>
      </c>
      <c r="B25" s="78"/>
      <c r="C25" s="79"/>
      <c r="D25" s="80"/>
      <c r="E25" s="104">
        <v>0.0044</v>
      </c>
      <c r="F25" s="95">
        <f>E5*E3</f>
        <v>38.1555378</v>
      </c>
      <c r="G25" s="105">
        <f aca="true" t="shared" si="4" ref="G25:G31">F25*E25</f>
        <v>0.16788436632</v>
      </c>
      <c r="H25" s="82"/>
      <c r="I25" s="104">
        <v>0.0044</v>
      </c>
      <c r="J25" s="96">
        <f>E5*E3</f>
        <v>38.1555378</v>
      </c>
      <c r="K25" s="105">
        <f aca="true" t="shared" si="5" ref="K25:K31">J25*I25</f>
        <v>0.16788436632</v>
      </c>
      <c r="L25" s="82"/>
      <c r="M25" s="61">
        <f t="shared" si="2"/>
        <v>0</v>
      </c>
      <c r="N25" s="106">
        <f t="shared" si="3"/>
        <v>0</v>
      </c>
    </row>
    <row r="26" spans="1:14" ht="25.5">
      <c r="A26" s="103" t="s">
        <v>43</v>
      </c>
      <c r="B26" s="78"/>
      <c r="C26" s="79"/>
      <c r="D26" s="80"/>
      <c r="E26" s="104">
        <v>0.0012</v>
      </c>
      <c r="F26" s="95">
        <f>E5*E3</f>
        <v>38.1555378</v>
      </c>
      <c r="G26" s="105">
        <f t="shared" si="4"/>
        <v>0.045786645359999996</v>
      </c>
      <c r="H26" s="82"/>
      <c r="I26" s="104">
        <v>0.0012</v>
      </c>
      <c r="J26" s="96">
        <f>E5*E3</f>
        <v>38.1555378</v>
      </c>
      <c r="K26" s="105">
        <f t="shared" si="5"/>
        <v>0.045786645359999996</v>
      </c>
      <c r="L26" s="82"/>
      <c r="M26" s="61">
        <f t="shared" si="2"/>
        <v>0</v>
      </c>
      <c r="N26" s="106">
        <f t="shared" si="3"/>
        <v>0</v>
      </c>
    </row>
    <row r="27" spans="1:14" ht="14.25">
      <c r="A27" s="78" t="s">
        <v>44</v>
      </c>
      <c r="B27" s="78"/>
      <c r="C27" s="79"/>
      <c r="D27" s="80"/>
      <c r="E27" s="104">
        <v>0.25</v>
      </c>
      <c r="F27" s="95">
        <v>1</v>
      </c>
      <c r="G27" s="105">
        <f t="shared" si="4"/>
        <v>0.25</v>
      </c>
      <c r="H27" s="82"/>
      <c r="I27" s="104">
        <v>0.25</v>
      </c>
      <c r="J27" s="96">
        <v>1</v>
      </c>
      <c r="K27" s="105">
        <f t="shared" si="5"/>
        <v>0.25</v>
      </c>
      <c r="L27" s="82"/>
      <c r="M27" s="61">
        <f t="shared" si="2"/>
        <v>0</v>
      </c>
      <c r="N27" s="106">
        <f t="shared" si="3"/>
        <v>0</v>
      </c>
    </row>
    <row r="28" spans="1:14" ht="14.25">
      <c r="A28" s="78" t="s">
        <v>1</v>
      </c>
      <c r="B28" s="78"/>
      <c r="C28" s="79"/>
      <c r="D28" s="80"/>
      <c r="E28" s="104">
        <v>0.007</v>
      </c>
      <c r="F28" s="95">
        <f>E5</f>
        <v>35.989</v>
      </c>
      <c r="G28" s="105">
        <f t="shared" si="4"/>
        <v>0.251923</v>
      </c>
      <c r="H28" s="82"/>
      <c r="I28" s="104">
        <v>0.007</v>
      </c>
      <c r="J28" s="96">
        <f>E5</f>
        <v>35.989</v>
      </c>
      <c r="K28" s="105">
        <f t="shared" si="5"/>
        <v>0.251923</v>
      </c>
      <c r="L28" s="82"/>
      <c r="M28" s="61">
        <f t="shared" si="2"/>
        <v>0</v>
      </c>
      <c r="N28" s="106">
        <f t="shared" si="3"/>
        <v>0</v>
      </c>
    </row>
    <row r="29" spans="1:14" ht="14.25">
      <c r="A29" s="83" t="s">
        <v>45</v>
      </c>
      <c r="B29" s="78"/>
      <c r="C29" s="79"/>
      <c r="D29" s="80"/>
      <c r="E29" s="107">
        <v>0.067</v>
      </c>
      <c r="F29" s="95">
        <v>24.419544192</v>
      </c>
      <c r="G29" s="105">
        <f t="shared" si="4"/>
        <v>1.636109460864</v>
      </c>
      <c r="H29" s="82"/>
      <c r="I29" s="104">
        <v>0.067</v>
      </c>
      <c r="J29" s="95">
        <f>F29</f>
        <v>24.419544192</v>
      </c>
      <c r="K29" s="105">
        <f t="shared" si="5"/>
        <v>1.636109460864</v>
      </c>
      <c r="L29" s="82"/>
      <c r="M29" s="61">
        <f t="shared" si="2"/>
        <v>0</v>
      </c>
      <c r="N29" s="106">
        <f t="shared" si="3"/>
        <v>0</v>
      </c>
    </row>
    <row r="30" spans="1:14" ht="14.25">
      <c r="A30" s="83" t="s">
        <v>46</v>
      </c>
      <c r="B30" s="78"/>
      <c r="C30" s="79"/>
      <c r="D30" s="80"/>
      <c r="E30" s="107">
        <v>0.104</v>
      </c>
      <c r="F30" s="95">
        <v>6.867996803999999</v>
      </c>
      <c r="G30" s="105">
        <f t="shared" si="4"/>
        <v>0.7142716676159998</v>
      </c>
      <c r="H30" s="82"/>
      <c r="I30" s="104">
        <v>0.104</v>
      </c>
      <c r="J30" s="95">
        <f>F30</f>
        <v>6.867996803999999</v>
      </c>
      <c r="K30" s="105">
        <f t="shared" si="5"/>
        <v>0.7142716676159998</v>
      </c>
      <c r="L30" s="82"/>
      <c r="M30" s="61">
        <f t="shared" si="2"/>
        <v>0</v>
      </c>
      <c r="N30" s="106">
        <f t="shared" si="3"/>
        <v>0</v>
      </c>
    </row>
    <row r="31" spans="1:14" ht="15" thickBot="1">
      <c r="A31" s="44" t="s">
        <v>47</v>
      </c>
      <c r="B31" s="78"/>
      <c r="C31" s="79"/>
      <c r="D31" s="80"/>
      <c r="E31" s="107">
        <v>0.124</v>
      </c>
      <c r="F31" s="95">
        <v>6.867996803999999</v>
      </c>
      <c r="G31" s="105">
        <f t="shared" si="4"/>
        <v>0.8516316036959999</v>
      </c>
      <c r="H31" s="82"/>
      <c r="I31" s="104">
        <v>0.124</v>
      </c>
      <c r="J31" s="95">
        <f>F31</f>
        <v>6.867996803999999</v>
      </c>
      <c r="K31" s="105">
        <f t="shared" si="5"/>
        <v>0.8516316036959999</v>
      </c>
      <c r="L31" s="82"/>
      <c r="M31" s="61">
        <f t="shared" si="2"/>
        <v>0</v>
      </c>
      <c r="N31" s="106">
        <f t="shared" si="3"/>
        <v>0</v>
      </c>
    </row>
    <row r="32" spans="1:14" ht="15" thickBot="1">
      <c r="A32" s="108"/>
      <c r="B32" s="109"/>
      <c r="C32" s="109"/>
      <c r="D32" s="110"/>
      <c r="E32" s="111"/>
      <c r="F32" s="112"/>
      <c r="G32" s="113"/>
      <c r="H32" s="114"/>
      <c r="I32" s="111"/>
      <c r="J32" s="115"/>
      <c r="K32" s="113"/>
      <c r="L32" s="114"/>
      <c r="M32" s="116"/>
      <c r="N32" s="117"/>
    </row>
    <row r="33" spans="1:14" ht="15">
      <c r="A33" s="118" t="s">
        <v>48</v>
      </c>
      <c r="B33" s="78"/>
      <c r="C33" s="78"/>
      <c r="D33" s="119"/>
      <c r="E33" s="120"/>
      <c r="F33" s="121"/>
      <c r="G33" s="122">
        <f>SUM(G24:G28,G29:G31)</f>
        <v>8.600707507855999</v>
      </c>
      <c r="H33" s="123"/>
      <c r="I33" s="124"/>
      <c r="J33" s="124"/>
      <c r="K33" s="125">
        <f>SUM(K24:K28,K29:K31)</f>
        <v>8.479347599855998</v>
      </c>
      <c r="L33" s="126"/>
      <c r="M33" s="127">
        <f>K33-G33</f>
        <v>-0.12135990800000052</v>
      </c>
      <c r="N33" s="128">
        <f>IF((G33)=0,"",(M33/G33))</f>
        <v>-0.014110456365263995</v>
      </c>
    </row>
    <row r="34" spans="1:14" ht="14.25">
      <c r="A34" s="129" t="s">
        <v>8</v>
      </c>
      <c r="B34" s="78"/>
      <c r="C34" s="78"/>
      <c r="D34" s="119"/>
      <c r="E34" s="120">
        <v>0.13</v>
      </c>
      <c r="F34" s="130"/>
      <c r="G34" s="131">
        <f>G33*E34</f>
        <v>1.11809197602128</v>
      </c>
      <c r="H34" s="56"/>
      <c r="I34" s="120">
        <v>0.13</v>
      </c>
      <c r="J34" s="56"/>
      <c r="K34" s="132">
        <f>K33*I34</f>
        <v>1.1023151879812798</v>
      </c>
      <c r="L34" s="133"/>
      <c r="M34" s="134">
        <f t="shared" si="2"/>
        <v>-0.015776788040000156</v>
      </c>
      <c r="N34" s="135">
        <f t="shared" si="3"/>
        <v>-0.014110456365264073</v>
      </c>
    </row>
    <row r="35" spans="1:14" ht="14.25">
      <c r="A35" s="136" t="s">
        <v>49</v>
      </c>
      <c r="B35" s="78"/>
      <c r="C35" s="78"/>
      <c r="D35" s="119"/>
      <c r="E35" s="56"/>
      <c r="F35" s="130"/>
      <c r="G35" s="131">
        <f>G33+G34</f>
        <v>9.718799483877278</v>
      </c>
      <c r="H35" s="56"/>
      <c r="I35" s="56"/>
      <c r="J35" s="56"/>
      <c r="K35" s="132">
        <f>K33+K34</f>
        <v>9.581662787837278</v>
      </c>
      <c r="L35" s="133"/>
      <c r="M35" s="134">
        <f t="shared" si="2"/>
        <v>-0.13713669604000067</v>
      </c>
      <c r="N35" s="135">
        <f t="shared" si="3"/>
        <v>-0.014110456365264005</v>
      </c>
    </row>
    <row r="36" spans="1:14" ht="14.25">
      <c r="A36" s="160" t="s">
        <v>50</v>
      </c>
      <c r="B36" s="160"/>
      <c r="C36" s="160"/>
      <c r="D36" s="119"/>
      <c r="E36" s="56"/>
      <c r="F36" s="130"/>
      <c r="G36" s="137">
        <f>ROUND(-G35*10%,2)</f>
        <v>-0.97</v>
      </c>
      <c r="H36" s="56"/>
      <c r="I36" s="56"/>
      <c r="J36" s="56"/>
      <c r="K36" s="138">
        <f>ROUND(-K35*10%,2)</f>
        <v>-0.96</v>
      </c>
      <c r="L36" s="133"/>
      <c r="M36" s="139">
        <f t="shared" si="2"/>
        <v>0.010000000000000009</v>
      </c>
      <c r="N36" s="140">
        <f t="shared" si="3"/>
        <v>-0.010309278350515474</v>
      </c>
    </row>
    <row r="37" spans="1:14" ht="15.75" thickBot="1">
      <c r="A37" s="161" t="s">
        <v>51</v>
      </c>
      <c r="B37" s="161"/>
      <c r="C37" s="161"/>
      <c r="D37" s="141"/>
      <c r="E37" s="142"/>
      <c r="F37" s="143"/>
      <c r="G37" s="144">
        <f>G35+G36</f>
        <v>8.748799483877278</v>
      </c>
      <c r="H37" s="145"/>
      <c r="I37" s="145"/>
      <c r="J37" s="145"/>
      <c r="K37" s="146">
        <f>K35+K36</f>
        <v>8.621662787837277</v>
      </c>
      <c r="L37" s="147"/>
      <c r="M37" s="75">
        <f t="shared" si="2"/>
        <v>-0.12713669604000088</v>
      </c>
      <c r="N37" s="76">
        <f t="shared" si="3"/>
        <v>-0.014531901922577459</v>
      </c>
    </row>
    <row r="38" spans="1:14" ht="13.5" thickBot="1">
      <c r="A38" s="108"/>
      <c r="B38" s="109"/>
      <c r="C38" s="109"/>
      <c r="D38" s="110"/>
      <c r="E38" s="148"/>
      <c r="F38" s="149"/>
      <c r="G38" s="150"/>
      <c r="H38" s="151"/>
      <c r="I38" s="148"/>
      <c r="J38" s="151"/>
      <c r="K38" s="152"/>
      <c r="L38" s="149"/>
      <c r="M38" s="153"/>
      <c r="N38" s="154"/>
    </row>
    <row r="39" spans="1:10" ht="12.75">
      <c r="A39" s="1"/>
      <c r="B39" s="1"/>
      <c r="C39" s="1"/>
      <c r="D39" s="1"/>
      <c r="E39" s="1"/>
      <c r="F39" s="1"/>
      <c r="G39" s="1"/>
      <c r="H39" s="1"/>
      <c r="I39" s="1"/>
      <c r="J39" s="1"/>
    </row>
  </sheetData>
  <sheetProtection/>
  <mergeCells count="11">
    <mergeCell ref="M12:N12"/>
    <mergeCell ref="C13:C14"/>
    <mergeCell ref="M13:M14"/>
    <mergeCell ref="N13:N14"/>
    <mergeCell ref="A23:C23"/>
    <mergeCell ref="A36:C36"/>
    <mergeCell ref="A37:C37"/>
    <mergeCell ref="C1:K1"/>
    <mergeCell ref="E10:J10"/>
    <mergeCell ref="E12:G12"/>
    <mergeCell ref="I12:K12"/>
  </mergeCells>
  <dataValidations count="3">
    <dataValidation showInputMessage="1" showErrorMessage="1" prompt="Select Charge Unit - monthly, per kWh, per kW" sqref="C15:C16 C22 C25:C31 C19:C20"/>
    <dataValidation type="list" allowBlank="1" showInputMessage="1" showErrorMessage="1" prompt="Select Charge Unit - monthly, per kWh, per kW" sqref="C32 C38">
      <formula1>"Monthly, per kWh, per kW"</formula1>
    </dataValidation>
    <dataValidation type="list" allowBlank="1" showInputMessage="1" showErrorMessage="1" sqref="D22:D23 D38 D15:D16 D25:D32 D19:D20">
      <formula1>'Sentinel Lights'!#REF!</formula1>
    </dataValidation>
  </dataValidations>
  <printOptions/>
  <pageMargins left="0.75" right="0.75" top="1" bottom="1" header="0.5" footer="0.5"/>
  <pageSetup fitToHeight="1" fitToWidth="1" horizontalDpi="600" verticalDpi="600" orientation="portrait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zoomScalePageLayoutView="0" workbookViewId="0" topLeftCell="A1">
      <selection activeCell="A1" sqref="A1:G10"/>
    </sheetView>
  </sheetViews>
  <sheetFormatPr defaultColWidth="9.140625" defaultRowHeight="12.75"/>
  <cols>
    <col min="1" max="1" width="35.28125" style="0" bestFit="1" customWidth="1"/>
    <col min="2" max="2" width="4.7109375" style="0" customWidth="1"/>
    <col min="3" max="3" width="5.57421875" style="0" bestFit="1" customWidth="1"/>
    <col min="4" max="4" width="4.7109375" style="0" customWidth="1"/>
    <col min="5" max="5" width="9.8515625" style="0" bestFit="1" customWidth="1"/>
    <col min="6" max="6" width="8.00390625" style="0" bestFit="1" customWidth="1"/>
    <col min="7" max="7" width="7.57421875" style="0" bestFit="1" customWidth="1"/>
    <col min="8" max="8" width="4.7109375" style="0" customWidth="1"/>
    <col min="9" max="9" width="9.8515625" style="0" bestFit="1" customWidth="1"/>
    <col min="10" max="10" width="8.00390625" style="0" bestFit="1" customWidth="1"/>
    <col min="11" max="11" width="7.57421875" style="0" bestFit="1" customWidth="1"/>
    <col min="12" max="12" width="4.7109375" style="0" customWidth="1"/>
    <col min="13" max="13" width="9.57421875" style="0" bestFit="1" customWidth="1"/>
    <col min="14" max="14" width="11.00390625" style="0" bestFit="1" customWidth="1"/>
  </cols>
  <sheetData>
    <row r="1" spans="1:14" ht="15.75">
      <c r="A1" s="22" t="s">
        <v>58</v>
      </c>
      <c r="B1" s="23"/>
      <c r="C1" s="162" t="s">
        <v>57</v>
      </c>
      <c r="D1" s="162"/>
      <c r="E1" s="162"/>
      <c r="F1" s="162"/>
      <c r="G1" s="162"/>
      <c r="H1" s="162"/>
      <c r="I1" s="162"/>
      <c r="J1" s="162"/>
      <c r="K1" s="162"/>
      <c r="L1" s="24"/>
      <c r="M1" s="24"/>
      <c r="N1" s="24"/>
    </row>
    <row r="2" spans="1:14" ht="15.75">
      <c r="A2" s="25"/>
      <c r="B2" s="26"/>
      <c r="C2" s="27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15.75">
      <c r="A3" s="22" t="s">
        <v>2</v>
      </c>
      <c r="B3" s="23"/>
      <c r="C3" s="29"/>
      <c r="D3" s="29"/>
      <c r="E3" s="30">
        <v>1.0602</v>
      </c>
      <c r="F3" s="29"/>
      <c r="G3" s="29"/>
      <c r="H3" s="29"/>
      <c r="I3" s="29"/>
      <c r="J3" s="29"/>
      <c r="K3" s="29"/>
      <c r="L3" s="29"/>
      <c r="M3" s="29"/>
      <c r="N3" s="29"/>
    </row>
    <row r="4" spans="1:14" ht="15.75">
      <c r="A4" s="25"/>
      <c r="B4" s="26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 ht="12.75">
      <c r="A5" s="22" t="s">
        <v>3</v>
      </c>
      <c r="B5" s="23"/>
      <c r="C5" s="31" t="s">
        <v>22</v>
      </c>
      <c r="D5" s="32"/>
      <c r="E5" s="156">
        <f>730*E8*E9</f>
        <v>35.989</v>
      </c>
      <c r="F5" s="23"/>
      <c r="G5" s="23"/>
      <c r="H5" s="23"/>
      <c r="I5" s="23"/>
      <c r="J5" s="23"/>
      <c r="K5" s="23"/>
      <c r="L5" s="23"/>
      <c r="M5" s="23"/>
      <c r="N5" s="23"/>
    </row>
    <row r="6" spans="1:14" ht="12.75">
      <c r="A6" s="26"/>
      <c r="B6" s="26"/>
      <c r="C6" s="26"/>
      <c r="D6" s="26"/>
      <c r="E6" s="26"/>
      <c r="F6" s="34"/>
      <c r="G6" s="26"/>
      <c r="H6" s="26"/>
      <c r="I6" s="26"/>
      <c r="J6" s="26"/>
      <c r="K6" s="26"/>
      <c r="L6" s="26"/>
      <c r="M6" s="26"/>
      <c r="N6" s="26"/>
    </row>
    <row r="7" spans="1:14" ht="12.75">
      <c r="A7" s="35" t="s">
        <v>23</v>
      </c>
      <c r="B7" s="23"/>
      <c r="C7" s="23"/>
      <c r="D7" s="23"/>
      <c r="E7" s="23"/>
      <c r="F7" s="32"/>
      <c r="G7" s="23"/>
      <c r="H7" s="23"/>
      <c r="I7" s="23"/>
      <c r="J7" s="23"/>
      <c r="K7" s="23"/>
      <c r="L7" s="23"/>
      <c r="M7" s="23"/>
      <c r="N7" s="23"/>
    </row>
    <row r="8" spans="1:14" ht="12.75">
      <c r="A8" s="36" t="s">
        <v>24</v>
      </c>
      <c r="B8" s="37"/>
      <c r="C8" s="38" t="s">
        <v>5</v>
      </c>
      <c r="D8" s="39"/>
      <c r="E8" s="157">
        <v>0.1</v>
      </c>
      <c r="F8" s="32"/>
      <c r="G8" s="23"/>
      <c r="H8" s="23"/>
      <c r="I8" s="23"/>
      <c r="J8" s="23"/>
      <c r="K8" s="23"/>
      <c r="L8" s="23"/>
      <c r="M8" s="23"/>
      <c r="N8" s="23"/>
    </row>
    <row r="9" spans="1:14" ht="12.75">
      <c r="A9" s="36" t="s">
        <v>6</v>
      </c>
      <c r="B9" s="37"/>
      <c r="C9" s="38"/>
      <c r="D9" s="39"/>
      <c r="E9" s="158">
        <v>0.493</v>
      </c>
      <c r="F9" s="23"/>
      <c r="G9" s="23"/>
      <c r="H9" s="23"/>
      <c r="I9" s="23"/>
      <c r="J9" s="23"/>
      <c r="K9" s="23"/>
      <c r="L9" s="23"/>
      <c r="M9" s="23"/>
      <c r="N9" s="23"/>
    </row>
    <row r="10" spans="1:14" ht="12.75">
      <c r="A10" s="42"/>
      <c r="B10" s="26"/>
      <c r="C10" s="43"/>
      <c r="D10" s="34"/>
      <c r="E10" s="163">
        <f>IF(AND(ISNUMBER(E8),ISBLANK(E9)),"Please enter a load factor","")</f>
      </c>
      <c r="F10" s="163"/>
      <c r="G10" s="163"/>
      <c r="H10" s="163"/>
      <c r="I10" s="163"/>
      <c r="J10" s="163"/>
      <c r="K10" s="26"/>
      <c r="L10" s="26"/>
      <c r="M10" s="26"/>
      <c r="N10" s="26"/>
    </row>
    <row r="11" spans="1:14" ht="12.75">
      <c r="A11" s="44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</row>
    <row r="12" spans="1:14" ht="12.75">
      <c r="A12" s="44"/>
      <c r="B12" s="26"/>
      <c r="C12" s="45"/>
      <c r="D12" s="45"/>
      <c r="E12" s="164" t="s">
        <v>25</v>
      </c>
      <c r="F12" s="165"/>
      <c r="G12" s="166"/>
      <c r="H12" s="26"/>
      <c r="I12" s="164" t="s">
        <v>26</v>
      </c>
      <c r="J12" s="165"/>
      <c r="K12" s="166"/>
      <c r="L12" s="26"/>
      <c r="M12" s="164" t="s">
        <v>27</v>
      </c>
      <c r="N12" s="166"/>
    </row>
    <row r="13" spans="1:14" ht="12.75">
      <c r="A13" s="44"/>
      <c r="B13" s="26"/>
      <c r="C13" s="167"/>
      <c r="D13" s="46"/>
      <c r="E13" s="47" t="s">
        <v>28</v>
      </c>
      <c r="F13" s="47" t="s">
        <v>7</v>
      </c>
      <c r="G13" s="48" t="s">
        <v>29</v>
      </c>
      <c r="H13" s="26"/>
      <c r="I13" s="47" t="s">
        <v>28</v>
      </c>
      <c r="J13" s="49" t="s">
        <v>7</v>
      </c>
      <c r="K13" s="48" t="s">
        <v>29</v>
      </c>
      <c r="L13" s="26"/>
      <c r="M13" s="169" t="s">
        <v>30</v>
      </c>
      <c r="N13" s="171" t="s">
        <v>31</v>
      </c>
    </row>
    <row r="14" spans="1:14" ht="12.75">
      <c r="A14" s="44"/>
      <c r="B14" s="26"/>
      <c r="C14" s="168"/>
      <c r="D14" s="46"/>
      <c r="E14" s="50" t="s">
        <v>32</v>
      </c>
      <c r="F14" s="50"/>
      <c r="G14" s="51" t="s">
        <v>32</v>
      </c>
      <c r="H14" s="26"/>
      <c r="I14" s="50" t="s">
        <v>32</v>
      </c>
      <c r="J14" s="51"/>
      <c r="K14" s="51" t="s">
        <v>32</v>
      </c>
      <c r="L14" s="26"/>
      <c r="M14" s="170"/>
      <c r="N14" s="172"/>
    </row>
    <row r="15" spans="1:14" ht="14.25">
      <c r="A15" s="52" t="s">
        <v>33</v>
      </c>
      <c r="B15" s="52"/>
      <c r="C15" s="53"/>
      <c r="D15" s="54"/>
      <c r="E15" s="55">
        <v>3.13</v>
      </c>
      <c r="F15" s="56">
        <v>1</v>
      </c>
      <c r="G15" s="57">
        <f>F15*E15</f>
        <v>3.13</v>
      </c>
      <c r="H15" s="58"/>
      <c r="I15" s="55">
        <v>3.15</v>
      </c>
      <c r="J15" s="59">
        <v>1</v>
      </c>
      <c r="K15" s="60">
        <f>J15*I15</f>
        <v>3.15</v>
      </c>
      <c r="L15" s="58"/>
      <c r="M15" s="61">
        <f aca="true" t="shared" si="0" ref="M15:M20">K15-G15</f>
        <v>0.020000000000000018</v>
      </c>
      <c r="N15" s="62">
        <f aca="true" t="shared" si="1" ref="N15:N20">IF((G15)=0,"",(M15/G15))</f>
        <v>0.006389776357827482</v>
      </c>
    </row>
    <row r="16" spans="1:14" ht="14.25">
      <c r="A16" s="52" t="s">
        <v>0</v>
      </c>
      <c r="B16" s="52"/>
      <c r="C16" s="53"/>
      <c r="D16" s="54"/>
      <c r="E16" s="63">
        <v>8.4872</v>
      </c>
      <c r="F16" s="64">
        <v>0.1</v>
      </c>
      <c r="G16" s="57">
        <f>F16*E16</f>
        <v>0.84872</v>
      </c>
      <c r="H16" s="58"/>
      <c r="I16" s="63">
        <v>8.5279</v>
      </c>
      <c r="J16" s="65">
        <f>F16</f>
        <v>0.1</v>
      </c>
      <c r="K16" s="57">
        <f>J16*I16</f>
        <v>0.8527900000000002</v>
      </c>
      <c r="L16" s="58"/>
      <c r="M16" s="61">
        <f t="shared" si="0"/>
        <v>0.004070000000000129</v>
      </c>
      <c r="N16" s="62">
        <f t="shared" si="1"/>
        <v>0.004795456687718127</v>
      </c>
    </row>
    <row r="17" spans="1:14" ht="15">
      <c r="A17" s="66" t="s">
        <v>34</v>
      </c>
      <c r="B17" s="67"/>
      <c r="C17" s="67"/>
      <c r="D17" s="68"/>
      <c r="E17" s="69"/>
      <c r="F17" s="70"/>
      <c r="G17" s="71">
        <f>SUM(G15:G16)</f>
        <v>3.97872</v>
      </c>
      <c r="H17" s="72"/>
      <c r="I17" s="69"/>
      <c r="J17" s="73"/>
      <c r="K17" s="71">
        <f>SUM(K15:K16)</f>
        <v>4.00279</v>
      </c>
      <c r="L17" s="74"/>
      <c r="M17" s="75">
        <f t="shared" si="0"/>
        <v>0.024070000000000036</v>
      </c>
      <c r="N17" s="76">
        <f t="shared" si="1"/>
        <v>0.006049684320585524</v>
      </c>
    </row>
    <row r="18" spans="1:14" ht="14.25">
      <c r="A18" s="77" t="s">
        <v>35</v>
      </c>
      <c r="B18" s="78"/>
      <c r="C18" s="79"/>
      <c r="D18" s="80"/>
      <c r="E18" s="63">
        <f>E29*0.64+E30*0.18+E31*0.18</f>
        <v>0.08392</v>
      </c>
      <c r="F18" s="81">
        <f>E5*(E3-1)</f>
        <v>2.166537800000001</v>
      </c>
      <c r="G18" s="57">
        <f>E18*F18</f>
        <v>0.18181585217600005</v>
      </c>
      <c r="H18" s="72"/>
      <c r="I18" s="63">
        <f>I29*0.64+I30*0.18+I31*0.18</f>
        <v>0.08392</v>
      </c>
      <c r="J18" s="81">
        <f>F18</f>
        <v>2.166537800000001</v>
      </c>
      <c r="K18" s="57">
        <f>I18*J18</f>
        <v>0.18181585217600005</v>
      </c>
      <c r="L18" s="82"/>
      <c r="M18" s="61">
        <f t="shared" si="0"/>
        <v>0</v>
      </c>
      <c r="N18" s="62">
        <f t="shared" si="1"/>
        <v>0</v>
      </c>
    </row>
    <row r="19" spans="1:14" ht="14.25">
      <c r="A19" s="83" t="s">
        <v>36</v>
      </c>
      <c r="B19" s="78"/>
      <c r="C19" s="79"/>
      <c r="D19" s="80"/>
      <c r="E19" s="63">
        <v>0.2798</v>
      </c>
      <c r="F19" s="81">
        <v>0.1</v>
      </c>
      <c r="G19" s="57">
        <f>F19*E19</f>
        <v>0.02798</v>
      </c>
      <c r="H19" s="72"/>
      <c r="I19" s="63">
        <v>0.2798</v>
      </c>
      <c r="J19" s="81">
        <f>F19</f>
        <v>0.1</v>
      </c>
      <c r="K19" s="57">
        <f>J19*I19</f>
        <v>0.02798</v>
      </c>
      <c r="L19" s="82"/>
      <c r="M19" s="61">
        <f t="shared" si="0"/>
        <v>0</v>
      </c>
      <c r="N19" s="62">
        <f t="shared" si="1"/>
        <v>0</v>
      </c>
    </row>
    <row r="20" spans="1:14" ht="14.25">
      <c r="A20" s="83" t="s">
        <v>37</v>
      </c>
      <c r="B20" s="78"/>
      <c r="C20" s="79"/>
      <c r="D20" s="80"/>
      <c r="E20" s="63"/>
      <c r="F20" s="81">
        <v>1</v>
      </c>
      <c r="G20" s="57">
        <f>F20*E20</f>
        <v>0</v>
      </c>
      <c r="H20" s="72"/>
      <c r="I20" s="63"/>
      <c r="J20" s="81">
        <f>F20</f>
        <v>1</v>
      </c>
      <c r="K20" s="57">
        <f>J20*I20</f>
        <v>0</v>
      </c>
      <c r="L20" s="82"/>
      <c r="M20" s="61">
        <f t="shared" si="0"/>
        <v>0</v>
      </c>
      <c r="N20" s="62">
        <f t="shared" si="1"/>
      </c>
    </row>
    <row r="21" spans="1:14" ht="25.5">
      <c r="A21" s="84" t="s">
        <v>38</v>
      </c>
      <c r="B21" s="85"/>
      <c r="C21" s="85"/>
      <c r="D21" s="86"/>
      <c r="E21" s="87"/>
      <c r="F21" s="87"/>
      <c r="G21" s="88">
        <f>SUM(G19:G20)+G17</f>
        <v>4.0067</v>
      </c>
      <c r="H21" s="72"/>
      <c r="I21" s="87"/>
      <c r="J21" s="89"/>
      <c r="K21" s="88">
        <f>SUM(K19:K20)+K17</f>
        <v>4.03077</v>
      </c>
      <c r="L21" s="74"/>
      <c r="M21" s="90">
        <f aca="true" t="shared" si="2" ref="M21:M37">K21-G21</f>
        <v>0.024070000000000036</v>
      </c>
      <c r="N21" s="91">
        <f aca="true" t="shared" si="3" ref="N21:N37">IF((G21)=0,"",(M21/G21))</f>
        <v>0.0060074375421169625</v>
      </c>
    </row>
    <row r="22" spans="1:14" ht="14.25">
      <c r="A22" s="92" t="s">
        <v>39</v>
      </c>
      <c r="B22" s="92"/>
      <c r="C22" s="93"/>
      <c r="D22" s="94"/>
      <c r="E22" s="63">
        <v>2.2008</v>
      </c>
      <c r="F22" s="95">
        <v>0.10602</v>
      </c>
      <c r="G22" s="57">
        <f>F22*E22</f>
        <v>0.23332881600000002</v>
      </c>
      <c r="H22" s="72"/>
      <c r="I22" s="63">
        <v>2.0772</v>
      </c>
      <c r="J22" s="96">
        <f>F22</f>
        <v>0.10602</v>
      </c>
      <c r="K22" s="57">
        <f>J22*I22</f>
        <v>0.220224744</v>
      </c>
      <c r="L22" s="82"/>
      <c r="M22" s="61">
        <f t="shared" si="2"/>
        <v>-0.013104072000000022</v>
      </c>
      <c r="N22" s="62">
        <f t="shared" si="3"/>
        <v>-0.05616139585605243</v>
      </c>
    </row>
    <row r="23" spans="1:14" ht="14.25" customHeight="1">
      <c r="A23" s="173" t="s">
        <v>40</v>
      </c>
      <c r="B23" s="173"/>
      <c r="C23" s="173"/>
      <c r="D23" s="94"/>
      <c r="E23" s="63">
        <v>2.3312</v>
      </c>
      <c r="F23" s="95">
        <v>0.10602</v>
      </c>
      <c r="G23" s="57">
        <f>F23*E23</f>
        <v>0.247153824</v>
      </c>
      <c r="H23" s="72"/>
      <c r="I23" s="63">
        <v>1.0891</v>
      </c>
      <c r="J23" s="96">
        <f>F23</f>
        <v>0.10602</v>
      </c>
      <c r="K23" s="57">
        <f>J23*I23</f>
        <v>0.11546638199999999</v>
      </c>
      <c r="L23" s="82"/>
      <c r="M23" s="61">
        <f t="shared" si="2"/>
        <v>-0.131687442</v>
      </c>
      <c r="N23" s="62">
        <f t="shared" si="3"/>
        <v>-0.5328157172271791</v>
      </c>
    </row>
    <row r="24" spans="1:14" ht="25.5">
      <c r="A24" s="84" t="s">
        <v>41</v>
      </c>
      <c r="B24" s="97"/>
      <c r="C24" s="97"/>
      <c r="D24" s="98"/>
      <c r="E24" s="87"/>
      <c r="F24" s="87"/>
      <c r="G24" s="88">
        <f>SUM(G21:G23)</f>
        <v>4.48718264</v>
      </c>
      <c r="H24" s="99"/>
      <c r="I24" s="100"/>
      <c r="J24" s="101"/>
      <c r="K24" s="88">
        <f>SUM(K21:K23)</f>
        <v>4.366461126000001</v>
      </c>
      <c r="L24" s="102"/>
      <c r="M24" s="90">
        <f t="shared" si="2"/>
        <v>-0.12072151399999953</v>
      </c>
      <c r="N24" s="91">
        <f t="shared" si="3"/>
        <v>-0.026903632788167393</v>
      </c>
    </row>
    <row r="25" spans="1:14" ht="25.5">
      <c r="A25" s="103" t="s">
        <v>42</v>
      </c>
      <c r="B25" s="78"/>
      <c r="C25" s="79"/>
      <c r="D25" s="80"/>
      <c r="E25" s="104">
        <v>0.0044</v>
      </c>
      <c r="F25" s="95">
        <f>E5*E3</f>
        <v>38.1555378</v>
      </c>
      <c r="G25" s="105">
        <f aca="true" t="shared" si="4" ref="G25:G31">F25*E25</f>
        <v>0.16788436632</v>
      </c>
      <c r="H25" s="82"/>
      <c r="I25" s="104">
        <v>0.0044</v>
      </c>
      <c r="J25" s="96">
        <f>E5*E3</f>
        <v>38.1555378</v>
      </c>
      <c r="K25" s="105">
        <f aca="true" t="shared" si="5" ref="K25:K31">J25*I25</f>
        <v>0.16788436632</v>
      </c>
      <c r="L25" s="82"/>
      <c r="M25" s="61">
        <f t="shared" si="2"/>
        <v>0</v>
      </c>
      <c r="N25" s="106">
        <f t="shared" si="3"/>
        <v>0</v>
      </c>
    </row>
    <row r="26" spans="1:14" ht="25.5">
      <c r="A26" s="103" t="s">
        <v>43</v>
      </c>
      <c r="B26" s="78"/>
      <c r="C26" s="79"/>
      <c r="D26" s="80"/>
      <c r="E26" s="104">
        <v>0.0012</v>
      </c>
      <c r="F26" s="95">
        <f>E5*E3</f>
        <v>38.1555378</v>
      </c>
      <c r="G26" s="105">
        <f t="shared" si="4"/>
        <v>0.045786645359999996</v>
      </c>
      <c r="H26" s="82"/>
      <c r="I26" s="104">
        <v>0.0012</v>
      </c>
      <c r="J26" s="96">
        <f>E5*E3</f>
        <v>38.1555378</v>
      </c>
      <c r="K26" s="105">
        <f t="shared" si="5"/>
        <v>0.045786645359999996</v>
      </c>
      <c r="L26" s="82"/>
      <c r="M26" s="61">
        <f t="shared" si="2"/>
        <v>0</v>
      </c>
      <c r="N26" s="106">
        <f t="shared" si="3"/>
        <v>0</v>
      </c>
    </row>
    <row r="27" spans="1:14" ht="14.25">
      <c r="A27" s="78" t="s">
        <v>44</v>
      </c>
      <c r="B27" s="78"/>
      <c r="C27" s="79"/>
      <c r="D27" s="80"/>
      <c r="E27" s="104">
        <v>0.25</v>
      </c>
      <c r="F27" s="95">
        <v>1</v>
      </c>
      <c r="G27" s="105">
        <f t="shared" si="4"/>
        <v>0.25</v>
      </c>
      <c r="H27" s="82"/>
      <c r="I27" s="104">
        <v>0.25</v>
      </c>
      <c r="J27" s="96">
        <v>1</v>
      </c>
      <c r="K27" s="105">
        <f t="shared" si="5"/>
        <v>0.25</v>
      </c>
      <c r="L27" s="82"/>
      <c r="M27" s="61">
        <f t="shared" si="2"/>
        <v>0</v>
      </c>
      <c r="N27" s="106">
        <f t="shared" si="3"/>
        <v>0</v>
      </c>
    </row>
    <row r="28" spans="1:14" ht="14.25">
      <c r="A28" s="78" t="s">
        <v>1</v>
      </c>
      <c r="B28" s="78"/>
      <c r="C28" s="79"/>
      <c r="D28" s="80"/>
      <c r="E28" s="104">
        <v>0.007</v>
      </c>
      <c r="F28" s="95">
        <f>E5</f>
        <v>35.989</v>
      </c>
      <c r="G28" s="105">
        <f t="shared" si="4"/>
        <v>0.251923</v>
      </c>
      <c r="H28" s="82"/>
      <c r="I28" s="104">
        <v>0.007</v>
      </c>
      <c r="J28" s="96">
        <f>E5</f>
        <v>35.989</v>
      </c>
      <c r="K28" s="105">
        <f t="shared" si="5"/>
        <v>0.251923</v>
      </c>
      <c r="L28" s="82"/>
      <c r="M28" s="61">
        <f t="shared" si="2"/>
        <v>0</v>
      </c>
      <c r="N28" s="106">
        <f t="shared" si="3"/>
        <v>0</v>
      </c>
    </row>
    <row r="29" spans="1:14" ht="14.25">
      <c r="A29" s="83" t="s">
        <v>45</v>
      </c>
      <c r="B29" s="78"/>
      <c r="C29" s="79"/>
      <c r="D29" s="80"/>
      <c r="E29" s="107">
        <v>0.067</v>
      </c>
      <c r="F29" s="95">
        <v>24.419544192</v>
      </c>
      <c r="G29" s="105">
        <f t="shared" si="4"/>
        <v>1.636109460864</v>
      </c>
      <c r="H29" s="82"/>
      <c r="I29" s="104">
        <v>0.067</v>
      </c>
      <c r="J29" s="95">
        <f>F29</f>
        <v>24.419544192</v>
      </c>
      <c r="K29" s="105">
        <f t="shared" si="5"/>
        <v>1.636109460864</v>
      </c>
      <c r="L29" s="82"/>
      <c r="M29" s="61">
        <f t="shared" si="2"/>
        <v>0</v>
      </c>
      <c r="N29" s="106">
        <f t="shared" si="3"/>
        <v>0</v>
      </c>
    </row>
    <row r="30" spans="1:14" ht="14.25">
      <c r="A30" s="83" t="s">
        <v>46</v>
      </c>
      <c r="B30" s="78"/>
      <c r="C30" s="79"/>
      <c r="D30" s="80"/>
      <c r="E30" s="107">
        <v>0.104</v>
      </c>
      <c r="F30" s="95">
        <v>6.867996803999999</v>
      </c>
      <c r="G30" s="105">
        <f t="shared" si="4"/>
        <v>0.7142716676159998</v>
      </c>
      <c r="H30" s="82"/>
      <c r="I30" s="104">
        <v>0.104</v>
      </c>
      <c r="J30" s="95">
        <f>F30</f>
        <v>6.867996803999999</v>
      </c>
      <c r="K30" s="105">
        <f t="shared" si="5"/>
        <v>0.7142716676159998</v>
      </c>
      <c r="L30" s="82"/>
      <c r="M30" s="61">
        <f t="shared" si="2"/>
        <v>0</v>
      </c>
      <c r="N30" s="106">
        <f t="shared" si="3"/>
        <v>0</v>
      </c>
    </row>
    <row r="31" spans="1:14" ht="15" thickBot="1">
      <c r="A31" s="44" t="s">
        <v>47</v>
      </c>
      <c r="B31" s="78"/>
      <c r="C31" s="79"/>
      <c r="D31" s="80"/>
      <c r="E31" s="107">
        <v>0.124</v>
      </c>
      <c r="F31" s="95">
        <v>6.867996803999999</v>
      </c>
      <c r="G31" s="105">
        <f t="shared" si="4"/>
        <v>0.8516316036959999</v>
      </c>
      <c r="H31" s="82"/>
      <c r="I31" s="104">
        <v>0.124</v>
      </c>
      <c r="J31" s="95">
        <f>F31</f>
        <v>6.867996803999999</v>
      </c>
      <c r="K31" s="105">
        <f t="shared" si="5"/>
        <v>0.8516316036959999</v>
      </c>
      <c r="L31" s="82"/>
      <c r="M31" s="61">
        <f t="shared" si="2"/>
        <v>0</v>
      </c>
      <c r="N31" s="106">
        <f t="shared" si="3"/>
        <v>0</v>
      </c>
    </row>
    <row r="32" spans="1:14" ht="15" thickBot="1">
      <c r="A32" s="108"/>
      <c r="B32" s="109"/>
      <c r="C32" s="109"/>
      <c r="D32" s="110"/>
      <c r="E32" s="111"/>
      <c r="F32" s="112"/>
      <c r="G32" s="113"/>
      <c r="H32" s="114"/>
      <c r="I32" s="111"/>
      <c r="J32" s="115"/>
      <c r="K32" s="113"/>
      <c r="L32" s="114"/>
      <c r="M32" s="116"/>
      <c r="N32" s="117"/>
    </row>
    <row r="33" spans="1:14" ht="15">
      <c r="A33" s="118" t="s">
        <v>48</v>
      </c>
      <c r="B33" s="78"/>
      <c r="C33" s="78"/>
      <c r="D33" s="119"/>
      <c r="E33" s="120"/>
      <c r="F33" s="121"/>
      <c r="G33" s="122">
        <f>SUM(G24:G28,G29:G31)</f>
        <v>8.404789383855999</v>
      </c>
      <c r="H33" s="123"/>
      <c r="I33" s="124"/>
      <c r="J33" s="124"/>
      <c r="K33" s="125">
        <f>SUM(K24:K28,K29:K31)</f>
        <v>8.284067869855999</v>
      </c>
      <c r="L33" s="126"/>
      <c r="M33" s="127">
        <f>K33-G33</f>
        <v>-0.12072151399999953</v>
      </c>
      <c r="N33" s="128">
        <f>IF((G33)=0,"",(M33/G33))</f>
        <v>-0.014363419294227955</v>
      </c>
    </row>
    <row r="34" spans="1:14" ht="14.25">
      <c r="A34" s="129" t="s">
        <v>8</v>
      </c>
      <c r="B34" s="78"/>
      <c r="C34" s="78"/>
      <c r="D34" s="119"/>
      <c r="E34" s="120">
        <v>0.13</v>
      </c>
      <c r="F34" s="130"/>
      <c r="G34" s="131">
        <f>G33*E34</f>
        <v>1.0926226199012798</v>
      </c>
      <c r="H34" s="56"/>
      <c r="I34" s="120">
        <v>0.13</v>
      </c>
      <c r="J34" s="56"/>
      <c r="K34" s="132">
        <f>K33*I34</f>
        <v>1.07692882308128</v>
      </c>
      <c r="L34" s="133"/>
      <c r="M34" s="134">
        <f t="shared" si="2"/>
        <v>-0.01569379681999994</v>
      </c>
      <c r="N34" s="135">
        <f t="shared" si="3"/>
        <v>-0.014363419294227953</v>
      </c>
    </row>
    <row r="35" spans="1:14" ht="14.25">
      <c r="A35" s="136" t="s">
        <v>49</v>
      </c>
      <c r="B35" s="78"/>
      <c r="C35" s="78"/>
      <c r="D35" s="119"/>
      <c r="E35" s="56"/>
      <c r="F35" s="130"/>
      <c r="G35" s="131">
        <f>G33+G34</f>
        <v>9.497412003757278</v>
      </c>
      <c r="H35" s="56"/>
      <c r="I35" s="56"/>
      <c r="J35" s="56"/>
      <c r="K35" s="132">
        <f>K33+K34</f>
        <v>9.36099669293728</v>
      </c>
      <c r="L35" s="133"/>
      <c r="M35" s="134">
        <f t="shared" si="2"/>
        <v>-0.13641531081999858</v>
      </c>
      <c r="N35" s="135">
        <f t="shared" si="3"/>
        <v>-0.014363419294227861</v>
      </c>
    </row>
    <row r="36" spans="1:14" ht="14.25">
      <c r="A36" s="160" t="s">
        <v>50</v>
      </c>
      <c r="B36" s="160"/>
      <c r="C36" s="160"/>
      <c r="D36" s="119"/>
      <c r="E36" s="56"/>
      <c r="F36" s="130"/>
      <c r="G36" s="137">
        <f>ROUND(-G35*10%,2)</f>
        <v>-0.95</v>
      </c>
      <c r="H36" s="56"/>
      <c r="I36" s="56"/>
      <c r="J36" s="56"/>
      <c r="K36" s="138">
        <f>ROUND(-K35*10%,2)</f>
        <v>-0.94</v>
      </c>
      <c r="L36" s="133"/>
      <c r="M36" s="139">
        <f t="shared" si="2"/>
        <v>0.010000000000000009</v>
      </c>
      <c r="N36" s="140">
        <f t="shared" si="3"/>
        <v>-0.010526315789473694</v>
      </c>
    </row>
    <row r="37" spans="1:14" ht="15.75" thickBot="1">
      <c r="A37" s="161" t="s">
        <v>51</v>
      </c>
      <c r="B37" s="161"/>
      <c r="C37" s="161"/>
      <c r="D37" s="141"/>
      <c r="E37" s="142"/>
      <c r="F37" s="143"/>
      <c r="G37" s="144">
        <f>G35+G36</f>
        <v>8.547412003757278</v>
      </c>
      <c r="H37" s="145"/>
      <c r="I37" s="145"/>
      <c r="J37" s="145"/>
      <c r="K37" s="146">
        <f>K35+K36</f>
        <v>8.42099669293728</v>
      </c>
      <c r="L37" s="147"/>
      <c r="M37" s="75">
        <f t="shared" si="2"/>
        <v>-0.1264153108199988</v>
      </c>
      <c r="N37" s="76">
        <f t="shared" si="3"/>
        <v>-0.014789893217318767</v>
      </c>
    </row>
    <row r="38" spans="1:14" ht="13.5" thickBot="1">
      <c r="A38" s="108"/>
      <c r="B38" s="109"/>
      <c r="C38" s="109"/>
      <c r="D38" s="110"/>
      <c r="E38" s="148"/>
      <c r="F38" s="149"/>
      <c r="G38" s="150"/>
      <c r="H38" s="151"/>
      <c r="I38" s="148"/>
      <c r="J38" s="151"/>
      <c r="K38" s="152"/>
      <c r="L38" s="149"/>
      <c r="M38" s="153"/>
      <c r="N38" s="154"/>
    </row>
  </sheetData>
  <sheetProtection/>
  <mergeCells count="11">
    <mergeCell ref="M12:N12"/>
    <mergeCell ref="C13:C14"/>
    <mergeCell ref="M13:M14"/>
    <mergeCell ref="N13:N14"/>
    <mergeCell ref="A23:C23"/>
    <mergeCell ref="A36:C36"/>
    <mergeCell ref="A37:C37"/>
    <mergeCell ref="C1:K1"/>
    <mergeCell ref="E10:J10"/>
    <mergeCell ref="E12:G12"/>
    <mergeCell ref="I12:K12"/>
  </mergeCells>
  <dataValidations count="3">
    <dataValidation showInputMessage="1" showErrorMessage="1" prompt="Select Charge Unit - monthly, per kWh, per kW" sqref="C15:C16 C22 C25:C31 C19:C20"/>
    <dataValidation type="list" allowBlank="1" showInputMessage="1" showErrorMessage="1" prompt="Select Charge Unit - monthly, per kWh, per kW" sqref="C32 C38">
      <formula1>"Monthly, per kWh, per kW"</formula1>
    </dataValidation>
    <dataValidation type="list" allowBlank="1" showInputMessage="1" showErrorMessage="1" sqref="D22:D23 D38 D15:D16 D25:D32 D19:D20">
      <formula1>'Street Lighting'!#REF!</formula1>
    </dataValidation>
  </dataValidations>
  <printOptions/>
  <pageMargins left="0.75" right="0.75" top="1" bottom="1" header="0.5" footer="0.5"/>
  <pageSetup fitToHeight="1" fitToWidth="1"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Essex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msoucie</dc:creator>
  <cp:keywords/>
  <dc:description/>
  <cp:lastModifiedBy>ESSEX POWER GROUP</cp:lastModifiedBy>
  <cp:lastPrinted>2013-09-27T19:39:31Z</cp:lastPrinted>
  <dcterms:created xsi:type="dcterms:W3CDTF">2011-11-01T13:09:56Z</dcterms:created>
  <dcterms:modified xsi:type="dcterms:W3CDTF">2013-09-27T19:39:41Z</dcterms:modified>
  <cp:category/>
  <cp:version/>
  <cp:contentType/>
  <cp:contentStatus/>
</cp:coreProperties>
</file>