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bookViews>
    <workbookView xWindow="14385" yWindow="-15" windowWidth="14430" windowHeight="13365" firstSheet="2" activeTab="4"/>
  </bookViews>
  <sheets>
    <sheet name="1. Information Sheet" sheetId="15" r:id="rId1"/>
    <sheet name="2. 2013 Continuity Schedule" sheetId="2" r:id="rId2"/>
    <sheet name="3. Appendix A" sheetId="11" r:id="rId3"/>
    <sheet name="4. Billing Determinants" sheetId="12" r:id="rId4"/>
    <sheet name="5. Allocation of Balances" sheetId="13" r:id="rId5"/>
    <sheet name="6. Rate Rider Calculations" sheetId="14"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contactf" localSheetId="0">#REF!</definedName>
    <definedName name="contactf">#REF!</definedName>
    <definedName name="histdate">[1]Financials!$E$76</definedName>
    <definedName name="Incr2000" localSheetId="0">#REF!</definedName>
    <definedName name="Incr2000">#REF!</definedName>
    <definedName name="LIMIT" localSheetId="0">#REF!</definedName>
    <definedName name="LIMIT">#REF!</definedName>
    <definedName name="man_beg_bud" localSheetId="0">#REF!</definedName>
    <definedName name="man_beg_bud">#REF!</definedName>
    <definedName name="man_end_bud" localSheetId="0">#REF!</definedName>
    <definedName name="man_end_bud">#REF!</definedName>
    <definedName name="man12ACT" localSheetId="0">#REF!</definedName>
    <definedName name="man12ACT">#REF!</definedName>
    <definedName name="MANBUD" localSheetId="0">#REF!</definedName>
    <definedName name="MANBUD">#REF!</definedName>
    <definedName name="manCYACT" localSheetId="0">#REF!</definedName>
    <definedName name="manCYACT">#REF!</definedName>
    <definedName name="manCYBUD" localSheetId="0">#REF!</definedName>
    <definedName name="manCYBUD">#REF!</definedName>
    <definedName name="manCYF" localSheetId="0">#REF!</definedName>
    <definedName name="manCYF">#REF!</definedName>
    <definedName name="MANEND" localSheetId="0">#REF!</definedName>
    <definedName name="MANEND">#REF!</definedName>
    <definedName name="manNYbud" localSheetId="0">#REF!</definedName>
    <definedName name="manNYbud">#REF!</definedName>
    <definedName name="manpower_costs" localSheetId="0">#REF!</definedName>
    <definedName name="manpower_costs">#REF!</definedName>
    <definedName name="manPYACT" localSheetId="0">#REF!</definedName>
    <definedName name="manPYACT">#REF!</definedName>
    <definedName name="MANSTART" localSheetId="0">#REF!</definedName>
    <definedName name="MANSTART">#REF!</definedName>
    <definedName name="mat_beg_bud" localSheetId="0">#REF!</definedName>
    <definedName name="mat_beg_bud">#REF!</definedName>
    <definedName name="mat_end_bud" localSheetId="0">#REF!</definedName>
    <definedName name="mat_end_bud">#REF!</definedName>
    <definedName name="mat12ACT" localSheetId="0">#REF!</definedName>
    <definedName name="mat12ACT">#REF!</definedName>
    <definedName name="MATBUD" localSheetId="0">#REF!</definedName>
    <definedName name="MATBUD">#REF!</definedName>
    <definedName name="matCYACT" localSheetId="0">#REF!</definedName>
    <definedName name="matCYACT">#REF!</definedName>
    <definedName name="matCYBUD" localSheetId="0">#REF!</definedName>
    <definedName name="matCYBUD">#REF!</definedName>
    <definedName name="matCYF" localSheetId="0">#REF!</definedName>
    <definedName name="matCYF">#REF!</definedName>
    <definedName name="MATEND" localSheetId="0">#REF!</definedName>
    <definedName name="MATEND">#REF!</definedName>
    <definedName name="material_costs" localSheetId="0">#REF!</definedName>
    <definedName name="material_costs">#REF!</definedName>
    <definedName name="matNYbud" localSheetId="0">#REF!</definedName>
    <definedName name="matNYbud">#REF!</definedName>
    <definedName name="matPYACT" localSheetId="0">#REF!</definedName>
    <definedName name="matPYACT">#REF!</definedName>
    <definedName name="MATSTART" localSheetId="0">#REF!</definedName>
    <definedName name="MATSTART">#REF!</definedName>
    <definedName name="oth_beg_bud" localSheetId="0">#REF!</definedName>
    <definedName name="oth_beg_bud">#REF!</definedName>
    <definedName name="oth_end_bud" localSheetId="0">#REF!</definedName>
    <definedName name="oth_end_bud">#REF!</definedName>
    <definedName name="oth12ACT" localSheetId="0">#REF!</definedName>
    <definedName name="oth12ACT">#REF!</definedName>
    <definedName name="othCYACT" localSheetId="0">#REF!</definedName>
    <definedName name="othCYACT">#REF!</definedName>
    <definedName name="othCYBUD" localSheetId="0">#REF!</definedName>
    <definedName name="othCYBUD">#REF!</definedName>
    <definedName name="othCYF" localSheetId="0">#REF!</definedName>
    <definedName name="othCYF">#REF!</definedName>
    <definedName name="OTHEND" localSheetId="0">#REF!</definedName>
    <definedName name="OTHEND">#REF!</definedName>
    <definedName name="other_costs" localSheetId="0">#REF!</definedName>
    <definedName name="other_costs">#REF!</definedName>
    <definedName name="OTHERBUD" localSheetId="0">#REF!</definedName>
    <definedName name="OTHERBUD">#REF!</definedName>
    <definedName name="othNYbud" localSheetId="0">#REF!</definedName>
    <definedName name="othNYbud">#REF!</definedName>
    <definedName name="othPYACT" localSheetId="0">#REF!</definedName>
    <definedName name="othPYACT">#REF!</definedName>
    <definedName name="OTHSTART" localSheetId="0">#REF!</definedName>
    <definedName name="OTHSTART">#REF!</definedName>
    <definedName name="_xlnm.Print_Area" localSheetId="0">'1. Information Sheet'!$A$1:$O$40</definedName>
    <definedName name="_xlnm.Print_Area" localSheetId="2">'3. Appendix A'!$B$1:$F$69</definedName>
    <definedName name="_xlnm.Print_Area" localSheetId="4">'5. Allocation of Balances'!$B:$J</definedName>
    <definedName name="print_end" localSheetId="0">#REF!</definedName>
    <definedName name="print_end">#REF!</definedName>
    <definedName name="_xlnm.Print_Titles" localSheetId="1">'2. 2013 Continuity Schedule'!$C:$D,'2. 2013 Continuity Schedule'!$19:$22</definedName>
    <definedName name="_xlnm.Print_Titles" localSheetId="2">'3. Appendix A'!$C:$D,'3. Appendix A'!$19:$22</definedName>
    <definedName name="_xlnm.Print_Titles" localSheetId="4">'5. Allocation of Balances'!$B:$E</definedName>
    <definedName name="ratedescription">[2]hidden1!$D$1:$D$122</definedName>
    <definedName name="SALBENF" localSheetId="0">#REF!</definedName>
    <definedName name="SALBENF">#REF!</definedName>
    <definedName name="salreg" localSheetId="0">#REF!</definedName>
    <definedName name="salreg">#REF!</definedName>
    <definedName name="SALREGF" localSheetId="0">#REF!</definedName>
    <definedName name="SALREGF">#REF!</definedName>
    <definedName name="TEMPA" localSheetId="0">#REF!</definedName>
    <definedName name="TEMPA">#REF!</definedName>
    <definedName name="total_dept" localSheetId="0">#REF!</definedName>
    <definedName name="total_dept">#REF!</definedName>
    <definedName name="total_manpower" localSheetId="0">#REF!</definedName>
    <definedName name="total_manpower">#REF!</definedName>
    <definedName name="total_material" localSheetId="0">#REF!</definedName>
    <definedName name="total_material">#REF!</definedName>
    <definedName name="total_other" localSheetId="0">#REF!</definedName>
    <definedName name="total_other">#REF!</definedName>
    <definedName name="total_transportation" localSheetId="0">#REF!</definedName>
    <definedName name="total_transportation">#REF!</definedName>
    <definedName name="TRANBUD" localSheetId="0">#REF!</definedName>
    <definedName name="TRANBUD">#REF!</definedName>
    <definedName name="TRANEND" localSheetId="0">#REF!</definedName>
    <definedName name="TRANEND">#REF!</definedName>
    <definedName name="transportation_costs" localSheetId="0">#REF!</definedName>
    <definedName name="transportation_costs">#REF!</definedName>
    <definedName name="TRANSTART" localSheetId="0">#REF!</definedName>
    <definedName name="TRANSTART">#REF!</definedName>
    <definedName name="trn_beg_bud" localSheetId="0">#REF!</definedName>
    <definedName name="trn_beg_bud">#REF!</definedName>
    <definedName name="trn_end_bud" localSheetId="0">#REF!</definedName>
    <definedName name="trn_end_bud">#REF!</definedName>
    <definedName name="trn12ACT" localSheetId="0">#REF!</definedName>
    <definedName name="trn12ACT">#REF!</definedName>
    <definedName name="trnCYACT" localSheetId="0">#REF!</definedName>
    <definedName name="trnCYACT">#REF!</definedName>
    <definedName name="trnCYBUD" localSheetId="0">#REF!</definedName>
    <definedName name="trnCYBUD">#REF!</definedName>
    <definedName name="trnCYF" localSheetId="0">#REF!</definedName>
    <definedName name="trnCYF">#REF!</definedName>
    <definedName name="trnNYbud" localSheetId="0">#REF!</definedName>
    <definedName name="trnNYbud">#REF!</definedName>
    <definedName name="trnPYACT" localSheetId="0">#REF!</definedName>
    <definedName name="trnPYACT">#REF!</definedName>
    <definedName name="units">[2]hidden1!$J$3:$J$8</definedName>
    <definedName name="Utility">[1]Financials!$A$1</definedName>
    <definedName name="utitliy1">[3]Financials!$A$1</definedName>
    <definedName name="WAGBENF" localSheetId="0">#REF!</definedName>
    <definedName name="WAGBENF">#REF!</definedName>
    <definedName name="wagdob" localSheetId="0">#REF!</definedName>
    <definedName name="wagdob">#REF!</definedName>
    <definedName name="wagdobf" localSheetId="0">#REF!</definedName>
    <definedName name="wagdobf">#REF!</definedName>
    <definedName name="wagreg" localSheetId="0">#REF!</definedName>
    <definedName name="wagreg">#REF!</definedName>
    <definedName name="wagregf" localSheetId="0">#REF!</definedName>
    <definedName name="wagregf">#REF!</definedName>
  </definedNames>
  <calcPr calcId="145621"/>
</workbook>
</file>

<file path=xl/calcChain.xml><?xml version="1.0" encoding="utf-8"?>
<calcChain xmlns="http://schemas.openxmlformats.org/spreadsheetml/2006/main">
  <c r="CH58" i="2" l="1"/>
  <c r="CC58" i="2"/>
  <c r="CG87" i="2" l="1"/>
  <c r="CO67" i="2"/>
  <c r="CO87" i="2" s="1"/>
  <c r="CN67" i="2"/>
  <c r="CN87" i="2" s="1"/>
  <c r="CF67" i="2"/>
  <c r="CC67" i="2"/>
  <c r="CB67" i="2"/>
  <c r="CB87" i="2" s="1"/>
  <c r="BX67" i="2"/>
  <c r="BS67" i="2"/>
  <c r="BN67" i="2"/>
  <c r="BI67" i="2"/>
  <c r="BI87" i="2" s="1"/>
  <c r="BD67" i="2"/>
  <c r="CK33" i="2" l="1"/>
  <c r="CC83" i="2" l="1"/>
  <c r="G25" i="12" l="1"/>
  <c r="G24" i="12"/>
  <c r="G23" i="12"/>
  <c r="G22" i="12"/>
  <c r="G21" i="12"/>
  <c r="N41" i="12" l="1"/>
  <c r="F56" i="2" l="1"/>
  <c r="F48" i="2"/>
  <c r="CH67" i="2" l="1"/>
  <c r="CH87" i="2" s="1"/>
  <c r="CC87" i="2"/>
  <c r="BS34" i="2" l="1"/>
  <c r="BN34" i="2"/>
  <c r="H26" i="12" l="1"/>
  <c r="H27" i="12"/>
  <c r="H28" i="12"/>
  <c r="H29" i="12"/>
  <c r="H30" i="12"/>
  <c r="H31" i="12"/>
  <c r="H32" i="12"/>
  <c r="H33" i="12"/>
  <c r="H34" i="12"/>
  <c r="H35" i="12"/>
  <c r="H36" i="12"/>
  <c r="H37" i="12"/>
  <c r="H38" i="12"/>
  <c r="H39" i="12"/>
  <c r="H40" i="12"/>
  <c r="CH51" i="2" l="1"/>
  <c r="BU51" i="2"/>
  <c r="BK51" i="2"/>
  <c r="BA51" i="2"/>
  <c r="BP51" i="2"/>
  <c r="BF51" i="2"/>
  <c r="AV51" i="2"/>
  <c r="BU50" i="2"/>
  <c r="BK50" i="2"/>
  <c r="BA50" i="2"/>
  <c r="CH43" i="2"/>
  <c r="BU43" i="2"/>
  <c r="CC43" i="2"/>
  <c r="CC54" i="2"/>
  <c r="BP54" i="2"/>
  <c r="BF54" i="2"/>
  <c r="AV54" i="2"/>
  <c r="CC53" i="2"/>
  <c r="BP53" i="2"/>
  <c r="BF53" i="2"/>
  <c r="AV53" i="2"/>
  <c r="CQ87" i="2" l="1"/>
  <c r="CO60" i="2"/>
  <c r="CN60" i="2"/>
  <c r="CO33" i="2"/>
  <c r="CO29" i="2"/>
  <c r="CO28" i="2"/>
  <c r="CO27" i="2"/>
  <c r="CO26" i="2"/>
  <c r="CO25" i="2"/>
  <c r="CN33" i="2"/>
  <c r="CN29" i="2"/>
  <c r="CN28" i="2"/>
  <c r="CN27" i="2"/>
  <c r="CN26" i="2"/>
  <c r="CN25" i="2"/>
  <c r="CF88" i="2" l="1"/>
  <c r="BX88" i="2"/>
  <c r="BS87" i="2" l="1"/>
  <c r="CF33" i="2" l="1"/>
  <c r="CF87" i="2"/>
  <c r="BX87" i="2"/>
  <c r="BX72" i="2"/>
  <c r="CF34" i="2"/>
  <c r="CF29" i="2"/>
  <c r="BX29" i="2"/>
  <c r="CF28" i="2"/>
  <c r="BX28" i="2"/>
  <c r="CF27" i="2"/>
  <c r="BX27" i="2"/>
  <c r="CF26" i="2"/>
  <c r="BX26" i="2"/>
  <c r="CF60" i="2"/>
  <c r="P56" i="2" l="1"/>
  <c r="P48" i="2"/>
  <c r="U60" i="2"/>
  <c r="BN87" i="2"/>
  <c r="BD87" i="2"/>
  <c r="AO60" i="2"/>
  <c r="AE60" i="2"/>
  <c r="AO56" i="2"/>
  <c r="AJ56" i="2"/>
  <c r="AO48" i="2"/>
  <c r="AJ48" i="2"/>
  <c r="AE56" i="2"/>
  <c r="Z56" i="2"/>
  <c r="AE48" i="2"/>
  <c r="Z48" i="2"/>
  <c r="CF25" i="2" l="1"/>
  <c r="BX25" i="2"/>
  <c r="D76" i="14" l="1"/>
  <c r="D77" i="14"/>
  <c r="D78" i="14"/>
  <c r="D79" i="14"/>
  <c r="D80" i="14"/>
  <c r="D81" i="14"/>
  <c r="D84" i="14"/>
  <c r="D75" i="14"/>
  <c r="C94" i="14"/>
  <c r="D94" i="14" s="1"/>
  <c r="C93" i="14"/>
  <c r="D93" i="14" s="1"/>
  <c r="C92" i="14"/>
  <c r="D92" i="14" s="1"/>
  <c r="C91" i="14"/>
  <c r="D91" i="14" s="1"/>
  <c r="C90" i="14"/>
  <c r="D90" i="14" s="1"/>
  <c r="C89" i="14"/>
  <c r="D89" i="14" s="1"/>
  <c r="C88" i="14"/>
  <c r="D88" i="14" s="1"/>
  <c r="C87" i="14"/>
  <c r="D87" i="14" s="1"/>
  <c r="C86" i="14"/>
  <c r="D86" i="14" s="1"/>
  <c r="C85" i="14"/>
  <c r="D85" i="14" s="1"/>
  <c r="C83" i="14"/>
  <c r="D83" i="14" s="1"/>
  <c r="C82" i="14"/>
  <c r="D82" i="14" s="1"/>
  <c r="F36" i="2" l="1"/>
  <c r="G36" i="2"/>
  <c r="H36" i="2"/>
  <c r="J36" i="2"/>
  <c r="K36" i="2"/>
  <c r="L36" i="2"/>
  <c r="M36" i="2"/>
  <c r="P36" i="2"/>
  <c r="Q36" i="2"/>
  <c r="R36" i="2"/>
  <c r="U36" i="2"/>
  <c r="V36" i="2"/>
  <c r="W36" i="2"/>
  <c r="Z36" i="2"/>
  <c r="AA36" i="2"/>
  <c r="AB36" i="2"/>
  <c r="AE36" i="2"/>
  <c r="AF36" i="2"/>
  <c r="AG36" i="2"/>
  <c r="AJ36" i="2"/>
  <c r="AK36" i="2"/>
  <c r="AL36" i="2"/>
  <c r="AO36" i="2"/>
  <c r="AP36" i="2"/>
  <c r="AQ36" i="2"/>
  <c r="AT36" i="2"/>
  <c r="AU36" i="2"/>
  <c r="AV36" i="2"/>
  <c r="AY36" i="2"/>
  <c r="AZ36" i="2"/>
  <c r="BA36" i="2"/>
  <c r="BD36" i="2"/>
  <c r="BE36" i="2"/>
  <c r="BF36" i="2"/>
  <c r="BI36" i="2"/>
  <c r="BJ36" i="2"/>
  <c r="BK36" i="2"/>
  <c r="BN36" i="2"/>
  <c r="BO36" i="2"/>
  <c r="BP36" i="2"/>
  <c r="BS36" i="2"/>
  <c r="BT36" i="2"/>
  <c r="BU36" i="2"/>
  <c r="BX36" i="2"/>
  <c r="BY36" i="2"/>
  <c r="BZ36" i="2"/>
  <c r="CA36" i="2"/>
  <c r="CB36" i="2"/>
  <c r="CC36" i="2"/>
  <c r="CF36" i="2"/>
  <c r="CG36" i="2"/>
  <c r="CH36" i="2"/>
  <c r="CJ36" i="2"/>
  <c r="CK36" i="2"/>
  <c r="CQ36" i="2"/>
  <c r="E36" i="2"/>
  <c r="CE83" i="2"/>
  <c r="CI83" i="2" s="1"/>
  <c r="CM83" i="2" s="1"/>
  <c r="CH63" i="2"/>
  <c r="CG63" i="2"/>
  <c r="CF63" i="2"/>
  <c r="CC63" i="2"/>
  <c r="CB63" i="2"/>
  <c r="CA63" i="2"/>
  <c r="BZ63" i="2"/>
  <c r="BY63" i="2"/>
  <c r="BX63" i="2"/>
  <c r="CH38" i="2"/>
  <c r="CG38" i="2"/>
  <c r="CF38" i="2"/>
  <c r="CC38" i="2"/>
  <c r="CB38" i="2"/>
  <c r="CA38" i="2"/>
  <c r="BZ38" i="2"/>
  <c r="BY38" i="2"/>
  <c r="BX38" i="2"/>
  <c r="N34" i="2"/>
  <c r="T34" i="2" s="1"/>
  <c r="X34" i="2" s="1"/>
  <c r="AD34" i="2" s="1"/>
  <c r="AH34" i="2" s="1"/>
  <c r="AN34" i="2" s="1"/>
  <c r="AR34" i="2" s="1"/>
  <c r="AX34" i="2" s="1"/>
  <c r="BB34" i="2" s="1"/>
  <c r="BH34" i="2" s="1"/>
  <c r="BL34" i="2" s="1"/>
  <c r="BR34" i="2" s="1"/>
  <c r="BV34" i="2" s="1"/>
  <c r="CE34" i="2" s="1"/>
  <c r="CI34" i="2" s="1"/>
  <c r="CM34" i="2" s="1"/>
  <c r="I34" i="2"/>
  <c r="O34" i="2" s="1"/>
  <c r="S34" i="2" s="1"/>
  <c r="Y34" i="2" s="1"/>
  <c r="AC34" i="2" s="1"/>
  <c r="AI34" i="2" s="1"/>
  <c r="AM34" i="2" s="1"/>
  <c r="AS34" i="2" s="1"/>
  <c r="AW34" i="2" s="1"/>
  <c r="BC34" i="2" s="1"/>
  <c r="BG34" i="2" s="1"/>
  <c r="BM34" i="2" s="1"/>
  <c r="BQ34" i="2" s="1"/>
  <c r="CF37" i="2" l="1"/>
  <c r="BZ69" i="2"/>
  <c r="BZ75" i="2" s="1"/>
  <c r="BX37" i="2"/>
  <c r="CH69" i="2"/>
  <c r="CG37" i="2"/>
  <c r="CA37" i="2"/>
  <c r="CG69" i="2"/>
  <c r="CG75" i="2" s="1"/>
  <c r="BX69" i="2"/>
  <c r="BX75" i="2" s="1"/>
  <c r="CB69" i="2"/>
  <c r="CB75" i="2" s="1"/>
  <c r="CH37" i="2"/>
  <c r="BZ37" i="2"/>
  <c r="BW34" i="2"/>
  <c r="CD34" i="2" s="1"/>
  <c r="CD83" i="2"/>
  <c r="CB37" i="2"/>
  <c r="BY37" i="2"/>
  <c r="CC37" i="2"/>
  <c r="BY69" i="2"/>
  <c r="BY75" i="2" s="1"/>
  <c r="CC69" i="2"/>
  <c r="CF69" i="2"/>
  <c r="CF75" i="2" s="1"/>
  <c r="CA69" i="2"/>
  <c r="CA75" i="2" s="1"/>
  <c r="G48" i="14"/>
  <c r="G49" i="14"/>
  <c r="G50" i="14"/>
  <c r="G51" i="14"/>
  <c r="G52" i="14"/>
  <c r="G53" i="14"/>
  <c r="G20" i="14"/>
  <c r="G47" i="14"/>
  <c r="D48" i="14"/>
  <c r="D52" i="14"/>
  <c r="D53" i="14"/>
  <c r="D47" i="14"/>
  <c r="D20" i="14"/>
  <c r="C66" i="14"/>
  <c r="G66" i="14" s="1"/>
  <c r="C65" i="14"/>
  <c r="D65" i="14" s="1"/>
  <c r="C64" i="14"/>
  <c r="G64" i="14" s="1"/>
  <c r="C63" i="14"/>
  <c r="D63" i="14" s="1"/>
  <c r="G62" i="14"/>
  <c r="C61" i="14"/>
  <c r="D61" i="14" s="1"/>
  <c r="C60" i="14"/>
  <c r="G60" i="14" s="1"/>
  <c r="C59" i="14"/>
  <c r="D59" i="14" s="1"/>
  <c r="G58" i="14"/>
  <c r="C57" i="14"/>
  <c r="D57" i="14" s="1"/>
  <c r="G56" i="14"/>
  <c r="C55" i="14"/>
  <c r="D55" i="14" s="1"/>
  <c r="C54" i="14"/>
  <c r="G54" i="14" s="1"/>
  <c r="CL83" i="2" l="1"/>
  <c r="CR83" i="2"/>
  <c r="E66" i="11" s="1"/>
  <c r="CL34" i="2"/>
  <c r="CR34" i="2"/>
  <c r="E34" i="11" s="1"/>
  <c r="D64" i="14"/>
  <c r="D62" i="14"/>
  <c r="D60" i="14"/>
  <c r="D58" i="14"/>
  <c r="D56" i="14"/>
  <c r="D54" i="14"/>
  <c r="G65" i="14"/>
  <c r="G63" i="14"/>
  <c r="G61" i="14"/>
  <c r="G59" i="14"/>
  <c r="G57" i="14"/>
  <c r="G55" i="14"/>
  <c r="D66" i="14"/>
  <c r="CP83" i="2" l="1"/>
  <c r="CO34" i="2"/>
  <c r="CO36" i="2" s="1"/>
  <c r="CN34" i="2"/>
  <c r="CN36" i="2" s="1"/>
  <c r="C25" i="14"/>
  <c r="C26" i="14"/>
  <c r="C27" i="14"/>
  <c r="C28" i="14"/>
  <c r="C29" i="14"/>
  <c r="C30" i="14"/>
  <c r="C31" i="14"/>
  <c r="C32" i="14"/>
  <c r="C34" i="14"/>
  <c r="C35" i="14"/>
  <c r="C36" i="14"/>
  <c r="C37" i="14"/>
  <c r="C38" i="14"/>
  <c r="C39" i="14"/>
  <c r="B21" i="14"/>
  <c r="B22" i="14"/>
  <c r="B23" i="14"/>
  <c r="B24" i="14"/>
  <c r="B25" i="14"/>
  <c r="B26" i="14"/>
  <c r="B27" i="14"/>
  <c r="B28" i="14"/>
  <c r="B29" i="14"/>
  <c r="B30" i="14"/>
  <c r="B31" i="14"/>
  <c r="B32" i="14"/>
  <c r="B33" i="14"/>
  <c r="B34" i="14"/>
  <c r="B35" i="14"/>
  <c r="B36" i="14"/>
  <c r="B37" i="14"/>
  <c r="B38" i="14"/>
  <c r="B39" i="14"/>
  <c r="B20" i="14"/>
  <c r="D55" i="13" l="1"/>
  <c r="CP34" i="2"/>
  <c r="B63" i="14"/>
  <c r="B91" i="14"/>
  <c r="B59" i="14"/>
  <c r="B87" i="14"/>
  <c r="B55" i="14"/>
  <c r="B83" i="14"/>
  <c r="B51" i="14"/>
  <c r="B79" i="14"/>
  <c r="B66" i="14"/>
  <c r="B94" i="14"/>
  <c r="B62" i="14"/>
  <c r="B90" i="14"/>
  <c r="B58" i="14"/>
  <c r="B86" i="14"/>
  <c r="B54" i="14"/>
  <c r="B82" i="14"/>
  <c r="B50" i="14"/>
  <c r="B78" i="14"/>
  <c r="B65" i="14"/>
  <c r="B93" i="14"/>
  <c r="B61" i="14"/>
  <c r="B89" i="14"/>
  <c r="B57" i="14"/>
  <c r="B85" i="14"/>
  <c r="B53" i="14"/>
  <c r="B81" i="14"/>
  <c r="B64" i="14"/>
  <c r="B92" i="14"/>
  <c r="B60" i="14"/>
  <c r="B88" i="14"/>
  <c r="B56" i="14"/>
  <c r="B84" i="14"/>
  <c r="B52" i="14"/>
  <c r="B80" i="14"/>
  <c r="B49" i="14"/>
  <c r="B77" i="14"/>
  <c r="B48" i="14"/>
  <c r="B76" i="14"/>
  <c r="B47" i="14"/>
  <c r="B75" i="14"/>
  <c r="G38" i="14"/>
  <c r="D38" i="14"/>
  <c r="G36" i="14"/>
  <c r="D36" i="14"/>
  <c r="G34" i="14"/>
  <c r="D34" i="14"/>
  <c r="G32" i="14"/>
  <c r="D32" i="14"/>
  <c r="G30" i="14"/>
  <c r="D30" i="14"/>
  <c r="G28" i="14"/>
  <c r="D28" i="14"/>
  <c r="G26" i="14"/>
  <c r="D26" i="14"/>
  <c r="G24" i="14"/>
  <c r="D24" i="14"/>
  <c r="G22" i="14"/>
  <c r="D22" i="14"/>
  <c r="D39" i="14"/>
  <c r="G39" i="14"/>
  <c r="D37" i="14"/>
  <c r="G37" i="14"/>
  <c r="D35" i="14"/>
  <c r="G35" i="14"/>
  <c r="D33" i="14"/>
  <c r="G33" i="14"/>
  <c r="D31" i="14"/>
  <c r="G31" i="14"/>
  <c r="D29" i="14"/>
  <c r="G29" i="14"/>
  <c r="D27" i="14"/>
  <c r="G27" i="14"/>
  <c r="D25" i="14"/>
  <c r="G25" i="14"/>
  <c r="D23" i="14"/>
  <c r="G23" i="14"/>
  <c r="D21" i="14"/>
  <c r="G21" i="14"/>
  <c r="D41" i="12"/>
  <c r="Y4" i="13"/>
  <c r="X4" i="13"/>
  <c r="W4" i="13"/>
  <c r="V4" i="13"/>
  <c r="U4" i="13"/>
  <c r="T4" i="13"/>
  <c r="S4" i="13"/>
  <c r="R4" i="13"/>
  <c r="Q4" i="13"/>
  <c r="P4" i="13"/>
  <c r="O4" i="13"/>
  <c r="N4" i="13"/>
  <c r="M4" i="13"/>
  <c r="L4" i="13"/>
  <c r="K4" i="13"/>
  <c r="J4" i="13"/>
  <c r="I4" i="13"/>
  <c r="H4" i="13"/>
  <c r="G4" i="13"/>
  <c r="F4" i="13"/>
  <c r="F41" i="12"/>
  <c r="G41" i="12"/>
  <c r="I41" i="12"/>
  <c r="J41" i="12"/>
  <c r="K41" i="12"/>
  <c r="L41" i="12"/>
  <c r="M41" i="12"/>
  <c r="E41" i="12"/>
  <c r="H22" i="12"/>
  <c r="H23" i="12"/>
  <c r="H24" i="12"/>
  <c r="H25" i="12"/>
  <c r="H21" i="12"/>
  <c r="BL72" i="2"/>
  <c r="BR72" i="2" s="1"/>
  <c r="BV72" i="2" s="1"/>
  <c r="CE72" i="2" s="1"/>
  <c r="BG72" i="2"/>
  <c r="BM72" i="2" s="1"/>
  <c r="BQ72" i="2" s="1"/>
  <c r="BW72" i="2" s="1"/>
  <c r="D51" i="14" l="1"/>
  <c r="D50" i="14"/>
  <c r="D49" i="14"/>
  <c r="N12" i="13"/>
  <c r="N15" i="13"/>
  <c r="N13" i="13"/>
  <c r="G13" i="13"/>
  <c r="G12" i="13"/>
  <c r="G15" i="13"/>
  <c r="K13" i="13"/>
  <c r="K12" i="13"/>
  <c r="K15" i="13"/>
  <c r="O13" i="13"/>
  <c r="O12" i="13"/>
  <c r="O15" i="13"/>
  <c r="S13" i="13"/>
  <c r="S12" i="13"/>
  <c r="S15" i="13"/>
  <c r="W13" i="13"/>
  <c r="W12" i="13"/>
  <c r="W15" i="13"/>
  <c r="J12" i="13"/>
  <c r="J13" i="13"/>
  <c r="J15" i="13"/>
  <c r="V12" i="13"/>
  <c r="V13" i="13"/>
  <c r="V15" i="13"/>
  <c r="H15" i="13"/>
  <c r="H13" i="13"/>
  <c r="H12" i="13"/>
  <c r="L13" i="13"/>
  <c r="L12" i="13"/>
  <c r="L15" i="13"/>
  <c r="P15" i="13"/>
  <c r="P13" i="13"/>
  <c r="P12" i="13"/>
  <c r="T13" i="13"/>
  <c r="T15" i="13"/>
  <c r="T12" i="13"/>
  <c r="X13" i="13"/>
  <c r="X12" i="13"/>
  <c r="X15" i="13"/>
  <c r="F12" i="13"/>
  <c r="F13" i="13"/>
  <c r="F15" i="13"/>
  <c r="R12" i="13"/>
  <c r="R15" i="13"/>
  <c r="R13" i="13"/>
  <c r="I15" i="13"/>
  <c r="I13" i="13"/>
  <c r="I12" i="13"/>
  <c r="M15" i="13"/>
  <c r="M12" i="13"/>
  <c r="M13" i="13"/>
  <c r="Q15" i="13"/>
  <c r="Q12" i="13"/>
  <c r="Q13" i="13"/>
  <c r="U15" i="13"/>
  <c r="U13" i="13"/>
  <c r="U12" i="13"/>
  <c r="Y15" i="13"/>
  <c r="Y12" i="13"/>
  <c r="Y13" i="13"/>
  <c r="D15" i="13"/>
  <c r="M54" i="13"/>
  <c r="M38" i="13"/>
  <c r="M34" i="13"/>
  <c r="M30" i="13"/>
  <c r="M26" i="13"/>
  <c r="M55" i="13"/>
  <c r="M41" i="13"/>
  <c r="M35" i="13"/>
  <c r="M31" i="13"/>
  <c r="M27" i="13"/>
  <c r="M23" i="13"/>
  <c r="M42" i="13"/>
  <c r="M36" i="13"/>
  <c r="M32" i="13"/>
  <c r="M28" i="13"/>
  <c r="M24" i="13"/>
  <c r="M29" i="13"/>
  <c r="M19" i="13"/>
  <c r="M9" i="13"/>
  <c r="M5" i="13"/>
  <c r="M33" i="13"/>
  <c r="M22" i="13"/>
  <c r="M20" i="13"/>
  <c r="M10" i="13"/>
  <c r="M51" i="13" s="1"/>
  <c r="M6" i="13"/>
  <c r="M7" i="13"/>
  <c r="M37" i="13"/>
  <c r="M25" i="13"/>
  <c r="M21" i="13"/>
  <c r="M11" i="13"/>
  <c r="M18" i="13"/>
  <c r="M43" i="13"/>
  <c r="M8" i="13"/>
  <c r="Q54" i="13"/>
  <c r="Q38" i="13"/>
  <c r="Q34" i="13"/>
  <c r="Q30" i="13"/>
  <c r="Q26" i="13"/>
  <c r="Q55" i="13"/>
  <c r="Q41" i="13"/>
  <c r="Q35" i="13"/>
  <c r="Q31" i="13"/>
  <c r="Q27" i="13"/>
  <c r="Q23" i="13"/>
  <c r="Q42" i="13"/>
  <c r="Q36" i="13"/>
  <c r="Q32" i="13"/>
  <c r="Q28" i="13"/>
  <c r="Q24" i="13"/>
  <c r="Q33" i="13"/>
  <c r="Q25" i="13"/>
  <c r="Q19" i="13"/>
  <c r="Q9" i="13"/>
  <c r="Q5" i="13"/>
  <c r="Q37" i="13"/>
  <c r="Q20" i="13"/>
  <c r="Q10" i="13"/>
  <c r="Q51" i="13" s="1"/>
  <c r="Q6" i="13"/>
  <c r="Q43" i="13"/>
  <c r="Q21" i="13"/>
  <c r="Q11" i="13"/>
  <c r="Q7" i="13"/>
  <c r="Q29" i="13"/>
  <c r="Q8" i="13"/>
  <c r="Q22" i="13"/>
  <c r="Q18" i="13"/>
  <c r="U54" i="13"/>
  <c r="U38" i="13"/>
  <c r="U34" i="13"/>
  <c r="U30" i="13"/>
  <c r="U26" i="13"/>
  <c r="U55" i="13"/>
  <c r="U41" i="13"/>
  <c r="U35" i="13"/>
  <c r="U31" i="13"/>
  <c r="U27" i="13"/>
  <c r="U23" i="13"/>
  <c r="U42" i="13"/>
  <c r="U36" i="13"/>
  <c r="U32" i="13"/>
  <c r="U28" i="13"/>
  <c r="U24" i="13"/>
  <c r="U37" i="13"/>
  <c r="U21" i="13"/>
  <c r="U19" i="13"/>
  <c r="U9" i="13"/>
  <c r="U5" i="13"/>
  <c r="U7" i="13"/>
  <c r="U43" i="13"/>
  <c r="U22" i="13"/>
  <c r="U20" i="13"/>
  <c r="U10" i="13"/>
  <c r="U51" i="13" s="1"/>
  <c r="U6" i="13"/>
  <c r="U29" i="13"/>
  <c r="U25" i="13"/>
  <c r="U11" i="13"/>
  <c r="U33" i="13"/>
  <c r="U8" i="13"/>
  <c r="U18" i="13"/>
  <c r="Y54" i="13"/>
  <c r="Y38" i="13"/>
  <c r="Y34" i="13"/>
  <c r="Y30" i="13"/>
  <c r="Y26" i="13"/>
  <c r="Y55" i="13"/>
  <c r="Y41" i="13"/>
  <c r="Y35" i="13"/>
  <c r="Y31" i="13"/>
  <c r="Y27" i="13"/>
  <c r="Y23" i="13"/>
  <c r="Y42" i="13"/>
  <c r="Y36" i="13"/>
  <c r="Y32" i="13"/>
  <c r="Y28" i="13"/>
  <c r="Y24" i="13"/>
  <c r="Y43" i="13"/>
  <c r="Y25" i="13"/>
  <c r="Y19" i="13"/>
  <c r="Y9" i="13"/>
  <c r="Y5" i="13"/>
  <c r="Y29" i="13"/>
  <c r="Y20" i="13"/>
  <c r="Y10" i="13"/>
  <c r="Y51" i="13" s="1"/>
  <c r="Y6" i="13"/>
  <c r="Y7" i="13"/>
  <c r="Y33" i="13"/>
  <c r="Y21" i="13"/>
  <c r="Y11" i="13"/>
  <c r="Y37" i="13"/>
  <c r="Y22" i="13"/>
  <c r="Y18" i="13"/>
  <c r="Y8" i="13"/>
  <c r="N55" i="13"/>
  <c r="N41" i="13"/>
  <c r="N35" i="13"/>
  <c r="N31" i="13"/>
  <c r="N27" i="13"/>
  <c r="N42" i="13"/>
  <c r="N36" i="13"/>
  <c r="N32" i="13"/>
  <c r="N28" i="13"/>
  <c r="N24" i="13"/>
  <c r="N43" i="13"/>
  <c r="N37" i="13"/>
  <c r="N33" i="13"/>
  <c r="N29" i="13"/>
  <c r="N25" i="13"/>
  <c r="N30" i="13"/>
  <c r="N22" i="13"/>
  <c r="N20" i="13"/>
  <c r="N10" i="13"/>
  <c r="N51" i="13" s="1"/>
  <c r="N6" i="13"/>
  <c r="N34" i="13"/>
  <c r="N23" i="13"/>
  <c r="N21" i="13"/>
  <c r="N11" i="13"/>
  <c r="N7" i="13"/>
  <c r="N54" i="13"/>
  <c r="N38" i="13"/>
  <c r="N18" i="13"/>
  <c r="N8" i="13"/>
  <c r="N19" i="13"/>
  <c r="N5" i="13"/>
  <c r="N26" i="13"/>
  <c r="N9" i="13"/>
  <c r="R55" i="13"/>
  <c r="R41" i="13"/>
  <c r="R35" i="13"/>
  <c r="R31" i="13"/>
  <c r="R27" i="13"/>
  <c r="R42" i="13"/>
  <c r="R36" i="13"/>
  <c r="R32" i="13"/>
  <c r="R28" i="13"/>
  <c r="R24" i="13"/>
  <c r="R43" i="13"/>
  <c r="R37" i="13"/>
  <c r="R33" i="13"/>
  <c r="R29" i="13"/>
  <c r="R25" i="13"/>
  <c r="R21" i="13"/>
  <c r="R34" i="13"/>
  <c r="R20" i="13"/>
  <c r="R10" i="13"/>
  <c r="R51" i="13" s="1"/>
  <c r="R6" i="13"/>
  <c r="R8" i="13"/>
  <c r="R38" i="13"/>
  <c r="R11" i="13"/>
  <c r="R7" i="13"/>
  <c r="R54" i="13"/>
  <c r="R26" i="13"/>
  <c r="R22" i="13"/>
  <c r="R18" i="13"/>
  <c r="R23" i="13"/>
  <c r="R5" i="13"/>
  <c r="R19" i="13"/>
  <c r="R9" i="13"/>
  <c r="R30" i="13"/>
  <c r="V55" i="13"/>
  <c r="V41" i="13"/>
  <c r="V35" i="13"/>
  <c r="V31" i="13"/>
  <c r="V27" i="13"/>
  <c r="V42" i="13"/>
  <c r="V36" i="13"/>
  <c r="V32" i="13"/>
  <c r="V28" i="13"/>
  <c r="V24" i="13"/>
  <c r="V43" i="13"/>
  <c r="V37" i="13"/>
  <c r="V33" i="13"/>
  <c r="V29" i="13"/>
  <c r="V25" i="13"/>
  <c r="V21" i="13"/>
  <c r="V38" i="13"/>
  <c r="V22" i="13"/>
  <c r="V20" i="13"/>
  <c r="V10" i="13"/>
  <c r="V51" i="13" s="1"/>
  <c r="V6" i="13"/>
  <c r="V54" i="13"/>
  <c r="V26" i="13"/>
  <c r="V23" i="13"/>
  <c r="V11" i="13"/>
  <c r="V7" i="13"/>
  <c r="V30" i="13"/>
  <c r="V18" i="13"/>
  <c r="V8" i="13"/>
  <c r="V9" i="13"/>
  <c r="V34" i="13"/>
  <c r="V5" i="13"/>
  <c r="V19" i="13"/>
  <c r="K42" i="13"/>
  <c r="K36" i="13"/>
  <c r="K32" i="13"/>
  <c r="K28" i="13"/>
  <c r="K43" i="13"/>
  <c r="K37" i="13"/>
  <c r="K33" i="13"/>
  <c r="K29" i="13"/>
  <c r="K25" i="13"/>
  <c r="K54" i="13"/>
  <c r="K38" i="13"/>
  <c r="K34" i="13"/>
  <c r="K30" i="13"/>
  <c r="K26" i="13"/>
  <c r="K22" i="13"/>
  <c r="K55" i="13"/>
  <c r="K27" i="13"/>
  <c r="K21" i="13"/>
  <c r="K11" i="13"/>
  <c r="K7" i="13"/>
  <c r="K31" i="13"/>
  <c r="K18" i="13"/>
  <c r="K8" i="13"/>
  <c r="K5" i="13"/>
  <c r="K35" i="13"/>
  <c r="K23" i="13"/>
  <c r="K19" i="13"/>
  <c r="K9" i="13"/>
  <c r="K24" i="13"/>
  <c r="K10" i="13"/>
  <c r="K20" i="13"/>
  <c r="K41" i="13"/>
  <c r="K6" i="13"/>
  <c r="O42" i="13"/>
  <c r="O36" i="13"/>
  <c r="O32" i="13"/>
  <c r="O28" i="13"/>
  <c r="O43" i="13"/>
  <c r="O37" i="13"/>
  <c r="O33" i="13"/>
  <c r="O29" i="13"/>
  <c r="O25" i="13"/>
  <c r="O54" i="13"/>
  <c r="O38" i="13"/>
  <c r="O34" i="13"/>
  <c r="O30" i="13"/>
  <c r="O26" i="13"/>
  <c r="O22" i="13"/>
  <c r="O31" i="13"/>
  <c r="O23" i="13"/>
  <c r="O21" i="13"/>
  <c r="O11" i="13"/>
  <c r="O7" i="13"/>
  <c r="O55" i="13"/>
  <c r="O35" i="13"/>
  <c r="O24" i="13"/>
  <c r="O18" i="13"/>
  <c r="O8" i="13"/>
  <c r="O41" i="13"/>
  <c r="O19" i="13"/>
  <c r="O9" i="13"/>
  <c r="O5" i="13"/>
  <c r="O20" i="13"/>
  <c r="O10" i="13"/>
  <c r="O51" i="13" s="1"/>
  <c r="O6" i="13"/>
  <c r="O27" i="13"/>
  <c r="S42" i="13"/>
  <c r="S36" i="13"/>
  <c r="S32" i="13"/>
  <c r="S28" i="13"/>
  <c r="S43" i="13"/>
  <c r="S37" i="13"/>
  <c r="S33" i="13"/>
  <c r="S29" i="13"/>
  <c r="S25" i="13"/>
  <c r="S21" i="13"/>
  <c r="S54" i="13"/>
  <c r="S38" i="13"/>
  <c r="S34" i="13"/>
  <c r="S30" i="13"/>
  <c r="S26" i="13"/>
  <c r="S22" i="13"/>
  <c r="S35" i="13"/>
  <c r="S11" i="13"/>
  <c r="S7" i="13"/>
  <c r="S5" i="13"/>
  <c r="S41" i="13"/>
  <c r="S18" i="13"/>
  <c r="S8" i="13"/>
  <c r="S55" i="13"/>
  <c r="S27" i="13"/>
  <c r="S23" i="13"/>
  <c r="S19" i="13"/>
  <c r="S9" i="13"/>
  <c r="S6" i="13"/>
  <c r="S10" i="13"/>
  <c r="S51" i="13" s="1"/>
  <c r="S20" i="13"/>
  <c r="S31" i="13"/>
  <c r="S24" i="13"/>
  <c r="W42" i="13"/>
  <c r="W36" i="13"/>
  <c r="W32" i="13"/>
  <c r="W28" i="13"/>
  <c r="W43" i="13"/>
  <c r="W37" i="13"/>
  <c r="W33" i="13"/>
  <c r="W29" i="13"/>
  <c r="W25" i="13"/>
  <c r="W21" i="13"/>
  <c r="W54" i="13"/>
  <c r="W38" i="13"/>
  <c r="W34" i="13"/>
  <c r="W30" i="13"/>
  <c r="W26" i="13"/>
  <c r="W22" i="13"/>
  <c r="W41" i="13"/>
  <c r="W23" i="13"/>
  <c r="W11" i="13"/>
  <c r="W7" i="13"/>
  <c r="W55" i="13"/>
  <c r="W27" i="13"/>
  <c r="W24" i="13"/>
  <c r="W18" i="13"/>
  <c r="W8" i="13"/>
  <c r="W5" i="13"/>
  <c r="W31" i="13"/>
  <c r="W19" i="13"/>
  <c r="W9" i="13"/>
  <c r="W10" i="13"/>
  <c r="W51" i="13" s="1"/>
  <c r="W6" i="13"/>
  <c r="W35" i="13"/>
  <c r="W20" i="13"/>
  <c r="L43" i="13"/>
  <c r="L37" i="13"/>
  <c r="L33" i="13"/>
  <c r="L29" i="13"/>
  <c r="L54" i="13"/>
  <c r="L38" i="13"/>
  <c r="L34" i="13"/>
  <c r="L30" i="13"/>
  <c r="L26" i="13"/>
  <c r="L22" i="13"/>
  <c r="L55" i="13"/>
  <c r="L41" i="13"/>
  <c r="L35" i="13"/>
  <c r="L31" i="13"/>
  <c r="L27" i="13"/>
  <c r="L23" i="13"/>
  <c r="L28" i="13"/>
  <c r="L18" i="13"/>
  <c r="L8" i="13"/>
  <c r="L6" i="13"/>
  <c r="L32" i="13"/>
  <c r="L19" i="13"/>
  <c r="L9" i="13"/>
  <c r="L5" i="13"/>
  <c r="L36" i="13"/>
  <c r="L24" i="13"/>
  <c r="L20" i="13"/>
  <c r="L10" i="13"/>
  <c r="L7" i="13"/>
  <c r="L25" i="13"/>
  <c r="L21" i="13"/>
  <c r="L11" i="13"/>
  <c r="L42" i="13"/>
  <c r="P43" i="13"/>
  <c r="P37" i="13"/>
  <c r="P33" i="13"/>
  <c r="P29" i="13"/>
  <c r="P54" i="13"/>
  <c r="P38" i="13"/>
  <c r="P34" i="13"/>
  <c r="P30" i="13"/>
  <c r="P26" i="13"/>
  <c r="P22" i="13"/>
  <c r="P55" i="13"/>
  <c r="P41" i="13"/>
  <c r="P35" i="13"/>
  <c r="P31" i="13"/>
  <c r="P27" i="13"/>
  <c r="P23" i="13"/>
  <c r="P32" i="13"/>
  <c r="P24" i="13"/>
  <c r="P18" i="13"/>
  <c r="P8" i="13"/>
  <c r="P36" i="13"/>
  <c r="P25" i="13"/>
  <c r="P19" i="13"/>
  <c r="P9" i="13"/>
  <c r="P5" i="13"/>
  <c r="P6" i="13"/>
  <c r="P42" i="13"/>
  <c r="P20" i="13"/>
  <c r="P10" i="13"/>
  <c r="P51" i="13" s="1"/>
  <c r="P21" i="13"/>
  <c r="P28" i="13"/>
  <c r="P7" i="13"/>
  <c r="P11" i="13"/>
  <c r="T43" i="13"/>
  <c r="T37" i="13"/>
  <c r="T33" i="13"/>
  <c r="T29" i="13"/>
  <c r="T54" i="13"/>
  <c r="T38" i="13"/>
  <c r="T34" i="13"/>
  <c r="T30" i="13"/>
  <c r="T26" i="13"/>
  <c r="T22" i="13"/>
  <c r="T55" i="13"/>
  <c r="T41" i="13"/>
  <c r="T35" i="13"/>
  <c r="T31" i="13"/>
  <c r="T27" i="13"/>
  <c r="T23" i="13"/>
  <c r="T36" i="13"/>
  <c r="T18" i="13"/>
  <c r="T8" i="13"/>
  <c r="T42" i="13"/>
  <c r="T21" i="13"/>
  <c r="T19" i="13"/>
  <c r="T9" i="13"/>
  <c r="T5" i="13"/>
  <c r="T28" i="13"/>
  <c r="T24" i="13"/>
  <c r="T20" i="13"/>
  <c r="T10" i="13"/>
  <c r="T51" i="13" s="1"/>
  <c r="T6" i="13"/>
  <c r="T25" i="13"/>
  <c r="T7" i="13"/>
  <c r="T32" i="13"/>
  <c r="T11" i="13"/>
  <c r="X43" i="13"/>
  <c r="X37" i="13"/>
  <c r="X33" i="13"/>
  <c r="X29" i="13"/>
  <c r="X54" i="13"/>
  <c r="X38" i="13"/>
  <c r="X34" i="13"/>
  <c r="X30" i="13"/>
  <c r="X26" i="13"/>
  <c r="X22" i="13"/>
  <c r="X55" i="13"/>
  <c r="X41" i="13"/>
  <c r="X35" i="13"/>
  <c r="X31" i="13"/>
  <c r="X27" i="13"/>
  <c r="X23" i="13"/>
  <c r="X42" i="13"/>
  <c r="X24" i="13"/>
  <c r="X18" i="13"/>
  <c r="X8" i="13"/>
  <c r="X6" i="13"/>
  <c r="X28" i="13"/>
  <c r="X25" i="13"/>
  <c r="X19" i="13"/>
  <c r="X9" i="13"/>
  <c r="X5" i="13"/>
  <c r="X32" i="13"/>
  <c r="X20" i="13"/>
  <c r="X10" i="13"/>
  <c r="X51" i="13" s="1"/>
  <c r="X11" i="13"/>
  <c r="X36" i="13"/>
  <c r="X7" i="13"/>
  <c r="X21" i="13"/>
  <c r="J55" i="13"/>
  <c r="I55" i="13"/>
  <c r="H55" i="13"/>
  <c r="G55" i="13"/>
  <c r="F55" i="13"/>
  <c r="H41" i="12"/>
  <c r="Y56" i="13" l="1"/>
  <c r="Q56" i="13"/>
  <c r="X56" i="13"/>
  <c r="P56" i="13"/>
  <c r="S56" i="13"/>
  <c r="V56" i="13"/>
  <c r="N56" i="13"/>
  <c r="O56" i="13"/>
  <c r="R56" i="13"/>
  <c r="U56" i="13"/>
  <c r="M56" i="13"/>
  <c r="K56" i="13"/>
  <c r="T56" i="13"/>
  <c r="L56" i="13"/>
  <c r="W56" i="13"/>
  <c r="N44" i="13"/>
  <c r="M39" i="13"/>
  <c r="M44" i="13"/>
  <c r="X44" i="13"/>
  <c r="V39" i="13"/>
  <c r="T44" i="13"/>
  <c r="R39" i="13"/>
  <c r="P39" i="13"/>
  <c r="N39" i="13"/>
  <c r="Y39" i="13"/>
  <c r="Y44" i="13"/>
  <c r="W39" i="13"/>
  <c r="W44" i="13"/>
  <c r="U39" i="13"/>
  <c r="U44" i="13"/>
  <c r="S39" i="13"/>
  <c r="S44" i="13"/>
  <c r="Q39" i="13"/>
  <c r="Q44" i="13"/>
  <c r="O39" i="13"/>
  <c r="O44" i="13"/>
  <c r="X39" i="13"/>
  <c r="V44" i="13"/>
  <c r="T39" i="13"/>
  <c r="R44" i="13"/>
  <c r="P44" i="13"/>
  <c r="BB57" i="2" l="1"/>
  <c r="BH57" i="2" s="1"/>
  <c r="BL57" i="2" s="1"/>
  <c r="BR57" i="2" s="1"/>
  <c r="BV57" i="2" s="1"/>
  <c r="CE57" i="2" s="1"/>
  <c r="CI57" i="2" s="1"/>
  <c r="CM57" i="2" s="1"/>
  <c r="AS44" i="2"/>
  <c r="AW44" i="2" s="1"/>
  <c r="BC44" i="2" s="1"/>
  <c r="BG44" i="2" s="1"/>
  <c r="BM44" i="2" s="1"/>
  <c r="BQ44" i="2" s="1"/>
  <c r="BW44" i="2" s="1"/>
  <c r="CD44" i="2" s="1"/>
  <c r="BM45" i="2"/>
  <c r="BQ45" i="2" s="1"/>
  <c r="BW45" i="2" s="1"/>
  <c r="CD45" i="2" s="1"/>
  <c r="BM46" i="2"/>
  <c r="BQ46" i="2" s="1"/>
  <c r="BW46" i="2" s="1"/>
  <c r="CD46" i="2" s="1"/>
  <c r="I30" i="2"/>
  <c r="O30" i="2" s="1"/>
  <c r="S30" i="2" s="1"/>
  <c r="Y30" i="2" s="1"/>
  <c r="AC30" i="2" s="1"/>
  <c r="AI30" i="2" s="1"/>
  <c r="AM30" i="2" s="1"/>
  <c r="AS30" i="2" s="1"/>
  <c r="AW30" i="2" s="1"/>
  <c r="BC30" i="2" s="1"/>
  <c r="BG30" i="2" s="1"/>
  <c r="BM30" i="2" s="1"/>
  <c r="BQ30" i="2" s="1"/>
  <c r="BW30" i="2" s="1"/>
  <c r="CD30" i="2" s="1"/>
  <c r="CK63" i="2"/>
  <c r="CK69" i="2" s="1"/>
  <c r="CK75" i="2" s="1"/>
  <c r="CJ63" i="2"/>
  <c r="BU63" i="2"/>
  <c r="BT63" i="2"/>
  <c r="BO63" i="2"/>
  <c r="BO69" i="2" s="1"/>
  <c r="BO75" i="2" s="1"/>
  <c r="BN63" i="2"/>
  <c r="BN69" i="2" s="1"/>
  <c r="BN75" i="2" s="1"/>
  <c r="BK63" i="2"/>
  <c r="BJ63" i="2"/>
  <c r="BD63" i="2"/>
  <c r="AT63" i="2"/>
  <c r="AT69" i="2" s="1"/>
  <c r="AT75" i="2" s="1"/>
  <c r="AJ63" i="2"/>
  <c r="Z63" i="2"/>
  <c r="P63" i="2"/>
  <c r="P69" i="2" s="1"/>
  <c r="P75" i="2" s="1"/>
  <c r="CD82" i="2"/>
  <c r="BR46" i="2"/>
  <c r="BV46" i="2" s="1"/>
  <c r="CE46" i="2" s="1"/>
  <c r="CI46" i="2" s="1"/>
  <c r="CM46" i="2" s="1"/>
  <c r="BR45" i="2"/>
  <c r="BV45" i="2" s="1"/>
  <c r="CE45" i="2" s="1"/>
  <c r="CI45" i="2" s="1"/>
  <c r="CM45" i="2" s="1"/>
  <c r="N33" i="2"/>
  <c r="T33" i="2" s="1"/>
  <c r="X33" i="2" s="1"/>
  <c r="AD33" i="2" s="1"/>
  <c r="AH33" i="2" s="1"/>
  <c r="AN33" i="2" s="1"/>
  <c r="AR33" i="2" s="1"/>
  <c r="AX33" i="2" s="1"/>
  <c r="BB33" i="2" s="1"/>
  <c r="BH33" i="2" s="1"/>
  <c r="BL33" i="2" s="1"/>
  <c r="BR33" i="2" s="1"/>
  <c r="BV33" i="2" s="1"/>
  <c r="CE33" i="2" s="1"/>
  <c r="CI33" i="2" s="1"/>
  <c r="CM33" i="2" s="1"/>
  <c r="I33" i="2"/>
  <c r="O33" i="2" s="1"/>
  <c r="S33" i="2" s="1"/>
  <c r="Y33" i="2" s="1"/>
  <c r="AC33" i="2" s="1"/>
  <c r="AI33" i="2" s="1"/>
  <c r="AM33" i="2" s="1"/>
  <c r="AS33" i="2" s="1"/>
  <c r="AW33" i="2" s="1"/>
  <c r="BC33" i="2" s="1"/>
  <c r="BG33" i="2" s="1"/>
  <c r="BS63" i="2"/>
  <c r="BP63" i="2"/>
  <c r="BU38" i="2"/>
  <c r="BU37" i="2" s="1"/>
  <c r="BT38" i="2"/>
  <c r="BS38" i="2"/>
  <c r="BP38" i="2"/>
  <c r="BP37" i="2" s="1"/>
  <c r="BO38" i="2"/>
  <c r="BO37" i="2" s="1"/>
  <c r="BN38" i="2"/>
  <c r="N66" i="2"/>
  <c r="T66" i="2" s="1"/>
  <c r="X66" i="2" s="1"/>
  <c r="AD66" i="2" s="1"/>
  <c r="AH66" i="2" s="1"/>
  <c r="AN66" i="2" s="1"/>
  <c r="AR66" i="2" s="1"/>
  <c r="AX66" i="2" s="1"/>
  <c r="BB66" i="2" s="1"/>
  <c r="BH66" i="2" s="1"/>
  <c r="I24" i="2"/>
  <c r="I27" i="2"/>
  <c r="O27" i="2" s="1"/>
  <c r="S27" i="2" s="1"/>
  <c r="Y27" i="2" s="1"/>
  <c r="AC27" i="2" s="1"/>
  <c r="AI27" i="2" s="1"/>
  <c r="AM27" i="2" s="1"/>
  <c r="AS27" i="2" s="1"/>
  <c r="AW27" i="2" s="1"/>
  <c r="BC27" i="2" s="1"/>
  <c r="BG27" i="2" s="1"/>
  <c r="BM27" i="2" s="1"/>
  <c r="BQ27" i="2" s="1"/>
  <c r="BW27" i="2" s="1"/>
  <c r="CD27" i="2" s="1"/>
  <c r="I25" i="2"/>
  <c r="O25" i="2" s="1"/>
  <c r="S25" i="2" s="1"/>
  <c r="I26" i="2"/>
  <c r="O26" i="2" s="1"/>
  <c r="S26" i="2" s="1"/>
  <c r="Y26" i="2" s="1"/>
  <c r="AC26" i="2" s="1"/>
  <c r="AI26" i="2" s="1"/>
  <c r="AM26" i="2" s="1"/>
  <c r="AS26" i="2" s="1"/>
  <c r="AW26" i="2" s="1"/>
  <c r="BC26" i="2" s="1"/>
  <c r="BG26" i="2" s="1"/>
  <c r="BM26" i="2" s="1"/>
  <c r="BQ26" i="2" s="1"/>
  <c r="BW26" i="2" s="1"/>
  <c r="CD26" i="2" s="1"/>
  <c r="I28" i="2"/>
  <c r="O28" i="2" s="1"/>
  <c r="S28" i="2" s="1"/>
  <c r="Y28" i="2" s="1"/>
  <c r="AC28" i="2" s="1"/>
  <c r="AI28" i="2" s="1"/>
  <c r="AM28" i="2" s="1"/>
  <c r="AS28" i="2" s="1"/>
  <c r="AW28" i="2" s="1"/>
  <c r="BC28" i="2" s="1"/>
  <c r="BG28" i="2" s="1"/>
  <c r="BM28" i="2" s="1"/>
  <c r="BQ28" i="2" s="1"/>
  <c r="BW28" i="2" s="1"/>
  <c r="CD28" i="2" s="1"/>
  <c r="I29" i="2"/>
  <c r="O29" i="2" s="1"/>
  <c r="O38" i="2" s="1"/>
  <c r="I31" i="2"/>
  <c r="O31" i="2" s="1"/>
  <c r="I32" i="2"/>
  <c r="O32" i="2" s="1"/>
  <c r="S32" i="2" s="1"/>
  <c r="Y32" i="2" s="1"/>
  <c r="AC32" i="2" s="1"/>
  <c r="AI32" i="2" s="1"/>
  <c r="AM32" i="2" s="1"/>
  <c r="AS32" i="2" s="1"/>
  <c r="AW32" i="2" s="1"/>
  <c r="BC32" i="2" s="1"/>
  <c r="BG32" i="2" s="1"/>
  <c r="BM32" i="2" s="1"/>
  <c r="BQ32" i="2" s="1"/>
  <c r="BW32" i="2" s="1"/>
  <c r="CD32" i="2" s="1"/>
  <c r="I41" i="2"/>
  <c r="O41" i="2" s="1"/>
  <c r="I42" i="2"/>
  <c r="O42" i="2" s="1"/>
  <c r="S42" i="2" s="1"/>
  <c r="Y42" i="2" s="1"/>
  <c r="AC42" i="2" s="1"/>
  <c r="AI42" i="2" s="1"/>
  <c r="AM42" i="2" s="1"/>
  <c r="AS42" i="2" s="1"/>
  <c r="AW42" i="2" s="1"/>
  <c r="BC42" i="2" s="1"/>
  <c r="BG42" i="2" s="1"/>
  <c r="BM42" i="2" s="1"/>
  <c r="BQ42" i="2" s="1"/>
  <c r="BW42" i="2" s="1"/>
  <c r="CD42" i="2" s="1"/>
  <c r="I43" i="2"/>
  <c r="O43" i="2" s="1"/>
  <c r="S43" i="2" s="1"/>
  <c r="Y43" i="2" s="1"/>
  <c r="AC43" i="2" s="1"/>
  <c r="AI43" i="2" s="1"/>
  <c r="AM43" i="2" s="1"/>
  <c r="AS43" i="2" s="1"/>
  <c r="AW43" i="2" s="1"/>
  <c r="BC43" i="2" s="1"/>
  <c r="BG43" i="2" s="1"/>
  <c r="BM43" i="2" s="1"/>
  <c r="BQ43" i="2" s="1"/>
  <c r="BW43" i="2" s="1"/>
  <c r="CD43" i="2" s="1"/>
  <c r="I47" i="2"/>
  <c r="O47" i="2" s="1"/>
  <c r="S47" i="2" s="1"/>
  <c r="Y47" i="2" s="1"/>
  <c r="AC47" i="2" s="1"/>
  <c r="AI47" i="2" s="1"/>
  <c r="AM47" i="2" s="1"/>
  <c r="AS47" i="2" s="1"/>
  <c r="AW47" i="2" s="1"/>
  <c r="BC47" i="2" s="1"/>
  <c r="BG47" i="2" s="1"/>
  <c r="BM47" i="2" s="1"/>
  <c r="BQ47" i="2" s="1"/>
  <c r="BW47" i="2" s="1"/>
  <c r="CD47" i="2" s="1"/>
  <c r="I48" i="2"/>
  <c r="O48" i="2" s="1"/>
  <c r="S48" i="2" s="1"/>
  <c r="Y48" i="2" s="1"/>
  <c r="AC48" i="2" s="1"/>
  <c r="AI48" i="2" s="1"/>
  <c r="AM48" i="2" s="1"/>
  <c r="AS48" i="2" s="1"/>
  <c r="AW48" i="2" s="1"/>
  <c r="BC48" i="2" s="1"/>
  <c r="BG48" i="2" s="1"/>
  <c r="BM48" i="2" s="1"/>
  <c r="BQ48" i="2" s="1"/>
  <c r="BW48" i="2" s="1"/>
  <c r="CD48" i="2" s="1"/>
  <c r="I49" i="2"/>
  <c r="O49" i="2" s="1"/>
  <c r="S49" i="2" s="1"/>
  <c r="Y49" i="2" s="1"/>
  <c r="AC49" i="2" s="1"/>
  <c r="AI49" i="2" s="1"/>
  <c r="AM49" i="2" s="1"/>
  <c r="AS49" i="2" s="1"/>
  <c r="AW49" i="2" s="1"/>
  <c r="BC49" i="2" s="1"/>
  <c r="BG49" i="2" s="1"/>
  <c r="BM49" i="2" s="1"/>
  <c r="BQ49" i="2" s="1"/>
  <c r="BW49" i="2" s="1"/>
  <c r="CD49" i="2" s="1"/>
  <c r="I56" i="2"/>
  <c r="O56" i="2" s="1"/>
  <c r="S56" i="2" s="1"/>
  <c r="Y56" i="2" s="1"/>
  <c r="AC56" i="2" s="1"/>
  <c r="AI56" i="2" s="1"/>
  <c r="AM56" i="2" s="1"/>
  <c r="AS56" i="2" s="1"/>
  <c r="AW56" i="2" s="1"/>
  <c r="BC56" i="2" s="1"/>
  <c r="BG56" i="2" s="1"/>
  <c r="BM56" i="2" s="1"/>
  <c r="BQ56" i="2" s="1"/>
  <c r="BW56" i="2" s="1"/>
  <c r="CD56" i="2" s="1"/>
  <c r="I77" i="2"/>
  <c r="O77" i="2" s="1"/>
  <c r="S77" i="2" s="1"/>
  <c r="Y77" i="2" s="1"/>
  <c r="AC77" i="2" s="1"/>
  <c r="AI77" i="2" s="1"/>
  <c r="AM77" i="2" s="1"/>
  <c r="AS77" i="2" s="1"/>
  <c r="AW77" i="2" s="1"/>
  <c r="BC77" i="2" s="1"/>
  <c r="BG77" i="2" s="1"/>
  <c r="BM77" i="2" s="1"/>
  <c r="BQ77" i="2" s="1"/>
  <c r="BW77" i="2" s="1"/>
  <c r="CD77" i="2" s="1"/>
  <c r="I78" i="2"/>
  <c r="O78" i="2" s="1"/>
  <c r="S78" i="2" s="1"/>
  <c r="Y78" i="2" s="1"/>
  <c r="AC78" i="2" s="1"/>
  <c r="AI78" i="2" s="1"/>
  <c r="AM78" i="2" s="1"/>
  <c r="AS78" i="2" s="1"/>
  <c r="AW78" i="2" s="1"/>
  <c r="BC78" i="2" s="1"/>
  <c r="BG78" i="2" s="1"/>
  <c r="BM78" i="2" s="1"/>
  <c r="BQ78" i="2" s="1"/>
  <c r="BW78" i="2" s="1"/>
  <c r="CD78" i="2" s="1"/>
  <c r="I79" i="2"/>
  <c r="O79" i="2" s="1"/>
  <c r="S79" i="2" s="1"/>
  <c r="Y79" i="2" s="1"/>
  <c r="AC79" i="2" s="1"/>
  <c r="AI79" i="2" s="1"/>
  <c r="AM79" i="2" s="1"/>
  <c r="AS79" i="2" s="1"/>
  <c r="AW79" i="2" s="1"/>
  <c r="BC79" i="2" s="1"/>
  <c r="BG79" i="2" s="1"/>
  <c r="BM79" i="2" s="1"/>
  <c r="BQ79" i="2" s="1"/>
  <c r="BW79" i="2" s="1"/>
  <c r="CD79" i="2" s="1"/>
  <c r="I80" i="2"/>
  <c r="O80" i="2" s="1"/>
  <c r="S80" i="2" s="1"/>
  <c r="Y80" i="2" s="1"/>
  <c r="AC80" i="2" s="1"/>
  <c r="AI80" i="2" s="1"/>
  <c r="AM80" i="2" s="1"/>
  <c r="AS80" i="2" s="1"/>
  <c r="AW80" i="2" s="1"/>
  <c r="BC80" i="2" s="1"/>
  <c r="BG80" i="2" s="1"/>
  <c r="BM80" i="2" s="1"/>
  <c r="BQ80" i="2" s="1"/>
  <c r="BW80" i="2" s="1"/>
  <c r="CD80" i="2" s="1"/>
  <c r="I58" i="2"/>
  <c r="O58" i="2" s="1"/>
  <c r="S58" i="2" s="1"/>
  <c r="Y58" i="2" s="1"/>
  <c r="AC58" i="2" s="1"/>
  <c r="AI58" i="2" s="1"/>
  <c r="AM58" i="2" s="1"/>
  <c r="AS58" i="2" s="1"/>
  <c r="AW58" i="2" s="1"/>
  <c r="BC58" i="2" s="1"/>
  <c r="BG58" i="2" s="1"/>
  <c r="BM58" i="2" s="1"/>
  <c r="BQ58" i="2" s="1"/>
  <c r="BW58" i="2" s="1"/>
  <c r="CD58" i="2" s="1"/>
  <c r="I59" i="2"/>
  <c r="O59" i="2" s="1"/>
  <c r="S59" i="2" s="1"/>
  <c r="Y59" i="2" s="1"/>
  <c r="AC59" i="2" s="1"/>
  <c r="AI59" i="2" s="1"/>
  <c r="AM59" i="2" s="1"/>
  <c r="AS59" i="2" s="1"/>
  <c r="AW59" i="2" s="1"/>
  <c r="BC59" i="2" s="1"/>
  <c r="BG59" i="2" s="1"/>
  <c r="BM59" i="2" s="1"/>
  <c r="BQ59" i="2" s="1"/>
  <c r="BW59" i="2" s="1"/>
  <c r="CD59" i="2" s="1"/>
  <c r="I60" i="2"/>
  <c r="O60" i="2" s="1"/>
  <c r="S60" i="2" s="1"/>
  <c r="Y60" i="2" s="1"/>
  <c r="AC60" i="2" s="1"/>
  <c r="AI60" i="2" s="1"/>
  <c r="AM60" i="2" s="1"/>
  <c r="AS60" i="2" s="1"/>
  <c r="AW60" i="2" s="1"/>
  <c r="BC60" i="2" s="1"/>
  <c r="BG60" i="2" s="1"/>
  <c r="BM60" i="2" s="1"/>
  <c r="BQ60" i="2" s="1"/>
  <c r="BW60" i="2" s="1"/>
  <c r="CD60" i="2" s="1"/>
  <c r="I61" i="2"/>
  <c r="O61" i="2" s="1"/>
  <c r="S61" i="2" s="1"/>
  <c r="Y61" i="2" s="1"/>
  <c r="AC61" i="2" s="1"/>
  <c r="AI61" i="2" s="1"/>
  <c r="AM61" i="2" s="1"/>
  <c r="AS61" i="2" s="1"/>
  <c r="AW61" i="2" s="1"/>
  <c r="BC61" i="2" s="1"/>
  <c r="BG61" i="2" s="1"/>
  <c r="BM61" i="2" s="1"/>
  <c r="BQ61" i="2" s="1"/>
  <c r="BW61" i="2" s="1"/>
  <c r="CD61" i="2" s="1"/>
  <c r="N27" i="2"/>
  <c r="T27" i="2" s="1"/>
  <c r="X27" i="2" s="1"/>
  <c r="AD27" i="2" s="1"/>
  <c r="AH27" i="2" s="1"/>
  <c r="AN27" i="2" s="1"/>
  <c r="AR27" i="2" s="1"/>
  <c r="AX27" i="2" s="1"/>
  <c r="BB27" i="2" s="1"/>
  <c r="BH27" i="2" s="1"/>
  <c r="BL27" i="2" s="1"/>
  <c r="BR27" i="2" s="1"/>
  <c r="BV27" i="2" s="1"/>
  <c r="CE27" i="2" s="1"/>
  <c r="CI27" i="2" s="1"/>
  <c r="CM27" i="2" s="1"/>
  <c r="N24" i="2"/>
  <c r="N25" i="2"/>
  <c r="T25" i="2" s="1"/>
  <c r="X25" i="2" s="1"/>
  <c r="AD25" i="2" s="1"/>
  <c r="AH25" i="2" s="1"/>
  <c r="AN25" i="2" s="1"/>
  <c r="AR25" i="2" s="1"/>
  <c r="AX25" i="2" s="1"/>
  <c r="BB25" i="2" s="1"/>
  <c r="BH25" i="2" s="1"/>
  <c r="BL25" i="2" s="1"/>
  <c r="BR25" i="2" s="1"/>
  <c r="BV25" i="2" s="1"/>
  <c r="CE25" i="2" s="1"/>
  <c r="CI25" i="2" s="1"/>
  <c r="CM25" i="2" s="1"/>
  <c r="N26" i="2"/>
  <c r="T26" i="2" s="1"/>
  <c r="X26" i="2" s="1"/>
  <c r="AD26" i="2" s="1"/>
  <c r="AH26" i="2" s="1"/>
  <c r="AN26" i="2" s="1"/>
  <c r="AR26" i="2" s="1"/>
  <c r="AX26" i="2" s="1"/>
  <c r="BB26" i="2" s="1"/>
  <c r="BH26" i="2" s="1"/>
  <c r="BL26" i="2" s="1"/>
  <c r="BR26" i="2" s="1"/>
  <c r="BV26" i="2" s="1"/>
  <c r="CE26" i="2" s="1"/>
  <c r="CI26" i="2" s="1"/>
  <c r="CM26" i="2" s="1"/>
  <c r="N28" i="2"/>
  <c r="T28" i="2" s="1"/>
  <c r="X28" i="2" s="1"/>
  <c r="AD28" i="2" s="1"/>
  <c r="AH28" i="2" s="1"/>
  <c r="AN28" i="2" s="1"/>
  <c r="AR28" i="2" s="1"/>
  <c r="AX28" i="2" s="1"/>
  <c r="BB28" i="2" s="1"/>
  <c r="BH28" i="2" s="1"/>
  <c r="BL28" i="2" s="1"/>
  <c r="N29" i="2"/>
  <c r="T29" i="2" s="1"/>
  <c r="N30" i="2"/>
  <c r="T30" i="2" s="1"/>
  <c r="X30" i="2" s="1"/>
  <c r="AD30" i="2" s="1"/>
  <c r="AH30" i="2" s="1"/>
  <c r="AN30" i="2" s="1"/>
  <c r="AR30" i="2" s="1"/>
  <c r="AX30" i="2" s="1"/>
  <c r="BB30" i="2" s="1"/>
  <c r="BH30" i="2" s="1"/>
  <c r="BL30" i="2" s="1"/>
  <c r="BR30" i="2" s="1"/>
  <c r="BV30" i="2" s="1"/>
  <c r="CE30" i="2" s="1"/>
  <c r="CI30" i="2" s="1"/>
  <c r="CM30" i="2" s="1"/>
  <c r="N31" i="2"/>
  <c r="T31" i="2" s="1"/>
  <c r="X31" i="2" s="1"/>
  <c r="AD31" i="2" s="1"/>
  <c r="AH31" i="2" s="1"/>
  <c r="AN31" i="2" s="1"/>
  <c r="AR31" i="2" s="1"/>
  <c r="AX31" i="2" s="1"/>
  <c r="BB31" i="2" s="1"/>
  <c r="BH31" i="2" s="1"/>
  <c r="BL31" i="2" s="1"/>
  <c r="BR31" i="2" s="1"/>
  <c r="BV31" i="2" s="1"/>
  <c r="CE31" i="2" s="1"/>
  <c r="CI31" i="2" s="1"/>
  <c r="CM31" i="2" s="1"/>
  <c r="N32" i="2"/>
  <c r="T32" i="2" s="1"/>
  <c r="X32" i="2" s="1"/>
  <c r="AD32" i="2" s="1"/>
  <c r="AH32" i="2" s="1"/>
  <c r="AN32" i="2" s="1"/>
  <c r="AR32" i="2" s="1"/>
  <c r="AX32" i="2" s="1"/>
  <c r="BB32" i="2" s="1"/>
  <c r="BH32" i="2" s="1"/>
  <c r="BL32" i="2" s="1"/>
  <c r="BR32" i="2" s="1"/>
  <c r="BV32" i="2" s="1"/>
  <c r="CE32" i="2" s="1"/>
  <c r="CI32" i="2" s="1"/>
  <c r="CM32" i="2" s="1"/>
  <c r="N41" i="2"/>
  <c r="T41" i="2" s="1"/>
  <c r="X41" i="2" s="1"/>
  <c r="AD41" i="2" s="1"/>
  <c r="AH41" i="2" s="1"/>
  <c r="AN41" i="2" s="1"/>
  <c r="AR41" i="2" s="1"/>
  <c r="AX41" i="2" s="1"/>
  <c r="BB41" i="2" s="1"/>
  <c r="N42" i="2"/>
  <c r="T42" i="2" s="1"/>
  <c r="X42" i="2" s="1"/>
  <c r="AD42" i="2" s="1"/>
  <c r="N43" i="2"/>
  <c r="T43" i="2" s="1"/>
  <c r="X43" i="2" s="1"/>
  <c r="AD43" i="2" s="1"/>
  <c r="AH43" i="2" s="1"/>
  <c r="AN43" i="2" s="1"/>
  <c r="AR43" i="2" s="1"/>
  <c r="AX43" i="2" s="1"/>
  <c r="BB43" i="2" s="1"/>
  <c r="BH43" i="2" s="1"/>
  <c r="BL43" i="2" s="1"/>
  <c r="BR43" i="2" s="1"/>
  <c r="BV43" i="2" s="1"/>
  <c r="CE43" i="2" s="1"/>
  <c r="CI43" i="2" s="1"/>
  <c r="CM43" i="2" s="1"/>
  <c r="AX44" i="2"/>
  <c r="BB44" i="2" s="1"/>
  <c r="BH44" i="2" s="1"/>
  <c r="BL44" i="2" s="1"/>
  <c r="N47" i="2"/>
  <c r="T47" i="2" s="1"/>
  <c r="X47" i="2" s="1"/>
  <c r="AD47" i="2" s="1"/>
  <c r="AH47" i="2" s="1"/>
  <c r="AN47" i="2" s="1"/>
  <c r="AR47" i="2" s="1"/>
  <c r="AX47" i="2" s="1"/>
  <c r="BB47" i="2" s="1"/>
  <c r="BH47" i="2" s="1"/>
  <c r="BL47" i="2" s="1"/>
  <c r="BR47" i="2" s="1"/>
  <c r="BV47" i="2" s="1"/>
  <c r="CE47" i="2" s="1"/>
  <c r="CI47" i="2" s="1"/>
  <c r="CM47" i="2" s="1"/>
  <c r="N48" i="2"/>
  <c r="T48" i="2" s="1"/>
  <c r="X48" i="2" s="1"/>
  <c r="AD48" i="2" s="1"/>
  <c r="AH48" i="2" s="1"/>
  <c r="N49" i="2"/>
  <c r="T49" i="2" s="1"/>
  <c r="X49" i="2" s="1"/>
  <c r="AD49" i="2" s="1"/>
  <c r="AH49" i="2" s="1"/>
  <c r="AN49" i="2" s="1"/>
  <c r="AR49" i="2" s="1"/>
  <c r="AX49" i="2" s="1"/>
  <c r="BB49" i="2" s="1"/>
  <c r="BH49" i="2" s="1"/>
  <c r="BL49" i="2" s="1"/>
  <c r="BR49" i="2" s="1"/>
  <c r="BV49" i="2" s="1"/>
  <c r="CE49" i="2" s="1"/>
  <c r="CI49" i="2" s="1"/>
  <c r="CM49" i="2" s="1"/>
  <c r="N56" i="2"/>
  <c r="T56" i="2" s="1"/>
  <c r="X56" i="2" s="1"/>
  <c r="AD56" i="2" s="1"/>
  <c r="AH56" i="2" s="1"/>
  <c r="AN56" i="2" s="1"/>
  <c r="AR56" i="2" s="1"/>
  <c r="AX56" i="2" s="1"/>
  <c r="BB56" i="2" s="1"/>
  <c r="BH56" i="2" s="1"/>
  <c r="BL56" i="2" s="1"/>
  <c r="BR56" i="2" s="1"/>
  <c r="BV56" i="2" s="1"/>
  <c r="CE56" i="2" s="1"/>
  <c r="CI56" i="2" s="1"/>
  <c r="CM56" i="2" s="1"/>
  <c r="N77" i="2"/>
  <c r="T77" i="2" s="1"/>
  <c r="X77" i="2" s="1"/>
  <c r="AD77" i="2" s="1"/>
  <c r="AH77" i="2" s="1"/>
  <c r="AN77" i="2" s="1"/>
  <c r="AR77" i="2" s="1"/>
  <c r="AX77" i="2" s="1"/>
  <c r="BB77" i="2" s="1"/>
  <c r="BH77" i="2" s="1"/>
  <c r="BL77" i="2" s="1"/>
  <c r="BR77" i="2" s="1"/>
  <c r="BV77" i="2" s="1"/>
  <c r="CE77" i="2" s="1"/>
  <c r="CI77" i="2" s="1"/>
  <c r="CM77" i="2" s="1"/>
  <c r="N78" i="2"/>
  <c r="T78" i="2" s="1"/>
  <c r="X78" i="2" s="1"/>
  <c r="AD78" i="2" s="1"/>
  <c r="AH78" i="2" s="1"/>
  <c r="AN78" i="2" s="1"/>
  <c r="AR78" i="2" s="1"/>
  <c r="AX78" i="2" s="1"/>
  <c r="BB78" i="2" s="1"/>
  <c r="BH78" i="2" s="1"/>
  <c r="BL78" i="2" s="1"/>
  <c r="BR78" i="2" s="1"/>
  <c r="BV78" i="2" s="1"/>
  <c r="CE78" i="2" s="1"/>
  <c r="CI78" i="2" s="1"/>
  <c r="CM78" i="2" s="1"/>
  <c r="N79" i="2"/>
  <c r="T79" i="2" s="1"/>
  <c r="X79" i="2" s="1"/>
  <c r="AD79" i="2" s="1"/>
  <c r="AH79" i="2" s="1"/>
  <c r="AN79" i="2" s="1"/>
  <c r="AR79" i="2" s="1"/>
  <c r="AX79" i="2" s="1"/>
  <c r="BB79" i="2" s="1"/>
  <c r="BH79" i="2" s="1"/>
  <c r="BL79" i="2" s="1"/>
  <c r="BR79" i="2" s="1"/>
  <c r="BV79" i="2" s="1"/>
  <c r="CE79" i="2" s="1"/>
  <c r="CI79" i="2" s="1"/>
  <c r="CM79" i="2" s="1"/>
  <c r="N80" i="2"/>
  <c r="T80" i="2" s="1"/>
  <c r="X80" i="2" s="1"/>
  <c r="AD80" i="2" s="1"/>
  <c r="AH80" i="2" s="1"/>
  <c r="AN80" i="2" s="1"/>
  <c r="AR80" i="2" s="1"/>
  <c r="AX80" i="2" s="1"/>
  <c r="BB80" i="2" s="1"/>
  <c r="BH80" i="2" s="1"/>
  <c r="BL80" i="2" s="1"/>
  <c r="BR80" i="2" s="1"/>
  <c r="BV80" i="2" s="1"/>
  <c r="CE80" i="2" s="1"/>
  <c r="CI80" i="2" s="1"/>
  <c r="CM80" i="2" s="1"/>
  <c r="N58" i="2"/>
  <c r="T58" i="2" s="1"/>
  <c r="X58" i="2" s="1"/>
  <c r="AD58" i="2" s="1"/>
  <c r="AH58" i="2" s="1"/>
  <c r="AN58" i="2" s="1"/>
  <c r="AR58" i="2" s="1"/>
  <c r="AX58" i="2" s="1"/>
  <c r="BB58" i="2" s="1"/>
  <c r="BH58" i="2" s="1"/>
  <c r="BL58" i="2" s="1"/>
  <c r="BR58" i="2" s="1"/>
  <c r="BV58" i="2" s="1"/>
  <c r="CE58" i="2" s="1"/>
  <c r="CI58" i="2" s="1"/>
  <c r="CM58" i="2" s="1"/>
  <c r="N59" i="2"/>
  <c r="T59" i="2" s="1"/>
  <c r="X59" i="2" s="1"/>
  <c r="AD59" i="2" s="1"/>
  <c r="AH59" i="2" s="1"/>
  <c r="AN59" i="2" s="1"/>
  <c r="AR59" i="2" s="1"/>
  <c r="AX59" i="2" s="1"/>
  <c r="BB59" i="2" s="1"/>
  <c r="BH59" i="2" s="1"/>
  <c r="BL59" i="2" s="1"/>
  <c r="BR59" i="2" s="1"/>
  <c r="BV59" i="2" s="1"/>
  <c r="CE59" i="2" s="1"/>
  <c r="CI59" i="2" s="1"/>
  <c r="CM59" i="2" s="1"/>
  <c r="N60" i="2"/>
  <c r="T60" i="2" s="1"/>
  <c r="X60" i="2" s="1"/>
  <c r="AD60" i="2" s="1"/>
  <c r="AH60" i="2" s="1"/>
  <c r="AN60" i="2" s="1"/>
  <c r="AR60" i="2" s="1"/>
  <c r="AX60" i="2" s="1"/>
  <c r="BB60" i="2" s="1"/>
  <c r="BH60" i="2" s="1"/>
  <c r="BL60" i="2" s="1"/>
  <c r="BR60" i="2" s="1"/>
  <c r="BV60" i="2" s="1"/>
  <c r="CE60" i="2" s="1"/>
  <c r="CI60" i="2" s="1"/>
  <c r="CM60" i="2" s="1"/>
  <c r="N61" i="2"/>
  <c r="T61" i="2" s="1"/>
  <c r="X61" i="2" s="1"/>
  <c r="AD61" i="2" s="1"/>
  <c r="AH61" i="2" s="1"/>
  <c r="AN61" i="2" s="1"/>
  <c r="AR61" i="2" s="1"/>
  <c r="AX61" i="2" s="1"/>
  <c r="BB61" i="2" s="1"/>
  <c r="BH61" i="2" s="1"/>
  <c r="BL61" i="2" s="1"/>
  <c r="BR61" i="2" s="1"/>
  <c r="BV61" i="2" s="1"/>
  <c r="CE61" i="2" s="1"/>
  <c r="CI61" i="2" s="1"/>
  <c r="CM61" i="2" s="1"/>
  <c r="I66" i="2"/>
  <c r="O66" i="2" s="1"/>
  <c r="S66" i="2" s="1"/>
  <c r="Y66" i="2" s="1"/>
  <c r="AC66" i="2" s="1"/>
  <c r="AI66" i="2" s="1"/>
  <c r="AM66" i="2" s="1"/>
  <c r="AS66" i="2" s="1"/>
  <c r="AW66" i="2" s="1"/>
  <c r="BC66" i="2" s="1"/>
  <c r="BG66" i="2" s="1"/>
  <c r="BM66" i="2" s="1"/>
  <c r="BQ66" i="2" s="1"/>
  <c r="BW66" i="2" s="1"/>
  <c r="CD66" i="2" s="1"/>
  <c r="I67" i="2"/>
  <c r="O67" i="2" s="1"/>
  <c r="S67" i="2" s="1"/>
  <c r="Y67" i="2" s="1"/>
  <c r="AC67" i="2" s="1"/>
  <c r="AI67" i="2" s="1"/>
  <c r="AM67" i="2" s="1"/>
  <c r="AS67" i="2" s="1"/>
  <c r="AW67" i="2" s="1"/>
  <c r="BC67" i="2" s="1"/>
  <c r="BG67" i="2" s="1"/>
  <c r="BM67" i="2" s="1"/>
  <c r="BQ67" i="2" s="1"/>
  <c r="BW67" i="2" s="1"/>
  <c r="CD67" i="2" s="1"/>
  <c r="N67" i="2"/>
  <c r="T67" i="2" s="1"/>
  <c r="X67" i="2" s="1"/>
  <c r="AD67" i="2" s="1"/>
  <c r="AH67" i="2" s="1"/>
  <c r="AN67" i="2" s="1"/>
  <c r="AR67" i="2" s="1"/>
  <c r="AX67" i="2" s="1"/>
  <c r="BB67" i="2" s="1"/>
  <c r="BH67" i="2" s="1"/>
  <c r="BL67" i="2" s="1"/>
  <c r="BR67" i="2" s="1"/>
  <c r="BV67" i="2" s="1"/>
  <c r="CE67" i="2" s="1"/>
  <c r="CI67" i="2" s="1"/>
  <c r="CM67" i="2" s="1"/>
  <c r="N65" i="2"/>
  <c r="T65" i="2" s="1"/>
  <c r="X65" i="2" s="1"/>
  <c r="AD65" i="2" s="1"/>
  <c r="AH65" i="2" s="1"/>
  <c r="AN65" i="2" s="1"/>
  <c r="AR65" i="2" s="1"/>
  <c r="AX65" i="2" s="1"/>
  <c r="BB65" i="2" s="1"/>
  <c r="BH65" i="2" s="1"/>
  <c r="BL65" i="2" s="1"/>
  <c r="BR65" i="2" s="1"/>
  <c r="BV65" i="2" s="1"/>
  <c r="CE65" i="2" s="1"/>
  <c r="CI65" i="2" s="1"/>
  <c r="CM65" i="2" s="1"/>
  <c r="I65" i="2"/>
  <c r="O65" i="2" s="1"/>
  <c r="S65" i="2" s="1"/>
  <c r="Y65" i="2" s="1"/>
  <c r="AC65" i="2" s="1"/>
  <c r="AI65" i="2" s="1"/>
  <c r="AM65" i="2" s="1"/>
  <c r="AS65" i="2" s="1"/>
  <c r="AW65" i="2" s="1"/>
  <c r="BC65" i="2" s="1"/>
  <c r="BG65" i="2" s="1"/>
  <c r="BM65" i="2" s="1"/>
  <c r="BQ65" i="2" s="1"/>
  <c r="BW65" i="2" s="1"/>
  <c r="CD65" i="2" s="1"/>
  <c r="AX50" i="2"/>
  <c r="BB50" i="2" s="1"/>
  <c r="BH50" i="2" s="1"/>
  <c r="BL50" i="2" s="1"/>
  <c r="BR50" i="2" s="1"/>
  <c r="BV50" i="2" s="1"/>
  <c r="CE50" i="2" s="1"/>
  <c r="CI50" i="2" s="1"/>
  <c r="CM50" i="2" s="1"/>
  <c r="AW50" i="2"/>
  <c r="BC50" i="2" s="1"/>
  <c r="BG50" i="2" s="1"/>
  <c r="BM50" i="2" s="1"/>
  <c r="BQ50" i="2" s="1"/>
  <c r="BW50" i="2" s="1"/>
  <c r="CD50" i="2" s="1"/>
  <c r="AX51" i="2"/>
  <c r="BB51" i="2" s="1"/>
  <c r="BH51" i="2" s="1"/>
  <c r="BL51" i="2" s="1"/>
  <c r="BR51" i="2" s="1"/>
  <c r="BV51" i="2" s="1"/>
  <c r="CE51" i="2" s="1"/>
  <c r="CI51" i="2" s="1"/>
  <c r="CM51" i="2" s="1"/>
  <c r="AW51" i="2"/>
  <c r="BC51" i="2" s="1"/>
  <c r="BG51" i="2" s="1"/>
  <c r="BM51" i="2" s="1"/>
  <c r="BQ51" i="2" s="1"/>
  <c r="BW51" i="2" s="1"/>
  <c r="CD51" i="2" s="1"/>
  <c r="AX52" i="2"/>
  <c r="BB52" i="2" s="1"/>
  <c r="BH52" i="2" s="1"/>
  <c r="BL52" i="2" s="1"/>
  <c r="BR52" i="2" s="1"/>
  <c r="BV52" i="2" s="1"/>
  <c r="CE52" i="2" s="1"/>
  <c r="CI52" i="2" s="1"/>
  <c r="CM52" i="2" s="1"/>
  <c r="AW52" i="2"/>
  <c r="BC52" i="2" s="1"/>
  <c r="BG52" i="2" s="1"/>
  <c r="BM52" i="2" s="1"/>
  <c r="BQ52" i="2" s="1"/>
  <c r="BW52" i="2" s="1"/>
  <c r="CD52" i="2" s="1"/>
  <c r="AX53" i="2"/>
  <c r="BB53" i="2" s="1"/>
  <c r="BH53" i="2" s="1"/>
  <c r="BL53" i="2" s="1"/>
  <c r="BR53" i="2" s="1"/>
  <c r="BV53" i="2" s="1"/>
  <c r="CE53" i="2" s="1"/>
  <c r="CI53" i="2" s="1"/>
  <c r="CM53" i="2" s="1"/>
  <c r="AW53" i="2"/>
  <c r="BC53" i="2" s="1"/>
  <c r="BG53" i="2" s="1"/>
  <c r="BM53" i="2" s="1"/>
  <c r="BQ53" i="2" s="1"/>
  <c r="BW53" i="2" s="1"/>
  <c r="CD53" i="2" s="1"/>
  <c r="AX54" i="2"/>
  <c r="BB54" i="2" s="1"/>
  <c r="BH54" i="2" s="1"/>
  <c r="BL54" i="2" s="1"/>
  <c r="BR54" i="2" s="1"/>
  <c r="BV54" i="2" s="1"/>
  <c r="CE54" i="2" s="1"/>
  <c r="CI54" i="2" s="1"/>
  <c r="CM54" i="2" s="1"/>
  <c r="AW54" i="2"/>
  <c r="BC54" i="2" s="1"/>
  <c r="BG54" i="2" s="1"/>
  <c r="BM54" i="2" s="1"/>
  <c r="BQ54" i="2" s="1"/>
  <c r="BW54" i="2" s="1"/>
  <c r="CD54" i="2" s="1"/>
  <c r="AX55" i="2"/>
  <c r="BB55" i="2" s="1"/>
  <c r="BH55" i="2" s="1"/>
  <c r="BL55" i="2" s="1"/>
  <c r="BR55" i="2" s="1"/>
  <c r="BV55" i="2" s="1"/>
  <c r="CE55" i="2" s="1"/>
  <c r="CI55" i="2" s="1"/>
  <c r="CM55" i="2" s="1"/>
  <c r="AW55" i="2"/>
  <c r="BC55" i="2" s="1"/>
  <c r="BG55" i="2" s="1"/>
  <c r="BM55" i="2" s="1"/>
  <c r="BQ55" i="2" s="1"/>
  <c r="BW55" i="2" s="1"/>
  <c r="CD55" i="2" s="1"/>
  <c r="I87" i="2"/>
  <c r="O87" i="2" s="1"/>
  <c r="S87" i="2" s="1"/>
  <c r="Y87" i="2" s="1"/>
  <c r="AC87" i="2" s="1"/>
  <c r="AI87" i="2" s="1"/>
  <c r="AM87" i="2" s="1"/>
  <c r="AS87" i="2" s="1"/>
  <c r="AW87" i="2" s="1"/>
  <c r="BC87" i="2" s="1"/>
  <c r="BG87" i="2" s="1"/>
  <c r="BM87" i="2" s="1"/>
  <c r="BQ87" i="2" s="1"/>
  <c r="BW87" i="2" s="1"/>
  <c r="CD87" i="2" s="1"/>
  <c r="N87" i="2"/>
  <c r="T87" i="2" s="1"/>
  <c r="X87" i="2" s="1"/>
  <c r="AD87" i="2" s="1"/>
  <c r="AH87" i="2" s="1"/>
  <c r="AN87" i="2" s="1"/>
  <c r="AR87" i="2" s="1"/>
  <c r="AX87" i="2" s="1"/>
  <c r="BB87" i="2" s="1"/>
  <c r="BH87" i="2" s="1"/>
  <c r="BL87" i="2" s="1"/>
  <c r="BR87" i="2" s="1"/>
  <c r="BV87" i="2" s="1"/>
  <c r="CE87" i="2" s="1"/>
  <c r="CI87" i="2" s="1"/>
  <c r="CM87" i="2" s="1"/>
  <c r="BG57" i="2"/>
  <c r="BM57" i="2" s="1"/>
  <c r="BQ57" i="2" s="1"/>
  <c r="BW57" i="2" s="1"/>
  <c r="CD57" i="2" s="1"/>
  <c r="I88" i="2"/>
  <c r="O88" i="2" s="1"/>
  <c r="S88" i="2" s="1"/>
  <c r="Y88" i="2" s="1"/>
  <c r="AC88" i="2" s="1"/>
  <c r="AI88" i="2" s="1"/>
  <c r="AM88" i="2" s="1"/>
  <c r="AS88" i="2" s="1"/>
  <c r="AW88" i="2" s="1"/>
  <c r="BC88" i="2" s="1"/>
  <c r="BG88" i="2" s="1"/>
  <c r="BM88" i="2" s="1"/>
  <c r="BQ88" i="2" s="1"/>
  <c r="BW88" i="2" s="1"/>
  <c r="CD88" i="2" s="1"/>
  <c r="N88" i="2"/>
  <c r="T88" i="2" s="1"/>
  <c r="X88" i="2" s="1"/>
  <c r="AD88" i="2" s="1"/>
  <c r="AH88" i="2" s="1"/>
  <c r="AN88" i="2" s="1"/>
  <c r="AR88" i="2" s="1"/>
  <c r="AX88" i="2" s="1"/>
  <c r="BB88" i="2" s="1"/>
  <c r="BH88" i="2" s="1"/>
  <c r="BL88" i="2" s="1"/>
  <c r="BR88" i="2" s="1"/>
  <c r="BV88" i="2" s="1"/>
  <c r="CE88" i="2" s="1"/>
  <c r="CI88" i="2" s="1"/>
  <c r="CM88" i="2" s="1"/>
  <c r="CO38" i="2"/>
  <c r="CO37" i="2" s="1"/>
  <c r="CN38" i="2"/>
  <c r="CJ38" i="2"/>
  <c r="CJ37" i="2" s="1"/>
  <c r="CK38" i="2"/>
  <c r="CK37" i="2" s="1"/>
  <c r="J63" i="2"/>
  <c r="J69" i="2" s="1"/>
  <c r="J75" i="2" s="1"/>
  <c r="K63" i="2"/>
  <c r="L63" i="2"/>
  <c r="L69" i="2" s="1"/>
  <c r="L75" i="2" s="1"/>
  <c r="M63" i="2"/>
  <c r="M69" i="2" s="1"/>
  <c r="M75" i="2" s="1"/>
  <c r="I86" i="2"/>
  <c r="O86" i="2" s="1"/>
  <c r="S86" i="2" s="1"/>
  <c r="Y86" i="2" s="1"/>
  <c r="AC86" i="2" s="1"/>
  <c r="AI86" i="2" s="1"/>
  <c r="AM86" i="2" s="1"/>
  <c r="AS86" i="2" s="1"/>
  <c r="AW86" i="2" s="1"/>
  <c r="BC86" i="2" s="1"/>
  <c r="BG86" i="2" s="1"/>
  <c r="BM86" i="2" s="1"/>
  <c r="BQ86" i="2" s="1"/>
  <c r="BW86" i="2" s="1"/>
  <c r="CD86" i="2" s="1"/>
  <c r="N86" i="2"/>
  <c r="T86" i="2" s="1"/>
  <c r="X86" i="2" s="1"/>
  <c r="AD86" i="2" s="1"/>
  <c r="AH86" i="2" s="1"/>
  <c r="AN86" i="2" s="1"/>
  <c r="AR86" i="2" s="1"/>
  <c r="AX86" i="2" s="1"/>
  <c r="BB86" i="2" s="1"/>
  <c r="BH86" i="2" s="1"/>
  <c r="BL86" i="2" s="1"/>
  <c r="BR86" i="2" s="1"/>
  <c r="BV86" i="2" s="1"/>
  <c r="CE86" i="2" s="1"/>
  <c r="CI86" i="2" s="1"/>
  <c r="CM86" i="2" s="1"/>
  <c r="CQ38" i="2"/>
  <c r="G63" i="2"/>
  <c r="G69" i="2" s="1"/>
  <c r="G75" i="2" s="1"/>
  <c r="H63" i="2"/>
  <c r="H69" i="2" s="1"/>
  <c r="H75" i="2" s="1"/>
  <c r="Q63" i="2"/>
  <c r="Q69" i="2" s="1"/>
  <c r="Q75" i="2" s="1"/>
  <c r="R63" i="2"/>
  <c r="R69" i="2" s="1"/>
  <c r="R75" i="2" s="1"/>
  <c r="U63" i="2"/>
  <c r="U69" i="2" s="1"/>
  <c r="U75" i="2" s="1"/>
  <c r="V63" i="2"/>
  <c r="V69" i="2" s="1"/>
  <c r="V75" i="2" s="1"/>
  <c r="W63" i="2"/>
  <c r="W69" i="2" s="1"/>
  <c r="W75" i="2" s="1"/>
  <c r="AA63" i="2"/>
  <c r="AA69" i="2" s="1"/>
  <c r="AA75" i="2" s="1"/>
  <c r="AB63" i="2"/>
  <c r="AB69" i="2" s="1"/>
  <c r="AB75" i="2" s="1"/>
  <c r="AE63" i="2"/>
  <c r="AE69" i="2" s="1"/>
  <c r="AE75" i="2" s="1"/>
  <c r="AF63" i="2"/>
  <c r="AF69" i="2" s="1"/>
  <c r="AF75" i="2" s="1"/>
  <c r="AG63" i="2"/>
  <c r="AG69" i="2" s="1"/>
  <c r="AG75" i="2" s="1"/>
  <c r="AK63" i="2"/>
  <c r="AK69" i="2" s="1"/>
  <c r="AK75" i="2" s="1"/>
  <c r="AL63" i="2"/>
  <c r="AL69" i="2" s="1"/>
  <c r="AL75" i="2" s="1"/>
  <c r="AO63" i="2"/>
  <c r="AO69" i="2" s="1"/>
  <c r="AO75" i="2" s="1"/>
  <c r="AP63" i="2"/>
  <c r="AP69" i="2" s="1"/>
  <c r="AP75" i="2" s="1"/>
  <c r="AQ63" i="2"/>
  <c r="AQ69" i="2" s="1"/>
  <c r="AQ75" i="2" s="1"/>
  <c r="AU63" i="2"/>
  <c r="AU69" i="2" s="1"/>
  <c r="AU75" i="2" s="1"/>
  <c r="AV63" i="2"/>
  <c r="AV69" i="2" s="1"/>
  <c r="AV75" i="2" s="1"/>
  <c r="AY63" i="2"/>
  <c r="AY69" i="2" s="1"/>
  <c r="AY75" i="2" s="1"/>
  <c r="AZ63" i="2"/>
  <c r="AZ69" i="2" s="1"/>
  <c r="AZ75" i="2" s="1"/>
  <c r="BA63" i="2"/>
  <c r="BA69" i="2" s="1"/>
  <c r="BA75" i="2" s="1"/>
  <c r="BE63" i="2"/>
  <c r="BE69" i="2" s="1"/>
  <c r="BE75" i="2" s="1"/>
  <c r="BF63" i="2"/>
  <c r="BF69" i="2" s="1"/>
  <c r="BF75" i="2" s="1"/>
  <c r="BI63" i="2"/>
  <c r="BI69" i="2" s="1"/>
  <c r="BI75" i="2" s="1"/>
  <c r="CQ63" i="2"/>
  <c r="F63" i="2"/>
  <c r="F69" i="2" s="1"/>
  <c r="F75" i="2" s="1"/>
  <c r="E63" i="2"/>
  <c r="E69" i="2" s="1"/>
  <c r="E75" i="2" s="1"/>
  <c r="E38" i="2"/>
  <c r="E37" i="2" s="1"/>
  <c r="F38" i="2"/>
  <c r="F37" i="2" s="1"/>
  <c r="G38" i="2"/>
  <c r="G37" i="2" s="1"/>
  <c r="H38" i="2"/>
  <c r="H37" i="2" s="1"/>
  <c r="J38" i="2"/>
  <c r="J37" i="2" s="1"/>
  <c r="K38" i="2"/>
  <c r="K37" i="2" s="1"/>
  <c r="L38" i="2"/>
  <c r="L37" i="2" s="1"/>
  <c r="M38" i="2"/>
  <c r="M37" i="2" s="1"/>
  <c r="N38" i="2"/>
  <c r="P38" i="2"/>
  <c r="P37" i="2" s="1"/>
  <c r="Q38" i="2"/>
  <c r="Q37" i="2" s="1"/>
  <c r="R38" i="2"/>
  <c r="R37" i="2" s="1"/>
  <c r="U38" i="2"/>
  <c r="U37" i="2" s="1"/>
  <c r="V38" i="2"/>
  <c r="V37" i="2" s="1"/>
  <c r="W38" i="2"/>
  <c r="W37" i="2" s="1"/>
  <c r="Z38" i="2"/>
  <c r="Z37" i="2" s="1"/>
  <c r="AA38" i="2"/>
  <c r="AA37" i="2" s="1"/>
  <c r="AB38" i="2"/>
  <c r="AB37" i="2" s="1"/>
  <c r="AE38" i="2"/>
  <c r="AE37" i="2" s="1"/>
  <c r="AF38" i="2"/>
  <c r="AF37" i="2" s="1"/>
  <c r="AG38" i="2"/>
  <c r="AG37" i="2" s="1"/>
  <c r="AJ38" i="2"/>
  <c r="AJ37" i="2" s="1"/>
  <c r="AK38" i="2"/>
  <c r="AK37" i="2" s="1"/>
  <c r="AL38" i="2"/>
  <c r="AL37" i="2" s="1"/>
  <c r="AO38" i="2"/>
  <c r="AO37" i="2" s="1"/>
  <c r="AP38" i="2"/>
  <c r="AQ38" i="2"/>
  <c r="AQ37" i="2" s="1"/>
  <c r="AT38" i="2"/>
  <c r="AT37" i="2" s="1"/>
  <c r="AU38" i="2"/>
  <c r="AU37" i="2" s="1"/>
  <c r="AV38" i="2"/>
  <c r="AV37" i="2" s="1"/>
  <c r="AY38" i="2"/>
  <c r="AY37" i="2" s="1"/>
  <c r="AZ38" i="2"/>
  <c r="AZ37" i="2" s="1"/>
  <c r="BA38" i="2"/>
  <c r="BA37" i="2" s="1"/>
  <c r="BD38" i="2"/>
  <c r="BD37" i="2" s="1"/>
  <c r="BE38" i="2"/>
  <c r="BE37" i="2" s="1"/>
  <c r="BF38" i="2"/>
  <c r="BF37" i="2" s="1"/>
  <c r="BI38" i="2"/>
  <c r="BI37" i="2" s="1"/>
  <c r="BJ38" i="2"/>
  <c r="BJ37" i="2" s="1"/>
  <c r="BK38" i="2"/>
  <c r="BK37" i="2" s="1"/>
  <c r="C38" i="2"/>
  <c r="BS37" i="2"/>
  <c r="CE82" i="2"/>
  <c r="CI82" i="2" s="1"/>
  <c r="CM82" i="2" s="1"/>
  <c r="BR28" i="2"/>
  <c r="BV28" i="2" s="1"/>
  <c r="CE28" i="2" s="1"/>
  <c r="CI28" i="2" s="1"/>
  <c r="CM28" i="2" s="1"/>
  <c r="BN37" i="2"/>
  <c r="AP37" i="2"/>
  <c r="BM33" i="2"/>
  <c r="BQ33" i="2" s="1"/>
  <c r="BW33" i="2" s="1"/>
  <c r="CD33" i="2" s="1"/>
  <c r="BT37" i="2"/>
  <c r="S31" i="2"/>
  <c r="Y31" i="2" s="1"/>
  <c r="AC31" i="2" s="1"/>
  <c r="AI31" i="2" s="1"/>
  <c r="AM31" i="2" s="1"/>
  <c r="AS31" i="2" s="1"/>
  <c r="AW31" i="2" s="1"/>
  <c r="BC31" i="2" s="1"/>
  <c r="BG31" i="2" s="1"/>
  <c r="BM31" i="2" s="1"/>
  <c r="BQ31" i="2" s="1"/>
  <c r="BW31" i="2" s="1"/>
  <c r="CD31" i="2" s="1"/>
  <c r="BR44" i="2"/>
  <c r="BV44" i="2" s="1"/>
  <c r="CE44" i="2" s="1"/>
  <c r="CI44" i="2" s="1"/>
  <c r="CM44" i="2" s="1"/>
  <c r="BL66" i="2"/>
  <c r="BR66" i="2" s="1"/>
  <c r="BV66" i="2" s="1"/>
  <c r="CE66" i="2" s="1"/>
  <c r="CI66" i="2" s="1"/>
  <c r="CM66" i="2" s="1"/>
  <c r="Y25" i="2"/>
  <c r="AC25" i="2" s="1"/>
  <c r="AI25" i="2" s="1"/>
  <c r="AM25" i="2" s="1"/>
  <c r="AS25" i="2" s="1"/>
  <c r="AW25" i="2" s="1"/>
  <c r="BC25" i="2" s="1"/>
  <c r="BG25" i="2" s="1"/>
  <c r="BM25" i="2" s="1"/>
  <c r="BQ25" i="2" s="1"/>
  <c r="BW25" i="2" s="1"/>
  <c r="CD25" i="2" s="1"/>
  <c r="S29" i="2" l="1"/>
  <c r="S38" i="2" s="1"/>
  <c r="I63" i="2"/>
  <c r="CL25" i="2"/>
  <c r="CP25" i="2" s="1"/>
  <c r="D6" i="13" s="1"/>
  <c r="CR25" i="2"/>
  <c r="E25" i="11" s="1"/>
  <c r="CL79" i="2"/>
  <c r="CP79" i="2" s="1"/>
  <c r="CR79" i="2"/>
  <c r="E63" i="11" s="1"/>
  <c r="CQ37" i="2"/>
  <c r="CL86" i="2"/>
  <c r="CR86" i="2"/>
  <c r="E67" i="11" s="1"/>
  <c r="CL88" i="2"/>
  <c r="CR88" i="2"/>
  <c r="E69" i="11" s="1"/>
  <c r="CL55" i="2"/>
  <c r="CP55" i="2" s="1"/>
  <c r="D32" i="13" s="1"/>
  <c r="CR55" i="2"/>
  <c r="E50" i="11" s="1"/>
  <c r="CL53" i="2"/>
  <c r="CR53" i="2"/>
  <c r="E48" i="11" s="1"/>
  <c r="CL51" i="2"/>
  <c r="CR51" i="2"/>
  <c r="E46" i="11" s="1"/>
  <c r="CL65" i="2"/>
  <c r="CR65" i="2"/>
  <c r="CL66" i="2"/>
  <c r="CP66" i="2" s="1"/>
  <c r="D42" i="13" s="1"/>
  <c r="CR66" i="2"/>
  <c r="E58" i="11" s="1"/>
  <c r="CL58" i="2"/>
  <c r="CR58" i="2"/>
  <c r="E53" i="11" s="1"/>
  <c r="CL78" i="2"/>
  <c r="CR78" i="2"/>
  <c r="E62" i="11" s="1"/>
  <c r="CL48" i="2"/>
  <c r="CL42" i="2"/>
  <c r="CL27" i="2"/>
  <c r="CP27" i="2" s="1"/>
  <c r="D8" i="13" s="1"/>
  <c r="CR27" i="2"/>
  <c r="E27" i="11" s="1"/>
  <c r="CL45" i="2"/>
  <c r="CR45" i="2"/>
  <c r="E40" i="11" s="1"/>
  <c r="CL57" i="2"/>
  <c r="CP57" i="2" s="1"/>
  <c r="D34" i="13" s="1"/>
  <c r="CR57" i="2"/>
  <c r="E52" i="11" s="1"/>
  <c r="CL61" i="2"/>
  <c r="CR61" i="2"/>
  <c r="E56" i="11" s="1"/>
  <c r="CL80" i="2"/>
  <c r="CP80" i="2" s="1"/>
  <c r="CR80" i="2"/>
  <c r="E64" i="11" s="1"/>
  <c r="CL77" i="2"/>
  <c r="CR77" i="2"/>
  <c r="E61" i="11" s="1"/>
  <c r="CL47" i="2"/>
  <c r="CP47" i="2" s="1"/>
  <c r="D24" i="13" s="1"/>
  <c r="CR47" i="2"/>
  <c r="E42" i="11" s="1"/>
  <c r="CL28" i="2"/>
  <c r="CR28" i="2"/>
  <c r="E28" i="11" s="1"/>
  <c r="CL82" i="2"/>
  <c r="CP82" i="2" s="1"/>
  <c r="D54" i="13" s="1"/>
  <c r="CR82" i="2"/>
  <c r="E65" i="11" s="1"/>
  <c r="CL44" i="2"/>
  <c r="CR44" i="2"/>
  <c r="E39" i="11" s="1"/>
  <c r="CL54" i="2"/>
  <c r="CR54" i="2"/>
  <c r="E49" i="11" s="1"/>
  <c r="CL52" i="2"/>
  <c r="CR52" i="2"/>
  <c r="E47" i="11" s="1"/>
  <c r="CL50" i="2"/>
  <c r="CP50" i="2" s="1"/>
  <c r="D27" i="13" s="1"/>
  <c r="CR50" i="2"/>
  <c r="E45" i="11" s="1"/>
  <c r="CL60" i="2"/>
  <c r="CR60" i="2"/>
  <c r="E55" i="11" s="1"/>
  <c r="CL56" i="2"/>
  <c r="CR56" i="2"/>
  <c r="E51" i="11" s="1"/>
  <c r="CL43" i="2"/>
  <c r="CR43" i="2"/>
  <c r="E38" i="11" s="1"/>
  <c r="CL32" i="2"/>
  <c r="CP32" i="2" s="1"/>
  <c r="D13" i="13" s="1"/>
  <c r="CR32" i="2"/>
  <c r="E33" i="11" s="1"/>
  <c r="CL26" i="2"/>
  <c r="CP26" i="2" s="1"/>
  <c r="D7" i="13" s="1"/>
  <c r="CR26" i="2"/>
  <c r="E26" i="11" s="1"/>
  <c r="CL30" i="2"/>
  <c r="CP30" i="2" s="1"/>
  <c r="D11" i="13" s="1"/>
  <c r="CR30" i="2"/>
  <c r="E30" i="11" s="1"/>
  <c r="CL31" i="2"/>
  <c r="CP31" i="2" s="1"/>
  <c r="D12" i="13" s="1"/>
  <c r="CR31" i="2"/>
  <c r="E31" i="11" s="1"/>
  <c r="CL33" i="2"/>
  <c r="CP33" i="2" s="1"/>
  <c r="CR33" i="2"/>
  <c r="CL87" i="2"/>
  <c r="CR87" i="2"/>
  <c r="E68" i="11" s="1"/>
  <c r="CL67" i="2"/>
  <c r="CR67" i="2"/>
  <c r="E59" i="11" s="1"/>
  <c r="CL59" i="2"/>
  <c r="CR59" i="2"/>
  <c r="E54" i="11" s="1"/>
  <c r="CL49" i="2"/>
  <c r="CP49" i="2" s="1"/>
  <c r="D26" i="13" s="1"/>
  <c r="CR49" i="2"/>
  <c r="E44" i="11" s="1"/>
  <c r="CL46" i="2"/>
  <c r="CP46" i="2" s="1"/>
  <c r="D23" i="13" s="1"/>
  <c r="CR46" i="2"/>
  <c r="E41" i="11" s="1"/>
  <c r="N36" i="2"/>
  <c r="N37" i="2" s="1"/>
  <c r="O24" i="2"/>
  <c r="O36" i="2" s="1"/>
  <c r="O37" i="2" s="1"/>
  <c r="I36" i="2"/>
  <c r="K69" i="2"/>
  <c r="K75" i="2" s="1"/>
  <c r="I38" i="2"/>
  <c r="Y29" i="2"/>
  <c r="X29" i="2"/>
  <c r="T38" i="2"/>
  <c r="AH42" i="2"/>
  <c r="AN42" i="2" s="1"/>
  <c r="AR42" i="2" s="1"/>
  <c r="AX42" i="2" s="1"/>
  <c r="BB42" i="2" s="1"/>
  <c r="BH42" i="2" s="1"/>
  <c r="BL42" i="2" s="1"/>
  <c r="BR42" i="2" s="1"/>
  <c r="BV42" i="2" s="1"/>
  <c r="CE42" i="2" s="1"/>
  <c r="CI42" i="2" s="1"/>
  <c r="CM42" i="2" s="1"/>
  <c r="AD63" i="2"/>
  <c r="CP78" i="2"/>
  <c r="CJ69" i="2"/>
  <c r="CJ75" i="2" s="1"/>
  <c r="AJ69" i="2"/>
  <c r="AJ75" i="2" s="1"/>
  <c r="BP69" i="2"/>
  <c r="BP75" i="2" s="1"/>
  <c r="BS69" i="2"/>
  <c r="BS75" i="2" s="1"/>
  <c r="Z69" i="2"/>
  <c r="Z75" i="2" s="1"/>
  <c r="CP44" i="2"/>
  <c r="D21" i="13" s="1"/>
  <c r="CP59" i="2"/>
  <c r="D36" i="13" s="1"/>
  <c r="CP86" i="2"/>
  <c r="AH63" i="2"/>
  <c r="AN48" i="2"/>
  <c r="CP28" i="2"/>
  <c r="D9" i="13" s="1"/>
  <c r="T63" i="2"/>
  <c r="X63" i="2"/>
  <c r="CP77" i="2"/>
  <c r="BH41" i="2"/>
  <c r="CP61" i="2"/>
  <c r="D38" i="13" s="1"/>
  <c r="CP58" i="2"/>
  <c r="CQ69" i="2"/>
  <c r="CP52" i="2"/>
  <c r="D29" i="13" s="1"/>
  <c r="N63" i="2"/>
  <c r="E57" i="11"/>
  <c r="CP65" i="2"/>
  <c r="D41" i="13" s="1"/>
  <c r="T24" i="2"/>
  <c r="T36" i="2" s="1"/>
  <c r="CP60" i="2"/>
  <c r="D37" i="13" s="1"/>
  <c r="CP43" i="2"/>
  <c r="D20" i="13" s="1"/>
  <c r="O63" i="2"/>
  <c r="S41" i="2"/>
  <c r="CN37" i="2"/>
  <c r="BD69" i="2"/>
  <c r="BD75" i="2" s="1"/>
  <c r="BK69" i="2"/>
  <c r="BK75" i="2" s="1"/>
  <c r="BT69" i="2"/>
  <c r="BT75" i="2" s="1"/>
  <c r="BJ69" i="2"/>
  <c r="BJ75" i="2" s="1"/>
  <c r="BU69" i="2"/>
  <c r="BU75" i="2" s="1"/>
  <c r="D35" i="13" l="1"/>
  <c r="H14" i="13"/>
  <c r="L14" i="13"/>
  <c r="P14" i="13"/>
  <c r="P16" i="13" s="1"/>
  <c r="P50" i="13" s="1"/>
  <c r="P52" i="13" s="1"/>
  <c r="T14" i="13"/>
  <c r="T16" i="13" s="1"/>
  <c r="T50" i="13" s="1"/>
  <c r="T52" i="13" s="1"/>
  <c r="X14" i="13"/>
  <c r="X16" i="13" s="1"/>
  <c r="X50" i="13" s="1"/>
  <c r="X52" i="13" s="1"/>
  <c r="O14" i="13"/>
  <c r="O16" i="13" s="1"/>
  <c r="O50" i="13" s="1"/>
  <c r="O52" i="13" s="1"/>
  <c r="F14" i="13"/>
  <c r="I14" i="13"/>
  <c r="M14" i="13"/>
  <c r="M16" i="13" s="1"/>
  <c r="M50" i="13" s="1"/>
  <c r="M52" i="13" s="1"/>
  <c r="U14" i="13"/>
  <c r="U16" i="13" s="1"/>
  <c r="U50" i="13" s="1"/>
  <c r="U52" i="13" s="1"/>
  <c r="Y14" i="13"/>
  <c r="Y16" i="13" s="1"/>
  <c r="Y50" i="13" s="1"/>
  <c r="Y52" i="13" s="1"/>
  <c r="N14" i="13"/>
  <c r="N16" i="13" s="1"/>
  <c r="N50" i="13" s="1"/>
  <c r="N52" i="13" s="1"/>
  <c r="K14" i="13"/>
  <c r="Q14" i="13"/>
  <c r="Q16" i="13" s="1"/>
  <c r="Q50" i="13" s="1"/>
  <c r="Q52" i="13" s="1"/>
  <c r="G14" i="13"/>
  <c r="S14" i="13"/>
  <c r="S16" i="13" s="1"/>
  <c r="S50" i="13" s="1"/>
  <c r="S52" i="13" s="1"/>
  <c r="W14" i="13"/>
  <c r="W16" i="13" s="1"/>
  <c r="W50" i="13" s="1"/>
  <c r="W52" i="13" s="1"/>
  <c r="J14" i="13"/>
  <c r="V14" i="13"/>
  <c r="V16" i="13" s="1"/>
  <c r="V50" i="13" s="1"/>
  <c r="V52" i="13" s="1"/>
  <c r="R14" i="13"/>
  <c r="R16" i="13" s="1"/>
  <c r="R50" i="13" s="1"/>
  <c r="R52" i="13" s="1"/>
  <c r="I37" i="13"/>
  <c r="J37" i="13"/>
  <c r="H37" i="13"/>
  <c r="J38" i="13"/>
  <c r="I38" i="13"/>
  <c r="H38" i="13"/>
  <c r="H29" i="13"/>
  <c r="I29" i="13"/>
  <c r="J29" i="13"/>
  <c r="I9" i="13"/>
  <c r="J9" i="13"/>
  <c r="H9" i="13"/>
  <c r="H36" i="13"/>
  <c r="J36" i="13"/>
  <c r="I36" i="13"/>
  <c r="J6" i="13"/>
  <c r="I6" i="13"/>
  <c r="H6" i="13"/>
  <c r="J20" i="13"/>
  <c r="I20" i="13"/>
  <c r="H20" i="13"/>
  <c r="I35" i="13"/>
  <c r="J35" i="13"/>
  <c r="H35" i="13"/>
  <c r="J26" i="13"/>
  <c r="I26" i="13"/>
  <c r="H26" i="13"/>
  <c r="H11" i="13"/>
  <c r="J11" i="13"/>
  <c r="I11" i="13"/>
  <c r="J27" i="13"/>
  <c r="I27" i="13"/>
  <c r="H27" i="13"/>
  <c r="J54" i="13"/>
  <c r="J56" i="13" s="1"/>
  <c r="H54" i="13"/>
  <c r="H56" i="13" s="1"/>
  <c r="F54" i="13"/>
  <c r="F56" i="13" s="1"/>
  <c r="I54" i="13"/>
  <c r="I56" i="13" s="1"/>
  <c r="G54" i="13"/>
  <c r="I24" i="13"/>
  <c r="H24" i="13"/>
  <c r="J24" i="13"/>
  <c r="J34" i="13"/>
  <c r="I34" i="13"/>
  <c r="H34" i="13"/>
  <c r="H8" i="13"/>
  <c r="J8" i="13"/>
  <c r="I8" i="13"/>
  <c r="I42" i="13"/>
  <c r="J42" i="13"/>
  <c r="H42" i="13"/>
  <c r="J32" i="13"/>
  <c r="H32" i="13"/>
  <c r="I32" i="13"/>
  <c r="H41" i="13"/>
  <c r="J41" i="13"/>
  <c r="I41" i="13"/>
  <c r="I21" i="13"/>
  <c r="J21" i="13"/>
  <c r="H21" i="13"/>
  <c r="J23" i="13"/>
  <c r="I23" i="13"/>
  <c r="H23" i="13"/>
  <c r="I7" i="13"/>
  <c r="J7" i="13"/>
  <c r="H7" i="13"/>
  <c r="CO56" i="2"/>
  <c r="CN56" i="2"/>
  <c r="CP56" i="2" s="1"/>
  <c r="D33" i="13" s="1"/>
  <c r="CO48" i="2"/>
  <c r="CN48" i="2"/>
  <c r="CN88" i="2"/>
  <c r="CP88" i="2" s="1"/>
  <c r="CO88" i="2"/>
  <c r="CN45" i="2"/>
  <c r="CO45" i="2"/>
  <c r="D14" i="13"/>
  <c r="CN54" i="2"/>
  <c r="CO54" i="2"/>
  <c r="CN53" i="2"/>
  <c r="CO53" i="2"/>
  <c r="S24" i="2"/>
  <c r="S36" i="2" s="1"/>
  <c r="E32" i="11"/>
  <c r="G42" i="13"/>
  <c r="F42" i="13"/>
  <c r="G41" i="13"/>
  <c r="F41" i="13"/>
  <c r="G38" i="13"/>
  <c r="F38" i="13"/>
  <c r="G37" i="13"/>
  <c r="F37" i="13"/>
  <c r="G36" i="13"/>
  <c r="F36" i="13"/>
  <c r="G35" i="13"/>
  <c r="F35" i="13"/>
  <c r="G34" i="13"/>
  <c r="F34" i="13"/>
  <c r="G32" i="13"/>
  <c r="F32" i="13"/>
  <c r="G29" i="13"/>
  <c r="F29" i="13"/>
  <c r="G27" i="13"/>
  <c r="F27" i="13"/>
  <c r="G26" i="13"/>
  <c r="F26" i="13"/>
  <c r="G24" i="13"/>
  <c r="F24" i="13"/>
  <c r="G23" i="13"/>
  <c r="F23" i="13"/>
  <c r="G21" i="13"/>
  <c r="F21" i="13"/>
  <c r="G20" i="13"/>
  <c r="F20" i="13"/>
  <c r="G11" i="13"/>
  <c r="F11" i="13"/>
  <c r="G9" i="13"/>
  <c r="F9" i="13"/>
  <c r="G8" i="13"/>
  <c r="F8" i="13"/>
  <c r="G7" i="13"/>
  <c r="F7" i="13"/>
  <c r="G6" i="13"/>
  <c r="F6" i="13"/>
  <c r="D56" i="13"/>
  <c r="G56" i="13"/>
  <c r="CP42" i="2"/>
  <c r="D19" i="13" s="1"/>
  <c r="CR42" i="2"/>
  <c r="E37" i="11" s="1"/>
  <c r="I37" i="2"/>
  <c r="CQ75" i="2"/>
  <c r="Y38" i="2"/>
  <c r="AC29" i="2"/>
  <c r="X38" i="2"/>
  <c r="AD29" i="2"/>
  <c r="K44" i="13"/>
  <c r="L44" i="13"/>
  <c r="T37" i="2"/>
  <c r="X24" i="2"/>
  <c r="X36" i="2" s="1"/>
  <c r="BL41" i="2"/>
  <c r="AR48" i="2"/>
  <c r="AN63" i="2"/>
  <c r="S63" i="2"/>
  <c r="Y41" i="2"/>
  <c r="S37" i="2"/>
  <c r="Y24" i="2"/>
  <c r="Y36" i="2" s="1"/>
  <c r="O69" i="2"/>
  <c r="O75" i="2" s="1"/>
  <c r="N69" i="2"/>
  <c r="N75" i="2" s="1"/>
  <c r="I69" i="2"/>
  <c r="I75" i="2" s="1"/>
  <c r="H19" i="13" l="1"/>
  <c r="J19" i="13"/>
  <c r="I19" i="13"/>
  <c r="H33" i="13"/>
  <c r="J33" i="13"/>
  <c r="I33" i="13"/>
  <c r="G33" i="13"/>
  <c r="F33" i="13"/>
  <c r="CP67" i="2"/>
  <c r="CP87" i="2"/>
  <c r="CP45" i="2"/>
  <c r="CP51" i="2"/>
  <c r="CP54" i="2"/>
  <c r="CP53" i="2"/>
  <c r="CN63" i="2"/>
  <c r="CO63" i="2"/>
  <c r="CO69" i="2" s="1"/>
  <c r="G19" i="13"/>
  <c r="F19" i="13"/>
  <c r="E93" i="14"/>
  <c r="F93" i="14" s="1"/>
  <c r="E89" i="14"/>
  <c r="F89" i="14" s="1"/>
  <c r="E85" i="14"/>
  <c r="F85" i="14" s="1"/>
  <c r="E81" i="14"/>
  <c r="F81" i="14" s="1"/>
  <c r="E77" i="14"/>
  <c r="F77" i="14" s="1"/>
  <c r="E92" i="14"/>
  <c r="F92" i="14" s="1"/>
  <c r="E88" i="14"/>
  <c r="F88" i="14" s="1"/>
  <c r="E84" i="14"/>
  <c r="F84" i="14" s="1"/>
  <c r="E80" i="14"/>
  <c r="F80" i="14" s="1"/>
  <c r="E76" i="14"/>
  <c r="F76" i="14" s="1"/>
  <c r="E91" i="14"/>
  <c r="F91" i="14" s="1"/>
  <c r="E87" i="14"/>
  <c r="F87" i="14" s="1"/>
  <c r="E83" i="14"/>
  <c r="F83" i="14" s="1"/>
  <c r="E79" i="14"/>
  <c r="F79" i="14" s="1"/>
  <c r="E75" i="14"/>
  <c r="E94" i="14"/>
  <c r="F94" i="14" s="1"/>
  <c r="E90" i="14"/>
  <c r="F90" i="14" s="1"/>
  <c r="E86" i="14"/>
  <c r="F86" i="14" s="1"/>
  <c r="E82" i="14"/>
  <c r="F82" i="14" s="1"/>
  <c r="E78" i="14"/>
  <c r="F78" i="14" s="1"/>
  <c r="AC38" i="2"/>
  <c r="AI29" i="2"/>
  <c r="AD38" i="2"/>
  <c r="AH29" i="2"/>
  <c r="Y63" i="2"/>
  <c r="AC41" i="2"/>
  <c r="BR41" i="2"/>
  <c r="T69" i="2"/>
  <c r="T75" i="2" s="1"/>
  <c r="Y37" i="2"/>
  <c r="AC24" i="2"/>
  <c r="AC36" i="2" s="1"/>
  <c r="S69" i="2"/>
  <c r="S75" i="2" s="1"/>
  <c r="AR63" i="2"/>
  <c r="AX48" i="2"/>
  <c r="AD24" i="2"/>
  <c r="AD36" i="2" s="1"/>
  <c r="D43" i="13" l="1"/>
  <c r="H43" i="13" s="1"/>
  <c r="CN69" i="2"/>
  <c r="D28" i="13"/>
  <c r="H28" i="13" s="1"/>
  <c r="D30" i="13"/>
  <c r="H30" i="13" s="1"/>
  <c r="D31" i="13"/>
  <c r="I31" i="13" s="1"/>
  <c r="D22" i="13"/>
  <c r="J30" i="13"/>
  <c r="I30" i="13"/>
  <c r="J28" i="13"/>
  <c r="I28" i="13"/>
  <c r="F28" i="13"/>
  <c r="F75" i="14"/>
  <c r="E95" i="14"/>
  <c r="AM29" i="2"/>
  <c r="AI38" i="2"/>
  <c r="AH38" i="2"/>
  <c r="AN29" i="2"/>
  <c r="AH24" i="2"/>
  <c r="AH36" i="2" s="1"/>
  <c r="BB48" i="2"/>
  <c r="AX63" i="2"/>
  <c r="BV41" i="2"/>
  <c r="CE41" i="2" s="1"/>
  <c r="Y69" i="2"/>
  <c r="Y75" i="2" s="1"/>
  <c r="X37" i="2"/>
  <c r="X69" i="2"/>
  <c r="X75" i="2" s="1"/>
  <c r="AC37" i="2"/>
  <c r="AI24" i="2"/>
  <c r="AI36" i="2" s="1"/>
  <c r="AC63" i="2"/>
  <c r="AI41" i="2"/>
  <c r="I43" i="13" l="1"/>
  <c r="G43" i="13"/>
  <c r="F43" i="13"/>
  <c r="D44" i="13"/>
  <c r="J43" i="13"/>
  <c r="G28" i="13"/>
  <c r="H44" i="13"/>
  <c r="G31" i="13"/>
  <c r="G30" i="13"/>
  <c r="J31" i="13"/>
  <c r="F31" i="13"/>
  <c r="F30" i="13"/>
  <c r="H31" i="13"/>
  <c r="G22" i="13"/>
  <c r="F22" i="13"/>
  <c r="I22" i="13"/>
  <c r="H22" i="13"/>
  <c r="J22" i="13"/>
  <c r="CI41" i="2"/>
  <c r="AM38" i="2"/>
  <c r="AS29" i="2"/>
  <c r="AC69" i="2"/>
  <c r="AC75" i="2" s="1"/>
  <c r="AR29" i="2"/>
  <c r="AN38" i="2"/>
  <c r="BH48" i="2"/>
  <c r="BB63" i="2"/>
  <c r="AD37" i="2"/>
  <c r="AD69" i="2"/>
  <c r="AD75" i="2" s="1"/>
  <c r="AI63" i="2"/>
  <c r="AM41" i="2"/>
  <c r="AI37" i="2"/>
  <c r="AM24" i="2"/>
  <c r="AM36" i="2" s="1"/>
  <c r="AN24" i="2"/>
  <c r="AN36" i="2" s="1"/>
  <c r="I44" i="13" l="1"/>
  <c r="J44" i="13"/>
  <c r="G44" i="13"/>
  <c r="F44" i="13"/>
  <c r="CM41" i="2"/>
  <c r="AW29" i="2"/>
  <c r="AS38" i="2"/>
  <c r="AX29" i="2"/>
  <c r="AR38" i="2"/>
  <c r="AR24" i="2"/>
  <c r="AR36" i="2" s="1"/>
  <c r="AI69" i="2"/>
  <c r="AI75" i="2" s="1"/>
  <c r="BL48" i="2"/>
  <c r="BH63" i="2"/>
  <c r="AH37" i="2"/>
  <c r="AH69" i="2"/>
  <c r="AH75" i="2" s="1"/>
  <c r="AM37" i="2"/>
  <c r="AS24" i="2"/>
  <c r="AS36" i="2" s="1"/>
  <c r="AM63" i="2"/>
  <c r="AS41" i="2"/>
  <c r="BC29" i="2" l="1"/>
  <c r="AW38" i="2"/>
  <c r="AM69" i="2"/>
  <c r="AM75" i="2" s="1"/>
  <c r="BB29" i="2"/>
  <c r="AX38" i="2"/>
  <c r="AN37" i="2"/>
  <c r="AN69" i="2"/>
  <c r="AN75" i="2" s="1"/>
  <c r="AS63" i="2"/>
  <c r="AW41" i="2"/>
  <c r="AS37" i="2"/>
  <c r="AW24" i="2"/>
  <c r="AW36" i="2" s="1"/>
  <c r="BR48" i="2"/>
  <c r="BL63" i="2"/>
  <c r="AX24" i="2"/>
  <c r="AX36" i="2" s="1"/>
  <c r="BG29" i="2" l="1"/>
  <c r="BC38" i="2"/>
  <c r="BB38" i="2"/>
  <c r="BH29" i="2"/>
  <c r="BB24" i="2"/>
  <c r="BB36" i="2" s="1"/>
  <c r="AW37" i="2"/>
  <c r="BC24" i="2"/>
  <c r="BC36" i="2" s="1"/>
  <c r="AW63" i="2"/>
  <c r="BC41" i="2"/>
  <c r="AR37" i="2"/>
  <c r="AR69" i="2"/>
  <c r="AR75" i="2" s="1"/>
  <c r="BV48" i="2"/>
  <c r="CE48" i="2" s="1"/>
  <c r="BR63" i="2"/>
  <c r="AS69" i="2"/>
  <c r="AS75" i="2" s="1"/>
  <c r="CI48" i="2" l="1"/>
  <c r="CR48" i="2" s="1"/>
  <c r="E43" i="11" s="1"/>
  <c r="CE63" i="2"/>
  <c r="BM29" i="2"/>
  <c r="BG38" i="2"/>
  <c r="AW69" i="2"/>
  <c r="AW75" i="2" s="1"/>
  <c r="BH38" i="2"/>
  <c r="BL29" i="2"/>
  <c r="BV63" i="2"/>
  <c r="BC63" i="2"/>
  <c r="BG41" i="2"/>
  <c r="BC37" i="2"/>
  <c r="BG24" i="2"/>
  <c r="BG36" i="2" s="1"/>
  <c r="AX37" i="2"/>
  <c r="AX69" i="2"/>
  <c r="AX75" i="2" s="1"/>
  <c r="BH24" i="2"/>
  <c r="BH36" i="2" s="1"/>
  <c r="L51" i="13" l="1"/>
  <c r="K51" i="13"/>
  <c r="CM48" i="2"/>
  <c r="CM63" i="2" s="1"/>
  <c r="CI63" i="2"/>
  <c r="BM38" i="2"/>
  <c r="BQ29" i="2"/>
  <c r="BW29" i="2" s="1"/>
  <c r="BR29" i="2"/>
  <c r="BL38" i="2"/>
  <c r="BL24" i="2"/>
  <c r="BL36" i="2" s="1"/>
  <c r="BC69" i="2"/>
  <c r="BC75" i="2" s="1"/>
  <c r="CP48" i="2"/>
  <c r="D25" i="13" s="1"/>
  <c r="BB37" i="2"/>
  <c r="BB69" i="2"/>
  <c r="BB75" i="2" s="1"/>
  <c r="BG37" i="2"/>
  <c r="BM24" i="2"/>
  <c r="BM36" i="2" s="1"/>
  <c r="BG63" i="2"/>
  <c r="BM41" i="2"/>
  <c r="J25" i="13" l="1"/>
  <c r="H25" i="13"/>
  <c r="I25" i="13"/>
  <c r="G25" i="13"/>
  <c r="F25" i="13"/>
  <c r="CD29" i="2"/>
  <c r="BW38" i="2"/>
  <c r="BQ38" i="2"/>
  <c r="BG69" i="2"/>
  <c r="BG75" i="2" s="1"/>
  <c r="BR38" i="2"/>
  <c r="BV29" i="2"/>
  <c r="CE29" i="2" s="1"/>
  <c r="BM63" i="2"/>
  <c r="BQ41" i="2"/>
  <c r="BW41" i="2" s="1"/>
  <c r="BM37" i="2"/>
  <c r="BQ24" i="2"/>
  <c r="BH37" i="2"/>
  <c r="BH69" i="2"/>
  <c r="BH75" i="2" s="1"/>
  <c r="BR24" i="2"/>
  <c r="BR36" i="2" s="1"/>
  <c r="BQ36" i="2" l="1"/>
  <c r="BQ37" i="2" s="1"/>
  <c r="BW24" i="2"/>
  <c r="CE38" i="2"/>
  <c r="CI29" i="2"/>
  <c r="CR29" i="2" s="1"/>
  <c r="E29" i="11" s="1"/>
  <c r="BW63" i="2"/>
  <c r="CD41" i="2"/>
  <c r="CR41" i="2" s="1"/>
  <c r="CD38" i="2"/>
  <c r="CL29" i="2"/>
  <c r="CL38" i="2" s="1"/>
  <c r="BV38" i="2"/>
  <c r="BV24" i="2"/>
  <c r="BM69" i="2"/>
  <c r="BM75" i="2" s="1"/>
  <c r="BL37" i="2"/>
  <c r="BL69" i="2"/>
  <c r="BL75" i="2" s="1"/>
  <c r="BQ63" i="2"/>
  <c r="E36" i="11"/>
  <c r="CD24" i="2" l="1"/>
  <c r="BW36" i="2"/>
  <c r="BW37" i="2" s="1"/>
  <c r="CI38" i="2"/>
  <c r="CR38" i="2" s="1"/>
  <c r="CM29" i="2"/>
  <c r="CM38" i="2" s="1"/>
  <c r="CP38" i="2" s="1"/>
  <c r="BV36" i="2"/>
  <c r="CE24" i="2"/>
  <c r="CD63" i="2"/>
  <c r="CR63" i="2" s="1"/>
  <c r="CL41" i="2"/>
  <c r="CP41" i="2" s="1"/>
  <c r="D18" i="13" s="1"/>
  <c r="BQ69" i="2"/>
  <c r="BQ75" i="2" s="1"/>
  <c r="BR37" i="2"/>
  <c r="BR69" i="2"/>
  <c r="BR75" i="2" s="1"/>
  <c r="J18" i="13" l="1"/>
  <c r="J39" i="13" s="1"/>
  <c r="I18" i="13"/>
  <c r="I39" i="13" s="1"/>
  <c r="H18" i="13"/>
  <c r="H39" i="13" s="1"/>
  <c r="G18" i="13"/>
  <c r="G39" i="13" s="1"/>
  <c r="F18" i="13"/>
  <c r="F39" i="13" s="1"/>
  <c r="CL63" i="2"/>
  <c r="CP29" i="2"/>
  <c r="D10" i="13" s="1"/>
  <c r="BW69" i="2"/>
  <c r="BW75" i="2" s="1"/>
  <c r="CI24" i="2"/>
  <c r="CR24" i="2" s="1"/>
  <c r="E24" i="11" s="1"/>
  <c r="CE36" i="2"/>
  <c r="CD36" i="2"/>
  <c r="CL24" i="2"/>
  <c r="K39" i="13"/>
  <c r="L39" i="13"/>
  <c r="D39" i="13"/>
  <c r="BV37" i="2"/>
  <c r="BV69" i="2"/>
  <c r="BV75" i="2" s="1"/>
  <c r="CP63" i="2" l="1"/>
  <c r="J10" i="13"/>
  <c r="H10" i="13"/>
  <c r="I10" i="13"/>
  <c r="G10" i="13"/>
  <c r="F10" i="13"/>
  <c r="D51" i="13"/>
  <c r="CD37" i="2"/>
  <c r="CE37" i="2"/>
  <c r="CE69" i="2"/>
  <c r="CE75" i="2" s="1"/>
  <c r="CI36" i="2"/>
  <c r="CI69" i="2" s="1"/>
  <c r="CM24" i="2"/>
  <c r="CM36" i="2" s="1"/>
  <c r="CL36" i="2"/>
  <c r="CD69" i="2"/>
  <c r="F51" i="13" l="1"/>
  <c r="E47" i="14" s="1"/>
  <c r="G51" i="13"/>
  <c r="E48" i="14" s="1"/>
  <c r="H51" i="13"/>
  <c r="E49" i="14" s="1"/>
  <c r="I51" i="13"/>
  <c r="E50" i="14" s="1"/>
  <c r="J51" i="13"/>
  <c r="E51" i="14" s="1"/>
  <c r="CP24" i="2"/>
  <c r="E54" i="14"/>
  <c r="E65" i="14"/>
  <c r="E61" i="14"/>
  <c r="E57" i="14"/>
  <c r="E53" i="14"/>
  <c r="E64" i="14"/>
  <c r="E60" i="14"/>
  <c r="E56" i="14"/>
  <c r="E52" i="14"/>
  <c r="E63" i="14"/>
  <c r="E59" i="14"/>
  <c r="E55" i="14"/>
  <c r="E66" i="14"/>
  <c r="E62" i="14"/>
  <c r="E58" i="14"/>
  <c r="L16" i="13"/>
  <c r="L50" i="13" s="1"/>
  <c r="L52" i="13" s="1"/>
  <c r="K16" i="13"/>
  <c r="K50" i="13" s="1"/>
  <c r="K52" i="13" s="1"/>
  <c r="CR36" i="2"/>
  <c r="CR69" i="2"/>
  <c r="CP36" i="2"/>
  <c r="D5" i="13"/>
  <c r="CI37" i="2"/>
  <c r="CR37" i="2" s="1"/>
  <c r="CL37" i="2"/>
  <c r="CL69" i="2"/>
  <c r="CM37" i="2"/>
  <c r="CM69" i="2"/>
  <c r="H5" i="13" l="1"/>
  <c r="H16" i="13" s="1"/>
  <c r="J5" i="13"/>
  <c r="J16" i="13" s="1"/>
  <c r="J50" i="13" s="1"/>
  <c r="J52" i="13" s="1"/>
  <c r="I5" i="13"/>
  <c r="I16" i="13" s="1"/>
  <c r="I50" i="13" s="1"/>
  <c r="I52" i="13" s="1"/>
  <c r="CP69" i="2"/>
  <c r="G5" i="13"/>
  <c r="G16" i="13" s="1"/>
  <c r="F5" i="13"/>
  <c r="F16" i="13" s="1"/>
  <c r="D16" i="13"/>
  <c r="F50" i="14"/>
  <c r="F57" i="14"/>
  <c r="F65" i="14"/>
  <c r="F53" i="14"/>
  <c r="F52" i="14"/>
  <c r="F60" i="14"/>
  <c r="F63" i="14"/>
  <c r="F56" i="14"/>
  <c r="F61" i="14"/>
  <c r="F66" i="14"/>
  <c r="F62" i="14"/>
  <c r="F64" i="14"/>
  <c r="F59" i="14"/>
  <c r="F55" i="14"/>
  <c r="F51" i="14"/>
  <c r="F58" i="14"/>
  <c r="F54" i="14"/>
  <c r="F49" i="14"/>
  <c r="F48" i="14"/>
  <c r="CP37" i="2"/>
  <c r="E24" i="14" l="1"/>
  <c r="F24" i="14" s="1"/>
  <c r="E23" i="14"/>
  <c r="F23" i="14" s="1"/>
  <c r="E35" i="14"/>
  <c r="F35" i="14" s="1"/>
  <c r="E32" i="14"/>
  <c r="F32" i="14" s="1"/>
  <c r="E34" i="14"/>
  <c r="F34" i="14" s="1"/>
  <c r="E39" i="14"/>
  <c r="F39" i="14" s="1"/>
  <c r="E33" i="14"/>
  <c r="F33" i="14" s="1"/>
  <c r="E27" i="14"/>
  <c r="F27" i="14" s="1"/>
  <c r="E28" i="14"/>
  <c r="F28" i="14" s="1"/>
  <c r="E37" i="14"/>
  <c r="F37" i="14" s="1"/>
  <c r="E25" i="14"/>
  <c r="F25" i="14" s="1"/>
  <c r="E26" i="14"/>
  <c r="F26" i="14" s="1"/>
  <c r="E31" i="14"/>
  <c r="F31" i="14" s="1"/>
  <c r="E36" i="14"/>
  <c r="F36" i="14" s="1"/>
  <c r="E29" i="14"/>
  <c r="F29" i="14" s="1"/>
  <c r="E30" i="14"/>
  <c r="F30" i="14" s="1"/>
  <c r="E38" i="14"/>
  <c r="F38" i="14" s="1"/>
  <c r="E67" i="14"/>
  <c r="F47" i="14"/>
  <c r="O23" i="12" l="1"/>
  <c r="H46" i="13" s="1"/>
  <c r="H50" i="13" s="1"/>
  <c r="H52" i="13" l="1"/>
  <c r="E22" i="14"/>
  <c r="F22" i="14" s="1"/>
  <c r="O22" i="12" l="1"/>
  <c r="O21" i="12" l="1"/>
  <c r="G46" i="13"/>
  <c r="G50" i="13" s="1"/>
  <c r="G52" i="13" l="1"/>
  <c r="E21" i="14"/>
  <c r="F21" i="14" s="1"/>
  <c r="F46" i="13"/>
  <c r="O41" i="12"/>
  <c r="CC72" i="2"/>
  <c r="CD72" i="2" l="1"/>
  <c r="CC75" i="2"/>
  <c r="F50" i="13"/>
  <c r="D47" i="13"/>
  <c r="CH72" i="2" l="1"/>
  <c r="CD75" i="2"/>
  <c r="CL72" i="2"/>
  <c r="F52" i="13"/>
  <c r="E20" i="14"/>
  <c r="D50" i="13"/>
  <c r="D52" i="13" s="1"/>
  <c r="E40" i="14" l="1"/>
  <c r="F20" i="14"/>
  <c r="CN72" i="2"/>
  <c r="CO72" i="2"/>
  <c r="CO75" i="2" s="1"/>
  <c r="CL75" i="2"/>
  <c r="CH75" i="2"/>
  <c r="CI72" i="2"/>
  <c r="CN75" i="2" l="1"/>
  <c r="CM72" i="2"/>
  <c r="CI75" i="2"/>
  <c r="CR75" i="2" s="1"/>
  <c r="CR72" i="2"/>
  <c r="E60" i="11" s="1"/>
  <c r="CM75" i="2" l="1"/>
  <c r="CP72" i="2"/>
  <c r="D46" i="13" l="1"/>
  <c r="D48" i="13" s="1"/>
  <c r="O42" i="12"/>
  <c r="O43" i="12" s="1"/>
  <c r="CP75" i="2"/>
</calcChain>
</file>

<file path=xl/sharedStrings.xml><?xml version="1.0" encoding="utf-8"?>
<sst xmlns="http://schemas.openxmlformats.org/spreadsheetml/2006/main" count="460" uniqueCount="323">
  <si>
    <t>Account Number</t>
  </si>
  <si>
    <t>RSVA - Wholesale Market Service Charge</t>
  </si>
  <si>
    <t>RSVA - Retail Transmission Network Charge</t>
  </si>
  <si>
    <t>RSVA - Retail Transmission Connection Charge</t>
  </si>
  <si>
    <t>Retail Cost Variance Account - Retail</t>
  </si>
  <si>
    <t>Retail Cost Variance Account - STR</t>
  </si>
  <si>
    <t>Deferred Rate Impact Amounts</t>
  </si>
  <si>
    <t>Other Deferred Credits</t>
  </si>
  <si>
    <t>Opening Interest Amounts as of Jan-1-05</t>
  </si>
  <si>
    <t>Closing Interest Amounts as of Dec-31-05</t>
  </si>
  <si>
    <t>Closing Principal Balance as of Dec-31-05</t>
  </si>
  <si>
    <t>Closing Principal Balance as of Dec-31-06</t>
  </si>
  <si>
    <t>Opening Interest Amounts as of Jan-1-06</t>
  </si>
  <si>
    <t>Closing Interest Amounts as of Dec-31-06</t>
  </si>
  <si>
    <t>Other Regulatory Assets - Sub-Account - OEB Cost Assessments</t>
  </si>
  <si>
    <t>Other Regulatory Assets - Sub-Account - Pension Contributions</t>
  </si>
  <si>
    <t>Deferred Payments in Lieu of Taxes</t>
  </si>
  <si>
    <t>Misc. Deferred Debits</t>
  </si>
  <si>
    <t>Extra-Ordinary Event Costs</t>
  </si>
  <si>
    <t>Recovery of Regulatory Asset Balances</t>
  </si>
  <si>
    <t>Please describe "other" components of 1508 and add more component lines if necessary.</t>
  </si>
  <si>
    <t>1563 is a contra-account and is not included in the total but is shown on a memo basis.  Account 1562 establishes the obligation to the ratepayer.</t>
  </si>
  <si>
    <t>Claim before Forecasted Transactions</t>
  </si>
  <si>
    <t>Closing Principal Balance as of Dec-31-07</t>
  </si>
  <si>
    <t>Closing Interest Amounts as of Dec-31-07</t>
  </si>
  <si>
    <t>Opening Interest Amounts as of Jan-1-07</t>
  </si>
  <si>
    <t>Closing Principal Balance as of Dec-31-08</t>
  </si>
  <si>
    <t>Opening Interest Amounts as of Jan-1-08</t>
  </si>
  <si>
    <t>Closing Interest Amounts as of Dec-31-08</t>
  </si>
  <si>
    <t>Closing Principal Balance as of Dec-31-09</t>
  </si>
  <si>
    <t>Opening Interest Amounts as of Jan-1-09</t>
  </si>
  <si>
    <t>Closing Interest Amounts as of Dec-31-09</t>
  </si>
  <si>
    <t>Smart Grid Capital Deferral Account</t>
  </si>
  <si>
    <t>Smart Grid OM&amp;A Deferral Account</t>
  </si>
  <si>
    <t>Group 2 Sub-Total</t>
  </si>
  <si>
    <t>The following is not included in the total claim but are included on a memo basis:</t>
  </si>
  <si>
    <t>Closing Principal Balance as of Dec-31-10</t>
  </si>
  <si>
    <t>Opening Interest Amounts as of Jan-1-10</t>
  </si>
  <si>
    <t>Closing Interest Amounts as of Dec-31-10</t>
  </si>
  <si>
    <t>Smart Grid Funding Adder Deferral Account</t>
  </si>
  <si>
    <t>Account Descriptions</t>
  </si>
  <si>
    <t xml:space="preserve">Renewable Generation Connection Funding Adder Deferral Account </t>
  </si>
  <si>
    <t>Interest Jan-1 to Dec-31-05</t>
  </si>
  <si>
    <t>Interest Jan-1 to Dec-31-06</t>
  </si>
  <si>
    <t>Interest Jan-1 to Dec-31-07</t>
  </si>
  <si>
    <t>Interest Jan-1 to Dec-31-08</t>
  </si>
  <si>
    <t>Interest Jan-1 to Dec-31-09</t>
  </si>
  <si>
    <t>Interest Jan-1 to Dec-31-10</t>
  </si>
  <si>
    <t>Total Claim</t>
  </si>
  <si>
    <t>2.1.7 RRR</t>
  </si>
  <si>
    <t>Explanation</t>
  </si>
  <si>
    <t>Board-Approved Disposition during 2005</t>
  </si>
  <si>
    <t>Board-Approved Disposition during 2007</t>
  </si>
  <si>
    <t>Board-Approved Disposition during 2008</t>
  </si>
  <si>
    <t>Board-Approved Disposition during 2009</t>
  </si>
  <si>
    <t>Board-Approved Disposition during 2010</t>
  </si>
  <si>
    <t>Provide supporting statement indicating whether due to denial of costs in 2006 EDR by the Board, 10% transition costs write-off, etc.</t>
  </si>
  <si>
    <t>For RSVA accounts only, report the net variance to the account during the year.  For all other accounts, record the transactions during the year.</t>
  </si>
  <si>
    <t>Please provide explanations for the nature of the adjustments.  If the adjustment relates to previously Board Approved disposed balances, please provide amounts for adjustments and include supporting documentations.</t>
  </si>
  <si>
    <t>Total of Group 1 and Group 2 Accounts (including 1562 and 1592)</t>
  </si>
  <si>
    <t>Group 1 Accounts</t>
  </si>
  <si>
    <t>Group 2 Accounts</t>
  </si>
  <si>
    <t>LV Variance Account</t>
  </si>
  <si>
    <t>RSVA - One-time</t>
  </si>
  <si>
    <t>Renewable Generation Connection Capital Deferral Account</t>
  </si>
  <si>
    <t>Renewable Generation Connection OM&amp;A Deferral Account</t>
  </si>
  <si>
    <t>Board-Approved CDM Variance Account</t>
  </si>
  <si>
    <t>Other Regulatory Assets - Sub-Account - Deferred IFRS Transition Costs</t>
  </si>
  <si>
    <t>Other Regulatory Assets - Sub-Account - Incremental Capital Charges</t>
  </si>
  <si>
    <t>Adjustments Instructed by the Board include deferral/variance account balances moved to Account 1590 as a result of the 2006 EDR and account 1595 during the 2008 EDR and subsequent years as ordered by the Board.</t>
  </si>
  <si>
    <t>PILs and Tax Variance for 2006 and Subsequent Years - Sub-Account HST/OVAT                          Input Tax Credits (ITCs)</t>
  </si>
  <si>
    <t>PILs and Tax Variance for 2006 and Subsequent Years                                                                          (excludes sub-account and contra account below)</t>
  </si>
  <si>
    <t>PILs and Tax Variance for 2006 and Subsequent Years -                                                                       Sub-Account HST/OVAT Contra Account</t>
  </si>
  <si>
    <t>Opening Principal Amounts as of Jan-1-05</t>
  </si>
  <si>
    <t xml:space="preserve">Opening Principal Amounts as of Jan-1-06 </t>
  </si>
  <si>
    <t xml:space="preserve">Opening Principal Amounts as of Jan-1-07 </t>
  </si>
  <si>
    <t xml:space="preserve">Opening Principal Amounts as of Jan-1-08 </t>
  </si>
  <si>
    <t>Opening Principal Amounts as of Jan-1-09</t>
  </si>
  <si>
    <t>Opening Principal Amounts as of Jan-1-10</t>
  </si>
  <si>
    <t>For all Board-Approved dispositions, please ensure that the disposition amount has the same sign (e.g: debit balances are to have a positive figure and credit balance are to have a negative figure) as per the related Board decision.</t>
  </si>
  <si>
    <t>Opening Principal Amounts as of Jan-1-11</t>
  </si>
  <si>
    <t>Board-Approved Disposition during 2011</t>
  </si>
  <si>
    <t>Closing Principal Balance as of Dec-31-11</t>
  </si>
  <si>
    <t>Opening Interest Amounts as of Jan-1-11</t>
  </si>
  <si>
    <t>Interest Jan-1 to Dec-31-11</t>
  </si>
  <si>
    <t>Closing Interest Amounts as of Dec-31-11</t>
  </si>
  <si>
    <t>Other Regulatory Assets - Sub-Account - Financial Assistance Payment and Recovery Carrying Charges</t>
  </si>
  <si>
    <t>As per the January 6, 2011 Letter from the Board, regarding the implementation of the Ontario Clean Energy Benefit:</t>
  </si>
  <si>
    <t>balances in "Sub account Financial Assistance Payment and Recovery Variance - Ontario Clean Energy Benefit Act" will be addressed through the monthly settlement process with the IESO or the host distributor, as applicable.</t>
  </si>
  <si>
    <r>
      <t xml:space="preserve">Board-Approved Disposition during 2006  </t>
    </r>
    <r>
      <rPr>
        <b/>
        <vertAlign val="superscript"/>
        <sz val="10"/>
        <rFont val="Book Antiqua"/>
        <family val="1"/>
      </rPr>
      <t>1, 1A</t>
    </r>
  </si>
  <si>
    <t>1A</t>
  </si>
  <si>
    <r>
      <t xml:space="preserve">Adjustments during 2005 - other </t>
    </r>
    <r>
      <rPr>
        <b/>
        <vertAlign val="superscript"/>
        <sz val="10"/>
        <rFont val="Book Antiqua"/>
        <family val="1"/>
      </rPr>
      <t>2</t>
    </r>
  </si>
  <si>
    <r>
      <t xml:space="preserve">Adjustments during 2006 - other </t>
    </r>
    <r>
      <rPr>
        <b/>
        <vertAlign val="superscript"/>
        <sz val="10"/>
        <rFont val="Book Antiqua"/>
        <family val="1"/>
      </rPr>
      <t>2</t>
    </r>
  </si>
  <si>
    <r>
      <t xml:space="preserve">Adjustments during 2007 - other </t>
    </r>
    <r>
      <rPr>
        <b/>
        <vertAlign val="superscript"/>
        <sz val="10"/>
        <rFont val="Book Antiqua"/>
        <family val="1"/>
      </rPr>
      <t>2</t>
    </r>
  </si>
  <si>
    <r>
      <t xml:space="preserve">Adjustments during 2008 - other </t>
    </r>
    <r>
      <rPr>
        <b/>
        <vertAlign val="superscript"/>
        <sz val="10"/>
        <rFont val="Book Antiqua"/>
        <family val="1"/>
      </rPr>
      <t>2</t>
    </r>
  </si>
  <si>
    <r>
      <t xml:space="preserve">Adjustments during 2009 - other </t>
    </r>
    <r>
      <rPr>
        <b/>
        <vertAlign val="superscript"/>
        <sz val="10"/>
        <rFont val="Book Antiqua"/>
        <family val="1"/>
      </rPr>
      <t>2</t>
    </r>
  </si>
  <si>
    <r>
      <t xml:space="preserve">Adjustments during 2010 - other </t>
    </r>
    <r>
      <rPr>
        <b/>
        <vertAlign val="superscript"/>
        <sz val="10"/>
        <rFont val="Book Antiqua"/>
        <family val="1"/>
      </rPr>
      <t>2</t>
    </r>
  </si>
  <si>
    <r>
      <t xml:space="preserve">Adjustments during 2011 - other </t>
    </r>
    <r>
      <rPr>
        <b/>
        <vertAlign val="superscript"/>
        <sz val="10"/>
        <rFont val="Book Antiqua"/>
        <family val="1"/>
      </rPr>
      <t>2</t>
    </r>
  </si>
  <si>
    <r>
      <t xml:space="preserve">Transactions Debit / (Credit) during 2005 excluding interest and adjustments </t>
    </r>
    <r>
      <rPr>
        <b/>
        <vertAlign val="superscript"/>
        <sz val="10"/>
        <rFont val="Book Antiqua"/>
        <family val="1"/>
      </rPr>
      <t>3</t>
    </r>
  </si>
  <si>
    <r>
      <t xml:space="preserve">Transactions Debit / (Credit) during 2006 excluding interest and adjustments </t>
    </r>
    <r>
      <rPr>
        <b/>
        <vertAlign val="superscript"/>
        <sz val="10"/>
        <rFont val="Book Antiqua"/>
        <family val="1"/>
      </rPr>
      <t>3</t>
    </r>
  </si>
  <si>
    <r>
      <t xml:space="preserve">Transactions Debit / (Credit) during 2007 excluding interest and adjustments </t>
    </r>
    <r>
      <rPr>
        <b/>
        <vertAlign val="superscript"/>
        <sz val="10"/>
        <rFont val="Book Antiqua"/>
        <family val="1"/>
      </rPr>
      <t>3</t>
    </r>
  </si>
  <si>
    <r>
      <t xml:space="preserve">Transactions Debit / (Credit) during 2008 excluding interest and adjustments </t>
    </r>
    <r>
      <rPr>
        <b/>
        <vertAlign val="superscript"/>
        <sz val="10"/>
        <rFont val="Book Antiqua"/>
        <family val="1"/>
      </rPr>
      <t>3</t>
    </r>
  </si>
  <si>
    <r>
      <t xml:space="preserve">Transactions Debit / (Credit) during 2009 excluding interest and adjustments </t>
    </r>
    <r>
      <rPr>
        <b/>
        <vertAlign val="superscript"/>
        <sz val="10"/>
        <rFont val="Book Antiqua"/>
        <family val="1"/>
      </rPr>
      <t>3</t>
    </r>
  </si>
  <si>
    <r>
      <t xml:space="preserve">Transactions Debit / (Credit) during 2010 excluding interest and adjustments </t>
    </r>
    <r>
      <rPr>
        <b/>
        <vertAlign val="superscript"/>
        <sz val="10"/>
        <rFont val="Book Antiqua"/>
        <family val="1"/>
      </rPr>
      <t>3</t>
    </r>
  </si>
  <si>
    <r>
      <t xml:space="preserve">Transactions Debit / (Credit) during 2011 excluding interest and adjustments </t>
    </r>
    <r>
      <rPr>
        <b/>
        <vertAlign val="superscript"/>
        <sz val="10"/>
        <rFont val="Book Antiqua"/>
        <family val="1"/>
      </rPr>
      <t>3</t>
    </r>
  </si>
  <si>
    <r>
      <t xml:space="preserve">Other Regulatory Assets - Sub-Account - Other </t>
    </r>
    <r>
      <rPr>
        <vertAlign val="superscript"/>
        <sz val="11"/>
        <rFont val="Arial"/>
        <family val="2"/>
      </rPr>
      <t>4</t>
    </r>
  </si>
  <si>
    <r>
      <t xml:space="preserve">Deferred PILs Contra Account </t>
    </r>
    <r>
      <rPr>
        <vertAlign val="superscript"/>
        <sz val="11"/>
        <rFont val="Arial"/>
        <family val="2"/>
      </rPr>
      <t>5</t>
    </r>
  </si>
  <si>
    <r>
      <t>Other Regulatory Assets - Sub-Account - Financial Assistance Payment and Recovery Variance - Ontario Clean Energy Benefit Act</t>
    </r>
    <r>
      <rPr>
        <vertAlign val="superscript"/>
        <sz val="11"/>
        <rFont val="Arial"/>
        <family val="2"/>
      </rPr>
      <t>8</t>
    </r>
  </si>
  <si>
    <r>
      <t>Disposition and Recovery of Regulatory Balances</t>
    </r>
    <r>
      <rPr>
        <vertAlign val="superscript"/>
        <sz val="11"/>
        <rFont val="Arial"/>
        <family val="2"/>
      </rPr>
      <t>7</t>
    </r>
  </si>
  <si>
    <r>
      <t>Disposition and Recovery/Refund of Regulatory Balances (2008)</t>
    </r>
    <r>
      <rPr>
        <vertAlign val="superscript"/>
        <sz val="11"/>
        <rFont val="Arial"/>
        <family val="2"/>
      </rPr>
      <t>7</t>
    </r>
  </si>
  <si>
    <r>
      <t>Disposition and Recovery/Refund of Regulatory Balances (2009)</t>
    </r>
    <r>
      <rPr>
        <vertAlign val="superscript"/>
        <sz val="11"/>
        <rFont val="Arial"/>
        <family val="2"/>
      </rPr>
      <t>7</t>
    </r>
  </si>
  <si>
    <r>
      <t>Disposition and Recovery/Refund of Regulatory Balances (2010)</t>
    </r>
    <r>
      <rPr>
        <vertAlign val="superscript"/>
        <sz val="11"/>
        <rFont val="Arial"/>
        <family val="2"/>
      </rPr>
      <t>7</t>
    </r>
  </si>
  <si>
    <t xml:space="preserve">Deferral accounts related to Smart Meter deployment are not to be recovered/refunded through the Deferral and Variance Account rate rider. For details on how to dispose of balances in Smart Meter accounts see the Board's </t>
  </si>
  <si>
    <t>Guideline: Smart Meter Disposition and Cost Recovery (G-2011-0001)</t>
  </si>
  <si>
    <t>RSVA - Power (excluding Global Adjustment)</t>
  </si>
  <si>
    <t>If the LDC’s 2013 rate year begins January 1, 2013, the projected interest is recorded from January 1, 2012 to December 31, 2012 on the December 31, 2011 balance adjusted for the disposed balances approved by the Board in the 2012 rate decision.  If the LDC’s 2013 rate year begins May 1, 2013 the projected interest is recorded from January 1, 2012 to April 30, 2013 on the December 31, 2011 balance adjusted for the disposed balances approved by the Board in the 2012 rate decision.</t>
  </si>
  <si>
    <t>balances in Account 1595 on a memo basis only (line 85).</t>
  </si>
  <si>
    <t>"By way of exception... The Board does acticipate that licensed distributors that cannot adapt their invoices as of January 1, 2011 will require a variance account for OCEB purposes... The Board expects that any principal</t>
  </si>
  <si>
    <t>Version</t>
  </si>
  <si>
    <t xml:space="preserve">Utility Name   </t>
  </si>
  <si>
    <t>Service Territory</t>
  </si>
  <si>
    <t>Assigned EB Number</t>
  </si>
  <si>
    <t>Name of Contact and Title</t>
  </si>
  <si>
    <t xml:space="preserve">Phone Number   </t>
  </si>
  <si>
    <t xml:space="preserve">Email Address   </t>
  </si>
  <si>
    <t>Notes</t>
  </si>
  <si>
    <t>Pale green cells represent input cells.</t>
  </si>
  <si>
    <t>Pale blue cells represent drop-down lists.  The applicant should select the appropriate item from the drop-down list.</t>
  </si>
  <si>
    <t xml:space="preserve">White cells contain fixed values, automatically generated values or formulae. </t>
  </si>
  <si>
    <r>
      <rPr>
        <b/>
        <u/>
        <sz val="11"/>
        <color theme="1"/>
        <rFont val="Calibri"/>
        <family val="2"/>
        <scheme val="minor"/>
      </rPr>
      <t>General Notes</t>
    </r>
    <r>
      <rPr>
        <sz val="11"/>
        <color theme="1"/>
        <rFont val="Calibri"/>
        <family val="2"/>
        <scheme val="minor"/>
      </rPr>
      <t xml:space="preserve">
1.  Please ensure that your macros have been enabled.  (Tools -&gt; Macro -&gt; Security)
2.  Due to the time lag of deferral/variance account dispositions, this model assumes that all opening balances include previously disposed of amounts.  Accordingly, all "Board Approved Dispositions" are deducted from the opening balance.
3.  Please provide information in this model since the last time your balances were disposed.
4.  For all Board-Approved dispositions, please ensure that the disposition amount has the same sign (e.g: debit balances are to have a positive figure and credit balance are to have a negative figure) as per the related Board decision.
</t>
    </r>
  </si>
  <si>
    <t>Billed kWh for Non-RPP Customers</t>
  </si>
  <si>
    <t>Estimated kW for Non-RPP Customers</t>
  </si>
  <si>
    <r>
      <t xml:space="preserve">Distribution Revenue </t>
    </r>
    <r>
      <rPr>
        <b/>
        <vertAlign val="superscript"/>
        <sz val="10"/>
        <rFont val="Arial"/>
        <family val="2"/>
      </rPr>
      <t>1</t>
    </r>
  </si>
  <si>
    <r>
      <t xml:space="preserve">1595 Recovery Share Proportion (2008) </t>
    </r>
    <r>
      <rPr>
        <b/>
        <vertAlign val="superscript"/>
        <sz val="10"/>
        <rFont val="Arial"/>
        <family val="2"/>
      </rPr>
      <t>2</t>
    </r>
  </si>
  <si>
    <r>
      <t xml:space="preserve">1595 Recovery Share Proportion (2009) </t>
    </r>
    <r>
      <rPr>
        <b/>
        <vertAlign val="superscript"/>
        <sz val="10"/>
        <rFont val="Arial"/>
        <family val="2"/>
      </rPr>
      <t>2</t>
    </r>
  </si>
  <si>
    <r>
      <t xml:space="preserve">1595 Recovery Share Proportion (2010) </t>
    </r>
    <r>
      <rPr>
        <b/>
        <vertAlign val="superscript"/>
        <sz val="10"/>
        <rFont val="Arial"/>
        <family val="2"/>
      </rPr>
      <t>2</t>
    </r>
  </si>
  <si>
    <t>Metered kWh</t>
  </si>
  <si>
    <t>Metered kW</t>
  </si>
  <si>
    <t>LRAM Variance Account</t>
  </si>
  <si>
    <r>
      <t xml:space="preserve">1568 LRAM Variance Account Class Allocation 
</t>
    </r>
    <r>
      <rPr>
        <b/>
        <sz val="10"/>
        <color rgb="FFFF0000"/>
        <rFont val="Arial"/>
        <family val="2"/>
      </rPr>
      <t>($ amounts)</t>
    </r>
  </si>
  <si>
    <r>
      <t>1</t>
    </r>
    <r>
      <rPr>
        <sz val="10"/>
        <rFont val="Arial"/>
        <family val="2"/>
      </rPr>
      <t xml:space="preserve"> For Account 1562, the allocation to customer classes should be performed on the basis of the test year distribution revenue allocation to customer classes found in the Applicant’s Cost of Service application that was most recently approved at the time of disposition of the 1562 account balances</t>
    </r>
  </si>
  <si>
    <r>
      <t>2</t>
    </r>
    <r>
      <rPr>
        <sz val="10"/>
        <rFont val="Arial"/>
        <family val="2"/>
      </rPr>
      <t xml:space="preserve"> Residual Account balance to be allocated to rate classes in proportion to the recovery share as established when rate riders were implemented.</t>
    </r>
  </si>
  <si>
    <t>Units</t>
  </si>
  <si>
    <t>Total</t>
  </si>
  <si>
    <t>In the green shaded cells, enter the most recent Board Approved volumetric forecast.  If there is a material difference between the latest Board-approved volumetric forecast and the most recent 12-month actual volumetric data, use the most recent 12-month actual data.  Do not enter data for the MicroFit class.</t>
  </si>
  <si>
    <t>1590 Recovery Share Proportion</t>
  </si>
  <si>
    <t>Balance as per Sheet 2</t>
  </si>
  <si>
    <t>Variance</t>
  </si>
  <si>
    <t>Disposition and Recovery/Refund of Regulatory Balances (2008)</t>
  </si>
  <si>
    <t>Disposition and Recovery/Refund of Regulatory Balances (2009)</t>
  </si>
  <si>
    <t>Disposition and Recovery/Refund of Regulatory Balances (2010)</t>
  </si>
  <si>
    <t>Other Regulatory Assets - Sub-Account - Financial Assistance Payment and Recovery Variance - Ontario Clean Energy Benefit Act</t>
  </si>
  <si>
    <t>Other Regulatory Assets - Sub-Account - Other</t>
  </si>
  <si>
    <t>PILs and Tax Variance for 2006 and Subsequent Years -
      Sub-Account HST/OVAT Input Tax Credits (ITCs)</t>
  </si>
  <si>
    <t>Allocator</t>
  </si>
  <si>
    <t>Total of Group 2 Accounts</t>
  </si>
  <si>
    <t># of Customers</t>
  </si>
  <si>
    <r>
      <t xml:space="preserve">Rate Class 
</t>
    </r>
    <r>
      <rPr>
        <b/>
        <sz val="8"/>
        <rFont val="Arial"/>
        <family val="2"/>
      </rPr>
      <t>(Enter Rate Classes in cells below)</t>
    </r>
  </si>
  <si>
    <t>PILs and Tax Variance for 2006 and Subsequent Years 
      (excludes sub-account and contra account)</t>
  </si>
  <si>
    <t>Total of Account 1562 and Account 1592</t>
  </si>
  <si>
    <r>
      <t xml:space="preserve">LRAM Variance Account </t>
    </r>
    <r>
      <rPr>
        <b/>
        <sz val="10"/>
        <color rgb="FFFF0000"/>
        <rFont val="Arial"/>
        <family val="2"/>
      </rPr>
      <t>(Enter dollar amount for each class)</t>
    </r>
  </si>
  <si>
    <t>Amounts from Sheet 2</t>
  </si>
  <si>
    <t>(Account 1568 - total amount allocated to classes)</t>
  </si>
  <si>
    <t>Rate Rider for Deferral/Variance Accounts</t>
  </si>
  <si>
    <t xml:space="preserve"> Please indicate the Rate Rider Recovery Period (in years)</t>
  </si>
  <si>
    <t>kW / kWh / # of Customers</t>
  </si>
  <si>
    <t>Rate Rider Calculation for Deferral / Variance Accounts Balances (excluding Global Adj.)</t>
  </si>
  <si>
    <t xml:space="preserve">Accounts that produced a variance on the 2014 continuity schedule are listed below.  
Please provide a detailed explanation for each variance below.
</t>
  </si>
  <si>
    <t>RSVA - Global Adjustment</t>
  </si>
  <si>
    <t>Group 1 Sub-Total (including Account 1589 - Global Adjustment)</t>
  </si>
  <si>
    <t>Group 1 Sub-Total (excluding Account 1589 - Global Adjustment)</t>
  </si>
  <si>
    <r>
      <t>Disposition and Recovery/Refund of Regulatory Balances (2011)</t>
    </r>
    <r>
      <rPr>
        <vertAlign val="superscript"/>
        <sz val="11"/>
        <rFont val="Arial"/>
        <family val="2"/>
      </rPr>
      <t>7</t>
    </r>
  </si>
  <si>
    <t>Include Account 1595 as part of Group 1 accounts (lines 31, 32, 33 and 34) for review and disposition if the recovery (or refund) period has been completed. If the recovery (or refund) period has not been completed, include the</t>
  </si>
  <si>
    <t>Opening Principal Amounts as of Jan-1-12</t>
  </si>
  <si>
    <r>
      <t xml:space="preserve">Transactions Debit / (Credit) during 2012 excluding interest and adjustments </t>
    </r>
    <r>
      <rPr>
        <b/>
        <vertAlign val="superscript"/>
        <sz val="10"/>
        <rFont val="Book Antiqua"/>
        <family val="1"/>
      </rPr>
      <t>3</t>
    </r>
  </si>
  <si>
    <t>Board-Approved Disposition during 2012</t>
  </si>
  <si>
    <r>
      <t xml:space="preserve">Other </t>
    </r>
    <r>
      <rPr>
        <b/>
        <vertAlign val="superscript"/>
        <sz val="10"/>
        <rFont val="Book Antiqua"/>
        <family val="1"/>
      </rPr>
      <t xml:space="preserve">2 </t>
    </r>
    <r>
      <rPr>
        <b/>
        <sz val="10"/>
        <rFont val="Book Antiqua"/>
        <family val="1"/>
      </rPr>
      <t>Adjustments during Q1 2012</t>
    </r>
  </si>
  <si>
    <r>
      <t xml:space="preserve">Other </t>
    </r>
    <r>
      <rPr>
        <b/>
        <vertAlign val="superscript"/>
        <sz val="10"/>
        <rFont val="Book Antiqua"/>
        <family val="1"/>
      </rPr>
      <t xml:space="preserve">2 </t>
    </r>
    <r>
      <rPr>
        <b/>
        <sz val="10"/>
        <rFont val="Book Antiqua"/>
        <family val="1"/>
      </rPr>
      <t>Adjustments during Q2 2012</t>
    </r>
  </si>
  <si>
    <r>
      <t xml:space="preserve">Other </t>
    </r>
    <r>
      <rPr>
        <b/>
        <vertAlign val="superscript"/>
        <sz val="10"/>
        <rFont val="Book Antiqua"/>
        <family val="1"/>
      </rPr>
      <t xml:space="preserve">2 </t>
    </r>
    <r>
      <rPr>
        <b/>
        <sz val="10"/>
        <rFont val="Book Antiqua"/>
        <family val="1"/>
      </rPr>
      <t>Adjustments during Q3 2012</t>
    </r>
  </si>
  <si>
    <r>
      <t xml:space="preserve">Other </t>
    </r>
    <r>
      <rPr>
        <b/>
        <vertAlign val="superscript"/>
        <sz val="10"/>
        <rFont val="Book Antiqua"/>
        <family val="1"/>
      </rPr>
      <t xml:space="preserve">2 </t>
    </r>
    <r>
      <rPr>
        <b/>
        <sz val="10"/>
        <rFont val="Book Antiqua"/>
        <family val="1"/>
      </rPr>
      <t>Adjustments during Q4 2012</t>
    </r>
  </si>
  <si>
    <t>Closing Principal Balance as of Dec-31-12</t>
  </si>
  <si>
    <t>Opening Interest Amounts as of Jan-1-12</t>
  </si>
  <si>
    <t>Interest Jan-1 to Dec-31-12</t>
  </si>
  <si>
    <r>
      <t xml:space="preserve">Adjustments during 2012 - other </t>
    </r>
    <r>
      <rPr>
        <b/>
        <vertAlign val="superscript"/>
        <sz val="10"/>
        <rFont val="Book Antiqua"/>
        <family val="1"/>
      </rPr>
      <t>2</t>
    </r>
  </si>
  <si>
    <t>Closing Interest Amounts as of Dec-31-12</t>
  </si>
  <si>
    <t>Principal Disposition during 2013 - instructed by Board</t>
  </si>
  <si>
    <t>Interest Disposition during 2013 - instructed by Board</t>
  </si>
  <si>
    <t>Closing Principal Balances as of Dec 31-12 Adjusted for Dispositions during 2013</t>
  </si>
  <si>
    <t>Closing Interest Balances as of Dec 31-12 Adjusted for Dispositions during 2013</t>
  </si>
  <si>
    <r>
      <t xml:space="preserve">Projected Interest from Jan 1, 2013 to December 31, 2013 on                        Dec 31 -12 balance adjusted for disposition during 2013 </t>
    </r>
    <r>
      <rPr>
        <b/>
        <vertAlign val="superscript"/>
        <sz val="10"/>
        <rFont val="Book Antiqua"/>
        <family val="1"/>
      </rPr>
      <t>6</t>
    </r>
  </si>
  <si>
    <r>
      <t xml:space="preserve">Projected Interest from January 1, 2014 to April 30, 2014 on Dec 31 -12 balance adjusted for disposition during 2013  </t>
    </r>
    <r>
      <rPr>
        <b/>
        <vertAlign val="superscript"/>
        <sz val="11"/>
        <rFont val="Book Antiqua"/>
        <family val="1"/>
      </rPr>
      <t>6</t>
    </r>
  </si>
  <si>
    <t>Projected Interest on Dec-31-12 Balances</t>
  </si>
  <si>
    <t>As of Dec 31-12</t>
  </si>
  <si>
    <r>
      <t xml:space="preserve">Variance                           RRR vs. 2012 Balance                        </t>
    </r>
    <r>
      <rPr>
        <b/>
        <i/>
        <sz val="10"/>
        <rFont val="Book Antiqua"/>
        <family val="1"/>
      </rPr>
      <t>(Principal + Interest)</t>
    </r>
  </si>
  <si>
    <t>Total Balance Allocated to each class (excluding 1589)</t>
  </si>
  <si>
    <t>Total Balance Allocated to each class (including 1589)</t>
  </si>
  <si>
    <r>
      <t>Smart Meter Capital and Recovery Offset Variance - Sub-Account - Capital</t>
    </r>
    <r>
      <rPr>
        <vertAlign val="superscript"/>
        <sz val="11"/>
        <rFont val="Arial"/>
        <family val="2"/>
      </rPr>
      <t>10</t>
    </r>
  </si>
  <si>
    <r>
      <t>Smart Meter Capital and Recovery Offset Variance - Sub-Account - Recoveries</t>
    </r>
    <r>
      <rPr>
        <vertAlign val="superscript"/>
        <sz val="11"/>
        <rFont val="Arial"/>
        <family val="2"/>
      </rPr>
      <t>10</t>
    </r>
  </si>
  <si>
    <r>
      <t>Smart Meter Capital and Recovery Offset Variance - Sub-Account - Stranded Meter Costs</t>
    </r>
    <r>
      <rPr>
        <vertAlign val="superscript"/>
        <sz val="11"/>
        <rFont val="Arial"/>
        <family val="2"/>
      </rPr>
      <t>10</t>
    </r>
  </si>
  <si>
    <r>
      <t>Smart Meter OM&amp;A Variance</t>
    </r>
    <r>
      <rPr>
        <vertAlign val="superscript"/>
        <sz val="11"/>
        <rFont val="Arial"/>
        <family val="2"/>
      </rPr>
      <t>10</t>
    </r>
  </si>
  <si>
    <t>Total including Account 1568</t>
  </si>
  <si>
    <t>Total of Group 1 Accounts (excluding 1589)</t>
  </si>
  <si>
    <t>Total Balance Allocated to each class from Account 1589</t>
  </si>
  <si>
    <t>Allocated Balance (excluding 1589)</t>
  </si>
  <si>
    <t>Total Balance Allocated to each class for Accounts 1575 and 1576</t>
  </si>
  <si>
    <t>Rate Rider Calculation for Accounts 1575 and 1576</t>
  </si>
  <si>
    <t>Balance of Accounts 1575 and 1576</t>
  </si>
  <si>
    <t>Rate Rider for Accounts 1575 and 1576</t>
  </si>
  <si>
    <t>The Board requires that disposition of Account 1575 and Account 1576 shall require the use of separate rate riders. In the "Other Adjustments during Q4 2012" column of the continuity schedule, please enter the amounts to be included in the Account 1575 and 1576 rate rider calculation from the applicable Chapter 2 appendices. For Account 1575, please provide the value in cell F39 from the relevant Chapter 2 Appendix (i.e. 2-EA, 2-EB or 2-EC). For Account 1576, please provide the value in cell F39 from the relevant Chapter 2 Appendix (i.e. 2-ED or 2-EE).</t>
  </si>
  <si>
    <t>Algoma Power Inc.</t>
  </si>
  <si>
    <t>Atikokan Hydro Inc.</t>
  </si>
  <si>
    <t xml:space="preserve">Attawapiskat Power Corp. </t>
  </si>
  <si>
    <t>Bluewater Power Distribution Corporation</t>
  </si>
  <si>
    <t>Brant County Power Inc.</t>
  </si>
  <si>
    <t>Brantford Power Inc.</t>
  </si>
  <si>
    <t>Burlington Hydro Inc.</t>
  </si>
  <si>
    <t>Cambridge and North Dumfries Hydro Inc.</t>
  </si>
  <si>
    <t>Canadian Niagara Power Inc.</t>
  </si>
  <si>
    <t>Centre Wellington Hydro Ltd.</t>
  </si>
  <si>
    <t>Chapleau Public Utilities Corporation</t>
  </si>
  <si>
    <t>Clinton Power Corporation</t>
  </si>
  <si>
    <t>COLLUS Power Corporation</t>
  </si>
  <si>
    <t>Cooperative Hydro Embrun Inc.</t>
  </si>
  <si>
    <t>E.L.K. Energy Inc.</t>
  </si>
  <si>
    <t>Enersource Hydro Mississauga Inc.</t>
  </si>
  <si>
    <t>Entegrus Powerlines Inc.</t>
  </si>
  <si>
    <t>ENWIN Utilities Ltd.</t>
  </si>
  <si>
    <t>Erie Thames Powerlines Corporation</t>
  </si>
  <si>
    <t>Espanola Regional Hydro Distribution Corporation</t>
  </si>
  <si>
    <t>Essex Powerlines Corporation</t>
  </si>
  <si>
    <t>Festival Hydro Inc.</t>
  </si>
  <si>
    <t>Fort Albany Power Corporation</t>
  </si>
  <si>
    <t>Fort Frances Power Corporation</t>
  </si>
  <si>
    <t>Greater Sudbury Hydro Inc.</t>
  </si>
  <si>
    <t>Grimsby Power Inc.</t>
  </si>
  <si>
    <t>Guelph Hydro Electric Systems Inc.</t>
  </si>
  <si>
    <t>Haldimand County Hydro Inc.</t>
  </si>
  <si>
    <t>Halton Hills Hydro Inc.</t>
  </si>
  <si>
    <t>Hearst Power Distribution Company Limited</t>
  </si>
  <si>
    <t>Horizon Utilities Corporation</t>
  </si>
  <si>
    <t>Hydro 2000 Inc.</t>
  </si>
  <si>
    <t>Hydro Hawkesbury Inc.</t>
  </si>
  <si>
    <t>Hydro One Brampton Networks Inc.</t>
  </si>
  <si>
    <t>Hydro One Networks Inc.</t>
  </si>
  <si>
    <t>Hydro Ottawa Limited</t>
  </si>
  <si>
    <t>Innisfil Hydro Distribution Systems Limited</t>
  </si>
  <si>
    <t>Kashechewan Power Corporation</t>
  </si>
  <si>
    <t>Kenora Hydro Electric Corporation Ltd.</t>
  </si>
  <si>
    <t>Kingston Hydro Corporation</t>
  </si>
  <si>
    <t>Kitchener-Wilmot Hydro Inc.</t>
  </si>
  <si>
    <t>Lakefront Utilities Inc.</t>
  </si>
  <si>
    <t>Lakeland Power Distribution Ltd.</t>
  </si>
  <si>
    <t>London Hydro Inc.</t>
  </si>
  <si>
    <t>Midland Power Utility Corporation</t>
  </si>
  <si>
    <t>Milton Hydro Distribution inc.</t>
  </si>
  <si>
    <t>Newmarket - Tay Power Distribution Ltd.</t>
  </si>
  <si>
    <t>Niagara Peninsula Energy Inc.</t>
  </si>
  <si>
    <t>Niagara-on-the-Lake Hydro Inc.</t>
  </si>
  <si>
    <t>Norfolk Power Distribution Inc.</t>
  </si>
  <si>
    <t>North Bay Hydro Distribution Limited</t>
  </si>
  <si>
    <t>Northern Ontario Wires Inc.</t>
  </si>
  <si>
    <t>Oakville Hydro Electricity Distribution Inc.</t>
  </si>
  <si>
    <t>Orangeville Hydro Limited</t>
  </si>
  <si>
    <t>Orillia Power Distribution Corporation</t>
  </si>
  <si>
    <t>Oshawa PUC Networks Inc.</t>
  </si>
  <si>
    <t>Ottawa River Power Corporation</t>
  </si>
  <si>
    <t>Parry Sound Power Corporation</t>
  </si>
  <si>
    <t>Peterborough Distribution Incorporated</t>
  </si>
  <si>
    <t>PowerStream Inc.</t>
  </si>
  <si>
    <t>PUC Distribution Inc.</t>
  </si>
  <si>
    <t>Renfrew Hydro Inc.</t>
  </si>
  <si>
    <t>Rideau St. Lawrence Distribution Inc.</t>
  </si>
  <si>
    <t>Sioux Lookout Hydro Inc.</t>
  </si>
  <si>
    <t>St. Thomas Energy Inc.</t>
  </si>
  <si>
    <t>Thunder Bay Hydro Electricity Distribution Inc.</t>
  </si>
  <si>
    <t>Tillsonburg Hydro Inc.</t>
  </si>
  <si>
    <t>Toronto Hydro-Electric System Limited</t>
  </si>
  <si>
    <t>Veridian Connections Inc.</t>
  </si>
  <si>
    <t>Wasaga Distribution Inc.</t>
  </si>
  <si>
    <t>Waterloo North Hydro Inc.</t>
  </si>
  <si>
    <t>Welland Hydro-Electric System Corp.</t>
  </si>
  <si>
    <t>Wellington North Power Inc.</t>
  </si>
  <si>
    <t>West Coast Huron Energy Inc.</t>
  </si>
  <si>
    <t>West Perth Power Inc.</t>
  </si>
  <si>
    <t>Westario Power Inc.</t>
  </si>
  <si>
    <t>Whitby Hydro Electric Corporation</t>
  </si>
  <si>
    <t>Woodstock Hydro Services Inc.</t>
  </si>
  <si>
    <t>Disposition and Recovery/Refund of Regulatory Balances (2011)</t>
  </si>
  <si>
    <r>
      <t>IFRS-CGAAP Transition PP&amp;E Amounts Balance + Return Component</t>
    </r>
    <r>
      <rPr>
        <vertAlign val="superscript"/>
        <sz val="11"/>
        <rFont val="Arial"/>
        <family val="2"/>
      </rPr>
      <t>9</t>
    </r>
  </si>
  <si>
    <r>
      <t>Accounting Changes Under CGAAP Balance + Return Component</t>
    </r>
    <r>
      <rPr>
        <vertAlign val="superscript"/>
        <sz val="11"/>
        <rFont val="Arial"/>
        <family val="2"/>
      </rPr>
      <t>9</t>
    </r>
  </si>
  <si>
    <t>IFRS-CGAAP Transition PP&amp;E Amounts Balance + Return Component</t>
  </si>
  <si>
    <t>Accounting Changes Under CGAAP Balance + Return Component</t>
  </si>
  <si>
    <t>Rate Rider Calculation for RSVA - Power - Global Adjustment</t>
  </si>
  <si>
    <t>Balance of RSVA - Power - Global Adjustment</t>
  </si>
  <si>
    <t>Rate Rider for RSVA - Power - Global Adjustment</t>
  </si>
  <si>
    <t>Non-RPP kW / kWh / # of Customers</t>
  </si>
  <si>
    <t>Niagara-on-the-Lake</t>
  </si>
  <si>
    <t>EB-2013-XXXX</t>
  </si>
  <si>
    <t>Philip Wormwell, Director of Coporate Services</t>
  </si>
  <si>
    <t>905-468-4235 Ext 380</t>
  </si>
  <si>
    <t>pwormwell@notlhdyro.com</t>
  </si>
  <si>
    <t>Actual 1576 at December 31, 2012 was zero, as reported in RRR 2.1.7.  The entry to 1576 for NOTL Hydro is a 2013 entry, not a 2012 entry, because the required PP&amp;E accounting changes are being made by NOTL Hydro in 2013, not 2012.</t>
  </si>
  <si>
    <t>NOTL Hydro had inadvertently omitted to record depreciation in this account in the period up to December 31, 2012.  The unrecorded annual amounts are entered into cells AV54, BF54, BP54 and CC54 in the continuity schedule in order to arrive at the correct claim amount in cell CP53. The actual accounting entry has been recorded by NOTL Hydro as an adjustment in 2013. Please also see Exhibit 9, Tab 2, Schedule 1, account 1535.</t>
  </si>
  <si>
    <t>Although disposition of "1508 - IFRS" is not being requested at this time, the annual expenses incurred are entered in the continuity schedule for transparency purposes and future reference.  To ensure the EDDVAR model claim in cell CP43 calculates as zero, adjustments are entered in cells CC43 and CH43 to mathematically  clearCP 43 to zero.  These adjustments are not actual accounting entries made by NOTL Hydro, as a claim for "1508-IFRS" will be made when the IFRS transition is completed, as explained in Exhibit 9, Tab 2, Schedule 1, account 1508.  Please also note that adjustment amounts have been entered in cells BF43, BK43, BP43, BU43 and CH43 to remove ineligible costs, as also explained in  Exhibit 9, Tab 2, Schedule 1, account 1508.</t>
  </si>
  <si>
    <t>As explained in Exhibit 9, Tab 2, Schedule 1, account 1531, NOTL Hydro has reviewed the historical annual expenses recorded in 1531 and determined that the costs were either ineligible or were OM&amp;A that should have been recorded in 1532.   The resulting 1531 claim is zero.  Cells  AV50, BA50, BF50, BK50, BU50 and CH50 were used to show removal of the annual amounts that were ineligible or were OM&amp;A and should not have been recorded in 1531.   The actual removal accounting entry has been recorded by NOTL Hydro in  2013.</t>
  </si>
  <si>
    <t>As explained in Exhibit 9, Tab 2, Schedule 1, account 1532, NOTL Hydro has reviewed the historical annual expenses recorded in 1532 and determined that some costs were ineligible and some costs recorded in 1531 were OM&amp;A that should have been recorded in 1532.   Cells  AV51, BA51, BF51, BK51, BP51, BU51 and CH51 were used to remove the annual amounts that were ineligible or to add the OM&amp;A that had been recorded in 1531.   The actual net removal/addition accounting entry has been recorded by NOTL Hydro in 2013.</t>
  </si>
  <si>
    <t>kWh</t>
  </si>
  <si>
    <t>Residential</t>
  </si>
  <si>
    <t>General Service Less Than 50 kW</t>
  </si>
  <si>
    <t>General Service 50 to 4,999 kW</t>
  </si>
  <si>
    <t>Unmetered Scattered Load</t>
  </si>
  <si>
    <t>Street Lighting</t>
  </si>
  <si>
    <t>kW</t>
  </si>
  <si>
    <t>Non-RPP kWh</t>
  </si>
  <si>
    <t>Distribution Rev.</t>
  </si>
  <si>
    <t>NOTL Hydro had inadvertently omitted to record accumulated depreciation on this account in the period up to December 31, 2012.  The unrecorded annual amounts are entered into cells AV53, BF53, BP53 and CC53 in the continuity schedule. The actual accounting entry has been recorded by NOTL Hydro in its financial records as a journal entry adjustment in 2013.  
Please also see Exhibit 9, Tab 2, Schedule 1, account 1534, where it states that the December 31, 2012 net book value balance is requested to be treated as a 2013 capital addition.  Thus, the claim as a rate rider is zero.   In order to have the continuity schedule calculate the claim as zero, adjustments are made in cells CB53 and CH53.</t>
  </si>
  <si>
    <t>NOTL Hydro had a small net debit balance of $144 in this account at December 31, 2012.  Due to the small amount, disposition is not being requested and the balance will be transferred to the operating revenue account in 2013.  The removal of this debit is shown as an adjustment in cells CH45 and CC45 of the continuity schedule.</t>
  </si>
  <si>
    <t>Please see 1592 ITCs above.  The contra variance is the negative of the ITCs variance.</t>
  </si>
  <si>
    <r>
      <t xml:space="preserve">1595 Recovery Share Proportion (2011) </t>
    </r>
    <r>
      <rPr>
        <b/>
        <vertAlign val="superscript"/>
        <sz val="10"/>
        <rFont val="Arial"/>
        <family val="2"/>
      </rPr>
      <t>2</t>
    </r>
  </si>
  <si>
    <t xml:space="preserve">As indicated in detail in Exhibit 9, Tab 2, Schedule 1 for this sub-account, accounting  adjustments were done in June 2013 related to depreciation expense savings, after the RRR had been reported.   The values in row 67 are the adjusted amounts by year x 50% ( in order to calculate the 50% claim).  In addition, the forecast/estimated 2013 and 2014 principal savings x 50% are entered in cells CB67 and CC67.  </t>
  </si>
  <si>
    <t>To correct an inadvertent ommission related to cost of power in the 2010 audit process.  See Exhibit 9 Tab 2 Schedule 2 - Reconciliation of Cost of Power for details</t>
  </si>
  <si>
    <t>The Extra-ordinary event occurred in 2013. The total cost before interest is entered in cell CC58, and the projected interest is entered in cell CH58  in order to arrive at the correct claim in cell CP58</t>
  </si>
  <si>
    <t xml:space="preserve">There are 3 causes of the difference. 1) The audited 1568 balance and RRR did not include any 2012 programs impact, because the 2012 financial results were not available at that time.  2) 2012 Carrying charges had not been calculated and recorded in 2012.  The necessary adjustments to arrive at the correct claim are made in cells CC35 for principal and CH35 for carrying charges. 3) Revised estimates of the rate class shares of savings from 2011 programs </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</si>
</sst>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5" formatCode="&quot;$&quot;#,##0_);\(&quot;$&quot;#,##0\)"/>
    <numFmt numFmtId="44" formatCode="_(&quot;$&quot;* #,##0.00_);_(&quot;$&quot;* \(#,##0.00\);_(&quot;$&quot;* &quot;-&quot;??_);_(@_)"/>
    <numFmt numFmtId="164" formatCode="&quot;$&quot;#,##0.00;[Red]\-&quot;$&quot;#,##0.00"/>
    <numFmt numFmtId="165" formatCode="_-&quot;$&quot;* #,##0.00_-;\-&quot;$&quot;* #,##0.00_-;_-&quot;$&quot;* &quot;-&quot;??_-;_-@_-"/>
    <numFmt numFmtId="166" formatCode="_-* #,##0.00_-;\-* #,##0.00_-;_-* &quot;-&quot;??_-;_-@_-"/>
    <numFmt numFmtId="167" formatCode="_(* #,##0.0_);_(* \(#,##0.0\);_(* &quot;-&quot;??_);_(@_)"/>
    <numFmt numFmtId="168" formatCode="_(* #,##0_);_(* \(#,##0\);_(* &quot;-&quot;??_);_(@_)"/>
    <numFmt numFmtId="169" formatCode="&quot;£ &quot;#,##0.00;[Red]\-&quot;£ &quot;#,##0.00"/>
    <numFmt numFmtId="170" formatCode="#,##0.0"/>
    <numFmt numFmtId="171" formatCode="##\-#"/>
    <numFmt numFmtId="172" formatCode="mm/dd/yyyy"/>
    <numFmt numFmtId="173" formatCode="0\-0"/>
    <numFmt numFmtId="174" formatCode="_-&quot;$&quot;* #,##0_-;\-&quot;$&quot;* #,##0_-;_-&quot;$&quot;* &quot;-&quot;??_-;_-@_-"/>
    <numFmt numFmtId="175" formatCode="0.0"/>
    <numFmt numFmtId="176" formatCode="#,##0;[Red]\(#,##0\)"/>
    <numFmt numFmtId="177" formatCode="_-* #,##0_-;\-* #,##0_-;_-* &quot;-&quot;??_-;_-@_-"/>
    <numFmt numFmtId="178" formatCode="_-* #,##0.0000_-;\-* #,##0.0000_-;_-* &quot;-&quot;??_-;_-@_-"/>
    <numFmt numFmtId="179" formatCode="0.0%"/>
  </numFmts>
  <fonts count="54" x14ac:knownFonts="1">
    <font>
      <sz val="10"/>
      <name val="Arial"/>
    </font>
    <font>
      <sz val="11"/>
      <color theme="1"/>
      <name val="Calibri"/>
      <family val="2"/>
      <scheme val="minor"/>
    </font>
    <font>
      <sz val="11"/>
      <color theme="1"/>
      <name val="Calibri"/>
      <family val="2"/>
      <scheme val="minor"/>
    </font>
    <font>
      <sz val="10"/>
      <name val="Arial"/>
      <family val="2"/>
    </font>
    <font>
      <sz val="11"/>
      <name val="Arial"/>
      <family val="2"/>
    </font>
    <font>
      <b/>
      <sz val="11"/>
      <name val="Arial"/>
      <family val="2"/>
    </font>
    <font>
      <b/>
      <sz val="10"/>
      <name val="Arial"/>
      <family val="2"/>
    </font>
    <font>
      <sz val="8"/>
      <name val="Arial"/>
      <family val="2"/>
    </font>
    <font>
      <b/>
      <sz val="18"/>
      <name val="Arial"/>
      <family val="2"/>
    </font>
    <font>
      <b/>
      <sz val="12"/>
      <name val="Arial"/>
      <family val="2"/>
    </font>
    <font>
      <vertAlign val="superscript"/>
      <sz val="11"/>
      <name val="Arial"/>
      <family val="2"/>
    </font>
    <font>
      <sz val="10"/>
      <name val="Arial"/>
      <family val="2"/>
    </font>
    <font>
      <b/>
      <sz val="11"/>
      <color indexed="12"/>
      <name val="Arial"/>
      <family val="2"/>
    </font>
    <font>
      <sz val="8"/>
      <name val="Arial"/>
      <family val="2"/>
    </font>
    <font>
      <b/>
      <sz val="22"/>
      <name val="Book Antiqua"/>
      <family val="1"/>
    </font>
    <font>
      <sz val="10"/>
      <name val="Book Antiqua"/>
      <family val="1"/>
    </font>
    <font>
      <sz val="22"/>
      <name val="Book Antiqua"/>
      <family val="1"/>
    </font>
    <font>
      <b/>
      <sz val="10"/>
      <name val="Book Antiqua"/>
      <family val="1"/>
    </font>
    <font>
      <b/>
      <vertAlign val="superscript"/>
      <sz val="10"/>
      <name val="Book Antiqua"/>
      <family val="1"/>
    </font>
    <font>
      <b/>
      <vertAlign val="superscript"/>
      <sz val="11"/>
      <name val="Book Antiqua"/>
      <family val="1"/>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6"/>
      <name val="Book Antiqua"/>
      <family val="1"/>
    </font>
    <font>
      <b/>
      <i/>
      <sz val="10"/>
      <name val="Book Antiqua"/>
      <family val="1"/>
    </font>
    <font>
      <b/>
      <sz val="8"/>
      <name val="Book Antiqua"/>
      <family val="1"/>
    </font>
    <font>
      <sz val="8"/>
      <name val="Book Antiqua"/>
      <family val="1"/>
    </font>
    <font>
      <b/>
      <sz val="16"/>
      <color indexed="10"/>
      <name val="Arial"/>
      <family val="2"/>
    </font>
    <font>
      <sz val="10"/>
      <name val="Arial"/>
      <family val="2"/>
    </font>
    <font>
      <b/>
      <sz val="11"/>
      <color theme="1"/>
      <name val="Calibri"/>
      <family val="2"/>
      <scheme val="minor"/>
    </font>
    <font>
      <b/>
      <sz val="11"/>
      <color theme="3"/>
      <name val="Calibri"/>
      <family val="2"/>
      <scheme val="minor"/>
    </font>
    <font>
      <b/>
      <sz val="11"/>
      <color theme="1"/>
      <name val="Arial"/>
      <family val="2"/>
    </font>
    <font>
      <sz val="11"/>
      <color theme="1"/>
      <name val="Arial"/>
      <family val="2"/>
    </font>
    <font>
      <i/>
      <sz val="11"/>
      <color theme="0" tint="-0.34998626667073579"/>
      <name val="Arial"/>
      <family val="2"/>
    </font>
    <font>
      <b/>
      <u/>
      <sz val="10"/>
      <name val="Arial"/>
      <family val="2"/>
    </font>
    <font>
      <b/>
      <u/>
      <sz val="11"/>
      <color theme="1"/>
      <name val="Calibri"/>
      <family val="2"/>
      <scheme val="minor"/>
    </font>
    <font>
      <b/>
      <vertAlign val="superscript"/>
      <sz val="10"/>
      <name val="Arial"/>
      <family val="2"/>
    </font>
    <font>
      <b/>
      <sz val="10"/>
      <color rgb="FFFF0000"/>
      <name val="Arial"/>
      <family val="2"/>
    </font>
    <font>
      <vertAlign val="superscript"/>
      <sz val="11"/>
      <color theme="1"/>
      <name val="Calibri"/>
      <family val="2"/>
      <scheme val="minor"/>
    </font>
    <font>
      <b/>
      <sz val="8"/>
      <name val="Arial"/>
      <family val="2"/>
    </font>
    <font>
      <b/>
      <sz val="14"/>
      <name val="Arial"/>
      <family val="2"/>
    </font>
    <font>
      <sz val="11"/>
      <color indexed="8"/>
      <name val="Calibri"/>
      <family val="2"/>
    </font>
    <font>
      <u/>
      <sz val="10"/>
      <color theme="10"/>
      <name val="Arial"/>
      <family val="2"/>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0" tint="-0.14999847407452621"/>
        <bgColor indexed="64"/>
      </patternFill>
    </fill>
  </fills>
  <borders count="6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double">
        <color indexed="0"/>
      </top>
      <bottom/>
      <diagonal/>
    </border>
    <border>
      <left style="medium">
        <color indexed="64"/>
      </left>
      <right/>
      <top/>
      <bottom/>
      <diagonal/>
    </border>
    <border>
      <left/>
      <right style="medium">
        <color indexed="64"/>
      </right>
      <top/>
      <bottom/>
      <diagonal/>
    </border>
    <border>
      <left/>
      <right style="medium">
        <color indexed="64"/>
      </right>
      <top style="medium">
        <color indexed="12"/>
      </top>
      <bottom/>
      <diagonal/>
    </border>
    <border>
      <left style="medium">
        <color indexed="64"/>
      </left>
      <right/>
      <top style="medium">
        <color indexed="12"/>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12"/>
      </top>
      <bottom/>
      <diagonal/>
    </border>
    <border>
      <left style="medium">
        <color indexed="64"/>
      </left>
      <right/>
      <top style="medium">
        <color indexed="64"/>
      </top>
      <bottom style="medium">
        <color indexed="64"/>
      </bottom>
      <diagonal/>
    </border>
    <border>
      <left/>
      <right/>
      <top style="medium">
        <color indexed="12"/>
      </top>
      <bottom/>
      <diagonal/>
    </border>
    <border>
      <left style="medium">
        <color indexed="64"/>
      </left>
      <right style="medium">
        <color indexed="9"/>
      </right>
      <top style="medium">
        <color indexed="9"/>
      </top>
      <bottom style="medium">
        <color indexed="9"/>
      </bottom>
      <diagonal/>
    </border>
    <border>
      <left style="medium">
        <color indexed="9"/>
      </left>
      <right style="medium">
        <color indexed="9"/>
      </right>
      <top style="medium">
        <color indexed="9"/>
      </top>
      <bottom style="medium">
        <color indexed="9"/>
      </bottom>
      <diagonal/>
    </border>
    <border>
      <left/>
      <right style="medium">
        <color indexed="9"/>
      </right>
      <top style="medium">
        <color indexed="9"/>
      </top>
      <bottom style="medium">
        <color indexed="9"/>
      </bottom>
      <diagonal/>
    </border>
    <border>
      <left style="medium">
        <color indexed="64"/>
      </left>
      <right style="medium">
        <color indexed="64"/>
      </right>
      <top style="medium">
        <color indexed="9"/>
      </top>
      <bottom style="medium">
        <color indexed="9"/>
      </bottom>
      <diagonal/>
    </border>
    <border>
      <left style="medium">
        <color indexed="64"/>
      </left>
      <right style="medium">
        <color indexed="9"/>
      </right>
      <top style="medium">
        <color indexed="9"/>
      </top>
      <bottom/>
      <diagonal/>
    </border>
    <border>
      <left style="medium">
        <color indexed="9"/>
      </left>
      <right style="medium">
        <color indexed="9"/>
      </right>
      <top style="medium">
        <color indexed="9"/>
      </top>
      <bottom/>
      <diagonal/>
    </border>
    <border>
      <left style="medium">
        <color indexed="9"/>
      </left>
      <right style="medium">
        <color indexed="9"/>
      </right>
      <top/>
      <bottom style="medium">
        <color indexed="9"/>
      </bottom>
      <diagonal/>
    </border>
    <border>
      <left style="medium">
        <color indexed="64"/>
      </left>
      <right style="medium">
        <color indexed="9"/>
      </right>
      <top/>
      <bottom style="medium">
        <color indexed="9"/>
      </bottom>
      <diagonal/>
    </border>
    <border>
      <left style="medium">
        <color indexed="64"/>
      </left>
      <right style="medium">
        <color indexed="9"/>
      </right>
      <top/>
      <bottom/>
      <diagonal/>
    </border>
    <border>
      <left style="medium">
        <color indexed="9"/>
      </left>
      <right style="medium">
        <color indexed="9"/>
      </right>
      <top/>
      <bottom/>
      <diagonal/>
    </border>
    <border>
      <left style="medium">
        <color indexed="9"/>
      </left>
      <right style="medium">
        <color indexed="9"/>
      </right>
      <top/>
      <bottom style="medium">
        <color indexed="64"/>
      </bottom>
      <diagonal/>
    </border>
    <border>
      <left style="medium">
        <color indexed="9"/>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9"/>
      </right>
      <top/>
      <bottom style="medium">
        <color indexed="64"/>
      </bottom>
      <diagonal/>
    </border>
    <border>
      <left/>
      <right style="medium">
        <color indexed="9"/>
      </right>
      <top/>
      <bottom style="medium">
        <color indexed="64"/>
      </bottom>
      <diagonal/>
    </border>
    <border>
      <left style="medium">
        <color indexed="64"/>
      </left>
      <right style="medium">
        <color indexed="9"/>
      </right>
      <top style="medium">
        <color indexed="9"/>
      </top>
      <bottom style="medium">
        <color indexed="64"/>
      </bottom>
      <diagonal/>
    </border>
    <border>
      <left style="medium">
        <color indexed="9"/>
      </left>
      <right style="medium">
        <color indexed="9"/>
      </right>
      <top style="medium">
        <color indexed="9"/>
      </top>
      <bottom style="medium">
        <color indexed="64"/>
      </bottom>
      <diagonal/>
    </border>
    <border>
      <left style="medium">
        <color indexed="64"/>
      </left>
      <right style="medium">
        <color indexed="64"/>
      </right>
      <top style="thin">
        <color indexed="64"/>
      </top>
      <bottom style="thin">
        <color indexed="64"/>
      </bottom>
      <diagonal/>
    </border>
    <border>
      <left style="medium">
        <color indexed="9"/>
      </left>
      <right style="medium">
        <color indexed="64"/>
      </right>
      <top style="medium">
        <color indexed="9"/>
      </top>
      <bottom style="medium">
        <color indexed="9"/>
      </bottom>
      <diagonal/>
    </border>
    <border>
      <left style="medium">
        <color indexed="64"/>
      </left>
      <right style="medium">
        <color indexed="64"/>
      </right>
      <top style="thin">
        <color indexed="64"/>
      </top>
      <bottom/>
      <diagonal/>
    </border>
    <border>
      <left/>
      <right/>
      <top style="medium">
        <color indexed="64"/>
      </top>
      <bottom/>
      <diagonal/>
    </border>
    <border>
      <left style="medium">
        <color indexed="8"/>
      </left>
      <right/>
      <top style="medium">
        <color indexed="9"/>
      </top>
      <bottom/>
      <diagonal/>
    </border>
    <border>
      <left style="medium">
        <color indexed="64"/>
      </left>
      <right/>
      <top style="medium">
        <color indexed="9"/>
      </top>
      <bottom/>
      <diagonal/>
    </border>
    <border>
      <left/>
      <right/>
      <top/>
      <bottom style="medium">
        <color indexed="64"/>
      </bottom>
      <diagonal/>
    </border>
    <border>
      <left/>
      <right style="medium">
        <color indexed="9"/>
      </right>
      <top style="medium">
        <color indexed="9"/>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12"/>
      </bottom>
      <diagonal/>
    </border>
    <border>
      <left/>
      <right/>
      <top/>
      <bottom style="medium">
        <color indexed="12"/>
      </bottom>
      <diagonal/>
    </border>
    <border>
      <left/>
      <right style="medium">
        <color indexed="64"/>
      </right>
      <top style="medium">
        <color indexed="64"/>
      </top>
      <bottom/>
      <diagonal/>
    </border>
    <border>
      <left/>
      <right style="medium">
        <color indexed="64"/>
      </right>
      <top/>
      <bottom style="medium">
        <color indexed="12"/>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39"/>
      </bottom>
      <diagonal/>
    </border>
    <border>
      <left style="medium">
        <color indexed="64"/>
      </left>
      <right style="medium">
        <color indexed="64"/>
      </right>
      <top/>
      <bottom style="medium">
        <color indexed="12"/>
      </bottom>
      <diagonal/>
    </border>
    <border>
      <left style="thick">
        <color theme="0" tint="-0.34998626667073579"/>
      </left>
      <right/>
      <top style="thick">
        <color theme="0" tint="-0.34998626667073579"/>
      </top>
      <bottom style="medium">
        <color theme="0" tint="-4.9989318521683403E-2"/>
      </bottom>
      <diagonal/>
    </border>
    <border>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style="medium">
        <color indexed="9"/>
      </left>
      <right style="medium">
        <color indexed="64"/>
      </right>
      <top/>
      <bottom style="medium">
        <color theme="1"/>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medium">
        <color indexed="9"/>
      </left>
      <right style="medium">
        <color indexed="64"/>
      </right>
      <top style="medium">
        <color indexed="9"/>
      </top>
      <bottom/>
      <diagonal/>
    </border>
    <border>
      <left/>
      <right style="medium">
        <color indexed="9"/>
      </right>
      <top style="medium">
        <color indexed="9"/>
      </top>
      <bottom/>
      <diagonal/>
    </border>
    <border>
      <left style="medium">
        <color indexed="64"/>
      </left>
      <right style="medium">
        <color indexed="64"/>
      </right>
      <top style="medium">
        <color indexed="9"/>
      </top>
      <bottom/>
      <diagonal/>
    </border>
    <border>
      <left style="medium">
        <color indexed="9"/>
      </left>
      <right style="medium">
        <color indexed="64"/>
      </right>
      <top/>
      <bottom style="medium">
        <color indexed="9"/>
      </bottom>
      <diagonal/>
    </border>
  </borders>
  <cellStyleXfs count="73">
    <xf numFmtId="0" fontId="0" fillId="0" borderId="0"/>
    <xf numFmtId="167" fontId="3" fillId="0" borderId="0"/>
    <xf numFmtId="170" fontId="3" fillId="0" borderId="0"/>
    <xf numFmtId="172" fontId="3" fillId="0" borderId="0"/>
    <xf numFmtId="173" fontId="3"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3" borderId="0" applyNumberFormat="0" applyBorder="0" applyAlignment="0" applyProtection="0"/>
    <xf numFmtId="0" fontId="23" fillId="20" borderId="1" applyNumberFormat="0" applyAlignment="0" applyProtection="0"/>
    <xf numFmtId="0" fontId="24" fillId="21" borderId="2" applyNumberFormat="0" applyAlignment="0" applyProtection="0"/>
    <xf numFmtId="3" fontId="3" fillId="0" borderId="0" applyFont="0" applyFill="0" applyBorder="0" applyAlignment="0" applyProtection="0"/>
    <xf numFmtId="5" fontId="3" fillId="0" borderId="0" applyFont="0" applyFill="0" applyBorder="0" applyAlignment="0" applyProtection="0"/>
    <xf numFmtId="14" fontId="3" fillId="0" borderId="0" applyFont="0" applyFill="0" applyBorder="0" applyAlignment="0" applyProtection="0"/>
    <xf numFmtId="0" fontId="25" fillId="0" borderId="0" applyNumberFormat="0" applyFill="0" applyBorder="0" applyAlignment="0" applyProtection="0"/>
    <xf numFmtId="2" fontId="3" fillId="0" borderId="0" applyFont="0" applyFill="0" applyBorder="0" applyAlignment="0" applyProtection="0"/>
    <xf numFmtId="0" fontId="26" fillId="4" borderId="0" applyNumberFormat="0" applyBorder="0" applyAlignment="0" applyProtection="0"/>
    <xf numFmtId="38" fontId="7" fillId="22" borderId="0" applyNumberFormat="0" applyBorder="0" applyAlignment="0" applyProtection="0"/>
    <xf numFmtId="0" fontId="8" fillId="0" borderId="0" applyNumberFormat="0" applyFont="0" applyFill="0" applyAlignment="0" applyProtection="0"/>
    <xf numFmtId="0" fontId="9" fillId="0" borderId="0" applyNumberFormat="0" applyFon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7" borderId="1" applyNumberFormat="0" applyAlignment="0" applyProtection="0"/>
    <xf numFmtId="10" fontId="7" fillId="23" borderId="4" applyNumberFormat="0" applyBorder="0" applyAlignment="0" applyProtection="0"/>
    <xf numFmtId="0" fontId="29" fillId="0" borderId="5" applyNumberFormat="0" applyFill="0" applyAlignment="0" applyProtection="0"/>
    <xf numFmtId="171" fontId="3" fillId="0" borderId="0"/>
    <xf numFmtId="168" fontId="3" fillId="0" borderId="0"/>
    <xf numFmtId="0" fontId="30" fillId="24" borderId="0" applyNumberFormat="0" applyBorder="0" applyAlignment="0" applyProtection="0"/>
    <xf numFmtId="169" fontId="3" fillId="0" borderId="0"/>
    <xf numFmtId="0" fontId="11" fillId="25" borderId="6" applyNumberFormat="0" applyFont="0" applyAlignment="0" applyProtection="0"/>
    <xf numFmtId="0" fontId="31" fillId="20" borderId="7" applyNumberFormat="0" applyAlignment="0" applyProtection="0"/>
    <xf numFmtId="10" fontId="3" fillId="0" borderId="0" applyFont="0" applyFill="0" applyBorder="0" applyAlignment="0" applyProtection="0"/>
    <xf numFmtId="0" fontId="32" fillId="0" borderId="0" applyNumberFormat="0" applyFill="0" applyBorder="0" applyAlignment="0" applyProtection="0"/>
    <xf numFmtId="0" fontId="3" fillId="0" borderId="8" applyNumberFormat="0" applyFont="0" applyBorder="0" applyAlignment="0" applyProtection="0"/>
    <xf numFmtId="0" fontId="33" fillId="0" borderId="0" applyNumberFormat="0" applyFill="0" applyBorder="0" applyAlignment="0" applyProtection="0"/>
    <xf numFmtId="166" fontId="39" fillId="0" borderId="0" applyFont="0" applyFill="0" applyBorder="0" applyAlignment="0" applyProtection="0"/>
    <xf numFmtId="165" fontId="39" fillId="0" borderId="0" applyFont="0" applyFill="0" applyBorder="0" applyAlignment="0" applyProtection="0"/>
    <xf numFmtId="9" fontId="39" fillId="0" borderId="0" applyFont="0" applyFill="0" applyBorder="0" applyAlignment="0" applyProtection="0"/>
    <xf numFmtId="0" fontId="2" fillId="0" borderId="0"/>
    <xf numFmtId="167" fontId="3" fillId="0" borderId="0"/>
    <xf numFmtId="167" fontId="3" fillId="0" borderId="0"/>
    <xf numFmtId="167" fontId="3" fillId="0" borderId="0"/>
    <xf numFmtId="167" fontId="3" fillId="0" borderId="0"/>
    <xf numFmtId="172" fontId="3" fillId="0" borderId="0"/>
    <xf numFmtId="171" fontId="3" fillId="0" borderId="0"/>
    <xf numFmtId="171" fontId="3" fillId="0" borderId="0"/>
    <xf numFmtId="171" fontId="3" fillId="0" borderId="0"/>
    <xf numFmtId="171" fontId="3" fillId="0" borderId="0"/>
    <xf numFmtId="0" fontId="3" fillId="0" borderId="0"/>
    <xf numFmtId="0" fontId="3" fillId="0" borderId="0"/>
    <xf numFmtId="0" fontId="52" fillId="0" borderId="0"/>
    <xf numFmtId="0" fontId="53" fillId="0" borderId="0" applyNumberFormat="0" applyFill="0" applyBorder="0" applyAlignment="0" applyProtection="0"/>
  </cellStyleXfs>
  <cellXfs count="293">
    <xf numFmtId="0" fontId="0" fillId="0" borderId="0" xfId="0"/>
    <xf numFmtId="0" fontId="0" fillId="0" borderId="0" xfId="0" applyProtection="1"/>
    <xf numFmtId="0" fontId="6" fillId="0" borderId="0" xfId="0" applyFont="1" applyProtection="1"/>
    <xf numFmtId="0" fontId="17" fillId="0" borderId="0" xfId="0" applyFont="1" applyProtection="1"/>
    <xf numFmtId="0" fontId="5" fillId="0" borderId="0" xfId="0" applyFont="1" applyProtection="1"/>
    <xf numFmtId="0" fontId="4" fillId="0" borderId="0" xfId="0" applyFont="1" applyProtection="1"/>
    <xf numFmtId="0" fontId="4" fillId="0" borderId="0" xfId="0" applyFont="1" applyBorder="1" applyProtection="1"/>
    <xf numFmtId="0" fontId="0" fillId="0" borderId="10" xfId="0" applyBorder="1" applyProtection="1"/>
    <xf numFmtId="0" fontId="4" fillId="0" borderId="0" xfId="0" applyFont="1" applyAlignment="1" applyProtection="1">
      <alignment horizontal="center"/>
    </xf>
    <xf numFmtId="0" fontId="4" fillId="0" borderId="0" xfId="0" applyFont="1" applyAlignment="1" applyProtection="1"/>
    <xf numFmtId="0" fontId="4" fillId="0" borderId="0" xfId="0" applyFont="1" applyAlignment="1" applyProtection="1">
      <alignment horizontal="left"/>
    </xf>
    <xf numFmtId="0" fontId="5" fillId="0" borderId="0" xfId="0" applyFont="1" applyAlignment="1" applyProtection="1"/>
    <xf numFmtId="0" fontId="5" fillId="0" borderId="0" xfId="0" applyFont="1" applyAlignment="1" applyProtection="1">
      <alignment horizontal="left"/>
    </xf>
    <xf numFmtId="0" fontId="5" fillId="0" borderId="0" xfId="0" applyFont="1" applyAlignment="1" applyProtection="1">
      <alignment horizontal="center"/>
    </xf>
    <xf numFmtId="0" fontId="4" fillId="0" borderId="0" xfId="0" applyFont="1" applyBorder="1" applyAlignment="1" applyProtection="1">
      <alignment horizontal="center"/>
    </xf>
    <xf numFmtId="0" fontId="5" fillId="0" borderId="0" xfId="0" applyFont="1" applyBorder="1" applyProtection="1"/>
    <xf numFmtId="0" fontId="4" fillId="0" borderId="0" xfId="0" applyFont="1" applyFill="1" applyBorder="1" applyProtection="1"/>
    <xf numFmtId="0" fontId="5" fillId="0" borderId="0" xfId="0" applyFont="1" applyFill="1" applyBorder="1" applyProtection="1"/>
    <xf numFmtId="0" fontId="10" fillId="0" borderId="0" xfId="0" applyFont="1" applyProtection="1"/>
    <xf numFmtId="0" fontId="11" fillId="0" borderId="0" xfId="0" applyFont="1" applyProtection="1"/>
    <xf numFmtId="0" fontId="10" fillId="0" borderId="0" xfId="0" applyFont="1" applyAlignment="1" applyProtection="1">
      <alignment horizontal="right"/>
    </xf>
    <xf numFmtId="0" fontId="34" fillId="0" borderId="0" xfId="0" applyFont="1" applyAlignment="1" applyProtection="1">
      <alignment vertical="center"/>
    </xf>
    <xf numFmtId="0" fontId="4" fillId="0" borderId="10" xfId="0" applyFont="1" applyBorder="1" applyProtection="1"/>
    <xf numFmtId="0" fontId="16" fillId="0" borderId="13" xfId="0" applyFont="1" applyBorder="1" applyAlignment="1" applyProtection="1"/>
    <xf numFmtId="0" fontId="16" fillId="0" borderId="14" xfId="0" applyFont="1" applyBorder="1" applyAlignment="1" applyProtection="1"/>
    <xf numFmtId="0" fontId="0" fillId="0" borderId="16" xfId="0" applyBorder="1" applyProtection="1"/>
    <xf numFmtId="0" fontId="16" fillId="0" borderId="17" xfId="0" applyFont="1" applyBorder="1" applyAlignment="1" applyProtection="1"/>
    <xf numFmtId="44" fontId="0" fillId="0" borderId="15" xfId="0" applyNumberFormat="1" applyBorder="1" applyAlignment="1" applyProtection="1">
      <alignment vertical="center"/>
    </xf>
    <xf numFmtId="0" fontId="5" fillId="0" borderId="10" xfId="0" applyFont="1" applyBorder="1" applyAlignment="1" applyProtection="1">
      <alignment horizontal="left" vertical="center"/>
    </xf>
    <xf numFmtId="0" fontId="38" fillId="0" borderId="9" xfId="0" applyFont="1" applyBorder="1" applyAlignment="1" applyProtection="1">
      <alignment vertical="center"/>
    </xf>
    <xf numFmtId="0" fontId="4" fillId="0" borderId="0" xfId="0" applyFont="1" applyAlignment="1" applyProtection="1">
      <alignment vertical="center" wrapText="1"/>
    </xf>
    <xf numFmtId="0" fontId="4" fillId="0" borderId="0" xfId="0" applyFont="1" applyBorder="1" applyAlignment="1" applyProtection="1">
      <alignment horizontal="center" vertical="center"/>
    </xf>
    <xf numFmtId="0" fontId="0" fillId="0" borderId="37" xfId="0" applyBorder="1" applyAlignment="1" applyProtection="1">
      <alignment horizontal="left" vertical="top" wrapText="1"/>
      <protection locked="0"/>
    </xf>
    <xf numFmtId="0" fontId="4" fillId="0" borderId="0" xfId="0" applyFont="1" applyAlignment="1" applyProtection="1">
      <alignment wrapText="1"/>
    </xf>
    <xf numFmtId="0" fontId="4" fillId="0" borderId="0" xfId="0" applyFont="1" applyAlignment="1" applyProtection="1">
      <alignment horizontal="center" vertical="center"/>
    </xf>
    <xf numFmtId="0" fontId="4" fillId="0" borderId="9" xfId="0" applyFont="1" applyBorder="1" applyAlignment="1" applyProtection="1">
      <alignment vertical="center"/>
    </xf>
    <xf numFmtId="0" fontId="4" fillId="0" borderId="9" xfId="0" applyFont="1" applyBorder="1" applyAlignment="1" applyProtection="1">
      <alignment vertical="center" wrapText="1"/>
    </xf>
    <xf numFmtId="0" fontId="4" fillId="0" borderId="9" xfId="0" applyFont="1" applyBorder="1" applyAlignment="1" applyProtection="1">
      <alignment horizontal="left" vertical="center"/>
    </xf>
    <xf numFmtId="0" fontId="0" fillId="0" borderId="39" xfId="0" applyBorder="1" applyAlignment="1" applyProtection="1">
      <alignment horizontal="left" vertical="top" wrapText="1"/>
      <protection locked="0"/>
    </xf>
    <xf numFmtId="0" fontId="0" fillId="0" borderId="10" xfId="0" applyBorder="1" applyProtection="1">
      <protection locked="0"/>
    </xf>
    <xf numFmtId="0" fontId="0" fillId="0" borderId="40" xfId="0" applyBorder="1" applyProtection="1"/>
    <xf numFmtId="0" fontId="2" fillId="0" borderId="0" xfId="59" applyProtection="1"/>
    <xf numFmtId="0" fontId="2" fillId="0" borderId="0" xfId="59" applyFill="1" applyProtection="1"/>
    <xf numFmtId="0" fontId="2" fillId="28" borderId="0" xfId="59" applyFill="1" applyAlignment="1" applyProtection="1">
      <alignment horizontal="left"/>
    </xf>
    <xf numFmtId="0" fontId="40" fillId="0" borderId="0" xfId="59" applyFont="1" applyProtection="1"/>
    <xf numFmtId="175" fontId="41" fillId="0" borderId="0" xfId="59" applyNumberFormat="1" applyFont="1" applyAlignment="1" applyProtection="1">
      <alignment horizontal="left"/>
    </xf>
    <xf numFmtId="0" fontId="42" fillId="0" borderId="0" xfId="59" applyFont="1" applyAlignment="1" applyProtection="1">
      <alignment horizontal="right" vertical="center"/>
    </xf>
    <xf numFmtId="0" fontId="2" fillId="0" borderId="0" xfId="59" applyAlignment="1" applyProtection="1">
      <alignment horizontal="right" vertical="center"/>
    </xf>
    <xf numFmtId="0" fontId="2" fillId="0" borderId="0" xfId="59" applyAlignment="1" applyProtection="1">
      <alignment vertical="center"/>
    </xf>
    <xf numFmtId="0" fontId="2" fillId="0" borderId="0" xfId="59" applyFill="1" applyAlignment="1" applyProtection="1">
      <alignment vertical="center"/>
    </xf>
    <xf numFmtId="0" fontId="42" fillId="0" borderId="0" xfId="59" applyFont="1" applyAlignment="1" applyProtection="1">
      <alignment horizontal="right" vertical="center" indent="1"/>
    </xf>
    <xf numFmtId="0" fontId="43" fillId="0" borderId="0" xfId="59" applyFont="1" applyProtection="1"/>
    <xf numFmtId="0" fontId="43" fillId="0" borderId="0" xfId="59" applyFont="1" applyAlignment="1" applyProtection="1">
      <alignment horizontal="right" vertical="center"/>
    </xf>
    <xf numFmtId="0" fontId="45" fillId="0" borderId="0" xfId="59" applyFont="1"/>
    <xf numFmtId="0" fontId="2" fillId="0" borderId="0" xfId="59"/>
    <xf numFmtId="0" fontId="2" fillId="30" borderId="14" xfId="59" applyFill="1" applyBorder="1"/>
    <xf numFmtId="0" fontId="2" fillId="29" borderId="14" xfId="59" applyFill="1" applyBorder="1"/>
    <xf numFmtId="0" fontId="2" fillId="0" borderId="0" xfId="59" applyAlignment="1">
      <alignment wrapText="1"/>
    </xf>
    <xf numFmtId="0" fontId="2" fillId="0" borderId="14" xfId="59" applyBorder="1"/>
    <xf numFmtId="0" fontId="8" fillId="0" borderId="0" xfId="0" applyFont="1" applyAlignment="1" applyProtection="1">
      <alignment vertical="center"/>
    </xf>
    <xf numFmtId="0" fontId="3" fillId="0" borderId="0" xfId="0" applyFont="1"/>
    <xf numFmtId="0" fontId="6" fillId="0" borderId="0" xfId="0" applyFont="1"/>
    <xf numFmtId="0" fontId="12" fillId="0" borderId="10" xfId="59" applyFont="1" applyBorder="1" applyAlignment="1" applyProtection="1">
      <alignment horizontal="center"/>
    </xf>
    <xf numFmtId="0" fontId="12" fillId="0" borderId="0" xfId="59" applyFont="1" applyBorder="1" applyProtection="1"/>
    <xf numFmtId="0" fontId="12" fillId="0" borderId="0" xfId="59" applyFont="1" applyBorder="1" applyAlignment="1" applyProtection="1">
      <alignment horizontal="center"/>
    </xf>
    <xf numFmtId="0" fontId="0" fillId="0" borderId="4" xfId="0" applyBorder="1"/>
    <xf numFmtId="0" fontId="6" fillId="0" borderId="4" xfId="0" applyFont="1" applyBorder="1"/>
    <xf numFmtId="174" fontId="6" fillId="0" borderId="4" xfId="57" applyNumberFormat="1" applyFont="1" applyBorder="1"/>
    <xf numFmtId="0" fontId="7" fillId="0" borderId="0" xfId="0" applyFont="1" applyAlignment="1">
      <alignment horizontal="right" indent="1"/>
    </xf>
    <xf numFmtId="174" fontId="7" fillId="0" borderId="0" xfId="57" applyNumberFormat="1" applyFont="1" applyAlignment="1">
      <alignment horizontal="right" indent="1"/>
    </xf>
    <xf numFmtId="174" fontId="7" fillId="0" borderId="0" xfId="0" applyNumberFormat="1" applyFont="1" applyAlignment="1">
      <alignment horizontal="right" indent="1"/>
    </xf>
    <xf numFmtId="0" fontId="6" fillId="0" borderId="58" xfId="0" applyFont="1" applyBorder="1" applyAlignment="1">
      <alignment horizontal="center" vertical="center"/>
    </xf>
    <xf numFmtId="0" fontId="6" fillId="0" borderId="58" xfId="0" applyFont="1" applyBorder="1" applyAlignment="1">
      <alignment horizontal="center" vertical="center" wrapText="1"/>
    </xf>
    <xf numFmtId="0" fontId="3" fillId="0" borderId="4" xfId="0" applyFont="1" applyBorder="1" applyProtection="1"/>
    <xf numFmtId="0" fontId="3" fillId="0" borderId="4" xfId="0" applyFont="1" applyBorder="1" applyAlignment="1" applyProtection="1">
      <alignment horizontal="center"/>
    </xf>
    <xf numFmtId="176" fontId="3" fillId="0" borderId="4" xfId="57" applyNumberFormat="1" applyFont="1" applyBorder="1" applyAlignment="1" applyProtection="1">
      <alignment horizontal="center" vertical="center"/>
    </xf>
    <xf numFmtId="0" fontId="3" fillId="0" borderId="4" xfId="0" applyFont="1" applyBorder="1" applyAlignment="1" applyProtection="1"/>
    <xf numFmtId="0" fontId="3" fillId="0" borderId="4" xfId="0" applyFont="1" applyBorder="1" applyAlignment="1" applyProtection="1">
      <alignment horizontal="left"/>
    </xf>
    <xf numFmtId="0" fontId="6" fillId="0" borderId="0" xfId="0" applyFont="1" applyAlignment="1" applyProtection="1"/>
    <xf numFmtId="174" fontId="6" fillId="0" borderId="0" xfId="57" applyNumberFormat="1" applyFont="1" applyAlignment="1" applyProtection="1"/>
    <xf numFmtId="0" fontId="3" fillId="0" borderId="4" xfId="0" applyFont="1" applyBorder="1" applyAlignment="1" applyProtection="1">
      <alignment wrapText="1"/>
    </xf>
    <xf numFmtId="0" fontId="3" fillId="0" borderId="0" xfId="0" applyFont="1" applyBorder="1"/>
    <xf numFmtId="0" fontId="6" fillId="0" borderId="0" xfId="0" applyFont="1" applyBorder="1" applyProtection="1"/>
    <xf numFmtId="0" fontId="3" fillId="0" borderId="0" xfId="0" applyFont="1" applyBorder="1" applyAlignment="1" applyProtection="1">
      <alignment horizontal="center"/>
    </xf>
    <xf numFmtId="176" fontId="3" fillId="0" borderId="0" xfId="57" applyNumberFormat="1" applyFont="1" applyBorder="1" applyAlignment="1" applyProtection="1">
      <alignment horizontal="center" vertical="center"/>
    </xf>
    <xf numFmtId="0" fontId="3" fillId="0" borderId="0" xfId="0" applyFont="1" applyBorder="1" applyProtection="1"/>
    <xf numFmtId="174" fontId="3" fillId="0" borderId="0" xfId="57" applyNumberFormat="1" applyFont="1" applyBorder="1" applyProtection="1"/>
    <xf numFmtId="174" fontId="3" fillId="0" borderId="0" xfId="57" applyNumberFormat="1" applyFont="1"/>
    <xf numFmtId="0" fontId="3" fillId="0" borderId="4"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4" xfId="0" applyFont="1" applyBorder="1" applyAlignment="1" applyProtection="1">
      <alignment horizontal="left" vertical="center"/>
    </xf>
    <xf numFmtId="0" fontId="3" fillId="0" borderId="4" xfId="0" applyFont="1" applyBorder="1" applyAlignment="1" applyProtection="1">
      <alignment horizontal="left" vertical="center" wrapText="1"/>
    </xf>
    <xf numFmtId="0" fontId="6" fillId="0" borderId="0" xfId="0" applyFont="1" applyAlignment="1" applyProtection="1">
      <alignment vertical="center"/>
    </xf>
    <xf numFmtId="0" fontId="6" fillId="31" borderId="4" xfId="0" applyFont="1" applyFill="1" applyBorder="1" applyProtection="1"/>
    <xf numFmtId="176" fontId="6" fillId="31" borderId="4" xfId="57" applyNumberFormat="1" applyFont="1" applyFill="1" applyBorder="1" applyAlignment="1" applyProtection="1">
      <alignment horizontal="center" vertical="center"/>
    </xf>
    <xf numFmtId="0" fontId="6" fillId="31" borderId="4" xfId="0" applyFont="1" applyFill="1" applyBorder="1" applyAlignment="1" applyProtection="1">
      <alignment horizontal="center" vertical="center"/>
    </xf>
    <xf numFmtId="3" fontId="6" fillId="0" borderId="4" xfId="0" applyNumberFormat="1" applyFont="1" applyBorder="1"/>
    <xf numFmtId="9" fontId="6" fillId="0" borderId="4" xfId="58" applyFont="1" applyBorder="1"/>
    <xf numFmtId="0" fontId="3" fillId="28" borderId="0" xfId="0" applyFont="1" applyFill="1" applyBorder="1" applyAlignment="1" applyProtection="1">
      <alignment horizontal="center" vertical="center"/>
    </xf>
    <xf numFmtId="0" fontId="3" fillId="28" borderId="4" xfId="0" applyFont="1" applyFill="1" applyBorder="1" applyAlignment="1" applyProtection="1">
      <alignment horizontal="center" vertical="center"/>
    </xf>
    <xf numFmtId="176" fontId="3" fillId="0" borderId="0" xfId="0" applyNumberFormat="1" applyFont="1" applyBorder="1" applyAlignment="1">
      <alignment horizontal="center" vertical="center"/>
    </xf>
    <xf numFmtId="0" fontId="3" fillId="28" borderId="4" xfId="0" applyFont="1" applyFill="1" applyBorder="1"/>
    <xf numFmtId="0" fontId="3" fillId="28" borderId="0" xfId="0" applyFont="1" applyFill="1" applyBorder="1"/>
    <xf numFmtId="0" fontId="3" fillId="28" borderId="0" xfId="0" applyFont="1" applyFill="1"/>
    <xf numFmtId="177" fontId="0" fillId="0" borderId="4" xfId="56" applyNumberFormat="1" applyFont="1" applyBorder="1" applyAlignment="1">
      <alignment horizontal="center" vertical="center"/>
    </xf>
    <xf numFmtId="174" fontId="0" fillId="0" borderId="4" xfId="57" applyNumberFormat="1" applyFont="1" applyBorder="1"/>
    <xf numFmtId="176" fontId="6" fillId="31" borderId="4" xfId="0" applyNumberFormat="1" applyFont="1" applyFill="1" applyBorder="1" applyAlignment="1" applyProtection="1">
      <alignment vertical="center"/>
    </xf>
    <xf numFmtId="176" fontId="6" fillId="28" borderId="4" xfId="57" applyNumberFormat="1" applyFont="1" applyFill="1" applyBorder="1" applyAlignment="1" applyProtection="1">
      <alignment horizontal="center" vertical="center"/>
    </xf>
    <xf numFmtId="0" fontId="6" fillId="28" borderId="4" xfId="0" applyFont="1" applyFill="1" applyBorder="1" applyAlignment="1" applyProtection="1">
      <alignment horizontal="center" vertical="center"/>
    </xf>
    <xf numFmtId="176" fontId="6" fillId="33" borderId="4" xfId="57" applyNumberFormat="1" applyFont="1" applyFill="1" applyBorder="1" applyAlignment="1" applyProtection="1">
      <alignment horizontal="center" vertical="center"/>
    </xf>
    <xf numFmtId="0" fontId="6" fillId="33" borderId="4" xfId="0" applyFont="1" applyFill="1" applyBorder="1" applyAlignment="1" applyProtection="1">
      <alignment horizontal="center" vertical="center"/>
    </xf>
    <xf numFmtId="0" fontId="6" fillId="32" borderId="4" xfId="0" applyFont="1" applyFill="1" applyBorder="1"/>
    <xf numFmtId="0" fontId="6" fillId="32" borderId="4" xfId="0" applyFont="1" applyFill="1" applyBorder="1" applyAlignment="1">
      <alignment horizontal="center" vertical="center"/>
    </xf>
    <xf numFmtId="177" fontId="6" fillId="32" borderId="4" xfId="56" applyNumberFormat="1" applyFont="1" applyFill="1" applyBorder="1" applyAlignment="1">
      <alignment horizontal="center" vertical="center"/>
    </xf>
    <xf numFmtId="174" fontId="6" fillId="32" borderId="4" xfId="57" applyNumberFormat="1" applyFont="1" applyFill="1" applyBorder="1"/>
    <xf numFmtId="178" fontId="6" fillId="0" borderId="4" xfId="56" applyNumberFormat="1" applyFont="1" applyBorder="1" applyAlignment="1">
      <alignment horizontal="center" vertical="center"/>
    </xf>
    <xf numFmtId="0" fontId="6" fillId="0" borderId="0" xfId="70" applyFont="1" applyAlignment="1" applyProtection="1">
      <alignment vertical="top"/>
    </xf>
    <xf numFmtId="0" fontId="6" fillId="0" borderId="0" xfId="70" applyFont="1" applyAlignment="1" applyProtection="1">
      <alignment vertical="top" wrapText="1"/>
    </xf>
    <xf numFmtId="0" fontId="6" fillId="29" borderId="4" xfId="70" applyFont="1" applyFill="1" applyBorder="1" applyAlignment="1" applyProtection="1">
      <alignment horizontal="center"/>
      <protection locked="0"/>
    </xf>
    <xf numFmtId="177" fontId="3" fillId="28" borderId="4" xfId="0" applyNumberFormat="1" applyFont="1" applyFill="1" applyBorder="1" applyAlignment="1">
      <alignment horizontal="right" vertical="center"/>
    </xf>
    <xf numFmtId="0" fontId="51" fillId="0" borderId="0" xfId="0" applyFont="1"/>
    <xf numFmtId="177" fontId="0" fillId="0" borderId="0" xfId="0" applyNumberFormat="1"/>
    <xf numFmtId="0" fontId="3" fillId="0" borderId="0" xfId="0" applyFont="1" applyProtection="1"/>
    <xf numFmtId="0" fontId="0" fillId="0" borderId="10" xfId="0" applyBorder="1" applyAlignment="1" applyProtection="1">
      <alignment horizontal="left" vertical="top" wrapText="1"/>
      <protection locked="0"/>
    </xf>
    <xf numFmtId="0" fontId="10" fillId="0" borderId="0" xfId="0" applyFont="1" applyAlignment="1" applyProtection="1">
      <alignment vertical="top"/>
    </xf>
    <xf numFmtId="0" fontId="0" fillId="0" borderId="4" xfId="0" applyFill="1" applyBorder="1"/>
    <xf numFmtId="0" fontId="52" fillId="0" borderId="4" xfId="71" applyFont="1" applyFill="1" applyBorder="1"/>
    <xf numFmtId="0" fontId="3" fillId="0" borderId="4" xfId="0" applyFont="1" applyFill="1" applyBorder="1"/>
    <xf numFmtId="164" fontId="0" fillId="0" borderId="0" xfId="0" applyNumberFormat="1" applyProtection="1"/>
    <xf numFmtId="164" fontId="4" fillId="0" borderId="9" xfId="0" applyNumberFormat="1" applyFont="1" applyBorder="1" applyProtection="1"/>
    <xf numFmtId="164" fontId="4" fillId="0" borderId="0" xfId="0" applyNumberFormat="1" applyFont="1" applyBorder="1" applyProtection="1"/>
    <xf numFmtId="164" fontId="0" fillId="0" borderId="0" xfId="0" applyNumberFormat="1" applyBorder="1" applyAlignment="1" applyProtection="1">
      <alignment wrapText="1"/>
    </xf>
    <xf numFmtId="164" fontId="5" fillId="0" borderId="10" xfId="0" applyNumberFormat="1" applyFont="1" applyBorder="1" applyAlignment="1" applyProtection="1">
      <alignment horizontal="center" vertical="center" wrapText="1"/>
    </xf>
    <xf numFmtId="164" fontId="0" fillId="0" borderId="12" xfId="0" applyNumberFormat="1" applyBorder="1" applyAlignment="1" applyProtection="1">
      <alignment wrapText="1"/>
    </xf>
    <xf numFmtId="164" fontId="0" fillId="0" borderId="18" xfId="0" applyNumberFormat="1" applyBorder="1" applyAlignment="1" applyProtection="1">
      <alignment wrapText="1"/>
    </xf>
    <xf numFmtId="164" fontId="0" fillId="0" borderId="11" xfId="0" applyNumberFormat="1" applyBorder="1" applyAlignment="1" applyProtection="1">
      <alignment wrapText="1"/>
    </xf>
    <xf numFmtId="164" fontId="0" fillId="0" borderId="0" xfId="0" applyNumberFormat="1" applyBorder="1" applyProtection="1"/>
    <xf numFmtId="164" fontId="0" fillId="0" borderId="10" xfId="0" applyNumberFormat="1" applyBorder="1" applyProtection="1"/>
    <xf numFmtId="164" fontId="0" fillId="0" borderId="15" xfId="0" applyNumberFormat="1" applyBorder="1" applyProtection="1"/>
    <xf numFmtId="164" fontId="0" fillId="0" borderId="11" xfId="0" applyNumberFormat="1" applyBorder="1" applyProtection="1"/>
    <xf numFmtId="164" fontId="4" fillId="30" borderId="19" xfId="0" applyNumberFormat="1" applyFont="1" applyFill="1" applyBorder="1" applyProtection="1">
      <protection locked="0"/>
    </xf>
    <xf numFmtId="164" fontId="4" fillId="30" borderId="20" xfId="0" applyNumberFormat="1" applyFont="1" applyFill="1" applyBorder="1" applyProtection="1">
      <protection locked="0"/>
    </xf>
    <xf numFmtId="164" fontId="4" fillId="0" borderId="0" xfId="0" applyNumberFormat="1" applyFont="1" applyFill="1" applyBorder="1" applyProtection="1"/>
    <xf numFmtId="164" fontId="4" fillId="0" borderId="10" xfId="0" applyNumberFormat="1" applyFont="1" applyFill="1" applyBorder="1" applyProtection="1"/>
    <xf numFmtId="164" fontId="4" fillId="26" borderId="19" xfId="0" applyNumberFormat="1" applyFont="1" applyFill="1" applyBorder="1" applyProtection="1"/>
    <xf numFmtId="164" fontId="4" fillId="26" borderId="20" xfId="0" applyNumberFormat="1" applyFont="1" applyFill="1" applyBorder="1" applyProtection="1"/>
    <xf numFmtId="164" fontId="4" fillId="26" borderId="38" xfId="0" applyNumberFormat="1" applyFont="1" applyFill="1" applyBorder="1" applyProtection="1"/>
    <xf numFmtId="164" fontId="4" fillId="30" borderId="21" xfId="0" applyNumberFormat="1" applyFont="1" applyFill="1" applyBorder="1" applyProtection="1">
      <protection locked="0"/>
    </xf>
    <xf numFmtId="164" fontId="4" fillId="30" borderId="22" xfId="0" applyNumberFormat="1" applyFont="1" applyFill="1" applyBorder="1" applyProtection="1">
      <protection locked="0"/>
    </xf>
    <xf numFmtId="164" fontId="4" fillId="0" borderId="9" xfId="0" applyNumberFormat="1" applyFont="1" applyFill="1" applyBorder="1" applyProtection="1"/>
    <xf numFmtId="164" fontId="4" fillId="0" borderId="15" xfId="0" applyNumberFormat="1" applyFont="1" applyFill="1" applyBorder="1" applyProtection="1"/>
    <xf numFmtId="164" fontId="4" fillId="22" borderId="19" xfId="0" applyNumberFormat="1" applyFont="1" applyFill="1" applyBorder="1" applyProtection="1"/>
    <xf numFmtId="164" fontId="4" fillId="22" borderId="20" xfId="0" applyNumberFormat="1" applyFont="1" applyFill="1" applyBorder="1" applyProtection="1"/>
    <xf numFmtId="164" fontId="4" fillId="30" borderId="23" xfId="0" applyNumberFormat="1" applyFont="1" applyFill="1" applyBorder="1" applyProtection="1">
      <protection locked="0"/>
    </xf>
    <xf numFmtId="164" fontId="4" fillId="30" borderId="24" xfId="0" applyNumberFormat="1" applyFont="1" applyFill="1" applyBorder="1" applyProtection="1">
      <protection locked="0"/>
    </xf>
    <xf numFmtId="164" fontId="4" fillId="30" borderId="25" xfId="0" applyNumberFormat="1" applyFont="1" applyFill="1" applyBorder="1" applyProtection="1">
      <protection locked="0"/>
    </xf>
    <xf numFmtId="164" fontId="4" fillId="30" borderId="26" xfId="0" applyNumberFormat="1" applyFont="1" applyFill="1" applyBorder="1" applyProtection="1">
      <protection locked="0"/>
    </xf>
    <xf numFmtId="164" fontId="4" fillId="26" borderId="25" xfId="0" applyNumberFormat="1" applyFont="1" applyFill="1" applyBorder="1" applyProtection="1"/>
    <xf numFmtId="164" fontId="4" fillId="22" borderId="24" xfId="0" applyNumberFormat="1" applyFont="1" applyFill="1" applyBorder="1" applyProtection="1"/>
    <xf numFmtId="164" fontId="4" fillId="30" borderId="20" xfId="0" applyNumberFormat="1" applyFont="1" applyFill="1" applyBorder="1" applyAlignment="1" applyProtection="1">
      <alignment horizontal="center"/>
      <protection locked="0"/>
    </xf>
    <xf numFmtId="164" fontId="4" fillId="22" borderId="9" xfId="0" applyNumberFormat="1" applyFont="1" applyFill="1" applyBorder="1" applyProtection="1"/>
    <xf numFmtId="164" fontId="4" fillId="22" borderId="0" xfId="0" applyNumberFormat="1" applyFont="1" applyFill="1" applyBorder="1" applyProtection="1"/>
    <xf numFmtId="164" fontId="4" fillId="22" borderId="10" xfId="0" applyNumberFormat="1" applyFont="1" applyFill="1" applyBorder="1" applyProtection="1"/>
    <xf numFmtId="164" fontId="4" fillId="30" borderId="27" xfId="0" applyNumberFormat="1" applyFont="1" applyFill="1" applyBorder="1" applyProtection="1">
      <protection locked="0"/>
    </xf>
    <xf numFmtId="164" fontId="4" fillId="30" borderId="28" xfId="0" applyNumberFormat="1" applyFont="1" applyFill="1" applyBorder="1" applyProtection="1">
      <protection locked="0"/>
    </xf>
    <xf numFmtId="164" fontId="4" fillId="30" borderId="0" xfId="0" applyNumberFormat="1" applyFont="1" applyFill="1" applyBorder="1" applyProtection="1">
      <protection locked="0"/>
    </xf>
    <xf numFmtId="164" fontId="4" fillId="30" borderId="15" xfId="0" applyNumberFormat="1" applyFont="1" applyFill="1" applyBorder="1" applyProtection="1">
      <protection locked="0"/>
    </xf>
    <xf numFmtId="164" fontId="4" fillId="26" borderId="23" xfId="0" applyNumberFormat="1" applyFont="1" applyFill="1" applyBorder="1" applyProtection="1"/>
    <xf numFmtId="164" fontId="4" fillId="26" borderId="24" xfId="0" applyNumberFormat="1" applyFont="1" applyFill="1" applyBorder="1" applyProtection="1"/>
    <xf numFmtId="164" fontId="4" fillId="26" borderId="61" xfId="0" applyNumberFormat="1" applyFont="1" applyFill="1" applyBorder="1" applyProtection="1"/>
    <xf numFmtId="164" fontId="4" fillId="30" borderId="62" xfId="0" applyNumberFormat="1" applyFont="1" applyFill="1" applyBorder="1" applyProtection="1">
      <protection locked="0"/>
    </xf>
    <xf numFmtId="164" fontId="4" fillId="30" borderId="63" xfId="0" applyNumberFormat="1" applyFont="1" applyFill="1" applyBorder="1" applyProtection="1">
      <protection locked="0"/>
    </xf>
    <xf numFmtId="164" fontId="4" fillId="26" borderId="26" xfId="0" applyNumberFormat="1" applyFont="1" applyFill="1" applyBorder="1" applyProtection="1"/>
    <xf numFmtId="164" fontId="4" fillId="26" borderId="64" xfId="0" applyNumberFormat="1" applyFont="1" applyFill="1" applyBorder="1" applyProtection="1"/>
    <xf numFmtId="164" fontId="4" fillId="0" borderId="42" xfId="0" applyNumberFormat="1" applyFont="1" applyFill="1" applyBorder="1" applyProtection="1"/>
    <xf numFmtId="164" fontId="4" fillId="0" borderId="41" xfId="0" applyNumberFormat="1" applyFont="1" applyFill="1" applyBorder="1" applyProtection="1"/>
    <xf numFmtId="164" fontId="4" fillId="0" borderId="10" xfId="0" applyNumberFormat="1" applyFont="1" applyBorder="1" applyProtection="1"/>
    <xf numFmtId="164" fontId="4" fillId="30" borderId="33" xfId="0" applyNumberFormat="1" applyFont="1" applyFill="1" applyBorder="1" applyProtection="1">
      <protection locked="0"/>
    </xf>
    <xf numFmtId="164" fontId="4" fillId="30" borderId="29" xfId="0" applyNumberFormat="1" applyFont="1" applyFill="1" applyBorder="1" applyProtection="1">
      <protection locked="0"/>
    </xf>
    <xf numFmtId="164" fontId="4" fillId="0" borderId="29" xfId="0" applyNumberFormat="1" applyFont="1" applyFill="1" applyBorder="1" applyProtection="1"/>
    <xf numFmtId="164" fontId="4" fillId="0" borderId="30" xfId="0" applyNumberFormat="1" applyFont="1" applyFill="1" applyBorder="1" applyProtection="1"/>
    <xf numFmtId="164" fontId="4" fillId="26" borderId="33" xfId="0" applyNumberFormat="1" applyFont="1" applyFill="1" applyBorder="1" applyProtection="1"/>
    <xf numFmtId="164" fontId="4" fillId="26" borderId="29" xfId="0" applyNumberFormat="1" applyFont="1" applyFill="1" applyBorder="1" applyProtection="1"/>
    <xf numFmtId="164" fontId="4" fillId="0" borderId="31" xfId="0" applyNumberFormat="1" applyFont="1" applyFill="1" applyBorder="1" applyProtection="1"/>
    <xf numFmtId="164" fontId="4" fillId="0" borderId="43" xfId="0" applyNumberFormat="1" applyFont="1" applyFill="1" applyBorder="1" applyProtection="1"/>
    <xf numFmtId="164" fontId="4" fillId="26" borderId="44" xfId="0" applyNumberFormat="1" applyFont="1" applyFill="1" applyBorder="1" applyProtection="1"/>
    <xf numFmtId="164" fontId="4" fillId="30" borderId="35" xfId="0" applyNumberFormat="1" applyFont="1" applyFill="1" applyBorder="1" applyProtection="1">
      <protection locked="0"/>
    </xf>
    <xf numFmtId="164" fontId="4" fillId="30" borderId="36" xfId="0" applyNumberFormat="1" applyFont="1" applyFill="1" applyBorder="1" applyProtection="1">
      <protection locked="0"/>
    </xf>
    <xf numFmtId="164" fontId="4" fillId="30" borderId="34" xfId="0" applyNumberFormat="1" applyFont="1" applyFill="1" applyBorder="1" applyProtection="1">
      <protection locked="0"/>
    </xf>
    <xf numFmtId="164" fontId="0" fillId="0" borderId="57" xfId="0" applyNumberFormat="1" applyBorder="1" applyProtection="1"/>
    <xf numFmtId="164" fontId="4" fillId="30" borderId="32" xfId="0" applyNumberFormat="1" applyFont="1" applyFill="1" applyBorder="1" applyProtection="1">
      <protection locked="0"/>
    </xf>
    <xf numFmtId="164" fontId="0" fillId="0" borderId="32" xfId="0" applyNumberFormat="1" applyBorder="1" applyProtection="1"/>
    <xf numFmtId="164" fontId="11" fillId="0" borderId="0" xfId="0" applyNumberFormat="1" applyFont="1" applyProtection="1"/>
    <xf numFmtId="164" fontId="4" fillId="0" borderId="0" xfId="0" applyNumberFormat="1" applyFont="1" applyProtection="1"/>
    <xf numFmtId="164" fontId="0" fillId="0" borderId="0" xfId="0" applyNumberFormat="1" applyAlignment="1" applyProtection="1">
      <alignment horizontal="center" vertical="center" wrapText="1"/>
    </xf>
    <xf numFmtId="164" fontId="0" fillId="0" borderId="0" xfId="0" applyNumberFormat="1" applyFill="1" applyProtection="1"/>
    <xf numFmtId="164" fontId="4" fillId="0" borderId="0" xfId="0" applyNumberFormat="1" applyFont="1" applyFill="1" applyProtection="1"/>
    <xf numFmtId="164" fontId="5" fillId="0" borderId="0" xfId="0" applyNumberFormat="1" applyFont="1" applyAlignment="1" applyProtection="1">
      <alignment horizontal="center" vertical="center" wrapText="1"/>
    </xf>
    <xf numFmtId="0" fontId="0" fillId="0" borderId="0" xfId="0" applyNumberFormat="1" applyProtection="1"/>
    <xf numFmtId="0" fontId="5" fillId="0" borderId="0" xfId="0" applyNumberFormat="1" applyFont="1" applyProtection="1"/>
    <xf numFmtId="0" fontId="5" fillId="0" borderId="0" xfId="0" applyNumberFormat="1" applyFont="1" applyAlignment="1" applyProtection="1">
      <alignment wrapText="1"/>
    </xf>
    <xf numFmtId="0" fontId="16" fillId="0" borderId="14" xfId="0" applyNumberFormat="1" applyFont="1" applyBorder="1" applyAlignment="1" applyProtection="1">
      <alignment horizontal="center"/>
    </xf>
    <xf numFmtId="0" fontId="16" fillId="0" borderId="13" xfId="0" applyNumberFormat="1" applyFont="1" applyBorder="1" applyAlignment="1" applyProtection="1"/>
    <xf numFmtId="164" fontId="4" fillId="22" borderId="21" xfId="0" applyNumberFormat="1" applyFont="1" applyFill="1" applyBorder="1" applyProtection="1"/>
    <xf numFmtId="0" fontId="4" fillId="0" borderId="10" xfId="0" applyFont="1" applyBorder="1" applyAlignment="1" applyProtection="1">
      <alignment horizontal="center" vertical="center"/>
    </xf>
    <xf numFmtId="0" fontId="4" fillId="0" borderId="0" xfId="0" applyFont="1" applyBorder="1" applyAlignment="1" applyProtection="1">
      <alignment vertical="center"/>
    </xf>
    <xf numFmtId="0" fontId="4" fillId="0" borderId="0" xfId="0" applyFont="1" applyBorder="1" applyAlignment="1" applyProtection="1">
      <alignment vertical="center" wrapText="1"/>
    </xf>
    <xf numFmtId="0" fontId="4" fillId="0" borderId="43" xfId="0" applyFont="1" applyBorder="1" applyAlignment="1" applyProtection="1">
      <alignment vertical="center"/>
    </xf>
    <xf numFmtId="0" fontId="3" fillId="29" borderId="4" xfId="0" applyFont="1" applyFill="1" applyBorder="1" applyAlignment="1" applyProtection="1">
      <alignment horizontal="center" vertical="center"/>
      <protection locked="0"/>
    </xf>
    <xf numFmtId="176" fontId="3" fillId="30" borderId="4" xfId="57" applyNumberFormat="1" applyFont="1" applyFill="1" applyBorder="1" applyAlignment="1" applyProtection="1">
      <alignment horizontal="center" vertical="center"/>
      <protection locked="0"/>
    </xf>
    <xf numFmtId="0" fontId="3" fillId="30" borderId="4" xfId="0" applyFont="1" applyFill="1" applyBorder="1" applyProtection="1">
      <protection locked="0"/>
    </xf>
    <xf numFmtId="0" fontId="3" fillId="29" borderId="4" xfId="0" applyFont="1" applyFill="1" applyBorder="1" applyProtection="1">
      <protection locked="0"/>
    </xf>
    <xf numFmtId="177" fontId="3" fillId="30" borderId="4" xfId="56" applyNumberFormat="1" applyFont="1" applyFill="1" applyBorder="1" applyProtection="1">
      <protection locked="0"/>
    </xf>
    <xf numFmtId="0" fontId="3" fillId="0" borderId="37" xfId="0" applyFont="1" applyBorder="1" applyAlignment="1" applyProtection="1">
      <alignment horizontal="left" vertical="top" wrapText="1"/>
      <protection locked="0"/>
    </xf>
    <xf numFmtId="179" fontId="3" fillId="30" borderId="4" xfId="58" applyNumberFormat="1" applyFont="1" applyFill="1" applyBorder="1" applyProtection="1">
      <protection locked="0"/>
    </xf>
    <xf numFmtId="177" fontId="3" fillId="34" borderId="4" xfId="56" applyNumberFormat="1" applyFont="1" applyFill="1" applyBorder="1" applyProtection="1">
      <protection locked="0"/>
    </xf>
    <xf numFmtId="0" fontId="3" fillId="34" borderId="4" xfId="0" applyFont="1" applyFill="1" applyBorder="1" applyProtection="1">
      <protection locked="0"/>
    </xf>
    <xf numFmtId="0" fontId="2" fillId="0" borderId="0" xfId="59" applyAlignment="1">
      <alignment horizontal="left"/>
    </xf>
    <xf numFmtId="0" fontId="3" fillId="0" borderId="9" xfId="59" applyFont="1" applyBorder="1" applyAlignment="1">
      <alignment horizontal="left" vertical="top" wrapText="1"/>
    </xf>
    <xf numFmtId="0" fontId="3" fillId="0" borderId="0" xfId="59" applyFont="1" applyBorder="1" applyAlignment="1">
      <alignment horizontal="left" vertical="top" wrapText="1"/>
    </xf>
    <xf numFmtId="0" fontId="3" fillId="0" borderId="0" xfId="59" applyFont="1" applyAlignment="1">
      <alignment horizontal="left" wrapText="1"/>
    </xf>
    <xf numFmtId="0" fontId="2" fillId="0" borderId="0" xfId="59" applyAlignment="1">
      <alignment horizontal="left" wrapText="1"/>
    </xf>
    <xf numFmtId="0" fontId="2" fillId="0" borderId="0" xfId="59" applyAlignment="1" applyProtection="1">
      <alignment horizontal="left" vertical="top" wrapText="1"/>
    </xf>
    <xf numFmtId="0" fontId="43" fillId="29" borderId="54" xfId="59" applyFont="1" applyFill="1" applyBorder="1" applyAlignment="1" applyProtection="1">
      <alignment horizontal="left" vertical="center" wrapText="1"/>
      <protection locked="0"/>
    </xf>
    <xf numFmtId="0" fontId="43" fillId="29" borderId="55" xfId="59" applyFont="1" applyFill="1" applyBorder="1" applyAlignment="1" applyProtection="1">
      <alignment horizontal="left" vertical="center" wrapText="1"/>
      <protection locked="0"/>
    </xf>
    <xf numFmtId="0" fontId="43" fillId="29" borderId="56" xfId="59" applyFont="1" applyFill="1" applyBorder="1" applyAlignment="1" applyProtection="1">
      <alignment horizontal="left" vertical="center" wrapText="1"/>
      <protection locked="0"/>
    </xf>
    <xf numFmtId="0" fontId="44" fillId="30" borderId="54" xfId="59" applyFont="1" applyFill="1" applyBorder="1" applyAlignment="1" applyProtection="1">
      <alignment horizontal="left" vertical="center"/>
      <protection locked="0"/>
    </xf>
    <xf numFmtId="0" fontId="44" fillId="30" borderId="55" xfId="59" applyFont="1" applyFill="1" applyBorder="1" applyAlignment="1" applyProtection="1">
      <alignment horizontal="left" vertical="center"/>
      <protection locked="0"/>
    </xf>
    <xf numFmtId="0" fontId="44" fillId="30" borderId="56" xfId="59" applyFont="1" applyFill="1" applyBorder="1" applyAlignment="1" applyProtection="1">
      <alignment horizontal="left" vertical="center"/>
      <protection locked="0"/>
    </xf>
    <xf numFmtId="0" fontId="43" fillId="30" borderId="54" xfId="59" applyFont="1" applyFill="1" applyBorder="1" applyAlignment="1" applyProtection="1">
      <alignment horizontal="left" vertical="center"/>
      <protection locked="0"/>
    </xf>
    <xf numFmtId="0" fontId="43" fillId="30" borderId="55" xfId="59" applyFont="1" applyFill="1" applyBorder="1" applyAlignment="1" applyProtection="1">
      <alignment horizontal="left" vertical="center"/>
      <protection locked="0"/>
    </xf>
    <xf numFmtId="0" fontId="43" fillId="30" borderId="56" xfId="59" applyFont="1" applyFill="1" applyBorder="1" applyAlignment="1" applyProtection="1">
      <alignment horizontal="left" vertical="center"/>
      <protection locked="0"/>
    </xf>
    <xf numFmtId="0" fontId="53" fillId="30" borderId="54" xfId="72" applyNumberFormat="1" applyFill="1" applyBorder="1" applyAlignment="1" applyProtection="1">
      <alignment horizontal="left" vertical="center"/>
      <protection locked="0"/>
    </xf>
    <xf numFmtId="0" fontId="43" fillId="30" borderId="55" xfId="59" applyNumberFormat="1" applyFont="1" applyFill="1" applyBorder="1" applyAlignment="1" applyProtection="1">
      <alignment horizontal="left" vertical="center"/>
      <protection locked="0"/>
    </xf>
    <xf numFmtId="0" fontId="43" fillId="30" borderId="56" xfId="59" applyNumberFormat="1" applyFont="1" applyFill="1" applyBorder="1" applyAlignment="1" applyProtection="1">
      <alignment horizontal="left" vertical="center"/>
      <protection locked="0"/>
    </xf>
    <xf numFmtId="164" fontId="36" fillId="0" borderId="40" xfId="0" applyNumberFormat="1" applyFont="1" applyBorder="1" applyAlignment="1" applyProtection="1">
      <alignment horizontal="center" vertical="center" wrapText="1"/>
    </xf>
    <xf numFmtId="164" fontId="37" fillId="0" borderId="0" xfId="0" applyNumberFormat="1" applyFont="1" applyBorder="1" applyAlignment="1" applyProtection="1">
      <alignment horizontal="center" vertical="center" wrapText="1"/>
    </xf>
    <xf numFmtId="164" fontId="37" fillId="0" borderId="48" xfId="0" applyNumberFormat="1" applyFont="1" applyBorder="1" applyAlignment="1" applyProtection="1">
      <alignment horizontal="center" vertical="center" wrapText="1"/>
    </xf>
    <xf numFmtId="164" fontId="17" fillId="0" borderId="40" xfId="0" applyNumberFormat="1" applyFont="1" applyBorder="1" applyAlignment="1" applyProtection="1">
      <alignment horizontal="center" vertical="center" wrapText="1"/>
    </xf>
    <xf numFmtId="164" fontId="15" fillId="0" borderId="0" xfId="0" applyNumberFormat="1" applyFont="1" applyBorder="1" applyAlignment="1" applyProtection="1">
      <alignment horizontal="center" vertical="center" wrapText="1"/>
    </xf>
    <xf numFmtId="164" fontId="15" fillId="0" borderId="48" xfId="0" applyNumberFormat="1" applyFont="1" applyBorder="1" applyAlignment="1" applyProtection="1">
      <alignment horizontal="center" vertical="center" wrapText="1"/>
    </xf>
    <xf numFmtId="164" fontId="17" fillId="0" borderId="49" xfId="0" applyNumberFormat="1" applyFont="1" applyBorder="1" applyAlignment="1" applyProtection="1">
      <alignment horizontal="center" vertical="center" wrapText="1"/>
    </xf>
    <xf numFmtId="164" fontId="17" fillId="0" borderId="10" xfId="0" applyNumberFormat="1" applyFont="1" applyBorder="1" applyAlignment="1" applyProtection="1">
      <alignment horizontal="center" vertical="center" wrapText="1"/>
    </xf>
    <xf numFmtId="164" fontId="17" fillId="0" borderId="50" xfId="0" applyNumberFormat="1" applyFont="1" applyBorder="1" applyAlignment="1" applyProtection="1">
      <alignment horizontal="center" vertical="center" wrapText="1"/>
    </xf>
    <xf numFmtId="164" fontId="17" fillId="0" borderId="46" xfId="0" applyNumberFormat="1" applyFont="1" applyBorder="1" applyAlignment="1" applyProtection="1">
      <alignment horizontal="center" vertical="center" wrapText="1"/>
    </xf>
    <xf numFmtId="164" fontId="17" fillId="0" borderId="9" xfId="0" applyNumberFormat="1" applyFont="1" applyBorder="1" applyAlignment="1" applyProtection="1">
      <alignment horizontal="center" vertical="center" wrapText="1"/>
    </xf>
    <xf numFmtId="164" fontId="17" fillId="0" borderId="47" xfId="0" applyNumberFormat="1" applyFont="1" applyBorder="1" applyAlignment="1" applyProtection="1">
      <alignment horizontal="center" vertical="center" wrapText="1"/>
    </xf>
    <xf numFmtId="164" fontId="17" fillId="0" borderId="0" xfId="0" applyNumberFormat="1" applyFont="1" applyBorder="1" applyAlignment="1" applyProtection="1">
      <alignment horizontal="center" vertical="center" wrapText="1"/>
    </xf>
    <xf numFmtId="164" fontId="17" fillId="0" borderId="48" xfId="0" applyNumberFormat="1" applyFont="1" applyBorder="1" applyAlignment="1" applyProtection="1">
      <alignment horizontal="center" vertical="center" wrapText="1"/>
    </xf>
    <xf numFmtId="164" fontId="17" fillId="0" borderId="51" xfId="0" applyNumberFormat="1" applyFont="1" applyBorder="1" applyAlignment="1" applyProtection="1">
      <alignment horizontal="center" vertical="center" wrapText="1"/>
    </xf>
    <xf numFmtId="164" fontId="17" fillId="0" borderId="15" xfId="0" applyNumberFormat="1" applyFont="1" applyBorder="1" applyAlignment="1" applyProtection="1">
      <alignment horizontal="center" vertical="center" wrapText="1"/>
    </xf>
    <xf numFmtId="164" fontId="17" fillId="0" borderId="52" xfId="0" applyNumberFormat="1" applyFont="1" applyBorder="1" applyAlignment="1" applyProtection="1">
      <alignment horizontal="center" vertical="center" wrapText="1"/>
    </xf>
    <xf numFmtId="0" fontId="16" fillId="0" borderId="17" xfId="0" applyNumberFormat="1" applyFont="1" applyBorder="1" applyAlignment="1" applyProtection="1">
      <alignment horizontal="center"/>
    </xf>
    <xf numFmtId="0" fontId="16" fillId="0" borderId="45" xfId="0" applyNumberFormat="1" applyFont="1" applyBorder="1" applyAlignment="1" applyProtection="1">
      <alignment horizontal="center"/>
    </xf>
    <xf numFmtId="0" fontId="16" fillId="0" borderId="13" xfId="0" applyNumberFormat="1" applyFont="1" applyBorder="1" applyAlignment="1" applyProtection="1">
      <alignment horizontal="center"/>
    </xf>
    <xf numFmtId="0" fontId="14" fillId="0" borderId="17" xfId="0" applyNumberFormat="1" applyFont="1" applyFill="1" applyBorder="1" applyAlignment="1" applyProtection="1">
      <alignment horizontal="center" vertical="center"/>
    </xf>
    <xf numFmtId="0" fontId="14" fillId="0" borderId="45" xfId="0" applyNumberFormat="1" applyFont="1" applyFill="1" applyBorder="1" applyAlignment="1" applyProtection="1">
      <alignment horizontal="center" vertical="center"/>
    </xf>
    <xf numFmtId="0" fontId="14" fillId="0" borderId="13" xfId="0" applyNumberFormat="1" applyFont="1" applyFill="1" applyBorder="1" applyAlignment="1" applyProtection="1">
      <alignment horizontal="center" vertical="center"/>
    </xf>
    <xf numFmtId="0" fontId="3" fillId="0" borderId="0" xfId="0" applyFont="1" applyAlignment="1" applyProtection="1">
      <alignment wrapText="1"/>
    </xf>
    <xf numFmtId="0" fontId="0" fillId="0" borderId="0" xfId="0" applyAlignment="1">
      <alignment wrapText="1"/>
    </xf>
    <xf numFmtId="0" fontId="11" fillId="0" borderId="0" xfId="0" applyFont="1" applyAlignment="1" applyProtection="1">
      <alignment horizontal="left" vertical="top" wrapText="1"/>
    </xf>
    <xf numFmtId="0" fontId="34" fillId="0" borderId="46" xfId="0" applyFont="1" applyBorder="1" applyAlignment="1" applyProtection="1">
      <alignment horizontal="left" vertical="center"/>
    </xf>
    <xf numFmtId="0" fontId="34" fillId="0" borderId="9" xfId="0" applyFont="1" applyBorder="1" applyAlignment="1" applyProtection="1">
      <alignment horizontal="left" vertical="center"/>
    </xf>
    <xf numFmtId="0" fontId="34" fillId="0" borderId="47" xfId="0" applyFont="1" applyBorder="1" applyAlignment="1" applyProtection="1">
      <alignment horizontal="left" vertical="center"/>
    </xf>
    <xf numFmtId="0" fontId="17" fillId="0" borderId="49" xfId="0" applyFont="1" applyBorder="1" applyAlignment="1" applyProtection="1">
      <alignment horizontal="center" vertical="center" wrapText="1"/>
    </xf>
    <xf numFmtId="0" fontId="17" fillId="0" borderId="10" xfId="0" applyFont="1" applyBorder="1" applyAlignment="1" applyProtection="1">
      <alignment horizontal="center" vertical="center" wrapText="1"/>
    </xf>
    <xf numFmtId="0" fontId="17" fillId="0" borderId="50" xfId="0" applyFont="1" applyBorder="1" applyAlignment="1" applyProtection="1">
      <alignment horizontal="center" vertical="center" wrapText="1"/>
    </xf>
    <xf numFmtId="0" fontId="5" fillId="27" borderId="0" xfId="0" applyFont="1" applyFill="1" applyBorder="1" applyAlignment="1" applyProtection="1">
      <alignment horizontal="left" vertical="top" wrapText="1"/>
    </xf>
    <xf numFmtId="0" fontId="17" fillId="0" borderId="51" xfId="0" applyFont="1" applyBorder="1" applyAlignment="1" applyProtection="1">
      <alignment horizontal="center" vertical="center" wrapText="1"/>
    </xf>
    <xf numFmtId="0" fontId="17" fillId="0" borderId="15" xfId="0" applyFont="1" applyBorder="1" applyAlignment="1" applyProtection="1">
      <alignment horizontal="center" vertical="center" wrapText="1"/>
    </xf>
    <xf numFmtId="0" fontId="17" fillId="0" borderId="53" xfId="0" applyFont="1" applyBorder="1" applyAlignment="1" applyProtection="1">
      <alignment horizontal="center" vertical="center" wrapText="1"/>
    </xf>
    <xf numFmtId="0" fontId="34" fillId="0" borderId="46" xfId="0" applyFont="1" applyBorder="1" applyAlignment="1" applyProtection="1">
      <alignment horizontal="left" vertical="center" wrapText="1"/>
    </xf>
    <xf numFmtId="0" fontId="34" fillId="0" borderId="9" xfId="0" applyFont="1" applyBorder="1" applyAlignment="1" applyProtection="1">
      <alignment horizontal="left" vertical="center" wrapText="1"/>
    </xf>
    <xf numFmtId="0" fontId="34" fillId="0" borderId="47" xfId="0" applyFont="1" applyBorder="1" applyAlignment="1" applyProtection="1">
      <alignment horizontal="left" vertical="center" wrapText="1"/>
    </xf>
    <xf numFmtId="0" fontId="6" fillId="0" borderId="0" xfId="0" applyFont="1" applyAlignment="1" applyProtection="1">
      <alignment horizontal="left" vertical="top" wrapText="1"/>
    </xf>
    <xf numFmtId="0" fontId="3" fillId="0" borderId="0" xfId="0" applyFont="1" applyAlignment="1" applyProtection="1">
      <alignment horizontal="left" vertical="top" wrapText="1"/>
    </xf>
    <xf numFmtId="176" fontId="6" fillId="28" borderId="4" xfId="69" applyNumberFormat="1" applyFont="1" applyFill="1" applyBorder="1" applyAlignment="1" applyProtection="1">
      <alignment horizontal="center" vertical="center"/>
    </xf>
    <xf numFmtId="10" fontId="6" fillId="28" borderId="4" xfId="69" applyNumberFormat="1" applyFont="1" applyFill="1" applyBorder="1" applyAlignment="1" applyProtection="1">
      <alignment horizontal="center" vertical="center" wrapText="1"/>
    </xf>
    <xf numFmtId="0" fontId="6" fillId="28" borderId="4" xfId="69" applyNumberFormat="1" applyFont="1" applyFill="1" applyBorder="1" applyAlignment="1" applyProtection="1">
      <alignment horizontal="center" vertical="center" wrapText="1"/>
    </xf>
    <xf numFmtId="0" fontId="49" fillId="0" borderId="0" xfId="0" applyFont="1" applyAlignment="1" applyProtection="1">
      <alignment horizontal="left" vertical="top" wrapText="1"/>
    </xf>
    <xf numFmtId="176" fontId="6" fillId="28" borderId="4" xfId="69" applyNumberFormat="1" applyFont="1" applyFill="1" applyBorder="1" applyAlignment="1" applyProtection="1">
      <alignment horizontal="center" vertical="center" wrapText="1"/>
    </xf>
    <xf numFmtId="10" fontId="6" fillId="28" borderId="58" xfId="69" applyNumberFormat="1" applyFont="1" applyFill="1" applyBorder="1" applyAlignment="1" applyProtection="1">
      <alignment horizontal="center" vertical="center" wrapText="1"/>
    </xf>
    <xf numFmtId="10" fontId="6" fillId="28" borderId="60" xfId="69" applyNumberFormat="1" applyFont="1" applyFill="1" applyBorder="1" applyAlignment="1" applyProtection="1">
      <alignment horizontal="center" vertical="center" wrapText="1"/>
    </xf>
    <xf numFmtId="0" fontId="6" fillId="28" borderId="4" xfId="69" applyFont="1" applyFill="1" applyBorder="1" applyAlignment="1" applyProtection="1">
      <alignment horizontal="center" vertical="center"/>
    </xf>
    <xf numFmtId="0" fontId="6" fillId="0" borderId="4" xfId="69" applyFont="1" applyBorder="1" applyAlignment="1" applyProtection="1">
      <alignment horizontal="center" vertical="center" wrapText="1"/>
    </xf>
    <xf numFmtId="0" fontId="6" fillId="0" borderId="4" xfId="69" applyFont="1" applyBorder="1" applyAlignment="1" applyProtection="1">
      <alignment horizontal="center" vertical="center"/>
    </xf>
    <xf numFmtId="0" fontId="3" fillId="0" borderId="59" xfId="0" applyFont="1" applyBorder="1" applyAlignment="1">
      <alignment horizontal="right" vertical="center" wrapText="1" indent="1"/>
    </xf>
    <xf numFmtId="0" fontId="3" fillId="0" borderId="0" xfId="0" applyFont="1" applyBorder="1" applyAlignment="1">
      <alignment horizontal="right" vertical="center" wrapText="1" indent="1"/>
    </xf>
    <xf numFmtId="0" fontId="6" fillId="28" borderId="4" xfId="0" applyFont="1" applyFill="1" applyBorder="1" applyAlignment="1">
      <alignment horizontal="right" vertical="center" wrapText="1" indent="1"/>
    </xf>
    <xf numFmtId="0" fontId="6" fillId="33" borderId="4" xfId="0" applyFont="1" applyFill="1" applyBorder="1" applyAlignment="1">
      <alignment horizontal="right" vertical="center" wrapText="1" indent="1"/>
    </xf>
    <xf numFmtId="0" fontId="6" fillId="28" borderId="58" xfId="69" applyFont="1" applyFill="1" applyBorder="1" applyAlignment="1" applyProtection="1">
      <alignment horizontal="center" vertical="center" wrapText="1"/>
    </xf>
    <xf numFmtId="0" fontId="6" fillId="28" borderId="60" xfId="69" applyFont="1" applyFill="1" applyBorder="1" applyAlignment="1" applyProtection="1">
      <alignment horizontal="center" vertical="center" wrapText="1"/>
    </xf>
    <xf numFmtId="0" fontId="6" fillId="28" borderId="4" xfId="69" applyFont="1" applyFill="1" applyBorder="1" applyAlignment="1" applyProtection="1">
      <alignment horizontal="center" vertical="center" wrapText="1"/>
    </xf>
  </cellXfs>
  <cellStyles count="73">
    <cellStyle name="$" xfId="1"/>
    <cellStyle name="$.00" xfId="2"/>
    <cellStyle name="$_9. Rev2Cost_GDPIPI" xfId="60"/>
    <cellStyle name="$_lists" xfId="61"/>
    <cellStyle name="$_lists_4. Current Monthly Fixed Charge" xfId="62"/>
    <cellStyle name="$_Sheet4" xfId="63"/>
    <cellStyle name="$M" xfId="3"/>
    <cellStyle name="$M.00" xfId="4"/>
    <cellStyle name="$M_9. Rev2Cost_GDPIPI" xfId="64"/>
    <cellStyle name="20% - Accent1" xfId="5" builtinId="30" customBuiltin="1"/>
    <cellStyle name="20% - Accent2" xfId="6" builtinId="34" customBuiltin="1"/>
    <cellStyle name="20% - Accent3" xfId="7" builtinId="38" customBuiltin="1"/>
    <cellStyle name="20% - Accent4" xfId="8" builtinId="42" customBuiltin="1"/>
    <cellStyle name="20% - Accent5" xfId="9" builtinId="46" customBuiltin="1"/>
    <cellStyle name="20% - Accent6" xfId="10" builtinId="50" customBuiltin="1"/>
    <cellStyle name="40% - Accent1" xfId="11" builtinId="31" customBuiltin="1"/>
    <cellStyle name="40% - Accent2" xfId="12" builtinId="35" customBuiltin="1"/>
    <cellStyle name="40% - Accent3" xfId="13" builtinId="39" customBuiltin="1"/>
    <cellStyle name="40% - Accent4" xfId="14" builtinId="43" customBuiltin="1"/>
    <cellStyle name="40% - Accent5" xfId="15" builtinId="47" customBuiltin="1"/>
    <cellStyle name="40% - Accent6" xfId="16" builtinId="51" customBuiltin="1"/>
    <cellStyle name="60% - Accent1" xfId="17" builtinId="32" customBuiltin="1"/>
    <cellStyle name="60% - Accent2" xfId="18" builtinId="36" customBuiltin="1"/>
    <cellStyle name="60% - Accent3" xfId="19" builtinId="40" customBuiltin="1"/>
    <cellStyle name="60% - Accent4" xfId="20" builtinId="44" customBuiltin="1"/>
    <cellStyle name="60% - Accent5" xfId="21" builtinId="48" customBuiltin="1"/>
    <cellStyle name="60% - Accent6" xfId="22" builtinId="52" customBuiltin="1"/>
    <cellStyle name="Accent1" xfId="23" builtinId="29" customBuiltin="1"/>
    <cellStyle name="Accent2" xfId="24" builtinId="33" customBuiltin="1"/>
    <cellStyle name="Accent3" xfId="25" builtinId="37" customBuiltin="1"/>
    <cellStyle name="Accent4" xfId="26" builtinId="41" customBuiltin="1"/>
    <cellStyle name="Accent5" xfId="27" builtinId="45" customBuiltin="1"/>
    <cellStyle name="Accent6" xfId="28" builtinId="49" customBuiltin="1"/>
    <cellStyle name="Bad" xfId="29" builtinId="27" customBuiltin="1"/>
    <cellStyle name="Calculation" xfId="30" builtinId="22" customBuiltin="1"/>
    <cellStyle name="Check Cell" xfId="31" builtinId="23" customBuiltin="1"/>
    <cellStyle name="Comma" xfId="56" builtinId="3"/>
    <cellStyle name="Comma0" xfId="32"/>
    <cellStyle name="Currency" xfId="57" builtinId="4"/>
    <cellStyle name="Currency0" xfId="33"/>
    <cellStyle name="Date" xfId="34"/>
    <cellStyle name="Explanatory Text" xfId="35" builtinId="53" customBuiltin="1"/>
    <cellStyle name="Fixed" xfId="36"/>
    <cellStyle name="Good" xfId="37" builtinId="26" customBuiltin="1"/>
    <cellStyle name="Grey" xfId="38"/>
    <cellStyle name="Heading 1" xfId="39" builtinId="16" customBuiltin="1"/>
    <cellStyle name="Heading 2" xfId="40" builtinId="17" customBuiltin="1"/>
    <cellStyle name="Heading 3" xfId="41" builtinId="18" customBuiltin="1"/>
    <cellStyle name="Heading 4" xfId="42" builtinId="19" customBuiltin="1"/>
    <cellStyle name="Hyperlink" xfId="72" builtinId="8"/>
    <cellStyle name="Input" xfId="43" builtinId="20" customBuiltin="1"/>
    <cellStyle name="Input [yellow]" xfId="44"/>
    <cellStyle name="Linked Cell" xfId="45" builtinId="24" customBuiltin="1"/>
    <cellStyle name="M" xfId="46"/>
    <cellStyle name="M.00" xfId="47"/>
    <cellStyle name="M_9. Rev2Cost_GDPIPI" xfId="65"/>
    <cellStyle name="M_lists" xfId="66"/>
    <cellStyle name="M_lists_4. Current Monthly Fixed Charge" xfId="67"/>
    <cellStyle name="M_Sheet4" xfId="68"/>
    <cellStyle name="Neutral" xfId="48" builtinId="28" customBuiltin="1"/>
    <cellStyle name="Normal" xfId="0" builtinId="0"/>
    <cellStyle name="Normal - Style1" xfId="49"/>
    <cellStyle name="Normal 2" xfId="59"/>
    <cellStyle name="Normal_6. Cost Allocation for Def-Var" xfId="69"/>
    <cellStyle name="Normal_Sheet3" xfId="71"/>
    <cellStyle name="Normal_Sheet7" xfId="70"/>
    <cellStyle name="Note" xfId="50" builtinId="10" customBuiltin="1"/>
    <cellStyle name="Output" xfId="51" builtinId="21" customBuiltin="1"/>
    <cellStyle name="Percent" xfId="58" builtinId="5"/>
    <cellStyle name="Percent [2]" xfId="52"/>
    <cellStyle name="Title" xfId="53" builtinId="15" customBuiltin="1"/>
    <cellStyle name="Total" xfId="54" builtinId="25" customBuiltin="1"/>
    <cellStyle name="Warning Text" xfId="55" builtinId="11" customBuiltin="1"/>
  </cellStyles>
  <dxfs count="6">
    <dxf>
      <font>
        <b/>
        <i val="0"/>
        <color rgb="FFFF0000"/>
      </font>
    </dxf>
    <dxf>
      <font>
        <b/>
        <i val="0"/>
        <color rgb="FFFF0000"/>
      </font>
    </dxf>
    <dxf>
      <font>
        <b/>
        <i val="0"/>
        <color rgb="FFFF0000"/>
      </font>
    </dxf>
    <dxf>
      <font>
        <b/>
        <i val="0"/>
        <color rgb="FFFF0000"/>
      </font>
    </dxf>
    <dxf>
      <font>
        <b/>
        <i val="0"/>
        <color rgb="FFFF0000"/>
      </font>
    </dxf>
    <dxf>
      <fill>
        <patternFill>
          <bgColor indexed="42"/>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styles" Target="styles.xml"/><Relationship Id="rId3" Type="http://schemas.openxmlformats.org/officeDocument/2006/relationships/worksheet" Target="worksheets/sheet3.xml"/><Relationship Id="rId21" Type="http://schemas.microsoft.com/office/2006/relationships/vbaProject" Target="vbaProject.bin"/><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9524</xdr:colOff>
      <xdr:row>0</xdr:row>
      <xdr:rowOff>19051</xdr:rowOff>
    </xdr:from>
    <xdr:to>
      <xdr:col>14</xdr:col>
      <xdr:colOff>12835</xdr:colOff>
      <xdr:row>10</xdr:row>
      <xdr:rowOff>38100</xdr:rowOff>
    </xdr:to>
    <xdr:grpSp>
      <xdr:nvGrpSpPr>
        <xdr:cNvPr id="2" name="Group 1"/>
        <xdr:cNvGrpSpPr/>
      </xdr:nvGrpSpPr>
      <xdr:grpSpPr>
        <a:xfrm>
          <a:off x="9377" y="18758"/>
          <a:ext cx="9290333" cy="1894448"/>
          <a:chOff x="9524" y="19051"/>
          <a:chExt cx="8537711" cy="1924049"/>
        </a:xfrm>
      </xdr:grpSpPr>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4"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5" name="Rectangle 4"/>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Deferral/Variance Account Workform</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for 2014 Filers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0</xdr:col>
      <xdr:colOff>182217</xdr:colOff>
      <xdr:row>36</xdr:row>
      <xdr:rowOff>8266</xdr:rowOff>
    </xdr:from>
    <xdr:to>
      <xdr:col>14</xdr:col>
      <xdr:colOff>157368</xdr:colOff>
      <xdr:row>41</xdr:row>
      <xdr:rowOff>24838</xdr:rowOff>
    </xdr:to>
    <xdr:sp macro="" textlink="">
      <xdr:nvSpPr>
        <xdr:cNvPr id="6" name="Text Box 50"/>
        <xdr:cNvSpPr txBox="1">
          <a:spLocks noChangeArrowheads="1"/>
        </xdr:cNvSpPr>
      </xdr:nvSpPr>
      <xdr:spPr bwMode="auto">
        <a:xfrm>
          <a:off x="182217" y="7123441"/>
          <a:ext cx="8785776" cy="969072"/>
        </a:xfrm>
        <a:prstGeom prst="rect">
          <a:avLst/>
        </a:prstGeom>
        <a:noFill/>
        <a:ln>
          <a:noFill/>
        </a:ln>
        <a:effectLst>
          <a:softEdge rad="31750"/>
        </a:effectLst>
        <a:extLst/>
      </xdr:spPr>
      <xdr:txBody>
        <a:bodyPr vertOverflow="clip" wrap="square" lIns="27432" tIns="22860" rIns="0" bIns="0" anchor="t" upright="1"/>
        <a:lstStyle/>
        <a:p>
          <a:pPr rtl="0"/>
          <a:r>
            <a:rPr lang="en-CA" sz="800" b="1" i="1" baseline="0">
              <a:effectLst/>
              <a:latin typeface="Arial" pitchFamily="34" charset="0"/>
              <a:ea typeface="+mn-ea"/>
              <a:cs typeface="Arial" pitchFamily="34" charset="0"/>
            </a:rPr>
            <a:t>This Workbook Model is protected by copyright and is being made available to you solely for the purpose of preparing your rate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or reviewing your draft rate order, you must ensure that the person understands and agrees to the restrictions noted above.</a:t>
          </a:r>
          <a:endParaRPr lang="en-CA" sz="800">
            <a:effectLst/>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0</xdr:row>
      <xdr:rowOff>63500</xdr:rowOff>
    </xdr:from>
    <xdr:to>
      <xdr:col>6</xdr:col>
      <xdr:colOff>127000</xdr:colOff>
      <xdr:row>14</xdr:row>
      <xdr:rowOff>114300</xdr:rowOff>
    </xdr:to>
    <xdr:grpSp>
      <xdr:nvGrpSpPr>
        <xdr:cNvPr id="16" name="Group 15"/>
        <xdr:cNvGrpSpPr/>
      </xdr:nvGrpSpPr>
      <xdr:grpSpPr>
        <a:xfrm>
          <a:off x="647700" y="63500"/>
          <a:ext cx="9321800" cy="2362200"/>
          <a:chOff x="9524" y="19051"/>
          <a:chExt cx="8537711" cy="1924049"/>
        </a:xfrm>
      </xdr:grpSpPr>
      <xdr:pic>
        <xdr:nvPicPr>
          <xdr:cNvPr id="17" name="Picture 1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8" name="Picture 17"/>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9" name="Rectangle 18"/>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Deferral/Variance Account Workform</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for 2014 Filers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699135</xdr:colOff>
      <xdr:row>12</xdr:row>
      <xdr:rowOff>7620</xdr:rowOff>
    </xdr:from>
    <xdr:to>
      <xdr:col>4</xdr:col>
      <xdr:colOff>1266830</xdr:colOff>
      <xdr:row>13</xdr:row>
      <xdr:rowOff>144780</xdr:rowOff>
    </xdr:to>
    <xdr:sp macro="" textlink="#REF!">
      <xdr:nvSpPr>
        <xdr:cNvPr id="12302" name="Text Box 14"/>
        <xdr:cNvSpPr txBox="1">
          <a:spLocks noChangeArrowheads="1" noTextEdit="1"/>
        </xdr:cNvSpPr>
      </xdr:nvSpPr>
      <xdr:spPr bwMode="auto">
        <a:xfrm>
          <a:off x="1127760" y="2019300"/>
          <a:ext cx="8168640" cy="304800"/>
        </a:xfrm>
        <a:prstGeom prst="rect">
          <a:avLst/>
        </a:prstGeom>
        <a:noFill/>
        <a:ln w="9525">
          <a:noFill/>
          <a:miter lim="800000"/>
          <a:headEnd/>
          <a:tailEnd/>
        </a:ln>
      </xdr:spPr>
      <xdr:txBody>
        <a:bodyPr vertOverflow="clip" wrap="square" lIns="36576" tIns="32004" rIns="0" bIns="0" anchor="t" upright="1"/>
        <a:lstStyle/>
        <a:p>
          <a:pPr algn="l" rtl="0">
            <a:defRPr sz="1000"/>
          </a:pPr>
          <a:fld id="{806C0CFF-A928-4D4F-9047-D2845C89EA71}" type="TxLink">
            <a:rPr lang="en-CA" sz="1200" b="1" i="0" u="none" strike="noStrike" baseline="0">
              <a:solidFill>
                <a:srgbClr val="FFFFFF"/>
              </a:solidFill>
              <a:latin typeface="Book Antiqua"/>
              <a:cs typeface="Arial"/>
            </a:rPr>
            <a:pPr algn="l" rtl="0">
              <a:defRPr sz="1000"/>
            </a:pPr>
            <a:t>Canadian Niagara Power Inc. - Eastern Ontario Power</a:t>
          </a:fld>
          <a:endParaRPr lang="en-CA" sz="1200" b="1" i="0" u="none" strike="noStrike" baseline="0">
            <a:solidFill>
              <a:srgbClr val="FFFFFF"/>
            </a:solidFill>
            <a:latin typeface="Book Antiqua"/>
          </a:endParaRPr>
        </a:p>
      </xdr:txBody>
    </xdr:sp>
    <xdr:clientData/>
  </xdr:twoCellAnchor>
  <xdr:twoCellAnchor>
    <xdr:from>
      <xdr:col>1</xdr:col>
      <xdr:colOff>47625</xdr:colOff>
      <xdr:row>0</xdr:row>
      <xdr:rowOff>28575</xdr:rowOff>
    </xdr:from>
    <xdr:to>
      <xdr:col>5</xdr:col>
      <xdr:colOff>663575</xdr:colOff>
      <xdr:row>14</xdr:row>
      <xdr:rowOff>123825</xdr:rowOff>
    </xdr:to>
    <xdr:grpSp>
      <xdr:nvGrpSpPr>
        <xdr:cNvPr id="13" name="Group 12"/>
        <xdr:cNvGrpSpPr/>
      </xdr:nvGrpSpPr>
      <xdr:grpSpPr>
        <a:xfrm>
          <a:off x="447675" y="28575"/>
          <a:ext cx="9321800" cy="2362200"/>
          <a:chOff x="9524" y="19051"/>
          <a:chExt cx="8537711" cy="1924049"/>
        </a:xfrm>
      </xdr:grpSpPr>
      <xdr:pic>
        <xdr:nvPicPr>
          <xdr:cNvPr id="14" name="Picture 1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5" name="Picture 14"/>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6" name="Rectangle 15"/>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Deferral/Variance Account Workform</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for 2014 Filers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644525</xdr:colOff>
      <xdr:row>14</xdr:row>
      <xdr:rowOff>95250</xdr:rowOff>
    </xdr:to>
    <xdr:grpSp>
      <xdr:nvGrpSpPr>
        <xdr:cNvPr id="2" name="Group 1"/>
        <xdr:cNvGrpSpPr/>
      </xdr:nvGrpSpPr>
      <xdr:grpSpPr>
        <a:xfrm>
          <a:off x="0" y="0"/>
          <a:ext cx="9321800" cy="2362200"/>
          <a:chOff x="9524" y="19051"/>
          <a:chExt cx="8537711" cy="1924049"/>
        </a:xfrm>
      </xdr:grpSpPr>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4"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5" name="Rectangle 4"/>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Deferral/Variance Account Workform</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for 2014 Filers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38100</xdr:colOff>
      <xdr:row>0</xdr:row>
      <xdr:rowOff>0</xdr:rowOff>
    </xdr:from>
    <xdr:to>
      <xdr:col>6</xdr:col>
      <xdr:colOff>238125</xdr:colOff>
      <xdr:row>1</xdr:row>
      <xdr:rowOff>28575</xdr:rowOff>
    </xdr:to>
    <xdr:grpSp>
      <xdr:nvGrpSpPr>
        <xdr:cNvPr id="2" name="Group 1"/>
        <xdr:cNvGrpSpPr/>
      </xdr:nvGrpSpPr>
      <xdr:grpSpPr>
        <a:xfrm>
          <a:off x="38100" y="0"/>
          <a:ext cx="8867775" cy="1847850"/>
          <a:chOff x="9524" y="19051"/>
          <a:chExt cx="8537711" cy="1924049"/>
        </a:xfrm>
      </xdr:grpSpPr>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4"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5" name="Rectangle 4"/>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Deferral/Variance Account Workform</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for 2014 Filers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914400</xdr:colOff>
      <xdr:row>11</xdr:row>
      <xdr:rowOff>63500</xdr:rowOff>
    </xdr:to>
    <xdr:grpSp>
      <xdr:nvGrpSpPr>
        <xdr:cNvPr id="2" name="Group 1"/>
        <xdr:cNvGrpSpPr/>
      </xdr:nvGrpSpPr>
      <xdr:grpSpPr>
        <a:xfrm>
          <a:off x="0" y="0"/>
          <a:ext cx="11115675" cy="1844675"/>
          <a:chOff x="9524" y="19051"/>
          <a:chExt cx="8537711" cy="1924049"/>
        </a:xfrm>
      </xdr:grpSpPr>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4"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5" name="Rectangle 4"/>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Deferral/Variance Account Workform</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for 2014 Filers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Non%20RPP%20kWh_2012%20data%20for%202014%20C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ontarioenergyboard.ca/Market%20Operations/Department%20Applications/Reports/Rates/Electricity%20Rates%20-%20Billing%20Determinants%20Database/2012%20IRM%20DEVELOPMENT/2012%20IRM%20MODEL%20(2ND%20AND%203R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Philip's%20Files\RATE%20APPLICATIONS\RATE%20SETTING%20COS%202014\Revenue%20Reqt\Smartgrid%20calculato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hilip's%20Files/RATE%20APPLICATIONS/RATE%20SETTING%20COS%202014/Z_Factor/Lightningstorm2013Zfactor.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opy%20of%20HSTITC.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ydrow2k7\Executive$\Philip's%20Files\RATE%20APPLICATIONS\RATE%20SETTING%20COS%202014\EXHIBITS\Exhibit%209\Copy%20of%20HSTITC.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ydrow2k7\Executive$\Philip's%20Files\MONTH%20END\2012\Dec12Monthend\LRAMVA%202011%20and%20201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hilip's%20Files/RATE%20APPLICATIONS/RATE%20SETTING%20COS%202014/Revenue%20Reqt/1576%20PPE%20calculator_interi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 Data"/>
      <sheetName val="2011Data"/>
      <sheetName val="Sheet3"/>
    </sheetNames>
    <sheetDataSet>
      <sheetData sheetId="0">
        <row r="31">
          <cell r="B31">
            <v>2326643.6586065181</v>
          </cell>
          <cell r="E31">
            <v>3129725.508936251</v>
          </cell>
          <cell r="G31">
            <v>73823914.984708011</v>
          </cell>
          <cell r="K31">
            <v>0</v>
          </cell>
          <cell r="L31">
            <v>1061783</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cell r="J3" t="str">
            <v>$</v>
          </cell>
        </row>
        <row r="4">
          <cell r="D4" t="str">
            <v>Deferral / Variance Account Rate Rider (GA) – if applicable</v>
          </cell>
          <cell r="J4" t="str">
            <v>$/kWh</v>
          </cell>
        </row>
        <row r="5">
          <cell r="D5" t="str">
            <v>Distribution Volumetric Rate</v>
          </cell>
          <cell r="J5" t="str">
            <v>$/kW</v>
          </cell>
        </row>
        <row r="6">
          <cell r="D6" t="str">
            <v>Distribution Wheeling Service Rate</v>
          </cell>
          <cell r="J6" t="str">
            <v>$/kVA</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art Grid"/>
      <sheetName val="Renew Connect"/>
      <sheetName val="Sheet3"/>
    </sheetNames>
    <sheetDataSet>
      <sheetData sheetId="0">
        <row r="22">
          <cell r="C22">
            <v>49.416666666666664</v>
          </cell>
          <cell r="D22">
            <v>8451.1200000000008</v>
          </cell>
          <cell r="E22">
            <v>17514.968666666668</v>
          </cell>
          <cell r="F22">
            <v>18226.530666666666</v>
          </cell>
        </row>
        <row r="23">
          <cell r="C23">
            <v>-49.416666666666664</v>
          </cell>
          <cell r="D23">
            <v>-8451.1200000000008</v>
          </cell>
          <cell r="E23">
            <v>-17514.968666666668</v>
          </cell>
          <cell r="F23">
            <v>-18226.530666666666</v>
          </cell>
        </row>
      </sheetData>
      <sheetData sheetId="1">
        <row r="6">
          <cell r="C6">
            <v>5636.75</v>
          </cell>
          <cell r="D6">
            <v>1171.8499999999999</v>
          </cell>
          <cell r="E6">
            <v>840.9</v>
          </cell>
        </row>
        <row r="7">
          <cell r="C7">
            <v>7.41</v>
          </cell>
          <cell r="D7">
            <v>48.94</v>
          </cell>
          <cell r="E7">
            <v>110.92</v>
          </cell>
          <cell r="F7">
            <v>112.44</v>
          </cell>
        </row>
        <row r="18">
          <cell r="C18">
            <v>6.2527760746888816E-13</v>
          </cell>
          <cell r="D18">
            <v>12571.66</v>
          </cell>
          <cell r="E18">
            <v>6000</v>
          </cell>
        </row>
        <row r="19">
          <cell r="C19">
            <v>0</v>
          </cell>
          <cell r="D19">
            <v>92.401701000000003</v>
          </cell>
          <cell r="E19">
            <v>228.903402</v>
          </cell>
          <cell r="F19">
            <v>273.00340199999999</v>
          </cell>
        </row>
      </sheetData>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s"/>
      <sheetName val="Summary"/>
      <sheetName val="Interest"/>
    </sheetNames>
    <sheetDataSet>
      <sheetData sheetId="0"/>
      <sheetData sheetId="1">
        <row r="14">
          <cell r="D14">
            <v>55230.29</v>
          </cell>
        </row>
      </sheetData>
      <sheetData sheetId="2">
        <row r="15">
          <cell r="F15">
            <v>608.91394724999986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nalysis"/>
      <sheetName val="2010"/>
      <sheetName val="2011"/>
      <sheetName val="2012"/>
      <sheetName val="Jan-Jul 2013"/>
    </sheetNames>
    <sheetDataSet>
      <sheetData sheetId="0">
        <row r="5">
          <cell r="E5">
            <v>3734.8600000000006</v>
          </cell>
        </row>
      </sheetData>
      <sheetData sheetId="1">
        <row r="28">
          <cell r="B28">
            <v>-2274.8152000000005</v>
          </cell>
          <cell r="C28">
            <v>-11788.03886666666</v>
          </cell>
          <cell r="D28">
            <v>-9574.9919874999978</v>
          </cell>
          <cell r="E28">
            <v>-10818.232746062269</v>
          </cell>
          <cell r="F28">
            <v>-8291.6846947802187</v>
          </cell>
        </row>
        <row r="71">
          <cell r="B71">
            <v>-9.0708256100000035</v>
          </cell>
          <cell r="C71">
            <v>-120.08186910999996</v>
          </cell>
          <cell r="D71">
            <v>-277.10014588812493</v>
          </cell>
          <cell r="E71">
            <v>-426.99034767980754</v>
          </cell>
          <cell r="F71">
            <v>-141.86206021749996</v>
          </cell>
        </row>
      </sheetData>
      <sheetData sheetId="2"/>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nalysis"/>
      <sheetName val="2010"/>
      <sheetName val="2011"/>
      <sheetName val="2012"/>
      <sheetName val="Jan-Jul 2013"/>
    </sheetNames>
    <sheetDataSet>
      <sheetData sheetId="0"/>
      <sheetData sheetId="1">
        <row r="30">
          <cell r="F30"/>
        </row>
      </sheetData>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37">
          <cell r="M37">
            <v>6716.8269666666674</v>
          </cell>
        </row>
        <row r="38">
          <cell r="M38">
            <v>19828.642533333332</v>
          </cell>
        </row>
        <row r="39">
          <cell r="M39">
            <v>390.39523333333335</v>
          </cell>
        </row>
        <row r="48">
          <cell r="I48">
            <v>26935.864733333336</v>
          </cell>
        </row>
      </sheetData>
      <sheetData sheetId="1"/>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22">
          <cell r="E22">
            <v>21557141.010000002</v>
          </cell>
        </row>
        <row r="39">
          <cell r="F39">
            <v>-884319.86665013176</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wormwell@notlhdyro.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V78"/>
  <sheetViews>
    <sheetView workbookViewId="0">
      <selection activeCell="E26" sqref="E26"/>
    </sheetView>
  </sheetViews>
  <sheetFormatPr defaultRowHeight="15" x14ac:dyDescent="0.25"/>
  <cols>
    <col min="1" max="1" width="13.28515625" style="41" customWidth="1"/>
    <col min="2" max="4" width="9.140625" style="41"/>
    <col min="5" max="5" width="9.140625" style="41" customWidth="1"/>
    <col min="6" max="21" width="9.140625" style="41"/>
    <col min="22" max="22" width="0" style="41" hidden="1" customWidth="1"/>
    <col min="23" max="16384" width="9.140625" style="41"/>
  </cols>
  <sheetData>
    <row r="1" spans="2:22" x14ac:dyDescent="0.25">
      <c r="V1" s="125" t="s">
        <v>209</v>
      </c>
    </row>
    <row r="2" spans="2:22" x14ac:dyDescent="0.25">
      <c r="V2" s="125" t="s">
        <v>210</v>
      </c>
    </row>
    <row r="3" spans="2:22" x14ac:dyDescent="0.25">
      <c r="V3" s="125" t="s">
        <v>211</v>
      </c>
    </row>
    <row r="4" spans="2:22" x14ac:dyDescent="0.25">
      <c r="V4" s="125" t="s">
        <v>212</v>
      </c>
    </row>
    <row r="5" spans="2:22" x14ac:dyDescent="0.25">
      <c r="V5" s="125" t="s">
        <v>213</v>
      </c>
    </row>
    <row r="6" spans="2:22" x14ac:dyDescent="0.25">
      <c r="V6" s="125" t="s">
        <v>214</v>
      </c>
    </row>
    <row r="7" spans="2:22" x14ac:dyDescent="0.25">
      <c r="V7" s="125" t="s">
        <v>215</v>
      </c>
    </row>
    <row r="8" spans="2:22" x14ac:dyDescent="0.25">
      <c r="V8" s="125" t="s">
        <v>216</v>
      </c>
    </row>
    <row r="9" spans="2:22" x14ac:dyDescent="0.25">
      <c r="V9" s="125" t="s">
        <v>217</v>
      </c>
    </row>
    <row r="10" spans="2:22" x14ac:dyDescent="0.25">
      <c r="V10" s="125" t="s">
        <v>218</v>
      </c>
    </row>
    <row r="11" spans="2:22" x14ac:dyDescent="0.25">
      <c r="G11" s="42"/>
      <c r="V11" s="125" t="s">
        <v>219</v>
      </c>
    </row>
    <row r="12" spans="2:22" x14ac:dyDescent="0.25">
      <c r="B12" s="43"/>
      <c r="C12" s="43"/>
      <c r="D12" s="43"/>
      <c r="E12" s="43"/>
      <c r="F12" s="43"/>
      <c r="G12" s="42"/>
      <c r="M12" s="44" t="s">
        <v>118</v>
      </c>
      <c r="N12" s="45">
        <v>2.2000000000000002</v>
      </c>
      <c r="V12" s="125" t="s">
        <v>220</v>
      </c>
    </row>
    <row r="13" spans="2:22" ht="15.75" thickBot="1" x14ac:dyDescent="0.3">
      <c r="G13" s="42"/>
      <c r="V13" s="125" t="s">
        <v>221</v>
      </c>
    </row>
    <row r="14" spans="2:22" ht="16.5" customHeight="1" thickTop="1" thickBot="1" x14ac:dyDescent="0.3">
      <c r="E14" s="46" t="s">
        <v>119</v>
      </c>
      <c r="F14" s="223" t="s">
        <v>257</v>
      </c>
      <c r="G14" s="224"/>
      <c r="H14" s="224"/>
      <c r="I14" s="224"/>
      <c r="J14" s="224"/>
      <c r="K14" s="224"/>
      <c r="L14" s="225"/>
      <c r="V14" s="125" t="s">
        <v>222</v>
      </c>
    </row>
    <row r="15" spans="2:22" ht="15.75" thickBot="1" x14ac:dyDescent="0.3">
      <c r="E15" s="47"/>
      <c r="F15" s="48"/>
      <c r="G15" s="49"/>
      <c r="H15" s="48"/>
      <c r="I15" s="48"/>
      <c r="J15" s="48"/>
      <c r="V15" s="125" t="s">
        <v>223</v>
      </c>
    </row>
    <row r="16" spans="2:22" ht="16.5" thickTop="1" thickBot="1" x14ac:dyDescent="0.3">
      <c r="E16" s="50" t="s">
        <v>120</v>
      </c>
      <c r="F16" s="226" t="s">
        <v>296</v>
      </c>
      <c r="G16" s="227"/>
      <c r="H16" s="227"/>
      <c r="I16" s="227"/>
      <c r="J16" s="228"/>
      <c r="V16" s="125" t="s">
        <v>224</v>
      </c>
    </row>
    <row r="17" spans="2:22" ht="15.75" thickBot="1" x14ac:dyDescent="0.3">
      <c r="E17" s="51"/>
      <c r="V17" s="126" t="s">
        <v>225</v>
      </c>
    </row>
    <row r="18" spans="2:22" ht="16.5" thickTop="1" thickBot="1" x14ac:dyDescent="0.3">
      <c r="E18" s="50" t="s">
        <v>121</v>
      </c>
      <c r="F18" s="229" t="s">
        <v>297</v>
      </c>
      <c r="G18" s="230"/>
      <c r="H18" s="230"/>
      <c r="I18" s="230"/>
      <c r="J18" s="231"/>
      <c r="V18" s="125" t="s">
        <v>226</v>
      </c>
    </row>
    <row r="19" spans="2:22" ht="15.75" thickBot="1" x14ac:dyDescent="0.3">
      <c r="E19" s="51"/>
      <c r="V19" s="125" t="s">
        <v>227</v>
      </c>
    </row>
    <row r="20" spans="2:22" ht="16.5" thickTop="1" thickBot="1" x14ac:dyDescent="0.3">
      <c r="E20" s="50" t="s">
        <v>122</v>
      </c>
      <c r="F20" s="229" t="s">
        <v>298</v>
      </c>
      <c r="G20" s="230"/>
      <c r="H20" s="230"/>
      <c r="I20" s="230"/>
      <c r="J20" s="231"/>
      <c r="V20" s="125" t="s">
        <v>228</v>
      </c>
    </row>
    <row r="21" spans="2:22" ht="15.75" thickBot="1" x14ac:dyDescent="0.3">
      <c r="E21" s="52"/>
      <c r="F21" s="48"/>
      <c r="G21" s="49"/>
      <c r="H21" s="48"/>
      <c r="I21" s="48"/>
      <c r="J21" s="48"/>
      <c r="V21" s="125" t="s">
        <v>229</v>
      </c>
    </row>
    <row r="22" spans="2:22" ht="16.5" thickTop="1" thickBot="1" x14ac:dyDescent="0.3">
      <c r="E22" s="46" t="s">
        <v>123</v>
      </c>
      <c r="F22" s="229" t="s">
        <v>299</v>
      </c>
      <c r="G22" s="230"/>
      <c r="H22" s="230"/>
      <c r="I22" s="230"/>
      <c r="J22" s="231"/>
      <c r="V22" s="125" t="s">
        <v>230</v>
      </c>
    </row>
    <row r="23" spans="2:22" ht="15.75" thickBot="1" x14ac:dyDescent="0.3">
      <c r="E23" s="52"/>
      <c r="F23" s="48"/>
      <c r="G23" s="49"/>
      <c r="H23" s="48"/>
      <c r="I23" s="48"/>
      <c r="J23" s="48"/>
      <c r="V23" s="125" t="s">
        <v>231</v>
      </c>
    </row>
    <row r="24" spans="2:22" ht="16.5" thickTop="1" thickBot="1" x14ac:dyDescent="0.3">
      <c r="E24" s="46" t="s">
        <v>124</v>
      </c>
      <c r="F24" s="232" t="s">
        <v>300</v>
      </c>
      <c r="G24" s="233"/>
      <c r="H24" s="233"/>
      <c r="I24" s="233"/>
      <c r="J24" s="234"/>
      <c r="V24" s="125" t="s">
        <v>232</v>
      </c>
    </row>
    <row r="25" spans="2:22" x14ac:dyDescent="0.25">
      <c r="E25" s="52"/>
      <c r="F25" s="48"/>
      <c r="G25" s="49"/>
      <c r="H25" s="48"/>
      <c r="I25" s="48"/>
      <c r="J25" s="48"/>
      <c r="V25" s="125" t="s">
        <v>233</v>
      </c>
    </row>
    <row r="26" spans="2:22" x14ac:dyDescent="0.25">
      <c r="E26" s="46"/>
      <c r="I26" s="48"/>
      <c r="J26" s="48"/>
      <c r="V26" s="125" t="s">
        <v>234</v>
      </c>
    </row>
    <row r="27" spans="2:22" ht="168.75" customHeight="1" x14ac:dyDescent="0.25">
      <c r="B27" s="222" t="s">
        <v>129</v>
      </c>
      <c r="C27" s="222"/>
      <c r="D27" s="222"/>
      <c r="E27" s="222"/>
      <c r="F27" s="222"/>
      <c r="G27" s="222"/>
      <c r="H27" s="222"/>
      <c r="I27" s="222"/>
      <c r="J27" s="222"/>
      <c r="K27" s="222"/>
      <c r="L27" s="222"/>
      <c r="M27" s="222"/>
      <c r="V27" s="125" t="s">
        <v>235</v>
      </c>
    </row>
    <row r="28" spans="2:22" x14ac:dyDescent="0.25">
      <c r="V28" s="125" t="s">
        <v>236</v>
      </c>
    </row>
    <row r="29" spans="2:22" x14ac:dyDescent="0.25">
      <c r="B29" s="53" t="s">
        <v>125</v>
      </c>
      <c r="C29" s="54"/>
      <c r="D29" s="54"/>
      <c r="E29" s="54"/>
      <c r="F29" s="54"/>
      <c r="G29" s="54"/>
      <c r="H29" s="54"/>
      <c r="I29" s="54"/>
      <c r="J29" s="54"/>
      <c r="K29" s="54"/>
      <c r="L29" s="54"/>
      <c r="M29" s="54"/>
      <c r="N29" s="54"/>
      <c r="V29" s="125" t="s">
        <v>237</v>
      </c>
    </row>
    <row r="30" spans="2:22" ht="15.75" thickBot="1" x14ac:dyDescent="0.3">
      <c r="B30" s="54"/>
      <c r="C30" s="54"/>
      <c r="D30" s="54"/>
      <c r="E30" s="54"/>
      <c r="F30" s="54"/>
      <c r="G30" s="54"/>
      <c r="H30" s="54"/>
      <c r="I30" s="54"/>
      <c r="J30" s="54"/>
      <c r="K30" s="54"/>
      <c r="L30" s="54"/>
      <c r="M30" s="54"/>
      <c r="N30" s="54"/>
      <c r="V30" s="125" t="s">
        <v>238</v>
      </c>
    </row>
    <row r="31" spans="2:22" ht="15.75" thickBot="1" x14ac:dyDescent="0.3">
      <c r="B31" s="55"/>
      <c r="C31" s="217" t="s">
        <v>126</v>
      </c>
      <c r="D31" s="217"/>
      <c r="E31" s="217"/>
      <c r="F31" s="217"/>
      <c r="G31" s="217"/>
      <c r="H31" s="217"/>
      <c r="I31" s="217"/>
      <c r="J31" s="217"/>
      <c r="K31" s="217"/>
      <c r="L31" s="217"/>
      <c r="M31" s="54"/>
      <c r="N31" s="54"/>
      <c r="V31" s="125" t="s">
        <v>239</v>
      </c>
    </row>
    <row r="32" spans="2:22" ht="15.75" thickBot="1" x14ac:dyDescent="0.3">
      <c r="B32" s="54"/>
      <c r="C32" s="54"/>
      <c r="D32" s="54"/>
      <c r="E32" s="54"/>
      <c r="F32" s="54"/>
      <c r="G32" s="54"/>
      <c r="H32" s="54"/>
      <c r="I32" s="54"/>
      <c r="J32" s="54"/>
      <c r="K32" s="54"/>
      <c r="L32" s="54"/>
      <c r="M32" s="54"/>
      <c r="N32" s="54"/>
      <c r="V32" s="125" t="s">
        <v>240</v>
      </c>
    </row>
    <row r="33" spans="2:22" ht="15.75" thickBot="1" x14ac:dyDescent="0.3">
      <c r="B33" s="56"/>
      <c r="C33" s="218" t="s">
        <v>127</v>
      </c>
      <c r="D33" s="219"/>
      <c r="E33" s="219"/>
      <c r="F33" s="219"/>
      <c r="G33" s="219"/>
      <c r="H33" s="219"/>
      <c r="I33" s="219"/>
      <c r="J33" s="219"/>
      <c r="K33" s="219"/>
      <c r="L33" s="219"/>
      <c r="M33" s="219"/>
      <c r="N33" s="219"/>
      <c r="V33" s="125" t="s">
        <v>241</v>
      </c>
    </row>
    <row r="34" spans="2:22" ht="15.75" thickBot="1" x14ac:dyDescent="0.3">
      <c r="B34" s="57"/>
      <c r="C34" s="54"/>
      <c r="D34" s="54"/>
      <c r="E34" s="54"/>
      <c r="F34" s="54"/>
      <c r="G34" s="54"/>
      <c r="H34" s="54"/>
      <c r="I34" s="54"/>
      <c r="J34" s="54"/>
      <c r="K34" s="54"/>
      <c r="L34" s="54"/>
      <c r="M34" s="54"/>
      <c r="N34" s="54"/>
      <c r="V34" s="125" t="s">
        <v>242</v>
      </c>
    </row>
    <row r="35" spans="2:22" ht="15.75" thickBot="1" x14ac:dyDescent="0.3">
      <c r="B35" s="58"/>
      <c r="C35" s="220" t="s">
        <v>128</v>
      </c>
      <c r="D35" s="221"/>
      <c r="E35" s="221"/>
      <c r="F35" s="221"/>
      <c r="G35" s="221"/>
      <c r="H35" s="221"/>
      <c r="I35" s="221"/>
      <c r="J35" s="221"/>
      <c r="K35" s="221"/>
      <c r="L35" s="221"/>
      <c r="M35" s="221"/>
      <c r="N35" s="54"/>
      <c r="V35" s="127" t="s">
        <v>243</v>
      </c>
    </row>
    <row r="36" spans="2:22" x14ac:dyDescent="0.25">
      <c r="B36" s="54"/>
      <c r="C36" s="54"/>
      <c r="D36" s="54"/>
      <c r="E36" s="54"/>
      <c r="F36" s="54"/>
      <c r="G36" s="54"/>
      <c r="H36" s="54"/>
      <c r="I36" s="54"/>
      <c r="J36" s="54"/>
      <c r="K36" s="54"/>
      <c r="L36" s="54"/>
      <c r="M36" s="54"/>
      <c r="N36" s="54"/>
      <c r="V36" s="125" t="s">
        <v>244</v>
      </c>
    </row>
    <row r="37" spans="2:22" x14ac:dyDescent="0.25">
      <c r="V37" s="125" t="s">
        <v>245</v>
      </c>
    </row>
    <row r="38" spans="2:22" x14ac:dyDescent="0.25">
      <c r="V38" s="125" t="s">
        <v>246</v>
      </c>
    </row>
    <row r="39" spans="2:22" x14ac:dyDescent="0.25">
      <c r="V39" s="125" t="s">
        <v>247</v>
      </c>
    </row>
    <row r="40" spans="2:22" x14ac:dyDescent="0.25">
      <c r="V40" s="125" t="s">
        <v>248</v>
      </c>
    </row>
    <row r="41" spans="2:22" x14ac:dyDescent="0.25">
      <c r="V41" s="125" t="s">
        <v>249</v>
      </c>
    </row>
    <row r="42" spans="2:22" x14ac:dyDescent="0.25">
      <c r="V42" s="125" t="s">
        <v>250</v>
      </c>
    </row>
    <row r="43" spans="2:22" x14ac:dyDescent="0.25">
      <c r="V43" s="125" t="s">
        <v>251</v>
      </c>
    </row>
    <row r="44" spans="2:22" x14ac:dyDescent="0.25">
      <c r="V44" s="125" t="s">
        <v>252</v>
      </c>
    </row>
    <row r="45" spans="2:22" x14ac:dyDescent="0.25">
      <c r="V45" s="125" t="s">
        <v>253</v>
      </c>
    </row>
    <row r="46" spans="2:22" x14ac:dyDescent="0.25">
      <c r="V46" s="125" t="s">
        <v>254</v>
      </c>
    </row>
    <row r="47" spans="2:22" x14ac:dyDescent="0.25">
      <c r="V47" s="125" t="s">
        <v>255</v>
      </c>
    </row>
    <row r="48" spans="2:22" x14ac:dyDescent="0.25">
      <c r="V48" s="125" t="s">
        <v>256</v>
      </c>
    </row>
    <row r="49" spans="22:22" x14ac:dyDescent="0.25">
      <c r="V49" s="125" t="s">
        <v>257</v>
      </c>
    </row>
    <row r="50" spans="22:22" x14ac:dyDescent="0.25">
      <c r="V50" s="125" t="s">
        <v>258</v>
      </c>
    </row>
    <row r="51" spans="22:22" x14ac:dyDescent="0.25">
      <c r="V51" s="125" t="s">
        <v>259</v>
      </c>
    </row>
    <row r="52" spans="22:22" x14ac:dyDescent="0.25">
      <c r="V52" s="125" t="s">
        <v>260</v>
      </c>
    </row>
    <row r="53" spans="22:22" x14ac:dyDescent="0.25">
      <c r="V53" s="125" t="s">
        <v>261</v>
      </c>
    </row>
    <row r="54" spans="22:22" x14ac:dyDescent="0.25">
      <c r="V54" s="125" t="s">
        <v>262</v>
      </c>
    </row>
    <row r="55" spans="22:22" x14ac:dyDescent="0.25">
      <c r="V55" s="125" t="s">
        <v>263</v>
      </c>
    </row>
    <row r="56" spans="22:22" x14ac:dyDescent="0.25">
      <c r="V56" s="125" t="s">
        <v>264</v>
      </c>
    </row>
    <row r="57" spans="22:22" x14ac:dyDescent="0.25">
      <c r="V57" s="125" t="s">
        <v>265</v>
      </c>
    </row>
    <row r="58" spans="22:22" x14ac:dyDescent="0.25">
      <c r="V58" s="125" t="s">
        <v>266</v>
      </c>
    </row>
    <row r="59" spans="22:22" x14ac:dyDescent="0.25">
      <c r="V59" s="125" t="s">
        <v>267</v>
      </c>
    </row>
    <row r="60" spans="22:22" x14ac:dyDescent="0.25">
      <c r="V60" s="125" t="s">
        <v>268</v>
      </c>
    </row>
    <row r="61" spans="22:22" x14ac:dyDescent="0.25">
      <c r="V61" s="125" t="s">
        <v>269</v>
      </c>
    </row>
    <row r="62" spans="22:22" x14ac:dyDescent="0.25">
      <c r="V62" s="125" t="s">
        <v>270</v>
      </c>
    </row>
    <row r="63" spans="22:22" x14ac:dyDescent="0.25">
      <c r="V63" s="125" t="s">
        <v>271</v>
      </c>
    </row>
    <row r="64" spans="22:22" x14ac:dyDescent="0.25">
      <c r="V64" s="125" t="s">
        <v>272</v>
      </c>
    </row>
    <row r="65" spans="22:22" x14ac:dyDescent="0.25">
      <c r="V65" s="125" t="s">
        <v>273</v>
      </c>
    </row>
    <row r="66" spans="22:22" x14ac:dyDescent="0.25">
      <c r="V66" s="125" t="s">
        <v>274</v>
      </c>
    </row>
    <row r="67" spans="22:22" x14ac:dyDescent="0.25">
      <c r="V67" s="125" t="s">
        <v>275</v>
      </c>
    </row>
    <row r="68" spans="22:22" x14ac:dyDescent="0.25">
      <c r="V68" s="125" t="s">
        <v>276</v>
      </c>
    </row>
    <row r="69" spans="22:22" x14ac:dyDescent="0.25">
      <c r="V69" s="125" t="s">
        <v>277</v>
      </c>
    </row>
    <row r="70" spans="22:22" x14ac:dyDescent="0.25">
      <c r="V70" s="125" t="s">
        <v>278</v>
      </c>
    </row>
    <row r="71" spans="22:22" x14ac:dyDescent="0.25">
      <c r="V71" s="125" t="s">
        <v>279</v>
      </c>
    </row>
    <row r="72" spans="22:22" x14ac:dyDescent="0.25">
      <c r="V72" s="125" t="s">
        <v>280</v>
      </c>
    </row>
    <row r="73" spans="22:22" x14ac:dyDescent="0.25">
      <c r="V73" s="125" t="s">
        <v>281</v>
      </c>
    </row>
    <row r="74" spans="22:22" x14ac:dyDescent="0.25">
      <c r="V74" s="125" t="s">
        <v>282</v>
      </c>
    </row>
    <row r="75" spans="22:22" x14ac:dyDescent="0.25">
      <c r="V75" s="125" t="s">
        <v>283</v>
      </c>
    </row>
    <row r="76" spans="22:22" x14ac:dyDescent="0.25">
      <c r="V76" s="125" t="s">
        <v>284</v>
      </c>
    </row>
    <row r="77" spans="22:22" x14ac:dyDescent="0.25">
      <c r="V77" s="125" t="s">
        <v>285</v>
      </c>
    </row>
    <row r="78" spans="22:22" x14ac:dyDescent="0.25">
      <c r="V78" s="125" t="s">
        <v>286</v>
      </c>
    </row>
  </sheetData>
  <mergeCells count="10">
    <mergeCell ref="C31:L31"/>
    <mergeCell ref="C33:N33"/>
    <mergeCell ref="C35:M35"/>
    <mergeCell ref="B27:M27"/>
    <mergeCell ref="F14:L14"/>
    <mergeCell ref="F16:J16"/>
    <mergeCell ref="F18:J18"/>
    <mergeCell ref="F20:J20"/>
    <mergeCell ref="F22:J22"/>
    <mergeCell ref="F24:J24"/>
  </mergeCells>
  <dataValidations count="2">
    <dataValidation allowBlank="1" showInputMessage="1" showErrorMessage="1" prompt="First and last name, title" sqref="F20:J20"/>
    <dataValidation type="list" allowBlank="1" showInputMessage="1" showErrorMessage="1" sqref="F14:L14">
      <formula1>$V$1:$V$78</formula1>
    </dataValidation>
  </dataValidations>
  <hyperlinks>
    <hyperlink ref="F24" r:id="rId1"/>
  </hyperlinks>
  <pageMargins left="0.25" right="0.25" top="0.75" bottom="0.75" header="0.3" footer="0.3"/>
  <pageSetup scale="65" orientation="landscape" r:id="rId2"/>
  <rowBreaks count="1" manualBreakCount="1">
    <brk id="41"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8:CR108"/>
  <sheetViews>
    <sheetView zoomScale="75" zoomScaleNormal="75" workbookViewId="0">
      <pane xSplit="4" ySplit="22" topLeftCell="CC44" activePane="bottomRight" state="frozen"/>
      <selection pane="topRight" activeCell="E1" sqref="E1"/>
      <selection pane="bottomLeft" activeCell="A23" sqref="A23"/>
      <selection pane="bottomRight" activeCell="CP72" sqref="CP72"/>
    </sheetView>
  </sheetViews>
  <sheetFormatPr defaultRowHeight="12.75" x14ac:dyDescent="0.2"/>
  <cols>
    <col min="1" max="1" width="9.140625" style="1" customWidth="1"/>
    <col min="2" max="2" width="2.85546875" style="1" bestFit="1" customWidth="1"/>
    <col min="3" max="3" width="86.42578125" style="1" customWidth="1"/>
    <col min="4" max="4" width="9.7109375" style="1" customWidth="1"/>
    <col min="5" max="5" width="16.140625" style="128" customWidth="1"/>
    <col min="6" max="6" width="23.140625" style="128" customWidth="1"/>
    <col min="7" max="8" width="18.42578125" style="128" customWidth="1"/>
    <col min="9" max="9" width="17.7109375" style="128" customWidth="1"/>
    <col min="10" max="10" width="14.140625" style="128" customWidth="1"/>
    <col min="11" max="13" width="14.85546875" style="128" customWidth="1"/>
    <col min="14" max="14" width="15.42578125" style="128" customWidth="1"/>
    <col min="15" max="15" width="16.140625" style="128" customWidth="1"/>
    <col min="16" max="16" width="23.140625" style="128" customWidth="1"/>
    <col min="17" max="18" width="18.42578125" style="128" customWidth="1"/>
    <col min="19" max="19" width="14.7109375" style="128" customWidth="1"/>
    <col min="20" max="20" width="14.140625" style="128" customWidth="1"/>
    <col min="21" max="23" width="14.85546875" style="128" customWidth="1"/>
    <col min="24" max="24" width="15.42578125" style="128" customWidth="1"/>
    <col min="25" max="25" width="16.140625" style="128" customWidth="1"/>
    <col min="26" max="26" width="23.140625" style="128" customWidth="1"/>
    <col min="27" max="28" width="18.42578125" style="128" customWidth="1"/>
    <col min="29" max="29" width="14.7109375" style="128" customWidth="1"/>
    <col min="30" max="30" width="14.140625" style="128" customWidth="1"/>
    <col min="31" max="33" width="14.85546875" style="128" customWidth="1"/>
    <col min="34" max="34" width="15.42578125" style="128" customWidth="1"/>
    <col min="35" max="35" width="16.140625" style="128" customWidth="1"/>
    <col min="36" max="36" width="23.140625" style="128" customWidth="1"/>
    <col min="37" max="38" width="18.42578125" style="128" customWidth="1"/>
    <col min="39" max="39" width="14.7109375" style="128" customWidth="1"/>
    <col min="40" max="40" width="14.140625" style="128" customWidth="1"/>
    <col min="41" max="43" width="14.85546875" style="128" customWidth="1"/>
    <col min="44" max="44" width="15.42578125" style="128" customWidth="1"/>
    <col min="45" max="45" width="16.140625" style="128" customWidth="1"/>
    <col min="46" max="46" width="23.140625" style="128" customWidth="1"/>
    <col min="47" max="48" width="18.42578125" style="128" customWidth="1"/>
    <col min="49" max="49" width="14.7109375" style="128" customWidth="1"/>
    <col min="50" max="50" width="14.140625" style="128" customWidth="1"/>
    <col min="51" max="53" width="14.85546875" style="128" customWidth="1"/>
    <col min="54" max="54" width="15.42578125" style="128" customWidth="1"/>
    <col min="55" max="55" width="16.140625" style="128" customWidth="1"/>
    <col min="56" max="56" width="23.140625" style="128" customWidth="1"/>
    <col min="57" max="58" width="18.42578125" style="128" customWidth="1"/>
    <col min="59" max="59" width="14.7109375" style="128" customWidth="1"/>
    <col min="60" max="60" width="14.140625" style="128" customWidth="1"/>
    <col min="61" max="63" width="14.85546875" style="128" customWidth="1"/>
    <col min="64" max="64" width="15.42578125" style="128" customWidth="1"/>
    <col min="65" max="65" width="16.140625" style="128" customWidth="1"/>
    <col min="66" max="66" width="23.140625" style="128" customWidth="1"/>
    <col min="67" max="68" width="18.42578125" style="128" customWidth="1"/>
    <col min="69" max="69" width="14.7109375" style="128" customWidth="1"/>
    <col min="70" max="70" width="14.140625" style="128" customWidth="1"/>
    <col min="71" max="73" width="14.85546875" style="128" customWidth="1"/>
    <col min="74" max="74" width="15.42578125" style="128" customWidth="1"/>
    <col min="75" max="75" width="16.140625" style="128" customWidth="1"/>
    <col min="76" max="76" width="23.140625" style="128" customWidth="1"/>
    <col min="77" max="81" width="18.42578125" style="128" customWidth="1"/>
    <col min="82" max="82" width="14.7109375" style="128" customWidth="1"/>
    <col min="83" max="83" width="14.140625" style="128" customWidth="1"/>
    <col min="84" max="86" width="14.85546875" style="128" customWidth="1"/>
    <col min="87" max="87" width="15.42578125" style="128" customWidth="1"/>
    <col min="88" max="89" width="14.85546875" style="128" customWidth="1"/>
    <col min="90" max="90" width="16.85546875" style="128" customWidth="1"/>
    <col min="91" max="91" width="17.28515625" style="128" customWidth="1"/>
    <col min="92" max="93" width="26.85546875" style="128" customWidth="1"/>
    <col min="94" max="94" width="22.28515625" style="128" bestFit="1" customWidth="1"/>
    <col min="95" max="95" width="22.42578125" style="128" bestFit="1" customWidth="1"/>
    <col min="96" max="96" width="19.85546875" style="128" customWidth="1"/>
    <col min="97" max="16384" width="9.140625" style="1"/>
  </cols>
  <sheetData>
    <row r="18" spans="1:96" ht="15.75" thickBot="1" x14ac:dyDescent="0.35">
      <c r="C18" s="3"/>
    </row>
    <row r="19" spans="1:96" s="198" customFormat="1" ht="29.25" thickBot="1" x14ac:dyDescent="0.5">
      <c r="C19" s="199"/>
      <c r="D19" s="200"/>
      <c r="E19" s="255">
        <v>2005</v>
      </c>
      <c r="F19" s="256"/>
      <c r="G19" s="256"/>
      <c r="H19" s="256"/>
      <c r="I19" s="256"/>
      <c r="J19" s="256"/>
      <c r="K19" s="256"/>
      <c r="L19" s="256"/>
      <c r="M19" s="256"/>
      <c r="N19" s="257"/>
      <c r="O19" s="255">
        <v>2006</v>
      </c>
      <c r="P19" s="256"/>
      <c r="Q19" s="256"/>
      <c r="R19" s="256"/>
      <c r="S19" s="256"/>
      <c r="T19" s="256"/>
      <c r="U19" s="256"/>
      <c r="V19" s="256"/>
      <c r="W19" s="256"/>
      <c r="X19" s="257"/>
      <c r="Y19" s="255">
        <v>2007</v>
      </c>
      <c r="Z19" s="256"/>
      <c r="AA19" s="256"/>
      <c r="AB19" s="256"/>
      <c r="AC19" s="256"/>
      <c r="AD19" s="256"/>
      <c r="AE19" s="256"/>
      <c r="AF19" s="256"/>
      <c r="AG19" s="256"/>
      <c r="AH19" s="257"/>
      <c r="AI19" s="255">
        <v>2008</v>
      </c>
      <c r="AJ19" s="256"/>
      <c r="AK19" s="256"/>
      <c r="AL19" s="256"/>
      <c r="AM19" s="256"/>
      <c r="AN19" s="256"/>
      <c r="AO19" s="256"/>
      <c r="AP19" s="256"/>
      <c r="AQ19" s="256"/>
      <c r="AR19" s="257"/>
      <c r="AS19" s="255">
        <v>2009</v>
      </c>
      <c r="AT19" s="256"/>
      <c r="AU19" s="256"/>
      <c r="AV19" s="256"/>
      <c r="AW19" s="256"/>
      <c r="AX19" s="256"/>
      <c r="AY19" s="256"/>
      <c r="AZ19" s="256"/>
      <c r="BA19" s="256"/>
      <c r="BB19" s="257"/>
      <c r="BC19" s="255">
        <v>2010</v>
      </c>
      <c r="BD19" s="256"/>
      <c r="BE19" s="256"/>
      <c r="BF19" s="256"/>
      <c r="BG19" s="256"/>
      <c r="BH19" s="256"/>
      <c r="BI19" s="256"/>
      <c r="BJ19" s="256"/>
      <c r="BK19" s="256"/>
      <c r="BL19" s="257"/>
      <c r="BM19" s="255">
        <v>2011</v>
      </c>
      <c r="BN19" s="256"/>
      <c r="BO19" s="256"/>
      <c r="BP19" s="256"/>
      <c r="BQ19" s="256"/>
      <c r="BR19" s="256"/>
      <c r="BS19" s="256"/>
      <c r="BT19" s="256"/>
      <c r="BU19" s="256"/>
      <c r="BV19" s="257"/>
      <c r="BW19" s="255">
        <v>2012</v>
      </c>
      <c r="BX19" s="256"/>
      <c r="BY19" s="256"/>
      <c r="BZ19" s="256"/>
      <c r="CA19" s="256"/>
      <c r="CB19" s="256"/>
      <c r="CC19" s="256"/>
      <c r="CD19" s="256"/>
      <c r="CE19" s="256"/>
      <c r="CF19" s="256"/>
      <c r="CG19" s="256"/>
      <c r="CH19" s="256"/>
      <c r="CI19" s="257"/>
      <c r="CJ19" s="255">
        <v>2013</v>
      </c>
      <c r="CK19" s="256"/>
      <c r="CL19" s="256"/>
      <c r="CM19" s="257"/>
      <c r="CN19" s="252" t="s">
        <v>191</v>
      </c>
      <c r="CO19" s="253"/>
      <c r="CP19" s="254"/>
      <c r="CQ19" s="201" t="s">
        <v>49</v>
      </c>
      <c r="CR19" s="202"/>
    </row>
    <row r="20" spans="1:96" ht="14.25" customHeight="1" x14ac:dyDescent="0.2">
      <c r="C20" s="261" t="s">
        <v>40</v>
      </c>
      <c r="D20" s="264" t="s">
        <v>0</v>
      </c>
      <c r="E20" s="244" t="s">
        <v>73</v>
      </c>
      <c r="F20" s="238" t="s">
        <v>98</v>
      </c>
      <c r="G20" s="238" t="s">
        <v>51</v>
      </c>
      <c r="H20" s="238" t="s">
        <v>91</v>
      </c>
      <c r="I20" s="238" t="s">
        <v>10</v>
      </c>
      <c r="J20" s="238" t="s">
        <v>8</v>
      </c>
      <c r="K20" s="238" t="s">
        <v>42</v>
      </c>
      <c r="L20" s="238" t="s">
        <v>51</v>
      </c>
      <c r="M20" s="238" t="s">
        <v>91</v>
      </c>
      <c r="N20" s="241" t="s">
        <v>9</v>
      </c>
      <c r="O20" s="244" t="s">
        <v>74</v>
      </c>
      <c r="P20" s="238" t="s">
        <v>99</v>
      </c>
      <c r="Q20" s="238" t="s">
        <v>89</v>
      </c>
      <c r="R20" s="238" t="s">
        <v>92</v>
      </c>
      <c r="S20" s="238" t="s">
        <v>11</v>
      </c>
      <c r="T20" s="238" t="s">
        <v>12</v>
      </c>
      <c r="U20" s="238" t="s">
        <v>43</v>
      </c>
      <c r="V20" s="238" t="s">
        <v>89</v>
      </c>
      <c r="W20" s="238" t="s">
        <v>92</v>
      </c>
      <c r="X20" s="241" t="s">
        <v>13</v>
      </c>
      <c r="Y20" s="244" t="s">
        <v>75</v>
      </c>
      <c r="Z20" s="238" t="s">
        <v>100</v>
      </c>
      <c r="AA20" s="238" t="s">
        <v>52</v>
      </c>
      <c r="AB20" s="238" t="s">
        <v>93</v>
      </c>
      <c r="AC20" s="238" t="s">
        <v>23</v>
      </c>
      <c r="AD20" s="238" t="s">
        <v>25</v>
      </c>
      <c r="AE20" s="238" t="s">
        <v>44</v>
      </c>
      <c r="AF20" s="238" t="s">
        <v>52</v>
      </c>
      <c r="AG20" s="238" t="s">
        <v>93</v>
      </c>
      <c r="AH20" s="241" t="s">
        <v>24</v>
      </c>
      <c r="AI20" s="244" t="s">
        <v>76</v>
      </c>
      <c r="AJ20" s="238" t="s">
        <v>101</v>
      </c>
      <c r="AK20" s="238" t="s">
        <v>53</v>
      </c>
      <c r="AL20" s="238" t="s">
        <v>94</v>
      </c>
      <c r="AM20" s="238" t="s">
        <v>26</v>
      </c>
      <c r="AN20" s="238" t="s">
        <v>27</v>
      </c>
      <c r="AO20" s="238" t="s">
        <v>45</v>
      </c>
      <c r="AP20" s="238" t="s">
        <v>53</v>
      </c>
      <c r="AQ20" s="238" t="s">
        <v>94</v>
      </c>
      <c r="AR20" s="241" t="s">
        <v>28</v>
      </c>
      <c r="AS20" s="244" t="s">
        <v>77</v>
      </c>
      <c r="AT20" s="238" t="s">
        <v>102</v>
      </c>
      <c r="AU20" s="238" t="s">
        <v>54</v>
      </c>
      <c r="AV20" s="238" t="s">
        <v>95</v>
      </c>
      <c r="AW20" s="238" t="s">
        <v>29</v>
      </c>
      <c r="AX20" s="238" t="s">
        <v>30</v>
      </c>
      <c r="AY20" s="238" t="s">
        <v>46</v>
      </c>
      <c r="AZ20" s="238" t="s">
        <v>54</v>
      </c>
      <c r="BA20" s="238" t="s">
        <v>95</v>
      </c>
      <c r="BB20" s="241" t="s">
        <v>31</v>
      </c>
      <c r="BC20" s="244" t="s">
        <v>78</v>
      </c>
      <c r="BD20" s="238" t="s">
        <v>103</v>
      </c>
      <c r="BE20" s="238" t="s">
        <v>55</v>
      </c>
      <c r="BF20" s="238" t="s">
        <v>96</v>
      </c>
      <c r="BG20" s="238" t="s">
        <v>36</v>
      </c>
      <c r="BH20" s="238" t="s">
        <v>37</v>
      </c>
      <c r="BI20" s="238" t="s">
        <v>47</v>
      </c>
      <c r="BJ20" s="238" t="s">
        <v>55</v>
      </c>
      <c r="BK20" s="238" t="s">
        <v>96</v>
      </c>
      <c r="BL20" s="241" t="s">
        <v>38</v>
      </c>
      <c r="BM20" s="244" t="s">
        <v>80</v>
      </c>
      <c r="BN20" s="238" t="s">
        <v>104</v>
      </c>
      <c r="BO20" s="238" t="s">
        <v>81</v>
      </c>
      <c r="BP20" s="238" t="s">
        <v>96</v>
      </c>
      <c r="BQ20" s="238" t="s">
        <v>82</v>
      </c>
      <c r="BR20" s="238" t="s">
        <v>83</v>
      </c>
      <c r="BS20" s="238" t="s">
        <v>84</v>
      </c>
      <c r="BT20" s="238" t="s">
        <v>81</v>
      </c>
      <c r="BU20" s="238" t="s">
        <v>97</v>
      </c>
      <c r="BV20" s="241" t="s">
        <v>85</v>
      </c>
      <c r="BW20" s="244" t="s">
        <v>173</v>
      </c>
      <c r="BX20" s="238" t="s">
        <v>174</v>
      </c>
      <c r="BY20" s="238" t="s">
        <v>175</v>
      </c>
      <c r="BZ20" s="238" t="s">
        <v>176</v>
      </c>
      <c r="CA20" s="238" t="s">
        <v>177</v>
      </c>
      <c r="CB20" s="238" t="s">
        <v>178</v>
      </c>
      <c r="CC20" s="238" t="s">
        <v>179</v>
      </c>
      <c r="CD20" s="238" t="s">
        <v>180</v>
      </c>
      <c r="CE20" s="238" t="s">
        <v>181</v>
      </c>
      <c r="CF20" s="238" t="s">
        <v>182</v>
      </c>
      <c r="CG20" s="238" t="s">
        <v>175</v>
      </c>
      <c r="CH20" s="238" t="s">
        <v>183</v>
      </c>
      <c r="CI20" s="241" t="s">
        <v>184</v>
      </c>
      <c r="CJ20" s="238" t="s">
        <v>185</v>
      </c>
      <c r="CK20" s="238" t="s">
        <v>186</v>
      </c>
      <c r="CL20" s="235" t="s">
        <v>187</v>
      </c>
      <c r="CM20" s="235" t="s">
        <v>188</v>
      </c>
      <c r="CN20" s="244" t="s">
        <v>189</v>
      </c>
      <c r="CO20" s="238" t="s">
        <v>190</v>
      </c>
      <c r="CP20" s="241" t="s">
        <v>48</v>
      </c>
      <c r="CQ20" s="249" t="s">
        <v>192</v>
      </c>
      <c r="CR20" s="241" t="s">
        <v>193</v>
      </c>
    </row>
    <row r="21" spans="1:96" ht="24.75" customHeight="1" x14ac:dyDescent="0.2">
      <c r="C21" s="262"/>
      <c r="D21" s="265"/>
      <c r="E21" s="245"/>
      <c r="F21" s="247"/>
      <c r="G21" s="239"/>
      <c r="H21" s="239"/>
      <c r="I21" s="239"/>
      <c r="J21" s="247"/>
      <c r="K21" s="239"/>
      <c r="L21" s="239"/>
      <c r="M21" s="239"/>
      <c r="N21" s="242"/>
      <c r="O21" s="245"/>
      <c r="P21" s="247"/>
      <c r="Q21" s="239"/>
      <c r="R21" s="239"/>
      <c r="S21" s="239"/>
      <c r="T21" s="247"/>
      <c r="U21" s="239"/>
      <c r="V21" s="239"/>
      <c r="W21" s="239"/>
      <c r="X21" s="242"/>
      <c r="Y21" s="245"/>
      <c r="Z21" s="247"/>
      <c r="AA21" s="239"/>
      <c r="AB21" s="239"/>
      <c r="AC21" s="239"/>
      <c r="AD21" s="247"/>
      <c r="AE21" s="239"/>
      <c r="AF21" s="239"/>
      <c r="AG21" s="239"/>
      <c r="AH21" s="242"/>
      <c r="AI21" s="245"/>
      <c r="AJ21" s="247"/>
      <c r="AK21" s="239"/>
      <c r="AL21" s="239"/>
      <c r="AM21" s="239"/>
      <c r="AN21" s="247"/>
      <c r="AO21" s="239"/>
      <c r="AP21" s="239"/>
      <c r="AQ21" s="239"/>
      <c r="AR21" s="242"/>
      <c r="AS21" s="245"/>
      <c r="AT21" s="247"/>
      <c r="AU21" s="239"/>
      <c r="AV21" s="239"/>
      <c r="AW21" s="239"/>
      <c r="AX21" s="247"/>
      <c r="AY21" s="239"/>
      <c r="AZ21" s="239"/>
      <c r="BA21" s="239"/>
      <c r="BB21" s="242"/>
      <c r="BC21" s="245"/>
      <c r="BD21" s="247"/>
      <c r="BE21" s="239"/>
      <c r="BF21" s="239"/>
      <c r="BG21" s="239"/>
      <c r="BH21" s="247"/>
      <c r="BI21" s="239"/>
      <c r="BJ21" s="239"/>
      <c r="BK21" s="239"/>
      <c r="BL21" s="242"/>
      <c r="BM21" s="245"/>
      <c r="BN21" s="247"/>
      <c r="BO21" s="239"/>
      <c r="BP21" s="239"/>
      <c r="BQ21" s="239"/>
      <c r="BR21" s="247"/>
      <c r="BS21" s="239"/>
      <c r="BT21" s="239"/>
      <c r="BU21" s="239"/>
      <c r="BV21" s="242"/>
      <c r="BW21" s="245"/>
      <c r="BX21" s="247"/>
      <c r="BY21" s="239"/>
      <c r="BZ21" s="239"/>
      <c r="CA21" s="239"/>
      <c r="CB21" s="239"/>
      <c r="CC21" s="239"/>
      <c r="CD21" s="239"/>
      <c r="CE21" s="247"/>
      <c r="CF21" s="239"/>
      <c r="CG21" s="239"/>
      <c r="CH21" s="239"/>
      <c r="CI21" s="242"/>
      <c r="CJ21" s="239"/>
      <c r="CK21" s="239"/>
      <c r="CL21" s="236"/>
      <c r="CM21" s="236"/>
      <c r="CN21" s="245"/>
      <c r="CO21" s="247"/>
      <c r="CP21" s="242"/>
      <c r="CQ21" s="250"/>
      <c r="CR21" s="242"/>
    </row>
    <row r="22" spans="1:96" ht="36.75" customHeight="1" thickBot="1" x14ac:dyDescent="0.25">
      <c r="B22" s="21"/>
      <c r="C22" s="263"/>
      <c r="D22" s="266"/>
      <c r="E22" s="246"/>
      <c r="F22" s="248"/>
      <c r="G22" s="240"/>
      <c r="H22" s="240"/>
      <c r="I22" s="240"/>
      <c r="J22" s="248"/>
      <c r="K22" s="240"/>
      <c r="L22" s="240"/>
      <c r="M22" s="240"/>
      <c r="N22" s="243"/>
      <c r="O22" s="246"/>
      <c r="P22" s="248"/>
      <c r="Q22" s="240"/>
      <c r="R22" s="240"/>
      <c r="S22" s="240"/>
      <c r="T22" s="248"/>
      <c r="U22" s="240"/>
      <c r="V22" s="240"/>
      <c r="W22" s="240"/>
      <c r="X22" s="243"/>
      <c r="Y22" s="246"/>
      <c r="Z22" s="248"/>
      <c r="AA22" s="240"/>
      <c r="AB22" s="240"/>
      <c r="AC22" s="240"/>
      <c r="AD22" s="248"/>
      <c r="AE22" s="240"/>
      <c r="AF22" s="240"/>
      <c r="AG22" s="240"/>
      <c r="AH22" s="243"/>
      <c r="AI22" s="246"/>
      <c r="AJ22" s="248"/>
      <c r="AK22" s="240"/>
      <c r="AL22" s="240"/>
      <c r="AM22" s="240"/>
      <c r="AN22" s="248"/>
      <c r="AO22" s="240"/>
      <c r="AP22" s="240"/>
      <c r="AQ22" s="240"/>
      <c r="AR22" s="243"/>
      <c r="AS22" s="246"/>
      <c r="AT22" s="248"/>
      <c r="AU22" s="240"/>
      <c r="AV22" s="240"/>
      <c r="AW22" s="240"/>
      <c r="AX22" s="248"/>
      <c r="AY22" s="240"/>
      <c r="AZ22" s="240"/>
      <c r="BA22" s="240"/>
      <c r="BB22" s="243"/>
      <c r="BC22" s="246"/>
      <c r="BD22" s="248"/>
      <c r="BE22" s="240"/>
      <c r="BF22" s="240"/>
      <c r="BG22" s="240"/>
      <c r="BH22" s="248"/>
      <c r="BI22" s="240"/>
      <c r="BJ22" s="240"/>
      <c r="BK22" s="240"/>
      <c r="BL22" s="243"/>
      <c r="BM22" s="246"/>
      <c r="BN22" s="248"/>
      <c r="BO22" s="240"/>
      <c r="BP22" s="240"/>
      <c r="BQ22" s="240"/>
      <c r="BR22" s="248"/>
      <c r="BS22" s="240"/>
      <c r="BT22" s="240"/>
      <c r="BU22" s="240"/>
      <c r="BV22" s="243"/>
      <c r="BW22" s="246"/>
      <c r="BX22" s="248"/>
      <c r="BY22" s="240"/>
      <c r="BZ22" s="240"/>
      <c r="CA22" s="240"/>
      <c r="CB22" s="240"/>
      <c r="CC22" s="240"/>
      <c r="CD22" s="240"/>
      <c r="CE22" s="248"/>
      <c r="CF22" s="240"/>
      <c r="CG22" s="240"/>
      <c r="CH22" s="240"/>
      <c r="CI22" s="243"/>
      <c r="CJ22" s="240"/>
      <c r="CK22" s="240"/>
      <c r="CL22" s="237"/>
      <c r="CM22" s="237"/>
      <c r="CN22" s="246"/>
      <c r="CO22" s="248"/>
      <c r="CP22" s="243" t="s">
        <v>22</v>
      </c>
      <c r="CQ22" s="251"/>
      <c r="CR22" s="243"/>
    </row>
    <row r="23" spans="1:96" ht="33.75" customHeight="1" thickBot="1" x14ac:dyDescent="0.25">
      <c r="C23" s="59" t="s">
        <v>60</v>
      </c>
      <c r="D23" s="5"/>
      <c r="E23" s="129"/>
      <c r="F23" s="130"/>
      <c r="G23" s="131"/>
      <c r="H23" s="131"/>
      <c r="I23" s="131"/>
      <c r="J23" s="131"/>
      <c r="K23" s="131"/>
      <c r="L23" s="131"/>
      <c r="M23" s="131"/>
      <c r="N23" s="132"/>
      <c r="O23" s="129"/>
      <c r="P23" s="130"/>
      <c r="Q23" s="131"/>
      <c r="R23" s="131"/>
      <c r="S23" s="131"/>
      <c r="T23" s="131"/>
      <c r="U23" s="131"/>
      <c r="V23" s="131"/>
      <c r="W23" s="131"/>
      <c r="X23" s="132"/>
      <c r="Y23" s="129"/>
      <c r="Z23" s="130"/>
      <c r="AA23" s="131"/>
      <c r="AB23" s="131"/>
      <c r="AC23" s="131"/>
      <c r="AD23" s="131"/>
      <c r="AE23" s="131"/>
      <c r="AF23" s="131"/>
      <c r="AG23" s="131"/>
      <c r="AH23" s="132"/>
      <c r="AI23" s="129"/>
      <c r="AJ23" s="130"/>
      <c r="AK23" s="131"/>
      <c r="AL23" s="131"/>
      <c r="AM23" s="131"/>
      <c r="AN23" s="131"/>
      <c r="AO23" s="131"/>
      <c r="AP23" s="131"/>
      <c r="AQ23" s="131"/>
      <c r="AR23" s="132"/>
      <c r="AS23" s="129"/>
      <c r="AT23" s="130"/>
      <c r="AU23" s="131"/>
      <c r="AV23" s="131"/>
      <c r="AW23" s="131"/>
      <c r="AX23" s="131"/>
      <c r="AY23" s="131"/>
      <c r="AZ23" s="131"/>
      <c r="BA23" s="131"/>
      <c r="BB23" s="132"/>
      <c r="BC23" s="129"/>
      <c r="BD23" s="130"/>
      <c r="BE23" s="131"/>
      <c r="BF23" s="131"/>
      <c r="BG23" s="131"/>
      <c r="BH23" s="131"/>
      <c r="BI23" s="131"/>
      <c r="BJ23" s="131"/>
      <c r="BK23" s="131"/>
      <c r="BL23" s="132"/>
      <c r="BM23" s="129"/>
      <c r="BN23" s="130"/>
      <c r="BO23" s="131"/>
      <c r="BP23" s="131"/>
      <c r="BQ23" s="131"/>
      <c r="BR23" s="131"/>
      <c r="BS23" s="131"/>
      <c r="BT23" s="131"/>
      <c r="BU23" s="131"/>
      <c r="BV23" s="132"/>
      <c r="BW23" s="129"/>
      <c r="BX23" s="130"/>
      <c r="BY23" s="131"/>
      <c r="BZ23" s="131"/>
      <c r="CA23" s="131"/>
      <c r="CB23" s="131"/>
      <c r="CC23" s="131"/>
      <c r="CD23" s="131"/>
      <c r="CE23" s="131"/>
      <c r="CF23" s="131"/>
      <c r="CG23" s="131"/>
      <c r="CH23" s="131"/>
      <c r="CI23" s="132"/>
      <c r="CJ23" s="133"/>
      <c r="CK23" s="134"/>
      <c r="CL23" s="131"/>
      <c r="CM23" s="135"/>
      <c r="CN23" s="136"/>
      <c r="CO23" s="136"/>
      <c r="CP23" s="137"/>
      <c r="CQ23" s="138"/>
      <c r="CR23" s="139"/>
    </row>
    <row r="24" spans="1:96" ht="15" customHeight="1" thickBot="1" x14ac:dyDescent="0.25">
      <c r="A24" s="1">
        <v>1</v>
      </c>
      <c r="C24" s="5" t="s">
        <v>62</v>
      </c>
      <c r="D24" s="8">
        <v>1550</v>
      </c>
      <c r="E24" s="140"/>
      <c r="F24" s="141"/>
      <c r="G24" s="141"/>
      <c r="H24" s="141"/>
      <c r="I24" s="142">
        <f>E24+F24-G24+H24</f>
        <v>0</v>
      </c>
      <c r="J24" s="141"/>
      <c r="K24" s="141"/>
      <c r="L24" s="141"/>
      <c r="M24" s="141"/>
      <c r="N24" s="143">
        <f>J24+K24-L24+M24</f>
        <v>0</v>
      </c>
      <c r="O24" s="144">
        <f>I24</f>
        <v>0</v>
      </c>
      <c r="P24" s="141"/>
      <c r="Q24" s="141"/>
      <c r="R24" s="141"/>
      <c r="S24" s="142">
        <f>O24+P24-Q24+R24</f>
        <v>0</v>
      </c>
      <c r="T24" s="145">
        <f>N24</f>
        <v>0</v>
      </c>
      <c r="U24" s="141"/>
      <c r="V24" s="141"/>
      <c r="W24" s="141"/>
      <c r="X24" s="143">
        <f>T24+U24-V24+W24</f>
        <v>0</v>
      </c>
      <c r="Y24" s="144">
        <f>S24</f>
        <v>0</v>
      </c>
      <c r="Z24" s="141"/>
      <c r="AA24" s="141"/>
      <c r="AB24" s="141"/>
      <c r="AC24" s="142">
        <f>Y24+Z24-AA24+AB24</f>
        <v>0</v>
      </c>
      <c r="AD24" s="145">
        <f>X24</f>
        <v>0</v>
      </c>
      <c r="AE24" s="141"/>
      <c r="AF24" s="141"/>
      <c r="AG24" s="141"/>
      <c r="AH24" s="143">
        <f>AD24+AE24-AF24+AG24</f>
        <v>0</v>
      </c>
      <c r="AI24" s="144">
        <f>AC24</f>
        <v>0</v>
      </c>
      <c r="AJ24" s="141"/>
      <c r="AK24" s="141"/>
      <c r="AL24" s="141"/>
      <c r="AM24" s="142">
        <f>AI24+AJ24-AK24+AL24</f>
        <v>0</v>
      </c>
      <c r="AN24" s="145">
        <f>AH24</f>
        <v>0</v>
      </c>
      <c r="AO24" s="141"/>
      <c r="AP24" s="141"/>
      <c r="AQ24" s="141"/>
      <c r="AR24" s="143">
        <f>AN24+AO24-AP24+AQ24</f>
        <v>0</v>
      </c>
      <c r="AS24" s="144">
        <f>AM24</f>
        <v>0</v>
      </c>
      <c r="AT24" s="141"/>
      <c r="AU24" s="141"/>
      <c r="AV24" s="141"/>
      <c r="AW24" s="142">
        <f>AS24+AT24-AU24+AV24</f>
        <v>0</v>
      </c>
      <c r="AX24" s="145">
        <f>AR24</f>
        <v>0</v>
      </c>
      <c r="AY24" s="141"/>
      <c r="AZ24" s="141"/>
      <c r="BA24" s="141"/>
      <c r="BB24" s="143">
        <f>AX24+AY24-AZ24+BA24</f>
        <v>0</v>
      </c>
      <c r="BC24" s="144">
        <f>AW24</f>
        <v>0</v>
      </c>
      <c r="BD24" s="141"/>
      <c r="BE24" s="141"/>
      <c r="BF24" s="141"/>
      <c r="BG24" s="142">
        <f>BC24+BD24-BE24+BF24</f>
        <v>0</v>
      </c>
      <c r="BH24" s="145">
        <f>BB24</f>
        <v>0</v>
      </c>
      <c r="BI24" s="141"/>
      <c r="BJ24" s="141"/>
      <c r="BK24" s="141"/>
      <c r="BL24" s="143">
        <f>BH24+BI24-BJ24+BK24</f>
        <v>0</v>
      </c>
      <c r="BM24" s="144">
        <f>BG24</f>
        <v>0</v>
      </c>
      <c r="BN24" s="141"/>
      <c r="BO24" s="141"/>
      <c r="BP24" s="141"/>
      <c r="BQ24" s="142">
        <f t="shared" ref="BQ24:BQ34" si="0">BM24+BN24-BO24+SUM(BP24:BP24)</f>
        <v>0</v>
      </c>
      <c r="BR24" s="145">
        <f t="shared" ref="BR24:BR34" si="1">BL24</f>
        <v>0</v>
      </c>
      <c r="BS24" s="141"/>
      <c r="BT24" s="141"/>
      <c r="BU24" s="141"/>
      <c r="BV24" s="143">
        <f>BR24+BS24-BT24+BU24</f>
        <v>0</v>
      </c>
      <c r="BW24" s="144">
        <f>BQ24</f>
        <v>0</v>
      </c>
      <c r="BX24" s="141"/>
      <c r="BY24" s="141"/>
      <c r="BZ24" s="141"/>
      <c r="CA24" s="141"/>
      <c r="CB24" s="141"/>
      <c r="CC24" s="141"/>
      <c r="CD24" s="142">
        <f>BW24+BX24-BY24+SUM(BZ24:CC24)</f>
        <v>0</v>
      </c>
      <c r="CE24" s="145">
        <f>BV24</f>
        <v>0</v>
      </c>
      <c r="CF24" s="141"/>
      <c r="CG24" s="141"/>
      <c r="CH24" s="141"/>
      <c r="CI24" s="143">
        <f>CE24+CF24-CG24+CH24</f>
        <v>0</v>
      </c>
      <c r="CJ24" s="140"/>
      <c r="CK24" s="141"/>
      <c r="CL24" s="145">
        <f>CD24-CJ24</f>
        <v>0</v>
      </c>
      <c r="CM24" s="146">
        <f>CI24-CK24</f>
        <v>0</v>
      </c>
      <c r="CN24" s="147"/>
      <c r="CO24" s="141"/>
      <c r="CP24" s="137">
        <f>SUM(CL24:CO24)</f>
        <v>0</v>
      </c>
      <c r="CQ24" s="148">
        <v>0</v>
      </c>
      <c r="CR24" s="137">
        <f>CQ24-SUM(CD24,CI24)</f>
        <v>0</v>
      </c>
    </row>
    <row r="25" spans="1:96" ht="15" thickBot="1" x14ac:dyDescent="0.25">
      <c r="A25" s="1">
        <v>2</v>
      </c>
      <c r="C25" s="9" t="s">
        <v>1</v>
      </c>
      <c r="D25" s="8">
        <v>1580</v>
      </c>
      <c r="E25" s="140"/>
      <c r="F25" s="141"/>
      <c r="G25" s="141"/>
      <c r="H25" s="141"/>
      <c r="I25" s="142">
        <f t="shared" ref="I25:I32" si="2">E25+F25-G25+H25</f>
        <v>0</v>
      </c>
      <c r="J25" s="141"/>
      <c r="K25" s="141"/>
      <c r="L25" s="141"/>
      <c r="M25" s="141"/>
      <c r="N25" s="143">
        <f t="shared" ref="N25:N32" si="3">J25+K25-L25+M25</f>
        <v>0</v>
      </c>
      <c r="O25" s="144">
        <f t="shared" ref="O25:O32" si="4">I25</f>
        <v>0</v>
      </c>
      <c r="P25" s="141"/>
      <c r="Q25" s="141"/>
      <c r="R25" s="141"/>
      <c r="S25" s="142">
        <f t="shared" ref="S25:S32" si="5">O25+P25-Q25+R25</f>
        <v>0</v>
      </c>
      <c r="T25" s="145">
        <f t="shared" ref="T25:T32" si="6">N25</f>
        <v>0</v>
      </c>
      <c r="U25" s="141"/>
      <c r="V25" s="141"/>
      <c r="W25" s="141"/>
      <c r="X25" s="143">
        <f t="shared" ref="X25:X32" si="7">T25+U25-V25+W25</f>
        <v>0</v>
      </c>
      <c r="Y25" s="144">
        <f t="shared" ref="Y25:Y32" si="8">S25</f>
        <v>0</v>
      </c>
      <c r="Z25" s="141"/>
      <c r="AA25" s="141"/>
      <c r="AB25" s="141"/>
      <c r="AC25" s="142">
        <f t="shared" ref="AC25:AC32" si="9">Y25+Z25-AA25+AB25</f>
        <v>0</v>
      </c>
      <c r="AD25" s="145">
        <f t="shared" ref="AD25:AD32" si="10">X25</f>
        <v>0</v>
      </c>
      <c r="AE25" s="141"/>
      <c r="AF25" s="141"/>
      <c r="AG25" s="141"/>
      <c r="AH25" s="143">
        <f t="shared" ref="AH25:AH32" si="11">AD25+AE25-AF25+AG25</f>
        <v>0</v>
      </c>
      <c r="AI25" s="144">
        <f t="shared" ref="AI25:AI32" si="12">AC25</f>
        <v>0</v>
      </c>
      <c r="AJ25" s="141"/>
      <c r="AK25" s="141"/>
      <c r="AL25" s="141"/>
      <c r="AM25" s="142">
        <f t="shared" ref="AM25:AM32" si="13">AI25+AJ25-AK25+AL25</f>
        <v>0</v>
      </c>
      <c r="AN25" s="145">
        <f t="shared" ref="AN25:AN32" si="14">AH25</f>
        <v>0</v>
      </c>
      <c r="AO25" s="141"/>
      <c r="AP25" s="141"/>
      <c r="AQ25" s="141"/>
      <c r="AR25" s="143">
        <f t="shared" ref="AR25:AR32" si="15">AN25+AO25-AP25+AQ25</f>
        <v>0</v>
      </c>
      <c r="AS25" s="144">
        <f t="shared" ref="AS25:AS32" si="16">AM25</f>
        <v>0</v>
      </c>
      <c r="AT25" s="141"/>
      <c r="AU25" s="141"/>
      <c r="AV25" s="141"/>
      <c r="AW25" s="142">
        <f t="shared" ref="AW25:AW32" si="17">AS25+AT25-AU25+AV25</f>
        <v>0</v>
      </c>
      <c r="AX25" s="145">
        <f t="shared" ref="AX25:AX32" si="18">AR25</f>
        <v>0</v>
      </c>
      <c r="AY25" s="141"/>
      <c r="AZ25" s="141"/>
      <c r="BA25" s="141"/>
      <c r="BB25" s="143">
        <f t="shared" ref="BB25:BB32" si="19">AX25+AY25-AZ25+BA25</f>
        <v>0</v>
      </c>
      <c r="BC25" s="144">
        <f t="shared" ref="BC25:BC32" si="20">AW25</f>
        <v>0</v>
      </c>
      <c r="BD25" s="141"/>
      <c r="BE25" s="141"/>
      <c r="BF25" s="141"/>
      <c r="BG25" s="142">
        <f t="shared" ref="BG25:BG33" si="21">BC25+BD25-BE25+SUM(BF25:BF25)</f>
        <v>0</v>
      </c>
      <c r="BH25" s="145">
        <f t="shared" ref="BH25:BH32" si="22">BB25</f>
        <v>0</v>
      </c>
      <c r="BI25" s="141"/>
      <c r="BJ25" s="141"/>
      <c r="BK25" s="141"/>
      <c r="BL25" s="143">
        <f t="shared" ref="BL25:BL32" si="23">BH25+BI25-BJ25+BK25</f>
        <v>0</v>
      </c>
      <c r="BM25" s="144">
        <f t="shared" ref="BM25:BM30" si="24">BG25</f>
        <v>0</v>
      </c>
      <c r="BN25" s="141">
        <v>-564693.46</v>
      </c>
      <c r="BO25" s="141"/>
      <c r="BP25" s="141"/>
      <c r="BQ25" s="142">
        <f t="shared" si="0"/>
        <v>-564693.46</v>
      </c>
      <c r="BR25" s="145">
        <f t="shared" si="1"/>
        <v>0</v>
      </c>
      <c r="BS25" s="141">
        <v>-7292.1899999999969</v>
      </c>
      <c r="BT25" s="141"/>
      <c r="BU25" s="141"/>
      <c r="BV25" s="143">
        <f t="shared" ref="BV25:BV32" si="25">BR25+BS25-BT25+BU25</f>
        <v>-7292.1899999999969</v>
      </c>
      <c r="BW25" s="144">
        <f t="shared" ref="BW25:BW30" si="26">BQ25</f>
        <v>-564693.46</v>
      </c>
      <c r="BX25" s="141">
        <f>2451420.3-3330008.61+564693.46</f>
        <v>-313894.85000000009</v>
      </c>
      <c r="BY25" s="141"/>
      <c r="BZ25" s="141"/>
      <c r="CA25" s="141"/>
      <c r="CB25" s="141"/>
      <c r="CC25" s="141"/>
      <c r="CD25" s="142">
        <f t="shared" ref="CD25:CD32" si="27">BW25+BX25-BY25+SUM(BZ25:CC25)</f>
        <v>-878588.31</v>
      </c>
      <c r="CE25" s="145">
        <f t="shared" ref="CE25:CE30" si="28">BV25</f>
        <v>-7292.1899999999969</v>
      </c>
      <c r="CF25" s="141">
        <f>69162.85-86980+7292.19</f>
        <v>-10524.959999999995</v>
      </c>
      <c r="CG25" s="141"/>
      <c r="CH25" s="141"/>
      <c r="CI25" s="143">
        <f t="shared" ref="CI25:CI32" si="29">CE25+CF25-CG25+CH25</f>
        <v>-17817.149999999994</v>
      </c>
      <c r="CJ25" s="140">
        <v>-564693</v>
      </c>
      <c r="CK25" s="141">
        <v>-18360</v>
      </c>
      <c r="CL25" s="145">
        <f t="shared" ref="CL25:CL34" si="30">CD25-CJ25</f>
        <v>-313895.31000000006</v>
      </c>
      <c r="CM25" s="146">
        <f t="shared" ref="CM25:CM34" si="31">CI25-CK25</f>
        <v>542.85000000000582</v>
      </c>
      <c r="CN25" s="147">
        <f t="shared" ref="CN25:CN34" si="32">1.47%*CL25</f>
        <v>-4614.2610570000006</v>
      </c>
      <c r="CO25" s="141">
        <f>1.47%*CL25*4/12</f>
        <v>-1538.0870190000003</v>
      </c>
      <c r="CP25" s="137">
        <f t="shared" ref="CP25:CP88" si="33">SUM(CL25:CO25)</f>
        <v>-319504.80807600013</v>
      </c>
      <c r="CQ25" s="148">
        <v>-896405.46</v>
      </c>
      <c r="CR25" s="137">
        <f t="shared" ref="CR25:CR88" si="34">CQ25-SUM(CD25,CI25)</f>
        <v>0</v>
      </c>
    </row>
    <row r="26" spans="1:96" ht="15" thickBot="1" x14ac:dyDescent="0.25">
      <c r="A26" s="1">
        <v>3</v>
      </c>
      <c r="C26" s="9" t="s">
        <v>2</v>
      </c>
      <c r="D26" s="8">
        <v>1584</v>
      </c>
      <c r="E26" s="140"/>
      <c r="F26" s="141"/>
      <c r="G26" s="141"/>
      <c r="H26" s="141"/>
      <c r="I26" s="142">
        <f t="shared" si="2"/>
        <v>0</v>
      </c>
      <c r="J26" s="141"/>
      <c r="K26" s="141"/>
      <c r="L26" s="141"/>
      <c r="M26" s="141"/>
      <c r="N26" s="143">
        <f t="shared" si="3"/>
        <v>0</v>
      </c>
      <c r="O26" s="144">
        <f t="shared" si="4"/>
        <v>0</v>
      </c>
      <c r="P26" s="141"/>
      <c r="Q26" s="141"/>
      <c r="R26" s="141"/>
      <c r="S26" s="142">
        <f t="shared" si="5"/>
        <v>0</v>
      </c>
      <c r="T26" s="145">
        <f t="shared" si="6"/>
        <v>0</v>
      </c>
      <c r="U26" s="141"/>
      <c r="V26" s="141"/>
      <c r="W26" s="141"/>
      <c r="X26" s="143">
        <f t="shared" si="7"/>
        <v>0</v>
      </c>
      <c r="Y26" s="144">
        <f t="shared" si="8"/>
        <v>0</v>
      </c>
      <c r="Z26" s="141"/>
      <c r="AA26" s="141"/>
      <c r="AB26" s="141"/>
      <c r="AC26" s="142">
        <f t="shared" si="9"/>
        <v>0</v>
      </c>
      <c r="AD26" s="145">
        <f t="shared" si="10"/>
        <v>0</v>
      </c>
      <c r="AE26" s="141"/>
      <c r="AF26" s="141"/>
      <c r="AG26" s="141"/>
      <c r="AH26" s="143">
        <f t="shared" si="11"/>
        <v>0</v>
      </c>
      <c r="AI26" s="144">
        <f t="shared" si="12"/>
        <v>0</v>
      </c>
      <c r="AJ26" s="141"/>
      <c r="AK26" s="141"/>
      <c r="AL26" s="141"/>
      <c r="AM26" s="142">
        <f t="shared" si="13"/>
        <v>0</v>
      </c>
      <c r="AN26" s="145">
        <f t="shared" si="14"/>
        <v>0</v>
      </c>
      <c r="AO26" s="141"/>
      <c r="AP26" s="141"/>
      <c r="AQ26" s="141"/>
      <c r="AR26" s="143">
        <f t="shared" si="15"/>
        <v>0</v>
      </c>
      <c r="AS26" s="144">
        <f t="shared" si="16"/>
        <v>0</v>
      </c>
      <c r="AT26" s="141"/>
      <c r="AU26" s="141"/>
      <c r="AV26" s="141"/>
      <c r="AW26" s="142">
        <f t="shared" si="17"/>
        <v>0</v>
      </c>
      <c r="AX26" s="145">
        <f t="shared" si="18"/>
        <v>0</v>
      </c>
      <c r="AY26" s="141"/>
      <c r="AZ26" s="141"/>
      <c r="BA26" s="141"/>
      <c r="BB26" s="143">
        <f t="shared" si="19"/>
        <v>0</v>
      </c>
      <c r="BC26" s="144">
        <f t="shared" si="20"/>
        <v>0</v>
      </c>
      <c r="BD26" s="141"/>
      <c r="BE26" s="141"/>
      <c r="BF26" s="141"/>
      <c r="BG26" s="142">
        <f t="shared" si="21"/>
        <v>0</v>
      </c>
      <c r="BH26" s="145">
        <f t="shared" si="22"/>
        <v>0</v>
      </c>
      <c r="BI26" s="141"/>
      <c r="BJ26" s="141"/>
      <c r="BK26" s="141"/>
      <c r="BL26" s="143">
        <f t="shared" si="23"/>
        <v>0</v>
      </c>
      <c r="BM26" s="144">
        <f t="shared" si="24"/>
        <v>0</v>
      </c>
      <c r="BN26" s="141">
        <v>12837.46</v>
      </c>
      <c r="BO26" s="141"/>
      <c r="BP26" s="141"/>
      <c r="BQ26" s="142">
        <f t="shared" si="0"/>
        <v>12837.46</v>
      </c>
      <c r="BR26" s="145">
        <f t="shared" si="1"/>
        <v>0</v>
      </c>
      <c r="BS26" s="141">
        <v>-339.05</v>
      </c>
      <c r="BT26" s="141"/>
      <c r="BU26" s="141"/>
      <c r="BV26" s="143">
        <f t="shared" si="25"/>
        <v>-339.05</v>
      </c>
      <c r="BW26" s="144">
        <f t="shared" si="26"/>
        <v>12837.46</v>
      </c>
      <c r="BX26" s="141">
        <f>808589.34-12837.46-702821.91</f>
        <v>92929.969999999972</v>
      </c>
      <c r="BY26" s="141"/>
      <c r="BZ26" s="141"/>
      <c r="CA26" s="141"/>
      <c r="CB26" s="141"/>
      <c r="CC26" s="141"/>
      <c r="CD26" s="142">
        <f t="shared" si="27"/>
        <v>105767.42999999996</v>
      </c>
      <c r="CE26" s="145">
        <f t="shared" si="28"/>
        <v>-339.05</v>
      </c>
      <c r="CF26" s="141">
        <f>4870.6-4360.99+339.05</f>
        <v>848.66000000000054</v>
      </c>
      <c r="CG26" s="141"/>
      <c r="CH26" s="141"/>
      <c r="CI26" s="143">
        <f t="shared" si="29"/>
        <v>509.61000000000053</v>
      </c>
      <c r="CJ26" s="140">
        <v>12838</v>
      </c>
      <c r="CK26" s="141">
        <v>-88</v>
      </c>
      <c r="CL26" s="145">
        <f t="shared" si="30"/>
        <v>92929.429999999964</v>
      </c>
      <c r="CM26" s="146">
        <f t="shared" si="31"/>
        <v>597.61000000000058</v>
      </c>
      <c r="CN26" s="147">
        <f t="shared" si="32"/>
        <v>1366.0626209999994</v>
      </c>
      <c r="CO26" s="141">
        <f t="shared" ref="CO26:CO29" si="35">1.47%*CL26*4/12</f>
        <v>455.3542069999998</v>
      </c>
      <c r="CP26" s="137">
        <f t="shared" si="33"/>
        <v>95348.456827999966</v>
      </c>
      <c r="CQ26" s="148">
        <v>106277.04</v>
      </c>
      <c r="CR26" s="137">
        <f t="shared" si="34"/>
        <v>0</v>
      </c>
    </row>
    <row r="27" spans="1:96" ht="15" thickBot="1" x14ac:dyDescent="0.25">
      <c r="A27" s="1">
        <v>4</v>
      </c>
      <c r="C27" s="9" t="s">
        <v>3</v>
      </c>
      <c r="D27" s="8">
        <v>1586</v>
      </c>
      <c r="E27" s="140"/>
      <c r="F27" s="141"/>
      <c r="G27" s="141"/>
      <c r="H27" s="141"/>
      <c r="I27" s="142">
        <f t="shared" si="2"/>
        <v>0</v>
      </c>
      <c r="J27" s="141"/>
      <c r="K27" s="141"/>
      <c r="L27" s="141"/>
      <c r="M27" s="141"/>
      <c r="N27" s="143">
        <f t="shared" si="3"/>
        <v>0</v>
      </c>
      <c r="O27" s="144">
        <f t="shared" si="4"/>
        <v>0</v>
      </c>
      <c r="P27" s="141"/>
      <c r="Q27" s="141"/>
      <c r="R27" s="141"/>
      <c r="S27" s="142">
        <f t="shared" si="5"/>
        <v>0</v>
      </c>
      <c r="T27" s="145">
        <f t="shared" si="6"/>
        <v>0</v>
      </c>
      <c r="U27" s="141"/>
      <c r="V27" s="141"/>
      <c r="W27" s="141"/>
      <c r="X27" s="143">
        <f t="shared" si="7"/>
        <v>0</v>
      </c>
      <c r="Y27" s="144">
        <f t="shared" si="8"/>
        <v>0</v>
      </c>
      <c r="Z27" s="141"/>
      <c r="AA27" s="141"/>
      <c r="AB27" s="141"/>
      <c r="AC27" s="142">
        <f t="shared" si="9"/>
        <v>0</v>
      </c>
      <c r="AD27" s="145">
        <f t="shared" si="10"/>
        <v>0</v>
      </c>
      <c r="AE27" s="141"/>
      <c r="AF27" s="141"/>
      <c r="AG27" s="141"/>
      <c r="AH27" s="143">
        <f t="shared" si="11"/>
        <v>0</v>
      </c>
      <c r="AI27" s="144">
        <f t="shared" si="12"/>
        <v>0</v>
      </c>
      <c r="AJ27" s="141"/>
      <c r="AK27" s="141"/>
      <c r="AL27" s="141"/>
      <c r="AM27" s="142">
        <f t="shared" si="13"/>
        <v>0</v>
      </c>
      <c r="AN27" s="145">
        <f t="shared" si="14"/>
        <v>0</v>
      </c>
      <c r="AO27" s="141"/>
      <c r="AP27" s="141"/>
      <c r="AQ27" s="141"/>
      <c r="AR27" s="143">
        <f t="shared" si="15"/>
        <v>0</v>
      </c>
      <c r="AS27" s="144">
        <f t="shared" si="16"/>
        <v>0</v>
      </c>
      <c r="AT27" s="141"/>
      <c r="AU27" s="141"/>
      <c r="AV27" s="141"/>
      <c r="AW27" s="142">
        <f t="shared" si="17"/>
        <v>0</v>
      </c>
      <c r="AX27" s="145">
        <f t="shared" si="18"/>
        <v>0</v>
      </c>
      <c r="AY27" s="141"/>
      <c r="AZ27" s="141"/>
      <c r="BA27" s="141"/>
      <c r="BB27" s="143">
        <f t="shared" si="19"/>
        <v>0</v>
      </c>
      <c r="BC27" s="144">
        <f t="shared" si="20"/>
        <v>0</v>
      </c>
      <c r="BD27" s="141"/>
      <c r="BE27" s="141"/>
      <c r="BF27" s="141"/>
      <c r="BG27" s="142">
        <f t="shared" si="21"/>
        <v>0</v>
      </c>
      <c r="BH27" s="145">
        <f t="shared" si="22"/>
        <v>0</v>
      </c>
      <c r="BI27" s="141"/>
      <c r="BJ27" s="141"/>
      <c r="BK27" s="141"/>
      <c r="BL27" s="143">
        <f t="shared" si="23"/>
        <v>0</v>
      </c>
      <c r="BM27" s="144">
        <f t="shared" si="24"/>
        <v>0</v>
      </c>
      <c r="BN27" s="141">
        <v>-73230.59</v>
      </c>
      <c r="BO27" s="141"/>
      <c r="BP27" s="141"/>
      <c r="BQ27" s="142">
        <f t="shared" si="0"/>
        <v>-73230.59</v>
      </c>
      <c r="BR27" s="145">
        <f t="shared" si="1"/>
        <v>0</v>
      </c>
      <c r="BS27" s="141">
        <v>-1308.26</v>
      </c>
      <c r="BT27" s="141"/>
      <c r="BU27" s="141"/>
      <c r="BV27" s="143">
        <f t="shared" si="25"/>
        <v>-1308.26</v>
      </c>
      <c r="BW27" s="144">
        <f t="shared" si="26"/>
        <v>-73230.59</v>
      </c>
      <c r="BX27" s="141">
        <f>95511.29-164482.94+73230.59</f>
        <v>4258.9399999999878</v>
      </c>
      <c r="BY27" s="141"/>
      <c r="BZ27" s="141"/>
      <c r="CA27" s="141"/>
      <c r="CB27" s="141"/>
      <c r="CC27" s="141"/>
      <c r="CD27" s="142">
        <f t="shared" si="27"/>
        <v>-68971.650000000009</v>
      </c>
      <c r="CE27" s="145">
        <f t="shared" si="28"/>
        <v>-1308.26</v>
      </c>
      <c r="CF27" s="141">
        <f>7969.72-10380.45+1308.26</f>
        <v>-1102.4700000000005</v>
      </c>
      <c r="CG27" s="141"/>
      <c r="CH27" s="141"/>
      <c r="CI27" s="143">
        <f t="shared" si="29"/>
        <v>-2410.7300000000005</v>
      </c>
      <c r="CJ27" s="140">
        <v>-73231</v>
      </c>
      <c r="CK27" s="141">
        <v>-2743</v>
      </c>
      <c r="CL27" s="145">
        <f t="shared" si="30"/>
        <v>4259.3499999999913</v>
      </c>
      <c r="CM27" s="146">
        <f t="shared" si="31"/>
        <v>332.26999999999953</v>
      </c>
      <c r="CN27" s="147">
        <f t="shared" si="32"/>
        <v>62.612444999999873</v>
      </c>
      <c r="CO27" s="141">
        <f t="shared" si="35"/>
        <v>20.870814999999958</v>
      </c>
      <c r="CP27" s="137">
        <f t="shared" si="33"/>
        <v>4675.1032599999908</v>
      </c>
      <c r="CQ27" s="148">
        <v>-71382.38</v>
      </c>
      <c r="CR27" s="137">
        <f t="shared" si="34"/>
        <v>0</v>
      </c>
    </row>
    <row r="28" spans="1:96" ht="15" thickBot="1" x14ac:dyDescent="0.25">
      <c r="A28" s="1">
        <v>5</v>
      </c>
      <c r="C28" s="9" t="s">
        <v>114</v>
      </c>
      <c r="D28" s="8">
        <v>1588</v>
      </c>
      <c r="E28" s="140"/>
      <c r="F28" s="141"/>
      <c r="G28" s="141"/>
      <c r="H28" s="141"/>
      <c r="I28" s="142">
        <f t="shared" si="2"/>
        <v>0</v>
      </c>
      <c r="J28" s="141"/>
      <c r="K28" s="141"/>
      <c r="L28" s="141"/>
      <c r="M28" s="141"/>
      <c r="N28" s="143">
        <f t="shared" si="3"/>
        <v>0</v>
      </c>
      <c r="O28" s="144">
        <f t="shared" si="4"/>
        <v>0</v>
      </c>
      <c r="P28" s="141"/>
      <c r="Q28" s="141"/>
      <c r="R28" s="141"/>
      <c r="S28" s="142">
        <f t="shared" si="5"/>
        <v>0</v>
      </c>
      <c r="T28" s="145">
        <f t="shared" si="6"/>
        <v>0</v>
      </c>
      <c r="U28" s="141"/>
      <c r="V28" s="141"/>
      <c r="W28" s="141"/>
      <c r="X28" s="143">
        <f t="shared" si="7"/>
        <v>0</v>
      </c>
      <c r="Y28" s="144">
        <f t="shared" si="8"/>
        <v>0</v>
      </c>
      <c r="Z28" s="141"/>
      <c r="AA28" s="141"/>
      <c r="AB28" s="141"/>
      <c r="AC28" s="142">
        <f t="shared" si="9"/>
        <v>0</v>
      </c>
      <c r="AD28" s="145">
        <f t="shared" si="10"/>
        <v>0</v>
      </c>
      <c r="AE28" s="141"/>
      <c r="AF28" s="141"/>
      <c r="AG28" s="141"/>
      <c r="AH28" s="143">
        <f t="shared" si="11"/>
        <v>0</v>
      </c>
      <c r="AI28" s="144">
        <f t="shared" si="12"/>
        <v>0</v>
      </c>
      <c r="AJ28" s="141"/>
      <c r="AK28" s="141"/>
      <c r="AL28" s="141"/>
      <c r="AM28" s="142">
        <f t="shared" si="13"/>
        <v>0</v>
      </c>
      <c r="AN28" s="145">
        <f t="shared" si="14"/>
        <v>0</v>
      </c>
      <c r="AO28" s="141"/>
      <c r="AP28" s="141"/>
      <c r="AQ28" s="141"/>
      <c r="AR28" s="143">
        <f t="shared" si="15"/>
        <v>0</v>
      </c>
      <c r="AS28" s="144">
        <f t="shared" si="16"/>
        <v>0</v>
      </c>
      <c r="AT28" s="141"/>
      <c r="AU28" s="141"/>
      <c r="AV28" s="141"/>
      <c r="AW28" s="142">
        <f t="shared" si="17"/>
        <v>0</v>
      </c>
      <c r="AX28" s="145">
        <f t="shared" si="18"/>
        <v>0</v>
      </c>
      <c r="AY28" s="141"/>
      <c r="AZ28" s="141"/>
      <c r="BA28" s="141"/>
      <c r="BB28" s="143">
        <f t="shared" si="19"/>
        <v>0</v>
      </c>
      <c r="BC28" s="144">
        <f t="shared" si="20"/>
        <v>0</v>
      </c>
      <c r="BD28" s="141"/>
      <c r="BE28" s="141"/>
      <c r="BF28" s="141"/>
      <c r="BG28" s="142">
        <f t="shared" si="21"/>
        <v>0</v>
      </c>
      <c r="BH28" s="145">
        <f t="shared" si="22"/>
        <v>0</v>
      </c>
      <c r="BI28" s="141"/>
      <c r="BJ28" s="141"/>
      <c r="BK28" s="141"/>
      <c r="BL28" s="143">
        <f t="shared" si="23"/>
        <v>0</v>
      </c>
      <c r="BM28" s="144">
        <f t="shared" si="24"/>
        <v>0</v>
      </c>
      <c r="BN28" s="141">
        <v>556870.36</v>
      </c>
      <c r="BO28" s="141"/>
      <c r="BP28" s="141"/>
      <c r="BQ28" s="142">
        <f t="shared" si="0"/>
        <v>556870.36</v>
      </c>
      <c r="BR28" s="145">
        <f t="shared" si="1"/>
        <v>0</v>
      </c>
      <c r="BS28" s="141">
        <v>4166.76</v>
      </c>
      <c r="BT28" s="141"/>
      <c r="BU28" s="141"/>
      <c r="BV28" s="143">
        <f t="shared" si="25"/>
        <v>4166.76</v>
      </c>
      <c r="BW28" s="144">
        <f t="shared" si="26"/>
        <v>556870.36</v>
      </c>
      <c r="BX28" s="141">
        <f>7749265.27-7783757.16-556870.36</f>
        <v>-591362.25000000058</v>
      </c>
      <c r="BY28" s="141"/>
      <c r="BZ28" s="141"/>
      <c r="CA28" s="141"/>
      <c r="CB28" s="141"/>
      <c r="CC28" s="141"/>
      <c r="CD28" s="142">
        <f t="shared" si="27"/>
        <v>-34491.890000000596</v>
      </c>
      <c r="CE28" s="145">
        <f t="shared" si="28"/>
        <v>4166.76</v>
      </c>
      <c r="CF28" s="141">
        <f>42068.8-35443.98-4166.76</f>
        <v>2458.0599999999995</v>
      </c>
      <c r="CG28" s="141"/>
      <c r="CH28" s="141">
        <v>-4625.05</v>
      </c>
      <c r="CI28" s="143">
        <f t="shared" si="29"/>
        <v>1999.7699999999995</v>
      </c>
      <c r="CJ28" s="140">
        <v>556870</v>
      </c>
      <c r="CK28" s="141">
        <v>15082</v>
      </c>
      <c r="CL28" s="145">
        <f t="shared" si="30"/>
        <v>-591361.8900000006</v>
      </c>
      <c r="CM28" s="146">
        <f t="shared" si="31"/>
        <v>-13082.23</v>
      </c>
      <c r="CN28" s="147">
        <f t="shared" si="32"/>
        <v>-8693.0197830000088</v>
      </c>
      <c r="CO28" s="141">
        <f t="shared" si="35"/>
        <v>-2897.6732610000031</v>
      </c>
      <c r="CP28" s="137">
        <f t="shared" si="33"/>
        <v>-616034.81304400053</v>
      </c>
      <c r="CQ28" s="148">
        <v>-27867.07</v>
      </c>
      <c r="CR28" s="137">
        <f t="shared" si="34"/>
        <v>4625.0500000005959</v>
      </c>
    </row>
    <row r="29" spans="1:96" ht="15" thickBot="1" x14ac:dyDescent="0.25">
      <c r="A29" s="1">
        <v>6</v>
      </c>
      <c r="C29" s="9" t="s">
        <v>168</v>
      </c>
      <c r="D29" s="8">
        <v>1589</v>
      </c>
      <c r="E29" s="140"/>
      <c r="F29" s="141"/>
      <c r="G29" s="141"/>
      <c r="H29" s="141"/>
      <c r="I29" s="142">
        <f t="shared" si="2"/>
        <v>0</v>
      </c>
      <c r="J29" s="141"/>
      <c r="K29" s="141"/>
      <c r="L29" s="141"/>
      <c r="M29" s="141"/>
      <c r="N29" s="143">
        <f t="shared" si="3"/>
        <v>0</v>
      </c>
      <c r="O29" s="144">
        <f t="shared" si="4"/>
        <v>0</v>
      </c>
      <c r="P29" s="141"/>
      <c r="Q29" s="141"/>
      <c r="R29" s="141"/>
      <c r="S29" s="142">
        <f t="shared" si="5"/>
        <v>0</v>
      </c>
      <c r="T29" s="145">
        <f t="shared" si="6"/>
        <v>0</v>
      </c>
      <c r="U29" s="141"/>
      <c r="V29" s="141"/>
      <c r="W29" s="141"/>
      <c r="X29" s="143">
        <f t="shared" si="7"/>
        <v>0</v>
      </c>
      <c r="Y29" s="144">
        <f t="shared" si="8"/>
        <v>0</v>
      </c>
      <c r="Z29" s="141"/>
      <c r="AA29" s="141"/>
      <c r="AB29" s="141"/>
      <c r="AC29" s="142">
        <f t="shared" si="9"/>
        <v>0</v>
      </c>
      <c r="AD29" s="145">
        <f t="shared" si="10"/>
        <v>0</v>
      </c>
      <c r="AE29" s="141"/>
      <c r="AF29" s="141"/>
      <c r="AG29" s="141"/>
      <c r="AH29" s="143">
        <f t="shared" si="11"/>
        <v>0</v>
      </c>
      <c r="AI29" s="144">
        <f t="shared" si="12"/>
        <v>0</v>
      </c>
      <c r="AJ29" s="141"/>
      <c r="AK29" s="141"/>
      <c r="AL29" s="141"/>
      <c r="AM29" s="142">
        <f t="shared" si="13"/>
        <v>0</v>
      </c>
      <c r="AN29" s="145">
        <f t="shared" si="14"/>
        <v>0</v>
      </c>
      <c r="AO29" s="141"/>
      <c r="AP29" s="141"/>
      <c r="AQ29" s="141"/>
      <c r="AR29" s="143">
        <f t="shared" si="15"/>
        <v>0</v>
      </c>
      <c r="AS29" s="144">
        <f t="shared" si="16"/>
        <v>0</v>
      </c>
      <c r="AT29" s="141"/>
      <c r="AU29" s="141"/>
      <c r="AV29" s="141"/>
      <c r="AW29" s="142">
        <f t="shared" si="17"/>
        <v>0</v>
      </c>
      <c r="AX29" s="145">
        <f t="shared" si="18"/>
        <v>0</v>
      </c>
      <c r="AY29" s="141"/>
      <c r="AZ29" s="141"/>
      <c r="BA29" s="141"/>
      <c r="BB29" s="143">
        <f t="shared" si="19"/>
        <v>0</v>
      </c>
      <c r="BC29" s="144">
        <f t="shared" si="20"/>
        <v>0</v>
      </c>
      <c r="BD29" s="141"/>
      <c r="BE29" s="141"/>
      <c r="BF29" s="141"/>
      <c r="BG29" s="142">
        <f t="shared" si="21"/>
        <v>0</v>
      </c>
      <c r="BH29" s="145">
        <f t="shared" si="22"/>
        <v>0</v>
      </c>
      <c r="BI29" s="141"/>
      <c r="BJ29" s="141"/>
      <c r="BK29" s="141"/>
      <c r="BL29" s="143">
        <f t="shared" si="23"/>
        <v>0</v>
      </c>
      <c r="BM29" s="144">
        <f t="shared" si="24"/>
        <v>0</v>
      </c>
      <c r="BN29" s="141">
        <v>423287.22</v>
      </c>
      <c r="BO29" s="141"/>
      <c r="BP29" s="141"/>
      <c r="BQ29" s="142">
        <f t="shared" si="0"/>
        <v>423287.22</v>
      </c>
      <c r="BR29" s="145">
        <f t="shared" si="1"/>
        <v>0</v>
      </c>
      <c r="BS29" s="141">
        <v>2061.75</v>
      </c>
      <c r="BT29" s="141"/>
      <c r="BU29" s="141"/>
      <c r="BV29" s="143">
        <f t="shared" si="25"/>
        <v>2061.75</v>
      </c>
      <c r="BW29" s="144">
        <f t="shared" si="26"/>
        <v>423287.22</v>
      </c>
      <c r="BX29" s="141">
        <f>2660227.46-2400325.45+561282.12-561282.12-423287.22</f>
        <v>-163385.2100000002</v>
      </c>
      <c r="BY29" s="141"/>
      <c r="BZ29" s="141"/>
      <c r="CA29" s="141"/>
      <c r="CB29" s="141"/>
      <c r="CC29" s="141"/>
      <c r="CD29" s="142">
        <f t="shared" si="27"/>
        <v>259902.00999999978</v>
      </c>
      <c r="CE29" s="145">
        <f t="shared" si="28"/>
        <v>2061.75</v>
      </c>
      <c r="CF29" s="141">
        <f>4442.49-4442.49-2061.75+40988.38-34423.91</f>
        <v>4502.7199999999939</v>
      </c>
      <c r="CG29" s="141"/>
      <c r="CH29" s="141"/>
      <c r="CI29" s="143">
        <f t="shared" si="29"/>
        <v>6564.4699999999939</v>
      </c>
      <c r="CJ29" s="140">
        <v>423287</v>
      </c>
      <c r="CK29" s="141">
        <v>10358</v>
      </c>
      <c r="CL29" s="145">
        <f t="shared" si="30"/>
        <v>-163384.99000000022</v>
      </c>
      <c r="CM29" s="146">
        <f t="shared" si="31"/>
        <v>-3793.5300000000061</v>
      </c>
      <c r="CN29" s="147">
        <f t="shared" si="32"/>
        <v>-2401.7593530000031</v>
      </c>
      <c r="CO29" s="141">
        <f t="shared" si="35"/>
        <v>-800.58645100000103</v>
      </c>
      <c r="CP29" s="137">
        <f t="shared" si="33"/>
        <v>-170380.86580400023</v>
      </c>
      <c r="CQ29" s="148">
        <v>266466.48</v>
      </c>
      <c r="CR29" s="137">
        <f t="shared" si="34"/>
        <v>0</v>
      </c>
    </row>
    <row r="30" spans="1:96" ht="15" thickBot="1" x14ac:dyDescent="0.25">
      <c r="A30" s="1">
        <v>7</v>
      </c>
      <c r="C30" s="5" t="s">
        <v>19</v>
      </c>
      <c r="D30" s="8">
        <v>1590</v>
      </c>
      <c r="E30" s="140"/>
      <c r="F30" s="141"/>
      <c r="G30" s="141"/>
      <c r="H30" s="141"/>
      <c r="I30" s="142">
        <f t="shared" si="2"/>
        <v>0</v>
      </c>
      <c r="J30" s="141"/>
      <c r="K30" s="141"/>
      <c r="L30" s="141"/>
      <c r="M30" s="141"/>
      <c r="N30" s="143">
        <f t="shared" si="3"/>
        <v>0</v>
      </c>
      <c r="O30" s="144">
        <f t="shared" si="4"/>
        <v>0</v>
      </c>
      <c r="P30" s="141"/>
      <c r="Q30" s="141"/>
      <c r="R30" s="141"/>
      <c r="S30" s="142">
        <f t="shared" si="5"/>
        <v>0</v>
      </c>
      <c r="T30" s="145">
        <f t="shared" si="6"/>
        <v>0</v>
      </c>
      <c r="U30" s="141"/>
      <c r="V30" s="141"/>
      <c r="W30" s="141"/>
      <c r="X30" s="143">
        <f t="shared" si="7"/>
        <v>0</v>
      </c>
      <c r="Y30" s="144">
        <f t="shared" si="8"/>
        <v>0</v>
      </c>
      <c r="Z30" s="141"/>
      <c r="AA30" s="141"/>
      <c r="AB30" s="141"/>
      <c r="AC30" s="142">
        <f t="shared" si="9"/>
        <v>0</v>
      </c>
      <c r="AD30" s="145">
        <f t="shared" si="10"/>
        <v>0</v>
      </c>
      <c r="AE30" s="141"/>
      <c r="AF30" s="141"/>
      <c r="AG30" s="141"/>
      <c r="AH30" s="143">
        <f t="shared" si="11"/>
        <v>0</v>
      </c>
      <c r="AI30" s="144">
        <f t="shared" si="12"/>
        <v>0</v>
      </c>
      <c r="AJ30" s="141"/>
      <c r="AK30" s="141"/>
      <c r="AL30" s="141"/>
      <c r="AM30" s="142">
        <f t="shared" si="13"/>
        <v>0</v>
      </c>
      <c r="AN30" s="145">
        <f t="shared" si="14"/>
        <v>0</v>
      </c>
      <c r="AO30" s="141"/>
      <c r="AP30" s="141"/>
      <c r="AQ30" s="141"/>
      <c r="AR30" s="143">
        <f t="shared" si="15"/>
        <v>0</v>
      </c>
      <c r="AS30" s="144">
        <f t="shared" si="16"/>
        <v>0</v>
      </c>
      <c r="AT30" s="141"/>
      <c r="AU30" s="141"/>
      <c r="AV30" s="141"/>
      <c r="AW30" s="142">
        <f t="shared" si="17"/>
        <v>0</v>
      </c>
      <c r="AX30" s="145">
        <f t="shared" si="18"/>
        <v>0</v>
      </c>
      <c r="AY30" s="141"/>
      <c r="AZ30" s="141"/>
      <c r="BA30" s="141"/>
      <c r="BB30" s="143">
        <f t="shared" si="19"/>
        <v>0</v>
      </c>
      <c r="BC30" s="144">
        <f t="shared" si="20"/>
        <v>0</v>
      </c>
      <c r="BD30" s="141"/>
      <c r="BE30" s="141"/>
      <c r="BF30" s="141"/>
      <c r="BG30" s="142">
        <f t="shared" si="21"/>
        <v>0</v>
      </c>
      <c r="BH30" s="145">
        <f t="shared" si="22"/>
        <v>0</v>
      </c>
      <c r="BI30" s="141"/>
      <c r="BJ30" s="141"/>
      <c r="BK30" s="141"/>
      <c r="BL30" s="143">
        <f t="shared" si="23"/>
        <v>0</v>
      </c>
      <c r="BM30" s="144">
        <f t="shared" si="24"/>
        <v>0</v>
      </c>
      <c r="BN30" s="141"/>
      <c r="BO30" s="141"/>
      <c r="BP30" s="141"/>
      <c r="BQ30" s="142">
        <f t="shared" si="0"/>
        <v>0</v>
      </c>
      <c r="BR30" s="145">
        <f t="shared" si="1"/>
        <v>0</v>
      </c>
      <c r="BS30" s="141"/>
      <c r="BT30" s="141"/>
      <c r="BU30" s="141"/>
      <c r="BV30" s="143">
        <f t="shared" si="25"/>
        <v>0</v>
      </c>
      <c r="BW30" s="144">
        <f t="shared" si="26"/>
        <v>0</v>
      </c>
      <c r="BX30" s="141"/>
      <c r="BY30" s="141"/>
      <c r="BZ30" s="141"/>
      <c r="CA30" s="141"/>
      <c r="CB30" s="141"/>
      <c r="CC30" s="141"/>
      <c r="CD30" s="142">
        <f t="shared" si="27"/>
        <v>0</v>
      </c>
      <c r="CE30" s="145">
        <f t="shared" si="28"/>
        <v>0</v>
      </c>
      <c r="CF30" s="141"/>
      <c r="CG30" s="141"/>
      <c r="CH30" s="141"/>
      <c r="CI30" s="143">
        <f t="shared" si="29"/>
        <v>0</v>
      </c>
      <c r="CJ30" s="140"/>
      <c r="CK30" s="141"/>
      <c r="CL30" s="145">
        <f t="shared" si="30"/>
        <v>0</v>
      </c>
      <c r="CM30" s="146">
        <f t="shared" si="31"/>
        <v>0</v>
      </c>
      <c r="CN30" s="147"/>
      <c r="CO30" s="141"/>
      <c r="CP30" s="137">
        <f t="shared" si="33"/>
        <v>0</v>
      </c>
      <c r="CQ30" s="148">
        <v>0</v>
      </c>
      <c r="CR30" s="137">
        <f t="shared" si="34"/>
        <v>0</v>
      </c>
    </row>
    <row r="31" spans="1:96" ht="17.25" thickBot="1" x14ac:dyDescent="0.25">
      <c r="A31" s="1">
        <v>8</v>
      </c>
      <c r="C31" s="10" t="s">
        <v>109</v>
      </c>
      <c r="D31" s="8">
        <v>1595</v>
      </c>
      <c r="E31" s="140"/>
      <c r="F31" s="141"/>
      <c r="G31" s="141"/>
      <c r="H31" s="141"/>
      <c r="I31" s="142">
        <f t="shared" si="2"/>
        <v>0</v>
      </c>
      <c r="J31" s="141"/>
      <c r="K31" s="141"/>
      <c r="L31" s="141"/>
      <c r="M31" s="141"/>
      <c r="N31" s="143">
        <f t="shared" si="3"/>
        <v>0</v>
      </c>
      <c r="O31" s="144">
        <f>I31</f>
        <v>0</v>
      </c>
      <c r="P31" s="141"/>
      <c r="Q31" s="141"/>
      <c r="R31" s="141"/>
      <c r="S31" s="142">
        <f t="shared" si="5"/>
        <v>0</v>
      </c>
      <c r="T31" s="145">
        <f>N31</f>
        <v>0</v>
      </c>
      <c r="U31" s="141"/>
      <c r="V31" s="141"/>
      <c r="W31" s="141"/>
      <c r="X31" s="143">
        <f t="shared" si="7"/>
        <v>0</v>
      </c>
      <c r="Y31" s="144">
        <f>S31</f>
        <v>0</v>
      </c>
      <c r="Z31" s="141"/>
      <c r="AA31" s="141"/>
      <c r="AB31" s="141"/>
      <c r="AC31" s="142">
        <f t="shared" si="9"/>
        <v>0</v>
      </c>
      <c r="AD31" s="145">
        <f>X31</f>
        <v>0</v>
      </c>
      <c r="AE31" s="141"/>
      <c r="AF31" s="141"/>
      <c r="AG31" s="141"/>
      <c r="AH31" s="143">
        <f t="shared" si="11"/>
        <v>0</v>
      </c>
      <c r="AI31" s="144">
        <f>AC31</f>
        <v>0</v>
      </c>
      <c r="AJ31" s="141"/>
      <c r="AK31" s="141"/>
      <c r="AL31" s="141"/>
      <c r="AM31" s="142">
        <f t="shared" si="13"/>
        <v>0</v>
      </c>
      <c r="AN31" s="145">
        <f>AH31</f>
        <v>0</v>
      </c>
      <c r="AO31" s="141"/>
      <c r="AP31" s="141"/>
      <c r="AQ31" s="141"/>
      <c r="AR31" s="143">
        <f t="shared" si="15"/>
        <v>0</v>
      </c>
      <c r="AS31" s="144">
        <f>AM31</f>
        <v>0</v>
      </c>
      <c r="AT31" s="141"/>
      <c r="AU31" s="141"/>
      <c r="AV31" s="141"/>
      <c r="AW31" s="142">
        <f t="shared" si="17"/>
        <v>0</v>
      </c>
      <c r="AX31" s="145">
        <f>AR31</f>
        <v>0</v>
      </c>
      <c r="AY31" s="141"/>
      <c r="AZ31" s="141"/>
      <c r="BA31" s="141"/>
      <c r="BB31" s="143">
        <f t="shared" si="19"/>
        <v>0</v>
      </c>
      <c r="BC31" s="144">
        <f>AW31</f>
        <v>0</v>
      </c>
      <c r="BD31" s="141"/>
      <c r="BE31" s="141"/>
      <c r="BF31" s="141"/>
      <c r="BG31" s="142">
        <f t="shared" si="21"/>
        <v>0</v>
      </c>
      <c r="BH31" s="145">
        <f>BB31</f>
        <v>0</v>
      </c>
      <c r="BI31" s="141"/>
      <c r="BJ31" s="141"/>
      <c r="BK31" s="141"/>
      <c r="BL31" s="143">
        <f t="shared" si="23"/>
        <v>0</v>
      </c>
      <c r="BM31" s="144">
        <f>BG31</f>
        <v>0</v>
      </c>
      <c r="BN31" s="141"/>
      <c r="BO31" s="141"/>
      <c r="BP31" s="141"/>
      <c r="BQ31" s="142">
        <f t="shared" si="0"/>
        <v>0</v>
      </c>
      <c r="BR31" s="145">
        <f t="shared" si="1"/>
        <v>0</v>
      </c>
      <c r="BS31" s="141"/>
      <c r="BT31" s="141"/>
      <c r="BU31" s="141"/>
      <c r="BV31" s="143">
        <f t="shared" si="25"/>
        <v>0</v>
      </c>
      <c r="BW31" s="144">
        <f>BQ31</f>
        <v>0</v>
      </c>
      <c r="BX31" s="141"/>
      <c r="BY31" s="141"/>
      <c r="BZ31" s="141"/>
      <c r="CA31" s="141"/>
      <c r="CB31" s="141"/>
      <c r="CC31" s="141"/>
      <c r="CD31" s="142">
        <f t="shared" si="27"/>
        <v>0</v>
      </c>
      <c r="CE31" s="145">
        <f>BV31</f>
        <v>0</v>
      </c>
      <c r="CF31" s="141"/>
      <c r="CG31" s="141"/>
      <c r="CH31" s="141"/>
      <c r="CI31" s="143">
        <f t="shared" si="29"/>
        <v>0</v>
      </c>
      <c r="CJ31" s="140"/>
      <c r="CK31" s="141"/>
      <c r="CL31" s="145">
        <f t="shared" si="30"/>
        <v>0</v>
      </c>
      <c r="CM31" s="146">
        <f t="shared" si="31"/>
        <v>0</v>
      </c>
      <c r="CN31" s="147"/>
      <c r="CO31" s="141"/>
      <c r="CP31" s="137">
        <f t="shared" si="33"/>
        <v>0</v>
      </c>
      <c r="CQ31" s="148">
        <v>0</v>
      </c>
      <c r="CR31" s="137">
        <f t="shared" si="34"/>
        <v>0</v>
      </c>
    </row>
    <row r="32" spans="1:96" ht="17.25" thickBot="1" x14ac:dyDescent="0.25">
      <c r="A32" s="1">
        <v>9</v>
      </c>
      <c r="C32" s="10" t="s">
        <v>110</v>
      </c>
      <c r="D32" s="8">
        <v>1595</v>
      </c>
      <c r="E32" s="140"/>
      <c r="F32" s="141"/>
      <c r="G32" s="141"/>
      <c r="H32" s="141"/>
      <c r="I32" s="142">
        <f t="shared" si="2"/>
        <v>0</v>
      </c>
      <c r="J32" s="141"/>
      <c r="K32" s="141"/>
      <c r="L32" s="141"/>
      <c r="M32" s="141"/>
      <c r="N32" s="143">
        <f t="shared" si="3"/>
        <v>0</v>
      </c>
      <c r="O32" s="144">
        <f t="shared" si="4"/>
        <v>0</v>
      </c>
      <c r="P32" s="141"/>
      <c r="Q32" s="141"/>
      <c r="R32" s="141"/>
      <c r="S32" s="142">
        <f t="shared" si="5"/>
        <v>0</v>
      </c>
      <c r="T32" s="145">
        <f t="shared" si="6"/>
        <v>0</v>
      </c>
      <c r="U32" s="141"/>
      <c r="V32" s="141"/>
      <c r="W32" s="141"/>
      <c r="X32" s="143">
        <f t="shared" si="7"/>
        <v>0</v>
      </c>
      <c r="Y32" s="144">
        <f t="shared" si="8"/>
        <v>0</v>
      </c>
      <c r="Z32" s="141"/>
      <c r="AA32" s="141"/>
      <c r="AB32" s="141"/>
      <c r="AC32" s="142">
        <f t="shared" si="9"/>
        <v>0</v>
      </c>
      <c r="AD32" s="145">
        <f t="shared" si="10"/>
        <v>0</v>
      </c>
      <c r="AE32" s="141"/>
      <c r="AF32" s="141"/>
      <c r="AG32" s="141"/>
      <c r="AH32" s="143">
        <f t="shared" si="11"/>
        <v>0</v>
      </c>
      <c r="AI32" s="144">
        <f t="shared" si="12"/>
        <v>0</v>
      </c>
      <c r="AJ32" s="141"/>
      <c r="AK32" s="141"/>
      <c r="AL32" s="141"/>
      <c r="AM32" s="142">
        <f t="shared" si="13"/>
        <v>0</v>
      </c>
      <c r="AN32" s="145">
        <f t="shared" si="14"/>
        <v>0</v>
      </c>
      <c r="AO32" s="141"/>
      <c r="AP32" s="141"/>
      <c r="AQ32" s="141"/>
      <c r="AR32" s="143">
        <f t="shared" si="15"/>
        <v>0</v>
      </c>
      <c r="AS32" s="144">
        <f t="shared" si="16"/>
        <v>0</v>
      </c>
      <c r="AT32" s="141"/>
      <c r="AU32" s="141"/>
      <c r="AV32" s="141"/>
      <c r="AW32" s="142">
        <f t="shared" si="17"/>
        <v>0</v>
      </c>
      <c r="AX32" s="145">
        <f t="shared" si="18"/>
        <v>0</v>
      </c>
      <c r="AY32" s="141"/>
      <c r="AZ32" s="141"/>
      <c r="BA32" s="141"/>
      <c r="BB32" s="143">
        <f t="shared" si="19"/>
        <v>0</v>
      </c>
      <c r="BC32" s="144">
        <f t="shared" si="20"/>
        <v>0</v>
      </c>
      <c r="BD32" s="141"/>
      <c r="BE32" s="141"/>
      <c r="BF32" s="141"/>
      <c r="BG32" s="142">
        <f>BC32+BD32-BE32+SUM(BF32:BF32)</f>
        <v>0</v>
      </c>
      <c r="BH32" s="145">
        <f t="shared" si="22"/>
        <v>0</v>
      </c>
      <c r="BI32" s="141"/>
      <c r="BJ32" s="141"/>
      <c r="BK32" s="141"/>
      <c r="BL32" s="143">
        <f t="shared" si="23"/>
        <v>0</v>
      </c>
      <c r="BM32" s="144">
        <f>BG32</f>
        <v>0</v>
      </c>
      <c r="BN32" s="141"/>
      <c r="BO32" s="141"/>
      <c r="BP32" s="141"/>
      <c r="BQ32" s="142">
        <f t="shared" si="0"/>
        <v>0</v>
      </c>
      <c r="BR32" s="145">
        <f t="shared" si="1"/>
        <v>0</v>
      </c>
      <c r="BS32" s="141"/>
      <c r="BT32" s="141"/>
      <c r="BU32" s="141"/>
      <c r="BV32" s="143">
        <f t="shared" si="25"/>
        <v>0</v>
      </c>
      <c r="BW32" s="144">
        <f>BQ32</f>
        <v>0</v>
      </c>
      <c r="BX32" s="141"/>
      <c r="BY32" s="141"/>
      <c r="BZ32" s="141"/>
      <c r="CA32" s="141"/>
      <c r="CB32" s="141"/>
      <c r="CC32" s="141"/>
      <c r="CD32" s="142">
        <f t="shared" si="27"/>
        <v>0</v>
      </c>
      <c r="CE32" s="145">
        <f>BV32</f>
        <v>0</v>
      </c>
      <c r="CF32" s="141"/>
      <c r="CG32" s="141"/>
      <c r="CH32" s="141"/>
      <c r="CI32" s="143">
        <f t="shared" si="29"/>
        <v>0</v>
      </c>
      <c r="CJ32" s="140"/>
      <c r="CK32" s="141"/>
      <c r="CL32" s="145">
        <f t="shared" si="30"/>
        <v>0</v>
      </c>
      <c r="CM32" s="146">
        <f t="shared" si="31"/>
        <v>0</v>
      </c>
      <c r="CN32" s="147"/>
      <c r="CO32" s="141"/>
      <c r="CP32" s="137">
        <f t="shared" si="33"/>
        <v>0</v>
      </c>
      <c r="CQ32" s="148">
        <v>0</v>
      </c>
      <c r="CR32" s="137">
        <f t="shared" si="34"/>
        <v>0</v>
      </c>
    </row>
    <row r="33" spans="1:96" ht="17.25" thickBot="1" x14ac:dyDescent="0.25">
      <c r="A33" s="1">
        <v>9</v>
      </c>
      <c r="C33" s="10" t="s">
        <v>111</v>
      </c>
      <c r="D33" s="8">
        <v>1595</v>
      </c>
      <c r="E33" s="140"/>
      <c r="F33" s="141"/>
      <c r="G33" s="141"/>
      <c r="H33" s="141"/>
      <c r="I33" s="142">
        <f>E33+F33-G33+H33</f>
        <v>0</v>
      </c>
      <c r="J33" s="141"/>
      <c r="K33" s="141"/>
      <c r="L33" s="141"/>
      <c r="M33" s="141"/>
      <c r="N33" s="143">
        <f>J33+K33-L33+M33</f>
        <v>0</v>
      </c>
      <c r="O33" s="144">
        <f>I33</f>
        <v>0</v>
      </c>
      <c r="P33" s="141"/>
      <c r="Q33" s="141"/>
      <c r="R33" s="141"/>
      <c r="S33" s="142">
        <f>O33+P33-Q33+R33</f>
        <v>0</v>
      </c>
      <c r="T33" s="145">
        <f>N33</f>
        <v>0</v>
      </c>
      <c r="U33" s="141"/>
      <c r="V33" s="141"/>
      <c r="W33" s="141"/>
      <c r="X33" s="143">
        <f>T33+U33-V33+W33</f>
        <v>0</v>
      </c>
      <c r="Y33" s="144">
        <f>S33</f>
        <v>0</v>
      </c>
      <c r="Z33" s="141"/>
      <c r="AA33" s="141"/>
      <c r="AB33" s="141"/>
      <c r="AC33" s="142">
        <f>Y33+Z33-AA33+AB33</f>
        <v>0</v>
      </c>
      <c r="AD33" s="145">
        <f>X33</f>
        <v>0</v>
      </c>
      <c r="AE33" s="141"/>
      <c r="AF33" s="141"/>
      <c r="AG33" s="141"/>
      <c r="AH33" s="143">
        <f>AD33+AE33-AF33+AG33</f>
        <v>0</v>
      </c>
      <c r="AI33" s="144">
        <f>AC33</f>
        <v>0</v>
      </c>
      <c r="AJ33" s="141"/>
      <c r="AK33" s="141"/>
      <c r="AL33" s="141"/>
      <c r="AM33" s="142">
        <f>AI33+AJ33-AK33+AL33</f>
        <v>0</v>
      </c>
      <c r="AN33" s="145">
        <f>AH33</f>
        <v>0</v>
      </c>
      <c r="AO33" s="141"/>
      <c r="AP33" s="141"/>
      <c r="AQ33" s="141"/>
      <c r="AR33" s="143">
        <f>AN33+AO33-AP33+AQ33</f>
        <v>0</v>
      </c>
      <c r="AS33" s="144">
        <f>AM33</f>
        <v>0</v>
      </c>
      <c r="AT33" s="141"/>
      <c r="AU33" s="141"/>
      <c r="AV33" s="141"/>
      <c r="AW33" s="142">
        <f>AS33+AT33-AU33+AV33</f>
        <v>0</v>
      </c>
      <c r="AX33" s="145">
        <f>AR33</f>
        <v>0</v>
      </c>
      <c r="AY33" s="141"/>
      <c r="AZ33" s="141"/>
      <c r="BA33" s="141"/>
      <c r="BB33" s="143">
        <f>AX33+AY33-AZ33+BA33</f>
        <v>0</v>
      </c>
      <c r="BC33" s="144">
        <f>AW33</f>
        <v>0</v>
      </c>
      <c r="BD33" s="141"/>
      <c r="BE33" s="141"/>
      <c r="BF33" s="141"/>
      <c r="BG33" s="142">
        <f t="shared" si="21"/>
        <v>0</v>
      </c>
      <c r="BH33" s="145">
        <f>BB33</f>
        <v>0</v>
      </c>
      <c r="BI33" s="141"/>
      <c r="BJ33" s="141"/>
      <c r="BK33" s="141"/>
      <c r="BL33" s="143">
        <f>BH33+BI33-BJ33+BK33</f>
        <v>0</v>
      </c>
      <c r="BM33" s="144">
        <f>BG33</f>
        <v>0</v>
      </c>
      <c r="BN33" s="141">
        <v>-22790.000000000022</v>
      </c>
      <c r="BO33" s="141"/>
      <c r="BP33" s="141"/>
      <c r="BQ33" s="142">
        <f t="shared" si="0"/>
        <v>-22790.000000000022</v>
      </c>
      <c r="BR33" s="145">
        <f t="shared" si="1"/>
        <v>0</v>
      </c>
      <c r="BS33" s="141">
        <v>-437.17</v>
      </c>
      <c r="BT33" s="141"/>
      <c r="BU33" s="141"/>
      <c r="BV33" s="143">
        <f>BR33+BS33-BT33+BU33</f>
        <v>-437.17</v>
      </c>
      <c r="BW33" s="144">
        <f>BQ33</f>
        <v>-22790.000000000022</v>
      </c>
      <c r="BX33" s="141"/>
      <c r="BY33" s="141"/>
      <c r="BZ33" s="141"/>
      <c r="CA33" s="141"/>
      <c r="CB33" s="141"/>
      <c r="CC33" s="141"/>
      <c r="CD33" s="142">
        <f>BW33+BX33-BY33+SUM(BZ33:CC33)</f>
        <v>-22790.000000000022</v>
      </c>
      <c r="CE33" s="145">
        <f>BV33</f>
        <v>-437.17</v>
      </c>
      <c r="CF33" s="141">
        <f>-1499.34-1057.28-335</f>
        <v>-2891.62</v>
      </c>
      <c r="CG33" s="141"/>
      <c r="CH33" s="141"/>
      <c r="CI33" s="143">
        <f>CE33+CF33-CG33+CH33</f>
        <v>-3328.79</v>
      </c>
      <c r="CJ33" s="140">
        <v>-22790</v>
      </c>
      <c r="CK33" s="141">
        <f>-3456+127.21</f>
        <v>-3328.79</v>
      </c>
      <c r="CL33" s="145">
        <f t="shared" si="30"/>
        <v>0</v>
      </c>
      <c r="CM33" s="146">
        <f t="shared" si="31"/>
        <v>0</v>
      </c>
      <c r="CN33" s="147">
        <f t="shared" si="32"/>
        <v>0</v>
      </c>
      <c r="CO33" s="141">
        <f t="shared" ref="CO33:CO34" si="36">1.47%*CL33*4/12</f>
        <v>0</v>
      </c>
      <c r="CP33" s="137">
        <f t="shared" si="33"/>
        <v>0</v>
      </c>
      <c r="CQ33" s="148">
        <v>-26118.79</v>
      </c>
      <c r="CR33" s="137">
        <f t="shared" si="34"/>
        <v>0</v>
      </c>
    </row>
    <row r="34" spans="1:96" ht="17.25" thickBot="1" x14ac:dyDescent="0.25">
      <c r="A34" s="1">
        <v>10</v>
      </c>
      <c r="C34" s="10" t="s">
        <v>171</v>
      </c>
      <c r="D34" s="8">
        <v>1595</v>
      </c>
      <c r="E34" s="140"/>
      <c r="F34" s="141"/>
      <c r="G34" s="141"/>
      <c r="H34" s="141"/>
      <c r="I34" s="142">
        <f>E34+F34-G34+H34</f>
        <v>0</v>
      </c>
      <c r="J34" s="141"/>
      <c r="K34" s="141"/>
      <c r="L34" s="141"/>
      <c r="M34" s="141"/>
      <c r="N34" s="143">
        <f>J34+K34-L34+M34</f>
        <v>0</v>
      </c>
      <c r="O34" s="144">
        <f>I34</f>
        <v>0</v>
      </c>
      <c r="P34" s="141"/>
      <c r="Q34" s="141"/>
      <c r="R34" s="141"/>
      <c r="S34" s="142">
        <f>O34+P34-Q34+R34</f>
        <v>0</v>
      </c>
      <c r="T34" s="145">
        <f>N34</f>
        <v>0</v>
      </c>
      <c r="U34" s="141"/>
      <c r="V34" s="141"/>
      <c r="W34" s="141"/>
      <c r="X34" s="143">
        <f>T34+U34-V34+W34</f>
        <v>0</v>
      </c>
      <c r="Y34" s="144">
        <f>S34</f>
        <v>0</v>
      </c>
      <c r="Z34" s="141"/>
      <c r="AA34" s="141"/>
      <c r="AB34" s="141"/>
      <c r="AC34" s="142">
        <f>Y34+Z34-AA34+AB34</f>
        <v>0</v>
      </c>
      <c r="AD34" s="145">
        <f>X34</f>
        <v>0</v>
      </c>
      <c r="AE34" s="141"/>
      <c r="AF34" s="141"/>
      <c r="AG34" s="141"/>
      <c r="AH34" s="143">
        <f>AD34+AE34-AF34+AG34</f>
        <v>0</v>
      </c>
      <c r="AI34" s="144">
        <f>AC34</f>
        <v>0</v>
      </c>
      <c r="AJ34" s="141"/>
      <c r="AK34" s="141"/>
      <c r="AL34" s="141"/>
      <c r="AM34" s="142">
        <f>AI34+AJ34-AK34+AL34</f>
        <v>0</v>
      </c>
      <c r="AN34" s="145">
        <f>AH34</f>
        <v>0</v>
      </c>
      <c r="AO34" s="141"/>
      <c r="AP34" s="141"/>
      <c r="AQ34" s="141"/>
      <c r="AR34" s="143">
        <f>AN34+AO34-AP34+AQ34</f>
        <v>0</v>
      </c>
      <c r="AS34" s="144">
        <f>AM34</f>
        <v>0</v>
      </c>
      <c r="AT34" s="141"/>
      <c r="AU34" s="141"/>
      <c r="AV34" s="141"/>
      <c r="AW34" s="142">
        <f>AS34+AT34-AU34+AV34</f>
        <v>0</v>
      </c>
      <c r="AX34" s="145">
        <f>AR34</f>
        <v>0</v>
      </c>
      <c r="AY34" s="141"/>
      <c r="AZ34" s="141"/>
      <c r="BA34" s="141"/>
      <c r="BB34" s="143">
        <f>AX34+AY34-AZ34+BA34</f>
        <v>0</v>
      </c>
      <c r="BC34" s="144">
        <f>AW34</f>
        <v>0</v>
      </c>
      <c r="BD34" s="141"/>
      <c r="BE34" s="141"/>
      <c r="BF34" s="141"/>
      <c r="BG34" s="142">
        <f t="shared" ref="BG34" si="37">BC34+BD34-BE34+SUM(BF34:BF34)</f>
        <v>0</v>
      </c>
      <c r="BH34" s="145">
        <f>BB34</f>
        <v>0</v>
      </c>
      <c r="BI34" s="141"/>
      <c r="BJ34" s="141"/>
      <c r="BK34" s="141"/>
      <c r="BL34" s="143">
        <f>BH34+BI34-BJ34+BK34</f>
        <v>0</v>
      </c>
      <c r="BM34" s="144">
        <f>BG34</f>
        <v>0</v>
      </c>
      <c r="BN34" s="141">
        <f>-245029.03+681589.07</f>
        <v>436560.03999999992</v>
      </c>
      <c r="BO34" s="141">
        <v>681589.07</v>
      </c>
      <c r="BP34" s="141"/>
      <c r="BQ34" s="142">
        <f t="shared" si="0"/>
        <v>-245029.03000000003</v>
      </c>
      <c r="BR34" s="145">
        <f t="shared" si="1"/>
        <v>0</v>
      </c>
      <c r="BS34" s="141">
        <f>-5027.9</f>
        <v>-5027.8999999999996</v>
      </c>
      <c r="BT34" s="141">
        <v>10728.17</v>
      </c>
      <c r="BU34" s="141"/>
      <c r="BV34" s="143">
        <f>BR34+BS34-BT34+BU34</f>
        <v>-15756.07</v>
      </c>
      <c r="BW34" s="144">
        <f>BQ34</f>
        <v>-245029.03000000003</v>
      </c>
      <c r="BX34" s="141">
        <v>265572.44</v>
      </c>
      <c r="BY34" s="141"/>
      <c r="BZ34" s="141"/>
      <c r="CA34" s="141"/>
      <c r="CB34" s="141"/>
      <c r="CC34" s="141"/>
      <c r="CD34" s="142">
        <f>BW34+BX34-BY34+SUM(BZ34:CC34)</f>
        <v>20543.409999999974</v>
      </c>
      <c r="CE34" s="145">
        <f>BV34</f>
        <v>-15756.07</v>
      </c>
      <c r="CF34" s="141">
        <f>10728.17+5198.33</f>
        <v>15926.5</v>
      </c>
      <c r="CG34" s="141"/>
      <c r="CH34" s="141"/>
      <c r="CI34" s="143">
        <f>CE34+CF34-CG34+CH34</f>
        <v>170.43000000000029</v>
      </c>
      <c r="CJ34" s="140"/>
      <c r="CK34" s="141"/>
      <c r="CL34" s="145">
        <f t="shared" si="30"/>
        <v>20543.409999999974</v>
      </c>
      <c r="CM34" s="146">
        <f t="shared" si="31"/>
        <v>170.43000000000029</v>
      </c>
      <c r="CN34" s="147">
        <f t="shared" si="32"/>
        <v>301.98812699999962</v>
      </c>
      <c r="CO34" s="141">
        <f t="shared" si="36"/>
        <v>100.66270899999988</v>
      </c>
      <c r="CP34" s="137">
        <f t="shared" si="33"/>
        <v>21116.490835999975</v>
      </c>
      <c r="CQ34" s="148">
        <v>20713.84</v>
      </c>
      <c r="CR34" s="137">
        <f t="shared" si="34"/>
        <v>0</v>
      </c>
    </row>
    <row r="35" spans="1:96" ht="14.25" x14ac:dyDescent="0.2">
      <c r="C35" s="5"/>
      <c r="D35" s="5"/>
      <c r="E35" s="149"/>
      <c r="F35" s="142"/>
      <c r="G35" s="142"/>
      <c r="H35" s="142"/>
      <c r="I35" s="142"/>
      <c r="J35" s="142"/>
      <c r="K35" s="142"/>
      <c r="L35" s="142"/>
      <c r="M35" s="142"/>
      <c r="N35" s="143"/>
      <c r="O35" s="149"/>
      <c r="P35" s="142"/>
      <c r="Q35" s="142"/>
      <c r="R35" s="142"/>
      <c r="S35" s="142"/>
      <c r="T35" s="142"/>
      <c r="U35" s="142"/>
      <c r="V35" s="142"/>
      <c r="W35" s="142"/>
      <c r="X35" s="143"/>
      <c r="Y35" s="149"/>
      <c r="Z35" s="142"/>
      <c r="AA35" s="142"/>
      <c r="AB35" s="142"/>
      <c r="AC35" s="142"/>
      <c r="AD35" s="142"/>
      <c r="AE35" s="142"/>
      <c r="AF35" s="142"/>
      <c r="AG35" s="142"/>
      <c r="AH35" s="143"/>
      <c r="AI35" s="149"/>
      <c r="AJ35" s="142"/>
      <c r="AK35" s="142"/>
      <c r="AL35" s="142"/>
      <c r="AM35" s="142"/>
      <c r="AN35" s="142"/>
      <c r="AO35" s="142"/>
      <c r="AP35" s="142"/>
      <c r="AQ35" s="142"/>
      <c r="AR35" s="143"/>
      <c r="AS35" s="149"/>
      <c r="AT35" s="142"/>
      <c r="AU35" s="142"/>
      <c r="AV35" s="142"/>
      <c r="AW35" s="142"/>
      <c r="AX35" s="142"/>
      <c r="AY35" s="142"/>
      <c r="AZ35" s="142"/>
      <c r="BA35" s="142"/>
      <c r="BB35" s="143"/>
      <c r="BC35" s="149"/>
      <c r="BD35" s="142"/>
      <c r="BE35" s="142"/>
      <c r="BF35" s="142"/>
      <c r="BG35" s="142"/>
      <c r="BH35" s="142"/>
      <c r="BI35" s="142"/>
      <c r="BJ35" s="142"/>
      <c r="BK35" s="142"/>
      <c r="BL35" s="143"/>
      <c r="BM35" s="149"/>
      <c r="BN35" s="142"/>
      <c r="BO35" s="142"/>
      <c r="BP35" s="142"/>
      <c r="BQ35" s="142"/>
      <c r="BR35" s="142"/>
      <c r="BS35" s="142"/>
      <c r="BT35" s="142"/>
      <c r="BU35" s="142"/>
      <c r="BV35" s="143"/>
      <c r="BW35" s="149"/>
      <c r="BX35" s="142"/>
      <c r="BY35" s="142"/>
      <c r="BZ35" s="142"/>
      <c r="CA35" s="142"/>
      <c r="CB35" s="142"/>
      <c r="CC35" s="142"/>
      <c r="CD35" s="142"/>
      <c r="CE35" s="142"/>
      <c r="CF35" s="142"/>
      <c r="CG35" s="142"/>
      <c r="CH35" s="142"/>
      <c r="CI35" s="143"/>
      <c r="CJ35" s="149"/>
      <c r="CK35" s="142"/>
      <c r="CL35" s="142"/>
      <c r="CM35" s="143"/>
      <c r="CN35" s="136"/>
      <c r="CO35" s="136"/>
      <c r="CP35" s="137"/>
      <c r="CQ35" s="138"/>
      <c r="CR35" s="137"/>
    </row>
    <row r="36" spans="1:96" ht="15" x14ac:dyDescent="0.25">
      <c r="C36" s="11" t="s">
        <v>169</v>
      </c>
      <c r="D36" s="11"/>
      <c r="E36" s="149">
        <f>SUM(E24:E34)</f>
        <v>0</v>
      </c>
      <c r="F36" s="142">
        <f t="shared" ref="F36:BP36" si="38">SUM(F24:F34)</f>
        <v>0</v>
      </c>
      <c r="G36" s="142">
        <f t="shared" si="38"/>
        <v>0</v>
      </c>
      <c r="H36" s="142">
        <f t="shared" si="38"/>
        <v>0</v>
      </c>
      <c r="I36" s="142">
        <f t="shared" si="38"/>
        <v>0</v>
      </c>
      <c r="J36" s="142">
        <f t="shared" si="38"/>
        <v>0</v>
      </c>
      <c r="K36" s="142">
        <f t="shared" si="38"/>
        <v>0</v>
      </c>
      <c r="L36" s="142">
        <f t="shared" si="38"/>
        <v>0</v>
      </c>
      <c r="M36" s="142">
        <f t="shared" si="38"/>
        <v>0</v>
      </c>
      <c r="N36" s="143">
        <f t="shared" si="38"/>
        <v>0</v>
      </c>
      <c r="O36" s="149">
        <f t="shared" si="38"/>
        <v>0</v>
      </c>
      <c r="P36" s="142">
        <f t="shared" si="38"/>
        <v>0</v>
      </c>
      <c r="Q36" s="142">
        <f t="shared" si="38"/>
        <v>0</v>
      </c>
      <c r="R36" s="142">
        <f t="shared" si="38"/>
        <v>0</v>
      </c>
      <c r="S36" s="142">
        <f t="shared" si="38"/>
        <v>0</v>
      </c>
      <c r="T36" s="142">
        <f t="shared" si="38"/>
        <v>0</v>
      </c>
      <c r="U36" s="142">
        <f t="shared" si="38"/>
        <v>0</v>
      </c>
      <c r="V36" s="142">
        <f t="shared" si="38"/>
        <v>0</v>
      </c>
      <c r="W36" s="142">
        <f t="shared" si="38"/>
        <v>0</v>
      </c>
      <c r="X36" s="142">
        <f t="shared" si="38"/>
        <v>0</v>
      </c>
      <c r="Y36" s="149">
        <f t="shared" si="38"/>
        <v>0</v>
      </c>
      <c r="Z36" s="142">
        <f t="shared" si="38"/>
        <v>0</v>
      </c>
      <c r="AA36" s="142">
        <f t="shared" si="38"/>
        <v>0</v>
      </c>
      <c r="AB36" s="142">
        <f t="shared" si="38"/>
        <v>0</v>
      </c>
      <c r="AC36" s="142">
        <f t="shared" si="38"/>
        <v>0</v>
      </c>
      <c r="AD36" s="142">
        <f t="shared" si="38"/>
        <v>0</v>
      </c>
      <c r="AE36" s="142">
        <f t="shared" si="38"/>
        <v>0</v>
      </c>
      <c r="AF36" s="142">
        <f t="shared" si="38"/>
        <v>0</v>
      </c>
      <c r="AG36" s="142">
        <f t="shared" si="38"/>
        <v>0</v>
      </c>
      <c r="AH36" s="142">
        <f t="shared" si="38"/>
        <v>0</v>
      </c>
      <c r="AI36" s="149">
        <f t="shared" si="38"/>
        <v>0</v>
      </c>
      <c r="AJ36" s="142">
        <f t="shared" si="38"/>
        <v>0</v>
      </c>
      <c r="AK36" s="142">
        <f t="shared" si="38"/>
        <v>0</v>
      </c>
      <c r="AL36" s="142">
        <f t="shared" si="38"/>
        <v>0</v>
      </c>
      <c r="AM36" s="142">
        <f t="shared" si="38"/>
        <v>0</v>
      </c>
      <c r="AN36" s="142">
        <f t="shared" si="38"/>
        <v>0</v>
      </c>
      <c r="AO36" s="142">
        <f t="shared" si="38"/>
        <v>0</v>
      </c>
      <c r="AP36" s="142">
        <f t="shared" si="38"/>
        <v>0</v>
      </c>
      <c r="AQ36" s="142">
        <f t="shared" si="38"/>
        <v>0</v>
      </c>
      <c r="AR36" s="142">
        <f t="shared" si="38"/>
        <v>0</v>
      </c>
      <c r="AS36" s="149">
        <f t="shared" si="38"/>
        <v>0</v>
      </c>
      <c r="AT36" s="142">
        <f t="shared" si="38"/>
        <v>0</v>
      </c>
      <c r="AU36" s="142">
        <f t="shared" si="38"/>
        <v>0</v>
      </c>
      <c r="AV36" s="142">
        <f t="shared" si="38"/>
        <v>0</v>
      </c>
      <c r="AW36" s="142">
        <f t="shared" si="38"/>
        <v>0</v>
      </c>
      <c r="AX36" s="142">
        <f t="shared" si="38"/>
        <v>0</v>
      </c>
      <c r="AY36" s="142">
        <f t="shared" si="38"/>
        <v>0</v>
      </c>
      <c r="AZ36" s="142">
        <f t="shared" si="38"/>
        <v>0</v>
      </c>
      <c r="BA36" s="142">
        <f t="shared" si="38"/>
        <v>0</v>
      </c>
      <c r="BB36" s="142">
        <f t="shared" si="38"/>
        <v>0</v>
      </c>
      <c r="BC36" s="149">
        <f t="shared" si="38"/>
        <v>0</v>
      </c>
      <c r="BD36" s="142">
        <f t="shared" si="38"/>
        <v>0</v>
      </c>
      <c r="BE36" s="142">
        <f t="shared" si="38"/>
        <v>0</v>
      </c>
      <c r="BF36" s="142">
        <f t="shared" si="38"/>
        <v>0</v>
      </c>
      <c r="BG36" s="142">
        <f t="shared" si="38"/>
        <v>0</v>
      </c>
      <c r="BH36" s="142">
        <f t="shared" si="38"/>
        <v>0</v>
      </c>
      <c r="BI36" s="142">
        <f t="shared" si="38"/>
        <v>0</v>
      </c>
      <c r="BJ36" s="142">
        <f t="shared" si="38"/>
        <v>0</v>
      </c>
      <c r="BK36" s="142">
        <f t="shared" si="38"/>
        <v>0</v>
      </c>
      <c r="BL36" s="142">
        <f t="shared" si="38"/>
        <v>0</v>
      </c>
      <c r="BM36" s="149">
        <f t="shared" si="38"/>
        <v>0</v>
      </c>
      <c r="BN36" s="142">
        <f t="shared" si="38"/>
        <v>768841.02999999991</v>
      </c>
      <c r="BO36" s="142">
        <f t="shared" si="38"/>
        <v>681589.07</v>
      </c>
      <c r="BP36" s="142">
        <f t="shared" si="38"/>
        <v>0</v>
      </c>
      <c r="BQ36" s="142">
        <f t="shared" ref="BQ36:CQ36" si="39">SUM(BQ24:BQ34)</f>
        <v>87251.959999999963</v>
      </c>
      <c r="BR36" s="142">
        <f t="shared" si="39"/>
        <v>0</v>
      </c>
      <c r="BS36" s="142">
        <f t="shared" si="39"/>
        <v>-8176.0599999999959</v>
      </c>
      <c r="BT36" s="142">
        <f t="shared" si="39"/>
        <v>10728.17</v>
      </c>
      <c r="BU36" s="142">
        <f t="shared" si="39"/>
        <v>0</v>
      </c>
      <c r="BV36" s="142">
        <f t="shared" si="39"/>
        <v>-18904.229999999996</v>
      </c>
      <c r="BW36" s="149">
        <f t="shared" si="39"/>
        <v>87251.959999999963</v>
      </c>
      <c r="BX36" s="142">
        <f t="shared" si="39"/>
        <v>-705880.96000000089</v>
      </c>
      <c r="BY36" s="142">
        <f t="shared" si="39"/>
        <v>0</v>
      </c>
      <c r="BZ36" s="142">
        <f t="shared" si="39"/>
        <v>0</v>
      </c>
      <c r="CA36" s="142">
        <f t="shared" si="39"/>
        <v>0</v>
      </c>
      <c r="CB36" s="142">
        <f t="shared" si="39"/>
        <v>0</v>
      </c>
      <c r="CC36" s="142">
        <f t="shared" si="39"/>
        <v>0</v>
      </c>
      <c r="CD36" s="142">
        <f t="shared" si="39"/>
        <v>-618629.00000000093</v>
      </c>
      <c r="CE36" s="142">
        <f t="shared" si="39"/>
        <v>-18904.229999999996</v>
      </c>
      <c r="CF36" s="142">
        <f t="shared" si="39"/>
        <v>9216.8899999999958</v>
      </c>
      <c r="CG36" s="142">
        <f t="shared" si="39"/>
        <v>0</v>
      </c>
      <c r="CH36" s="142">
        <f t="shared" si="39"/>
        <v>-4625.05</v>
      </c>
      <c r="CI36" s="142">
        <f t="shared" si="39"/>
        <v>-14312.39</v>
      </c>
      <c r="CJ36" s="149">
        <f t="shared" si="39"/>
        <v>332281</v>
      </c>
      <c r="CK36" s="142">
        <f t="shared" si="39"/>
        <v>920.21</v>
      </c>
      <c r="CL36" s="142">
        <f t="shared" si="39"/>
        <v>-950910.00000000093</v>
      </c>
      <c r="CM36" s="142">
        <f t="shared" si="39"/>
        <v>-15232.599999999999</v>
      </c>
      <c r="CN36" s="149">
        <f t="shared" si="39"/>
        <v>-13978.377000000015</v>
      </c>
      <c r="CO36" s="142">
        <f t="shared" si="39"/>
        <v>-4659.4590000000044</v>
      </c>
      <c r="CP36" s="137">
        <f t="shared" si="39"/>
        <v>-984780.43600000103</v>
      </c>
      <c r="CQ36" s="149">
        <f t="shared" si="39"/>
        <v>-628316.34</v>
      </c>
      <c r="CR36" s="138">
        <f t="shared" si="34"/>
        <v>4625.0500000009779</v>
      </c>
    </row>
    <row r="37" spans="1:96" ht="15" x14ac:dyDescent="0.25">
      <c r="C37" s="11" t="s">
        <v>170</v>
      </c>
      <c r="D37" s="11"/>
      <c r="E37" s="149">
        <f>E36-E38</f>
        <v>0</v>
      </c>
      <c r="F37" s="142">
        <f>F36-F38</f>
        <v>0</v>
      </c>
      <c r="G37" s="142">
        <f t="shared" ref="G37:P37" si="40">G36-G38</f>
        <v>0</v>
      </c>
      <c r="H37" s="142">
        <f t="shared" si="40"/>
        <v>0</v>
      </c>
      <c r="I37" s="142">
        <f t="shared" si="40"/>
        <v>0</v>
      </c>
      <c r="J37" s="142">
        <f t="shared" si="40"/>
        <v>0</v>
      </c>
      <c r="K37" s="142">
        <f t="shared" si="40"/>
        <v>0</v>
      </c>
      <c r="L37" s="142">
        <f>L36-L38</f>
        <v>0</v>
      </c>
      <c r="M37" s="142">
        <f>M36-M38</f>
        <v>0</v>
      </c>
      <c r="N37" s="143">
        <f t="shared" si="40"/>
        <v>0</v>
      </c>
      <c r="O37" s="149">
        <f t="shared" si="40"/>
        <v>0</v>
      </c>
      <c r="P37" s="142">
        <f t="shared" si="40"/>
        <v>0</v>
      </c>
      <c r="Q37" s="142">
        <f t="shared" ref="Q37:CO37" si="41">Q36-Q38</f>
        <v>0</v>
      </c>
      <c r="R37" s="142">
        <f t="shared" si="41"/>
        <v>0</v>
      </c>
      <c r="S37" s="142">
        <f t="shared" si="41"/>
        <v>0</v>
      </c>
      <c r="T37" s="142">
        <f t="shared" si="41"/>
        <v>0</v>
      </c>
      <c r="U37" s="142">
        <f t="shared" si="41"/>
        <v>0</v>
      </c>
      <c r="V37" s="142">
        <f>V36-V38</f>
        <v>0</v>
      </c>
      <c r="W37" s="142">
        <f>W36-W38</f>
        <v>0</v>
      </c>
      <c r="X37" s="143">
        <f>X36-X38</f>
        <v>0</v>
      </c>
      <c r="Y37" s="149">
        <f t="shared" si="41"/>
        <v>0</v>
      </c>
      <c r="Z37" s="142">
        <f t="shared" si="41"/>
        <v>0</v>
      </c>
      <c r="AA37" s="142">
        <f t="shared" si="41"/>
        <v>0</v>
      </c>
      <c r="AB37" s="142">
        <f t="shared" si="41"/>
        <v>0</v>
      </c>
      <c r="AC37" s="142">
        <f t="shared" si="41"/>
        <v>0</v>
      </c>
      <c r="AD37" s="142">
        <f t="shared" si="41"/>
        <v>0</v>
      </c>
      <c r="AE37" s="142">
        <f t="shared" si="41"/>
        <v>0</v>
      </c>
      <c r="AF37" s="142">
        <f>AF36-AF38</f>
        <v>0</v>
      </c>
      <c r="AG37" s="142">
        <f>AG36-AG38</f>
        <v>0</v>
      </c>
      <c r="AH37" s="143">
        <f>AH36-AH38</f>
        <v>0</v>
      </c>
      <c r="AI37" s="149">
        <f t="shared" si="41"/>
        <v>0</v>
      </c>
      <c r="AJ37" s="142">
        <f t="shared" si="41"/>
        <v>0</v>
      </c>
      <c r="AK37" s="142">
        <f t="shared" si="41"/>
        <v>0</v>
      </c>
      <c r="AL37" s="142">
        <f t="shared" si="41"/>
        <v>0</v>
      </c>
      <c r="AM37" s="142">
        <f t="shared" si="41"/>
        <v>0</v>
      </c>
      <c r="AN37" s="142">
        <f t="shared" si="41"/>
        <v>0</v>
      </c>
      <c r="AO37" s="142">
        <f t="shared" si="41"/>
        <v>0</v>
      </c>
      <c r="AP37" s="142">
        <f>AP36-AP38</f>
        <v>0</v>
      </c>
      <c r="AQ37" s="142">
        <f>AQ36-AQ38</f>
        <v>0</v>
      </c>
      <c r="AR37" s="143">
        <f>AR36-AR38</f>
        <v>0</v>
      </c>
      <c r="AS37" s="149">
        <f t="shared" si="41"/>
        <v>0</v>
      </c>
      <c r="AT37" s="142">
        <f t="shared" si="41"/>
        <v>0</v>
      </c>
      <c r="AU37" s="142">
        <f t="shared" si="41"/>
        <v>0</v>
      </c>
      <c r="AV37" s="142">
        <f t="shared" si="41"/>
        <v>0</v>
      </c>
      <c r="AW37" s="142">
        <f t="shared" si="41"/>
        <v>0</v>
      </c>
      <c r="AX37" s="142">
        <f t="shared" si="41"/>
        <v>0</v>
      </c>
      <c r="AY37" s="142">
        <f t="shared" si="41"/>
        <v>0</v>
      </c>
      <c r="AZ37" s="142">
        <f>AZ36-AZ38</f>
        <v>0</v>
      </c>
      <c r="BA37" s="142">
        <f>BA36-BA38</f>
        <v>0</v>
      </c>
      <c r="BB37" s="143">
        <f>BB36-BB38</f>
        <v>0</v>
      </c>
      <c r="BC37" s="149">
        <f t="shared" si="41"/>
        <v>0</v>
      </c>
      <c r="BD37" s="142">
        <f t="shared" si="41"/>
        <v>0</v>
      </c>
      <c r="BE37" s="142">
        <f t="shared" si="41"/>
        <v>0</v>
      </c>
      <c r="BF37" s="142">
        <f t="shared" si="41"/>
        <v>0</v>
      </c>
      <c r="BG37" s="142">
        <f t="shared" si="41"/>
        <v>0</v>
      </c>
      <c r="BH37" s="142">
        <f t="shared" si="41"/>
        <v>0</v>
      </c>
      <c r="BI37" s="142">
        <f t="shared" si="41"/>
        <v>0</v>
      </c>
      <c r="BJ37" s="142">
        <f t="shared" ref="BJ37:CM37" si="42">BJ36-BJ38</f>
        <v>0</v>
      </c>
      <c r="BK37" s="142">
        <f t="shared" si="42"/>
        <v>0</v>
      </c>
      <c r="BL37" s="143">
        <f t="shared" si="42"/>
        <v>0</v>
      </c>
      <c r="BM37" s="149">
        <f t="shared" si="42"/>
        <v>0</v>
      </c>
      <c r="BN37" s="142">
        <f t="shared" si="42"/>
        <v>345553.80999999994</v>
      </c>
      <c r="BO37" s="142">
        <f t="shared" si="42"/>
        <v>681589.07</v>
      </c>
      <c r="BP37" s="142">
        <f t="shared" si="42"/>
        <v>0</v>
      </c>
      <c r="BQ37" s="142">
        <f t="shared" si="42"/>
        <v>-336035.26</v>
      </c>
      <c r="BR37" s="142">
        <f t="shared" si="42"/>
        <v>0</v>
      </c>
      <c r="BS37" s="142">
        <f t="shared" si="42"/>
        <v>-10237.809999999996</v>
      </c>
      <c r="BT37" s="142">
        <f t="shared" si="42"/>
        <v>10728.17</v>
      </c>
      <c r="BU37" s="142">
        <f t="shared" si="42"/>
        <v>0</v>
      </c>
      <c r="BV37" s="143">
        <f t="shared" si="42"/>
        <v>-20965.979999999996</v>
      </c>
      <c r="BW37" s="149">
        <f t="shared" ref="BW37:CI37" si="43">BW36-BW38</f>
        <v>-336035.26</v>
      </c>
      <c r="BX37" s="142">
        <f t="shared" si="43"/>
        <v>-542495.7500000007</v>
      </c>
      <c r="BY37" s="142">
        <f t="shared" si="43"/>
        <v>0</v>
      </c>
      <c r="BZ37" s="142">
        <f t="shared" si="43"/>
        <v>0</v>
      </c>
      <c r="CA37" s="142">
        <f t="shared" si="43"/>
        <v>0</v>
      </c>
      <c r="CB37" s="142">
        <f t="shared" si="43"/>
        <v>0</v>
      </c>
      <c r="CC37" s="142">
        <f t="shared" si="43"/>
        <v>0</v>
      </c>
      <c r="CD37" s="142">
        <f t="shared" si="43"/>
        <v>-878531.01000000071</v>
      </c>
      <c r="CE37" s="142">
        <f t="shared" si="43"/>
        <v>-20965.979999999996</v>
      </c>
      <c r="CF37" s="142">
        <f t="shared" si="43"/>
        <v>4714.1700000000019</v>
      </c>
      <c r="CG37" s="142">
        <f t="shared" si="43"/>
        <v>0</v>
      </c>
      <c r="CH37" s="142">
        <f t="shared" si="43"/>
        <v>-4625.05</v>
      </c>
      <c r="CI37" s="143">
        <f t="shared" si="43"/>
        <v>-20876.859999999993</v>
      </c>
      <c r="CJ37" s="149">
        <f t="shared" si="42"/>
        <v>-91006</v>
      </c>
      <c r="CK37" s="142">
        <f t="shared" si="42"/>
        <v>-9437.7900000000009</v>
      </c>
      <c r="CL37" s="142">
        <f t="shared" si="42"/>
        <v>-787525.01000000071</v>
      </c>
      <c r="CM37" s="143">
        <f t="shared" si="42"/>
        <v>-11439.069999999992</v>
      </c>
      <c r="CN37" s="142">
        <f t="shared" si="41"/>
        <v>-11576.617647000012</v>
      </c>
      <c r="CO37" s="142">
        <f t="shared" si="41"/>
        <v>-3858.8725490000033</v>
      </c>
      <c r="CP37" s="137">
        <f t="shared" si="33"/>
        <v>-814399.57019600063</v>
      </c>
      <c r="CQ37" s="150">
        <f>CQ36-CQ38</f>
        <v>-894782.82</v>
      </c>
      <c r="CR37" s="137">
        <f t="shared" si="34"/>
        <v>4625.0500000007451</v>
      </c>
    </row>
    <row r="38" spans="1:96" ht="15" x14ac:dyDescent="0.25">
      <c r="C38" s="12" t="str">
        <f>C29</f>
        <v>RSVA - Global Adjustment</v>
      </c>
      <c r="D38" s="13">
        <v>1589</v>
      </c>
      <c r="E38" s="149">
        <f>E29</f>
        <v>0</v>
      </c>
      <c r="F38" s="142">
        <f>F29</f>
        <v>0</v>
      </c>
      <c r="G38" s="142">
        <f t="shared" ref="G38:P38" si="44">G29</f>
        <v>0</v>
      </c>
      <c r="H38" s="142">
        <f t="shared" si="44"/>
        <v>0</v>
      </c>
      <c r="I38" s="142">
        <f t="shared" si="44"/>
        <v>0</v>
      </c>
      <c r="J38" s="142">
        <f t="shared" si="44"/>
        <v>0</v>
      </c>
      <c r="K38" s="142">
        <f t="shared" si="44"/>
        <v>0</v>
      </c>
      <c r="L38" s="142">
        <f>L29</f>
        <v>0</v>
      </c>
      <c r="M38" s="142">
        <f>M29</f>
        <v>0</v>
      </c>
      <c r="N38" s="143">
        <f t="shared" si="44"/>
        <v>0</v>
      </c>
      <c r="O38" s="149">
        <f t="shared" si="44"/>
        <v>0</v>
      </c>
      <c r="P38" s="142">
        <f t="shared" si="44"/>
        <v>0</v>
      </c>
      <c r="Q38" s="142">
        <f t="shared" ref="Q38:Z38" si="45">Q29</f>
        <v>0</v>
      </c>
      <c r="R38" s="142">
        <f t="shared" si="45"/>
        <v>0</v>
      </c>
      <c r="S38" s="142">
        <f t="shared" si="45"/>
        <v>0</v>
      </c>
      <c r="T38" s="142">
        <f t="shared" si="45"/>
        <v>0</v>
      </c>
      <c r="U38" s="142">
        <f t="shared" si="45"/>
        <v>0</v>
      </c>
      <c r="V38" s="142">
        <f t="shared" si="45"/>
        <v>0</v>
      </c>
      <c r="W38" s="142">
        <f t="shared" si="45"/>
        <v>0</v>
      </c>
      <c r="X38" s="143">
        <f t="shared" si="45"/>
        <v>0</v>
      </c>
      <c r="Y38" s="149">
        <f t="shared" si="45"/>
        <v>0</v>
      </c>
      <c r="Z38" s="142">
        <f t="shared" si="45"/>
        <v>0</v>
      </c>
      <c r="AA38" s="142">
        <f t="shared" ref="AA38:BB38" si="46">AA29</f>
        <v>0</v>
      </c>
      <c r="AB38" s="142">
        <f t="shared" si="46"/>
        <v>0</v>
      </c>
      <c r="AC38" s="142">
        <f t="shared" si="46"/>
        <v>0</v>
      </c>
      <c r="AD38" s="142">
        <f t="shared" si="46"/>
        <v>0</v>
      </c>
      <c r="AE38" s="142">
        <f t="shared" si="46"/>
        <v>0</v>
      </c>
      <c r="AF38" s="142">
        <f t="shared" si="46"/>
        <v>0</v>
      </c>
      <c r="AG38" s="142">
        <f t="shared" si="46"/>
        <v>0</v>
      </c>
      <c r="AH38" s="143">
        <f t="shared" si="46"/>
        <v>0</v>
      </c>
      <c r="AI38" s="149">
        <f t="shared" si="46"/>
        <v>0</v>
      </c>
      <c r="AJ38" s="142">
        <f t="shared" si="46"/>
        <v>0</v>
      </c>
      <c r="AK38" s="142">
        <f t="shared" si="46"/>
        <v>0</v>
      </c>
      <c r="AL38" s="142">
        <f t="shared" si="46"/>
        <v>0</v>
      </c>
      <c r="AM38" s="142">
        <f t="shared" si="46"/>
        <v>0</v>
      </c>
      <c r="AN38" s="142">
        <f t="shared" si="46"/>
        <v>0</v>
      </c>
      <c r="AO38" s="142">
        <f t="shared" si="46"/>
        <v>0</v>
      </c>
      <c r="AP38" s="142">
        <f>AP29</f>
        <v>0</v>
      </c>
      <c r="AQ38" s="142">
        <f>AQ29</f>
        <v>0</v>
      </c>
      <c r="AR38" s="143">
        <f>AR29</f>
        <v>0</v>
      </c>
      <c r="AS38" s="149">
        <f t="shared" si="46"/>
        <v>0</v>
      </c>
      <c r="AT38" s="142">
        <f t="shared" si="46"/>
        <v>0</v>
      </c>
      <c r="AU38" s="142">
        <f t="shared" si="46"/>
        <v>0</v>
      </c>
      <c r="AV38" s="142">
        <f t="shared" si="46"/>
        <v>0</v>
      </c>
      <c r="AW38" s="142">
        <f t="shared" si="46"/>
        <v>0</v>
      </c>
      <c r="AX38" s="142">
        <f t="shared" si="46"/>
        <v>0</v>
      </c>
      <c r="AY38" s="142">
        <f t="shared" si="46"/>
        <v>0</v>
      </c>
      <c r="AZ38" s="142">
        <f t="shared" si="46"/>
        <v>0</v>
      </c>
      <c r="BA38" s="142">
        <f t="shared" si="46"/>
        <v>0</v>
      </c>
      <c r="BB38" s="143">
        <f t="shared" si="46"/>
        <v>0</v>
      </c>
      <c r="BC38" s="149">
        <f t="shared" ref="BC38:BL38" si="47">BC29</f>
        <v>0</v>
      </c>
      <c r="BD38" s="142">
        <f t="shared" si="47"/>
        <v>0</v>
      </c>
      <c r="BE38" s="142">
        <f t="shared" si="47"/>
        <v>0</v>
      </c>
      <c r="BF38" s="142">
        <f t="shared" si="47"/>
        <v>0</v>
      </c>
      <c r="BG38" s="142">
        <f t="shared" si="47"/>
        <v>0</v>
      </c>
      <c r="BH38" s="142">
        <f t="shared" si="47"/>
        <v>0</v>
      </c>
      <c r="BI38" s="142">
        <f t="shared" si="47"/>
        <v>0</v>
      </c>
      <c r="BJ38" s="142">
        <f t="shared" si="47"/>
        <v>0</v>
      </c>
      <c r="BK38" s="142">
        <f t="shared" si="47"/>
        <v>0</v>
      </c>
      <c r="BL38" s="143">
        <f t="shared" si="47"/>
        <v>0</v>
      </c>
      <c r="BM38" s="149">
        <f t="shared" ref="BM38:BV38" si="48">BM29</f>
        <v>0</v>
      </c>
      <c r="BN38" s="142">
        <f t="shared" si="48"/>
        <v>423287.22</v>
      </c>
      <c r="BO38" s="142">
        <f t="shared" si="48"/>
        <v>0</v>
      </c>
      <c r="BP38" s="142">
        <f t="shared" si="48"/>
        <v>0</v>
      </c>
      <c r="BQ38" s="142">
        <f t="shared" si="48"/>
        <v>423287.22</v>
      </c>
      <c r="BR38" s="142">
        <f t="shared" si="48"/>
        <v>0</v>
      </c>
      <c r="BS38" s="142">
        <f t="shared" si="48"/>
        <v>2061.75</v>
      </c>
      <c r="BT38" s="142">
        <f t="shared" si="48"/>
        <v>0</v>
      </c>
      <c r="BU38" s="142">
        <f t="shared" si="48"/>
        <v>0</v>
      </c>
      <c r="BV38" s="143">
        <f t="shared" si="48"/>
        <v>2061.75</v>
      </c>
      <c r="BW38" s="149">
        <f t="shared" ref="BW38:CI38" si="49">BW29</f>
        <v>423287.22</v>
      </c>
      <c r="BX38" s="142">
        <f t="shared" si="49"/>
        <v>-163385.2100000002</v>
      </c>
      <c r="BY38" s="142">
        <f t="shared" si="49"/>
        <v>0</v>
      </c>
      <c r="BZ38" s="142">
        <f t="shared" si="49"/>
        <v>0</v>
      </c>
      <c r="CA38" s="142">
        <f t="shared" si="49"/>
        <v>0</v>
      </c>
      <c r="CB38" s="142">
        <f t="shared" si="49"/>
        <v>0</v>
      </c>
      <c r="CC38" s="142">
        <f t="shared" si="49"/>
        <v>0</v>
      </c>
      <c r="CD38" s="142">
        <f t="shared" si="49"/>
        <v>259902.00999999978</v>
      </c>
      <c r="CE38" s="142">
        <f t="shared" si="49"/>
        <v>2061.75</v>
      </c>
      <c r="CF38" s="142">
        <f t="shared" si="49"/>
        <v>4502.7199999999939</v>
      </c>
      <c r="CG38" s="142">
        <f t="shared" si="49"/>
        <v>0</v>
      </c>
      <c r="CH38" s="142">
        <f t="shared" si="49"/>
        <v>0</v>
      </c>
      <c r="CI38" s="143">
        <f t="shared" si="49"/>
        <v>6564.4699999999939</v>
      </c>
      <c r="CJ38" s="149">
        <f t="shared" ref="CJ38:CO38" si="50">CJ29</f>
        <v>423287</v>
      </c>
      <c r="CK38" s="142">
        <f t="shared" si="50"/>
        <v>10358</v>
      </c>
      <c r="CL38" s="142">
        <f t="shared" si="50"/>
        <v>-163384.99000000022</v>
      </c>
      <c r="CM38" s="143">
        <f t="shared" si="50"/>
        <v>-3793.5300000000061</v>
      </c>
      <c r="CN38" s="142">
        <f t="shared" si="50"/>
        <v>-2401.7593530000031</v>
      </c>
      <c r="CO38" s="142">
        <f t="shared" si="50"/>
        <v>-800.58645100000103</v>
      </c>
      <c r="CP38" s="137">
        <f t="shared" si="33"/>
        <v>-170380.86580400023</v>
      </c>
      <c r="CQ38" s="150">
        <f>CQ29</f>
        <v>266466.48</v>
      </c>
      <c r="CR38" s="137">
        <f t="shared" si="34"/>
        <v>0</v>
      </c>
    </row>
    <row r="39" spans="1:96" ht="15" x14ac:dyDescent="0.25">
      <c r="C39" s="12"/>
      <c r="D39" s="12"/>
      <c r="E39" s="149"/>
      <c r="F39" s="142"/>
      <c r="G39" s="142"/>
      <c r="H39" s="142"/>
      <c r="I39" s="142"/>
      <c r="J39" s="142"/>
      <c r="K39" s="142"/>
      <c r="L39" s="142"/>
      <c r="M39" s="142"/>
      <c r="N39" s="143"/>
      <c r="O39" s="149"/>
      <c r="P39" s="142"/>
      <c r="Q39" s="142"/>
      <c r="R39" s="142"/>
      <c r="S39" s="142"/>
      <c r="T39" s="142"/>
      <c r="U39" s="142"/>
      <c r="V39" s="142"/>
      <c r="W39" s="142"/>
      <c r="X39" s="143"/>
      <c r="Y39" s="149"/>
      <c r="Z39" s="142"/>
      <c r="AA39" s="142"/>
      <c r="AB39" s="142"/>
      <c r="AC39" s="142"/>
      <c r="AD39" s="142"/>
      <c r="AE39" s="142"/>
      <c r="AF39" s="142"/>
      <c r="AG39" s="142"/>
      <c r="AH39" s="143"/>
      <c r="AI39" s="149"/>
      <c r="AJ39" s="142"/>
      <c r="AK39" s="142"/>
      <c r="AL39" s="142"/>
      <c r="AM39" s="142"/>
      <c r="AN39" s="142"/>
      <c r="AO39" s="142"/>
      <c r="AP39" s="142"/>
      <c r="AQ39" s="142"/>
      <c r="AR39" s="143"/>
      <c r="AS39" s="149"/>
      <c r="AT39" s="142"/>
      <c r="AU39" s="142"/>
      <c r="AV39" s="142"/>
      <c r="AW39" s="142"/>
      <c r="AX39" s="142"/>
      <c r="AY39" s="142"/>
      <c r="AZ39" s="142"/>
      <c r="BA39" s="142"/>
      <c r="BB39" s="143"/>
      <c r="BC39" s="149"/>
      <c r="BD39" s="142"/>
      <c r="BE39" s="142"/>
      <c r="BF39" s="142"/>
      <c r="BG39" s="142"/>
      <c r="BH39" s="142"/>
      <c r="BI39" s="142"/>
      <c r="BJ39" s="142"/>
      <c r="BK39" s="142"/>
      <c r="BL39" s="143"/>
      <c r="BM39" s="149"/>
      <c r="BN39" s="142"/>
      <c r="BO39" s="142"/>
      <c r="BP39" s="142"/>
      <c r="BQ39" s="142"/>
      <c r="BR39" s="142"/>
      <c r="BS39" s="142"/>
      <c r="BT39" s="142"/>
      <c r="BU39" s="142"/>
      <c r="BV39" s="143"/>
      <c r="BW39" s="149"/>
      <c r="BX39" s="142"/>
      <c r="BY39" s="142"/>
      <c r="BZ39" s="142"/>
      <c r="CA39" s="142"/>
      <c r="CB39" s="142"/>
      <c r="CC39" s="142"/>
      <c r="CD39" s="142"/>
      <c r="CE39" s="142"/>
      <c r="CF39" s="142"/>
      <c r="CG39" s="142"/>
      <c r="CH39" s="142"/>
      <c r="CI39" s="143"/>
      <c r="CJ39" s="149"/>
      <c r="CK39" s="142"/>
      <c r="CL39" s="142"/>
      <c r="CM39" s="143"/>
      <c r="CN39" s="136"/>
      <c r="CO39" s="136"/>
      <c r="CP39" s="137"/>
      <c r="CQ39" s="138"/>
      <c r="CR39" s="137"/>
    </row>
    <row r="40" spans="1:96" ht="35.25" customHeight="1" thickBot="1" x14ac:dyDescent="0.3">
      <c r="C40" s="59" t="s">
        <v>61</v>
      </c>
      <c r="D40" s="12"/>
      <c r="E40" s="149"/>
      <c r="F40" s="142"/>
      <c r="G40" s="142"/>
      <c r="H40" s="142"/>
      <c r="I40" s="142"/>
      <c r="J40" s="142"/>
      <c r="K40" s="142"/>
      <c r="L40" s="142"/>
      <c r="M40" s="142"/>
      <c r="N40" s="143"/>
      <c r="O40" s="149"/>
      <c r="P40" s="142"/>
      <c r="Q40" s="142"/>
      <c r="R40" s="142"/>
      <c r="S40" s="142"/>
      <c r="T40" s="142"/>
      <c r="U40" s="142"/>
      <c r="V40" s="142"/>
      <c r="W40" s="142"/>
      <c r="X40" s="143"/>
      <c r="Y40" s="149"/>
      <c r="Z40" s="142"/>
      <c r="AA40" s="142"/>
      <c r="AB40" s="142"/>
      <c r="AC40" s="142"/>
      <c r="AD40" s="142"/>
      <c r="AE40" s="142"/>
      <c r="AF40" s="142"/>
      <c r="AG40" s="142"/>
      <c r="AH40" s="143"/>
      <c r="AI40" s="149"/>
      <c r="AJ40" s="142"/>
      <c r="AK40" s="142"/>
      <c r="AL40" s="142"/>
      <c r="AM40" s="142"/>
      <c r="AN40" s="142"/>
      <c r="AO40" s="142"/>
      <c r="AP40" s="142"/>
      <c r="AQ40" s="142"/>
      <c r="AR40" s="143"/>
      <c r="AS40" s="149"/>
      <c r="AT40" s="142"/>
      <c r="AU40" s="142"/>
      <c r="AV40" s="142"/>
      <c r="AW40" s="142"/>
      <c r="AX40" s="142"/>
      <c r="AY40" s="142"/>
      <c r="AZ40" s="142"/>
      <c r="BA40" s="142"/>
      <c r="BB40" s="143"/>
      <c r="BC40" s="149"/>
      <c r="BD40" s="142"/>
      <c r="BE40" s="142"/>
      <c r="BF40" s="142"/>
      <c r="BG40" s="142"/>
      <c r="BH40" s="142"/>
      <c r="BI40" s="142"/>
      <c r="BJ40" s="142"/>
      <c r="BK40" s="142"/>
      <c r="BL40" s="143"/>
      <c r="BM40" s="149"/>
      <c r="BN40" s="142"/>
      <c r="BO40" s="142"/>
      <c r="BP40" s="142"/>
      <c r="BQ40" s="142"/>
      <c r="BR40" s="142"/>
      <c r="BS40" s="142"/>
      <c r="BT40" s="142"/>
      <c r="BU40" s="142"/>
      <c r="BV40" s="143"/>
      <c r="BW40" s="149"/>
      <c r="BX40" s="142"/>
      <c r="BY40" s="142"/>
      <c r="BZ40" s="142"/>
      <c r="CA40" s="142"/>
      <c r="CB40" s="142"/>
      <c r="CC40" s="142"/>
      <c r="CD40" s="142"/>
      <c r="CE40" s="142"/>
      <c r="CF40" s="142"/>
      <c r="CG40" s="142"/>
      <c r="CH40" s="142"/>
      <c r="CI40" s="143"/>
      <c r="CJ40" s="149"/>
      <c r="CK40" s="142"/>
      <c r="CL40" s="142"/>
      <c r="CM40" s="143"/>
      <c r="CN40" s="136"/>
      <c r="CO40" s="136"/>
      <c r="CP40" s="137"/>
      <c r="CQ40" s="138"/>
      <c r="CR40" s="137"/>
    </row>
    <row r="41" spans="1:96" ht="15" thickBot="1" x14ac:dyDescent="0.25">
      <c r="A41" s="1">
        <v>11</v>
      </c>
      <c r="C41" s="5" t="s">
        <v>14</v>
      </c>
      <c r="D41" s="8">
        <v>1508</v>
      </c>
      <c r="E41" s="140"/>
      <c r="F41" s="141"/>
      <c r="G41" s="141"/>
      <c r="H41" s="141"/>
      <c r="I41" s="142">
        <f t="shared" ref="I41:I61" si="51">E41+F41-G41+H41</f>
        <v>0</v>
      </c>
      <c r="J41" s="141"/>
      <c r="K41" s="141"/>
      <c r="L41" s="141"/>
      <c r="M41" s="141"/>
      <c r="N41" s="143">
        <f t="shared" ref="N41:N61" si="52">J41+K41-L41+M41</f>
        <v>0</v>
      </c>
      <c r="O41" s="144">
        <f t="shared" ref="O41:O49" si="53">I41</f>
        <v>0</v>
      </c>
      <c r="P41" s="141"/>
      <c r="Q41" s="141"/>
      <c r="R41" s="141"/>
      <c r="S41" s="142">
        <f t="shared" ref="S41:S61" si="54">O41+P41-Q41+R41</f>
        <v>0</v>
      </c>
      <c r="T41" s="145">
        <f t="shared" ref="T41:T61" si="55">N41</f>
        <v>0</v>
      </c>
      <c r="U41" s="141"/>
      <c r="V41" s="141"/>
      <c r="W41" s="141"/>
      <c r="X41" s="143">
        <f t="shared" ref="X41:X61" si="56">T41+U41-V41+W41</f>
        <v>0</v>
      </c>
      <c r="Y41" s="144">
        <f t="shared" ref="Y41:Y49" si="57">S41</f>
        <v>0</v>
      </c>
      <c r="Z41" s="141"/>
      <c r="AA41" s="141"/>
      <c r="AB41" s="141"/>
      <c r="AC41" s="142">
        <f t="shared" ref="AC41:AC61" si="58">Y41+Z41-AA41+AB41</f>
        <v>0</v>
      </c>
      <c r="AD41" s="145">
        <f t="shared" ref="AD41:AD49" si="59">X41</f>
        <v>0</v>
      </c>
      <c r="AE41" s="141"/>
      <c r="AF41" s="141"/>
      <c r="AG41" s="141"/>
      <c r="AH41" s="143">
        <f t="shared" ref="AH41:AH61" si="60">AD41+AE41-AF41+AG41</f>
        <v>0</v>
      </c>
      <c r="AI41" s="144">
        <f t="shared" ref="AI41:AI49" si="61">AC41</f>
        <v>0</v>
      </c>
      <c r="AJ41" s="141"/>
      <c r="AK41" s="141"/>
      <c r="AL41" s="141"/>
      <c r="AM41" s="142">
        <f t="shared" ref="AM41:AM61" si="62">AI41+AJ41-AK41+AL41</f>
        <v>0</v>
      </c>
      <c r="AN41" s="145">
        <f t="shared" ref="AN41:AN49" si="63">AH41</f>
        <v>0</v>
      </c>
      <c r="AO41" s="141"/>
      <c r="AP41" s="141"/>
      <c r="AQ41" s="141"/>
      <c r="AR41" s="143">
        <f t="shared" ref="AR41:AR61" si="64">AN41+AO41-AP41+AQ41</f>
        <v>0</v>
      </c>
      <c r="AS41" s="144">
        <f t="shared" ref="AS41:AS49" si="65">AM41</f>
        <v>0</v>
      </c>
      <c r="AT41" s="141"/>
      <c r="AU41" s="141"/>
      <c r="AV41" s="141"/>
      <c r="AW41" s="142">
        <f t="shared" ref="AW41:AW61" si="66">AS41+AT41-AU41+AV41</f>
        <v>0</v>
      </c>
      <c r="AX41" s="145">
        <f t="shared" ref="AX41:AX56" si="67">AR41</f>
        <v>0</v>
      </c>
      <c r="AY41" s="141"/>
      <c r="AZ41" s="141"/>
      <c r="BA41" s="141"/>
      <c r="BB41" s="143">
        <f t="shared" ref="BB41:BB61" si="68">AX41+AY41-AZ41+BA41</f>
        <v>0</v>
      </c>
      <c r="BC41" s="144">
        <f>AW41</f>
        <v>0</v>
      </c>
      <c r="BD41" s="141"/>
      <c r="BE41" s="141"/>
      <c r="BF41" s="141"/>
      <c r="BG41" s="142">
        <f t="shared" ref="BG41:BG61" si="69">BC41+BD41-BE41+SUM(BF41:BF41)</f>
        <v>0</v>
      </c>
      <c r="BH41" s="145">
        <f t="shared" ref="BH41:BH61" si="70">BB41</f>
        <v>0</v>
      </c>
      <c r="BI41" s="141"/>
      <c r="BJ41" s="141"/>
      <c r="BK41" s="141"/>
      <c r="BL41" s="143">
        <f t="shared" ref="BL41:BL61" si="71">BH41+BI41-BJ41+BK41</f>
        <v>0</v>
      </c>
      <c r="BM41" s="144">
        <f t="shared" ref="BM41:BM46" si="72">BG41</f>
        <v>0</v>
      </c>
      <c r="BN41" s="141"/>
      <c r="BO41" s="141"/>
      <c r="BP41" s="141"/>
      <c r="BQ41" s="142">
        <f t="shared" ref="BQ41:BQ61" si="73">BM41+BN41-BO41+SUM(BP41:BP41)</f>
        <v>0</v>
      </c>
      <c r="BR41" s="145">
        <f t="shared" ref="BR41:BR61" si="74">BL41</f>
        <v>0</v>
      </c>
      <c r="BS41" s="141"/>
      <c r="BT41" s="141"/>
      <c r="BU41" s="141"/>
      <c r="BV41" s="143">
        <f t="shared" ref="BV41:BV46" si="75">BR41+BS41-BT41+BU41</f>
        <v>0</v>
      </c>
      <c r="BW41" s="144">
        <f t="shared" ref="BW41:BW57" si="76">BQ41</f>
        <v>0</v>
      </c>
      <c r="BX41" s="141"/>
      <c r="BY41" s="141"/>
      <c r="BZ41" s="141"/>
      <c r="CA41" s="141"/>
      <c r="CB41" s="141"/>
      <c r="CC41" s="141"/>
      <c r="CD41" s="142">
        <f t="shared" ref="CD41:CD44" si="77">BW41+BX41-BY41+SUM(BZ41:CC41)</f>
        <v>0</v>
      </c>
      <c r="CE41" s="145">
        <f t="shared" ref="CE41:CE44" si="78">BV41</f>
        <v>0</v>
      </c>
      <c r="CF41" s="141"/>
      <c r="CG41" s="141"/>
      <c r="CH41" s="141"/>
      <c r="CI41" s="143">
        <f t="shared" ref="CI41:CI56" si="79">CE41+CF41-CG41+CH41</f>
        <v>0</v>
      </c>
      <c r="CJ41" s="140"/>
      <c r="CK41" s="141"/>
      <c r="CL41" s="145">
        <f>CD41-CJ41</f>
        <v>0</v>
      </c>
      <c r="CM41" s="146">
        <f>CI41-CK41</f>
        <v>0</v>
      </c>
      <c r="CN41" s="147"/>
      <c r="CO41" s="141"/>
      <c r="CP41" s="137">
        <f t="shared" si="33"/>
        <v>0</v>
      </c>
      <c r="CQ41" s="148">
        <v>0</v>
      </c>
      <c r="CR41" s="137">
        <f t="shared" si="34"/>
        <v>0</v>
      </c>
    </row>
    <row r="42" spans="1:96" ht="15" thickBot="1" x14ac:dyDescent="0.25">
      <c r="A42" s="1">
        <v>12</v>
      </c>
      <c r="C42" s="5" t="s">
        <v>15</v>
      </c>
      <c r="D42" s="8">
        <v>1508</v>
      </c>
      <c r="E42" s="140"/>
      <c r="F42" s="141"/>
      <c r="G42" s="141"/>
      <c r="H42" s="141"/>
      <c r="I42" s="142">
        <f t="shared" si="51"/>
        <v>0</v>
      </c>
      <c r="J42" s="141"/>
      <c r="K42" s="141"/>
      <c r="L42" s="141"/>
      <c r="M42" s="141"/>
      <c r="N42" s="143">
        <f t="shared" si="52"/>
        <v>0</v>
      </c>
      <c r="O42" s="144">
        <f t="shared" si="53"/>
        <v>0</v>
      </c>
      <c r="P42" s="141"/>
      <c r="Q42" s="141"/>
      <c r="R42" s="141"/>
      <c r="S42" s="142">
        <f t="shared" si="54"/>
        <v>0</v>
      </c>
      <c r="T42" s="145">
        <f t="shared" si="55"/>
        <v>0</v>
      </c>
      <c r="U42" s="141"/>
      <c r="V42" s="141"/>
      <c r="W42" s="141"/>
      <c r="X42" s="143">
        <f t="shared" si="56"/>
        <v>0</v>
      </c>
      <c r="Y42" s="144">
        <f t="shared" si="57"/>
        <v>0</v>
      </c>
      <c r="Z42" s="141"/>
      <c r="AA42" s="141"/>
      <c r="AB42" s="141"/>
      <c r="AC42" s="142">
        <f t="shared" si="58"/>
        <v>0</v>
      </c>
      <c r="AD42" s="145">
        <f t="shared" si="59"/>
        <v>0</v>
      </c>
      <c r="AE42" s="141"/>
      <c r="AF42" s="141"/>
      <c r="AG42" s="141"/>
      <c r="AH42" s="143">
        <f t="shared" si="60"/>
        <v>0</v>
      </c>
      <c r="AI42" s="144">
        <f t="shared" si="61"/>
        <v>0</v>
      </c>
      <c r="AJ42" s="141"/>
      <c r="AK42" s="141"/>
      <c r="AL42" s="141"/>
      <c r="AM42" s="142">
        <f t="shared" si="62"/>
        <v>0</v>
      </c>
      <c r="AN42" s="145">
        <f t="shared" si="63"/>
        <v>0</v>
      </c>
      <c r="AO42" s="141"/>
      <c r="AP42" s="141"/>
      <c r="AQ42" s="141"/>
      <c r="AR42" s="143">
        <f t="shared" si="64"/>
        <v>0</v>
      </c>
      <c r="AS42" s="144">
        <f t="shared" si="65"/>
        <v>0</v>
      </c>
      <c r="AT42" s="141"/>
      <c r="AU42" s="141"/>
      <c r="AV42" s="141"/>
      <c r="AW42" s="142">
        <f t="shared" si="66"/>
        <v>0</v>
      </c>
      <c r="AX42" s="145">
        <f t="shared" si="67"/>
        <v>0</v>
      </c>
      <c r="AY42" s="141"/>
      <c r="AZ42" s="141"/>
      <c r="BA42" s="141"/>
      <c r="BB42" s="143">
        <f t="shared" si="68"/>
        <v>0</v>
      </c>
      <c r="BC42" s="144">
        <f t="shared" ref="BC42:BC56" si="80">AW42</f>
        <v>0</v>
      </c>
      <c r="BD42" s="141"/>
      <c r="BE42" s="141"/>
      <c r="BF42" s="141"/>
      <c r="BG42" s="142">
        <f t="shared" si="69"/>
        <v>0</v>
      </c>
      <c r="BH42" s="145">
        <f t="shared" si="70"/>
        <v>0</v>
      </c>
      <c r="BI42" s="141"/>
      <c r="BJ42" s="141"/>
      <c r="BK42" s="141"/>
      <c r="BL42" s="143">
        <f t="shared" si="71"/>
        <v>0</v>
      </c>
      <c r="BM42" s="144">
        <f t="shared" si="72"/>
        <v>0</v>
      </c>
      <c r="BN42" s="141"/>
      <c r="BO42" s="141"/>
      <c r="BP42" s="141"/>
      <c r="BQ42" s="142">
        <f t="shared" si="73"/>
        <v>0</v>
      </c>
      <c r="BR42" s="145">
        <f t="shared" si="74"/>
        <v>0</v>
      </c>
      <c r="BS42" s="141"/>
      <c r="BT42" s="141"/>
      <c r="BU42" s="141"/>
      <c r="BV42" s="143">
        <f t="shared" si="75"/>
        <v>0</v>
      </c>
      <c r="BW42" s="144">
        <f t="shared" si="76"/>
        <v>0</v>
      </c>
      <c r="BX42" s="141"/>
      <c r="BY42" s="141"/>
      <c r="BZ42" s="141"/>
      <c r="CA42" s="141"/>
      <c r="CB42" s="141"/>
      <c r="CC42" s="141"/>
      <c r="CD42" s="142">
        <f t="shared" si="77"/>
        <v>0</v>
      </c>
      <c r="CE42" s="145">
        <f t="shared" si="78"/>
        <v>0</v>
      </c>
      <c r="CF42" s="141"/>
      <c r="CG42" s="141"/>
      <c r="CH42" s="141"/>
      <c r="CI42" s="143">
        <f t="shared" si="79"/>
        <v>0</v>
      </c>
      <c r="CJ42" s="140"/>
      <c r="CK42" s="141"/>
      <c r="CL42" s="145">
        <f t="shared" ref="CL42:CL61" si="81">CD42-CJ42</f>
        <v>0</v>
      </c>
      <c r="CM42" s="146">
        <f t="shared" ref="CM42:CM61" si="82">CI42-CK42</f>
        <v>0</v>
      </c>
      <c r="CN42" s="147"/>
      <c r="CO42" s="141"/>
      <c r="CP42" s="137">
        <f t="shared" si="33"/>
        <v>0</v>
      </c>
      <c r="CQ42" s="148">
        <v>0</v>
      </c>
      <c r="CR42" s="137">
        <f t="shared" si="34"/>
        <v>0</v>
      </c>
    </row>
    <row r="43" spans="1:96" ht="15" thickBot="1" x14ac:dyDescent="0.25">
      <c r="A43" s="1">
        <v>13</v>
      </c>
      <c r="C43" s="5" t="s">
        <v>67</v>
      </c>
      <c r="D43" s="8">
        <v>1508</v>
      </c>
      <c r="E43" s="140"/>
      <c r="F43" s="141"/>
      <c r="G43" s="141"/>
      <c r="H43" s="141"/>
      <c r="I43" s="142">
        <f t="shared" si="51"/>
        <v>0</v>
      </c>
      <c r="J43" s="141"/>
      <c r="K43" s="141"/>
      <c r="L43" s="141"/>
      <c r="M43" s="141"/>
      <c r="N43" s="143">
        <f t="shared" si="52"/>
        <v>0</v>
      </c>
      <c r="O43" s="144">
        <f t="shared" si="53"/>
        <v>0</v>
      </c>
      <c r="P43" s="141"/>
      <c r="Q43" s="141"/>
      <c r="R43" s="141"/>
      <c r="S43" s="142">
        <f t="shared" si="54"/>
        <v>0</v>
      </c>
      <c r="T43" s="145">
        <f t="shared" si="55"/>
        <v>0</v>
      </c>
      <c r="U43" s="141"/>
      <c r="V43" s="141"/>
      <c r="W43" s="141"/>
      <c r="X43" s="143">
        <f t="shared" si="56"/>
        <v>0</v>
      </c>
      <c r="Y43" s="144">
        <f t="shared" si="57"/>
        <v>0</v>
      </c>
      <c r="Z43" s="141"/>
      <c r="AA43" s="141"/>
      <c r="AB43" s="141"/>
      <c r="AC43" s="142">
        <f t="shared" si="58"/>
        <v>0</v>
      </c>
      <c r="AD43" s="145">
        <f t="shared" si="59"/>
        <v>0</v>
      </c>
      <c r="AE43" s="141"/>
      <c r="AF43" s="141"/>
      <c r="AG43" s="141"/>
      <c r="AH43" s="143">
        <f t="shared" si="60"/>
        <v>0</v>
      </c>
      <c r="AI43" s="144">
        <f t="shared" si="61"/>
        <v>0</v>
      </c>
      <c r="AJ43" s="141"/>
      <c r="AK43" s="141"/>
      <c r="AL43" s="141"/>
      <c r="AM43" s="142">
        <f t="shared" si="62"/>
        <v>0</v>
      </c>
      <c r="AN43" s="145">
        <f t="shared" si="63"/>
        <v>0</v>
      </c>
      <c r="AO43" s="141"/>
      <c r="AP43" s="141"/>
      <c r="AQ43" s="141"/>
      <c r="AR43" s="143">
        <f t="shared" si="64"/>
        <v>0</v>
      </c>
      <c r="AS43" s="144">
        <f t="shared" si="65"/>
        <v>0</v>
      </c>
      <c r="AT43" s="141">
        <v>594.85</v>
      </c>
      <c r="AU43" s="141"/>
      <c r="AV43" s="141"/>
      <c r="AW43" s="142">
        <f t="shared" si="66"/>
        <v>594.85</v>
      </c>
      <c r="AX43" s="145">
        <f t="shared" si="67"/>
        <v>0</v>
      </c>
      <c r="AY43" s="141">
        <v>0.27</v>
      </c>
      <c r="AZ43" s="141"/>
      <c r="BA43" s="141"/>
      <c r="BB43" s="143">
        <f t="shared" si="68"/>
        <v>0.27</v>
      </c>
      <c r="BC43" s="144">
        <f t="shared" si="80"/>
        <v>594.85</v>
      </c>
      <c r="BD43" s="141">
        <v>4082.7</v>
      </c>
      <c r="BE43" s="141"/>
      <c r="BF43" s="141">
        <v>-3332.7</v>
      </c>
      <c r="BG43" s="142">
        <f t="shared" si="69"/>
        <v>1344.8500000000004</v>
      </c>
      <c r="BH43" s="145">
        <f t="shared" si="70"/>
        <v>0.27</v>
      </c>
      <c r="BI43" s="141">
        <v>15.67</v>
      </c>
      <c r="BJ43" s="141"/>
      <c r="BK43" s="141">
        <v>-13.29</v>
      </c>
      <c r="BL43" s="143">
        <f t="shared" si="71"/>
        <v>2.6500000000000004</v>
      </c>
      <c r="BM43" s="144">
        <f t="shared" si="72"/>
        <v>1344.8500000000004</v>
      </c>
      <c r="BN43" s="141">
        <v>20530.52</v>
      </c>
      <c r="BO43" s="141"/>
      <c r="BP43" s="141">
        <v>-3690.66</v>
      </c>
      <c r="BQ43" s="142">
        <f t="shared" si="73"/>
        <v>18184.710000000003</v>
      </c>
      <c r="BR43" s="145">
        <f t="shared" si="74"/>
        <v>2.6500000000000004</v>
      </c>
      <c r="BS43" s="141">
        <v>112.03</v>
      </c>
      <c r="BT43" s="141"/>
      <c r="BU43" s="141">
        <f>-48.99-27.13</f>
        <v>-76.12</v>
      </c>
      <c r="BV43" s="143">
        <f t="shared" si="75"/>
        <v>38.56</v>
      </c>
      <c r="BW43" s="144">
        <f t="shared" si="76"/>
        <v>18184.710000000003</v>
      </c>
      <c r="BX43" s="141">
        <v>48131.27</v>
      </c>
      <c r="BY43" s="141"/>
      <c r="BZ43" s="141"/>
      <c r="CA43" s="141"/>
      <c r="CB43" s="141"/>
      <c r="CC43" s="141">
        <f>-73339.34+3332.7+3690.66</f>
        <v>-66315.98</v>
      </c>
      <c r="CD43" s="142">
        <f t="shared" si="77"/>
        <v>0</v>
      </c>
      <c r="CE43" s="145">
        <f t="shared" si="78"/>
        <v>38.56</v>
      </c>
      <c r="CF43" s="141">
        <v>733.02</v>
      </c>
      <c r="CG43" s="141"/>
      <c r="CH43" s="141">
        <f>-48.99-54.25-668.34</f>
        <v>-771.58</v>
      </c>
      <c r="CI43" s="143">
        <f t="shared" si="79"/>
        <v>0</v>
      </c>
      <c r="CJ43" s="140"/>
      <c r="CK43" s="141"/>
      <c r="CL43" s="145">
        <f t="shared" si="81"/>
        <v>0</v>
      </c>
      <c r="CM43" s="146">
        <f t="shared" si="82"/>
        <v>0</v>
      </c>
      <c r="CN43" s="147"/>
      <c r="CO43" s="141"/>
      <c r="CP43" s="137">
        <f t="shared" si="33"/>
        <v>0</v>
      </c>
      <c r="CQ43" s="148">
        <v>74200.33</v>
      </c>
      <c r="CR43" s="137">
        <f t="shared" si="34"/>
        <v>74200.33</v>
      </c>
    </row>
    <row r="44" spans="1:96" ht="15" thickBot="1" x14ac:dyDescent="0.25">
      <c r="A44" s="1">
        <v>14</v>
      </c>
      <c r="C44" s="5" t="s">
        <v>68</v>
      </c>
      <c r="D44" s="8">
        <v>1508</v>
      </c>
      <c r="E44" s="151"/>
      <c r="F44" s="152"/>
      <c r="G44" s="152"/>
      <c r="H44" s="152"/>
      <c r="I44" s="142"/>
      <c r="J44" s="152"/>
      <c r="K44" s="152"/>
      <c r="L44" s="152"/>
      <c r="M44" s="152"/>
      <c r="N44" s="143"/>
      <c r="O44" s="144"/>
      <c r="P44" s="152"/>
      <c r="Q44" s="152"/>
      <c r="R44" s="152"/>
      <c r="S44" s="142"/>
      <c r="T44" s="145"/>
      <c r="U44" s="152"/>
      <c r="V44" s="152"/>
      <c r="W44" s="152"/>
      <c r="X44" s="143"/>
      <c r="Y44" s="144"/>
      <c r="Z44" s="152"/>
      <c r="AA44" s="152"/>
      <c r="AB44" s="152"/>
      <c r="AC44" s="142"/>
      <c r="AD44" s="145"/>
      <c r="AE44" s="152"/>
      <c r="AF44" s="152"/>
      <c r="AG44" s="152"/>
      <c r="AH44" s="143"/>
      <c r="AI44" s="144"/>
      <c r="AJ44" s="152"/>
      <c r="AK44" s="152"/>
      <c r="AL44" s="152"/>
      <c r="AM44" s="142"/>
      <c r="AN44" s="145"/>
      <c r="AO44" s="152"/>
      <c r="AP44" s="152"/>
      <c r="AQ44" s="152"/>
      <c r="AR44" s="143"/>
      <c r="AS44" s="144">
        <f t="shared" si="65"/>
        <v>0</v>
      </c>
      <c r="AT44" s="141"/>
      <c r="AU44" s="141"/>
      <c r="AV44" s="141"/>
      <c r="AW44" s="142">
        <f>AS44+AT44-AU44+AV44</f>
        <v>0</v>
      </c>
      <c r="AX44" s="145">
        <f>AR44</f>
        <v>0</v>
      </c>
      <c r="AY44" s="141"/>
      <c r="AZ44" s="141"/>
      <c r="BA44" s="141"/>
      <c r="BB44" s="143">
        <f>AX44+AY44-AZ44+BA44</f>
        <v>0</v>
      </c>
      <c r="BC44" s="144">
        <f>AW44</f>
        <v>0</v>
      </c>
      <c r="BD44" s="141"/>
      <c r="BE44" s="141"/>
      <c r="BF44" s="141"/>
      <c r="BG44" s="142">
        <f t="shared" si="69"/>
        <v>0</v>
      </c>
      <c r="BH44" s="145">
        <f t="shared" si="70"/>
        <v>0</v>
      </c>
      <c r="BI44" s="141"/>
      <c r="BJ44" s="141"/>
      <c r="BK44" s="141"/>
      <c r="BL44" s="143">
        <f>BH44+BI44-BJ44+BK44</f>
        <v>0</v>
      </c>
      <c r="BM44" s="144">
        <f t="shared" si="72"/>
        <v>0</v>
      </c>
      <c r="BN44" s="141"/>
      <c r="BO44" s="141"/>
      <c r="BP44" s="141"/>
      <c r="BQ44" s="142">
        <f t="shared" si="73"/>
        <v>0</v>
      </c>
      <c r="BR44" s="145">
        <f t="shared" si="74"/>
        <v>0</v>
      </c>
      <c r="BS44" s="141"/>
      <c r="BT44" s="141"/>
      <c r="BU44" s="141"/>
      <c r="BV44" s="143">
        <f t="shared" si="75"/>
        <v>0</v>
      </c>
      <c r="BW44" s="144">
        <f t="shared" si="76"/>
        <v>0</v>
      </c>
      <c r="BX44" s="141"/>
      <c r="BY44" s="141"/>
      <c r="BZ44" s="141"/>
      <c r="CA44" s="141"/>
      <c r="CB44" s="141"/>
      <c r="CC44" s="141"/>
      <c r="CD44" s="142">
        <f t="shared" si="77"/>
        <v>0</v>
      </c>
      <c r="CE44" s="145">
        <f t="shared" si="78"/>
        <v>0</v>
      </c>
      <c r="CF44" s="141"/>
      <c r="CG44" s="141"/>
      <c r="CH44" s="141"/>
      <c r="CI44" s="143">
        <f t="shared" si="79"/>
        <v>0</v>
      </c>
      <c r="CJ44" s="140"/>
      <c r="CK44" s="141"/>
      <c r="CL44" s="145">
        <f t="shared" si="81"/>
        <v>0</v>
      </c>
      <c r="CM44" s="146">
        <f t="shared" si="82"/>
        <v>0</v>
      </c>
      <c r="CN44" s="147"/>
      <c r="CO44" s="141"/>
      <c r="CP44" s="137">
        <f t="shared" si="33"/>
        <v>0</v>
      </c>
      <c r="CQ44" s="148">
        <v>0</v>
      </c>
      <c r="CR44" s="137">
        <f t="shared" si="34"/>
        <v>0</v>
      </c>
    </row>
    <row r="45" spans="1:96" ht="31.5" thickBot="1" x14ac:dyDescent="0.25">
      <c r="A45" s="1">
        <v>15</v>
      </c>
      <c r="C45" s="33" t="s">
        <v>107</v>
      </c>
      <c r="D45" s="8">
        <v>1508</v>
      </c>
      <c r="E45" s="151"/>
      <c r="F45" s="152"/>
      <c r="G45" s="152"/>
      <c r="H45" s="152"/>
      <c r="I45" s="142"/>
      <c r="J45" s="152"/>
      <c r="K45" s="152"/>
      <c r="L45" s="152"/>
      <c r="M45" s="152"/>
      <c r="N45" s="143"/>
      <c r="O45" s="144"/>
      <c r="P45" s="152"/>
      <c r="Q45" s="152"/>
      <c r="R45" s="152"/>
      <c r="S45" s="142"/>
      <c r="T45" s="145"/>
      <c r="U45" s="152"/>
      <c r="V45" s="152"/>
      <c r="W45" s="152"/>
      <c r="X45" s="143"/>
      <c r="Y45" s="144"/>
      <c r="Z45" s="152"/>
      <c r="AA45" s="152"/>
      <c r="AB45" s="152"/>
      <c r="AC45" s="142"/>
      <c r="AD45" s="145"/>
      <c r="AE45" s="152"/>
      <c r="AF45" s="152"/>
      <c r="AG45" s="152"/>
      <c r="AH45" s="143"/>
      <c r="AI45" s="144"/>
      <c r="AJ45" s="152"/>
      <c r="AK45" s="152"/>
      <c r="AL45" s="152"/>
      <c r="AM45" s="142"/>
      <c r="AN45" s="145"/>
      <c r="AO45" s="152"/>
      <c r="AP45" s="152"/>
      <c r="AQ45" s="152"/>
      <c r="AR45" s="143"/>
      <c r="AS45" s="149"/>
      <c r="AT45" s="152"/>
      <c r="AU45" s="152"/>
      <c r="AV45" s="152"/>
      <c r="AW45" s="142"/>
      <c r="AX45" s="145"/>
      <c r="AY45" s="152"/>
      <c r="AZ45" s="152"/>
      <c r="BA45" s="152"/>
      <c r="BB45" s="143"/>
      <c r="BC45" s="144"/>
      <c r="BD45" s="152"/>
      <c r="BE45" s="152"/>
      <c r="BF45" s="152"/>
      <c r="BG45" s="142"/>
      <c r="BH45" s="145"/>
      <c r="BI45" s="152"/>
      <c r="BJ45" s="152"/>
      <c r="BK45" s="152"/>
      <c r="BL45" s="143"/>
      <c r="BM45" s="144">
        <f t="shared" si="72"/>
        <v>0</v>
      </c>
      <c r="BN45" s="141">
        <v>-0.02</v>
      </c>
      <c r="BO45" s="141"/>
      <c r="BP45" s="141"/>
      <c r="BQ45" s="142">
        <f t="shared" si="73"/>
        <v>-0.02</v>
      </c>
      <c r="BR45" s="145">
        <f t="shared" si="74"/>
        <v>0</v>
      </c>
      <c r="BS45" s="141">
        <v>144.03</v>
      </c>
      <c r="BT45" s="141"/>
      <c r="BU45" s="141"/>
      <c r="BV45" s="143">
        <f t="shared" si="75"/>
        <v>144.03</v>
      </c>
      <c r="BW45" s="144">
        <f t="shared" si="76"/>
        <v>-0.02</v>
      </c>
      <c r="BX45" s="141">
        <v>-0.23</v>
      </c>
      <c r="BY45" s="141"/>
      <c r="BZ45" s="141"/>
      <c r="CA45" s="141"/>
      <c r="CB45" s="141"/>
      <c r="CC45" s="141"/>
      <c r="CD45" s="142">
        <f>BW45+BX45-BY45+SUM(BZ45:CC45)</f>
        <v>-0.25</v>
      </c>
      <c r="CE45" s="145">
        <f>BV45</f>
        <v>144.03</v>
      </c>
      <c r="CF45" s="141"/>
      <c r="CG45" s="141"/>
      <c r="CH45" s="141"/>
      <c r="CI45" s="143">
        <f t="shared" si="79"/>
        <v>144.03</v>
      </c>
      <c r="CJ45" s="140"/>
      <c r="CK45" s="141"/>
      <c r="CL45" s="145">
        <f t="shared" si="81"/>
        <v>-0.25</v>
      </c>
      <c r="CM45" s="146">
        <f t="shared" si="82"/>
        <v>144.03</v>
      </c>
      <c r="CN45" s="147">
        <f t="shared" ref="CN45" si="83">1.47%*CL45</f>
        <v>-3.6749999999999999E-3</v>
      </c>
      <c r="CO45" s="141">
        <f>1.47%*CL45*4/12</f>
        <v>-1.225E-3</v>
      </c>
      <c r="CP45" s="137">
        <f t="shared" si="33"/>
        <v>143.77510000000001</v>
      </c>
      <c r="CQ45" s="148">
        <v>143.78</v>
      </c>
      <c r="CR45" s="137">
        <f t="shared" si="34"/>
        <v>0</v>
      </c>
    </row>
    <row r="46" spans="1:96" ht="29.25" thickBot="1" x14ac:dyDescent="0.25">
      <c r="A46" s="1">
        <v>16</v>
      </c>
      <c r="C46" s="33" t="s">
        <v>86</v>
      </c>
      <c r="D46" s="8">
        <v>1508</v>
      </c>
      <c r="E46" s="151"/>
      <c r="F46" s="152"/>
      <c r="G46" s="152"/>
      <c r="H46" s="152"/>
      <c r="I46" s="142"/>
      <c r="J46" s="152"/>
      <c r="K46" s="152"/>
      <c r="L46" s="152"/>
      <c r="M46" s="152"/>
      <c r="N46" s="143"/>
      <c r="O46" s="144"/>
      <c r="P46" s="152"/>
      <c r="Q46" s="152"/>
      <c r="R46" s="152"/>
      <c r="S46" s="142"/>
      <c r="T46" s="145"/>
      <c r="U46" s="152"/>
      <c r="V46" s="152"/>
      <c r="W46" s="152"/>
      <c r="X46" s="143"/>
      <c r="Y46" s="144"/>
      <c r="Z46" s="152"/>
      <c r="AA46" s="152"/>
      <c r="AB46" s="152"/>
      <c r="AC46" s="142"/>
      <c r="AD46" s="145"/>
      <c r="AE46" s="152"/>
      <c r="AF46" s="152"/>
      <c r="AG46" s="152"/>
      <c r="AH46" s="143"/>
      <c r="AI46" s="144"/>
      <c r="AJ46" s="152"/>
      <c r="AK46" s="152"/>
      <c r="AL46" s="152"/>
      <c r="AM46" s="142"/>
      <c r="AN46" s="145"/>
      <c r="AO46" s="152"/>
      <c r="AP46" s="152"/>
      <c r="AQ46" s="152"/>
      <c r="AR46" s="143"/>
      <c r="AS46" s="149"/>
      <c r="AT46" s="152"/>
      <c r="AU46" s="152"/>
      <c r="AV46" s="152"/>
      <c r="AW46" s="142"/>
      <c r="AX46" s="145"/>
      <c r="AY46" s="152"/>
      <c r="AZ46" s="152"/>
      <c r="BA46" s="152"/>
      <c r="BB46" s="143"/>
      <c r="BC46" s="144"/>
      <c r="BD46" s="152"/>
      <c r="BE46" s="152"/>
      <c r="BF46" s="152"/>
      <c r="BG46" s="142"/>
      <c r="BH46" s="145"/>
      <c r="BI46" s="152"/>
      <c r="BJ46" s="152"/>
      <c r="BK46" s="152"/>
      <c r="BL46" s="143"/>
      <c r="BM46" s="144">
        <f t="shared" si="72"/>
        <v>0</v>
      </c>
      <c r="BN46" s="141"/>
      <c r="BO46" s="141"/>
      <c r="BP46" s="141"/>
      <c r="BQ46" s="142">
        <f t="shared" si="73"/>
        <v>0</v>
      </c>
      <c r="BR46" s="145">
        <f t="shared" si="74"/>
        <v>0</v>
      </c>
      <c r="BS46" s="141"/>
      <c r="BT46" s="141"/>
      <c r="BU46" s="141"/>
      <c r="BV46" s="143">
        <f t="shared" si="75"/>
        <v>0</v>
      </c>
      <c r="BW46" s="144">
        <f t="shared" si="76"/>
        <v>0</v>
      </c>
      <c r="BX46" s="141"/>
      <c r="BY46" s="141"/>
      <c r="BZ46" s="141"/>
      <c r="CA46" s="141"/>
      <c r="CB46" s="141"/>
      <c r="CC46" s="141"/>
      <c r="CD46" s="142">
        <f>BW46+BX46-BY46+SUM(BZ46:CC46)</f>
        <v>0</v>
      </c>
      <c r="CE46" s="145">
        <f>BV46</f>
        <v>0</v>
      </c>
      <c r="CF46" s="141"/>
      <c r="CG46" s="141"/>
      <c r="CH46" s="141"/>
      <c r="CI46" s="143">
        <f t="shared" si="79"/>
        <v>0</v>
      </c>
      <c r="CJ46" s="140"/>
      <c r="CK46" s="141"/>
      <c r="CL46" s="145">
        <f t="shared" si="81"/>
        <v>0</v>
      </c>
      <c r="CM46" s="146">
        <f t="shared" si="82"/>
        <v>0</v>
      </c>
      <c r="CN46" s="147"/>
      <c r="CO46" s="141"/>
      <c r="CP46" s="137">
        <f t="shared" si="33"/>
        <v>0</v>
      </c>
      <c r="CQ46" s="148">
        <v>0</v>
      </c>
      <c r="CR46" s="137">
        <f t="shared" si="34"/>
        <v>0</v>
      </c>
    </row>
    <row r="47" spans="1:96" ht="17.25" thickBot="1" x14ac:dyDescent="0.25">
      <c r="A47" s="1">
        <v>17</v>
      </c>
      <c r="C47" s="5" t="s">
        <v>105</v>
      </c>
      <c r="D47" s="8">
        <v>1508</v>
      </c>
      <c r="E47" s="140"/>
      <c r="F47" s="141"/>
      <c r="G47" s="141"/>
      <c r="H47" s="141"/>
      <c r="I47" s="142">
        <f t="shared" si="51"/>
        <v>0</v>
      </c>
      <c r="J47" s="141"/>
      <c r="K47" s="141"/>
      <c r="L47" s="141"/>
      <c r="M47" s="141"/>
      <c r="N47" s="143">
        <f t="shared" si="52"/>
        <v>0</v>
      </c>
      <c r="O47" s="144">
        <f t="shared" si="53"/>
        <v>0</v>
      </c>
      <c r="P47" s="141"/>
      <c r="Q47" s="141"/>
      <c r="R47" s="141"/>
      <c r="S47" s="142">
        <f t="shared" si="54"/>
        <v>0</v>
      </c>
      <c r="T47" s="145">
        <f t="shared" si="55"/>
        <v>0</v>
      </c>
      <c r="U47" s="141"/>
      <c r="V47" s="141"/>
      <c r="W47" s="141"/>
      <c r="X47" s="143">
        <f t="shared" si="56"/>
        <v>0</v>
      </c>
      <c r="Y47" s="144">
        <f t="shared" si="57"/>
        <v>0</v>
      </c>
      <c r="Z47" s="141"/>
      <c r="AA47" s="141"/>
      <c r="AB47" s="141"/>
      <c r="AC47" s="142">
        <f t="shared" si="58"/>
        <v>0</v>
      </c>
      <c r="AD47" s="145">
        <f t="shared" si="59"/>
        <v>0</v>
      </c>
      <c r="AE47" s="141"/>
      <c r="AF47" s="141"/>
      <c r="AG47" s="141"/>
      <c r="AH47" s="143">
        <f t="shared" si="60"/>
        <v>0</v>
      </c>
      <c r="AI47" s="144">
        <f t="shared" si="61"/>
        <v>0</v>
      </c>
      <c r="AJ47" s="141"/>
      <c r="AK47" s="141"/>
      <c r="AL47" s="141"/>
      <c r="AM47" s="142">
        <f t="shared" si="62"/>
        <v>0</v>
      </c>
      <c r="AN47" s="145">
        <f t="shared" si="63"/>
        <v>0</v>
      </c>
      <c r="AO47" s="141"/>
      <c r="AP47" s="141"/>
      <c r="AQ47" s="141"/>
      <c r="AR47" s="143">
        <f t="shared" si="64"/>
        <v>0</v>
      </c>
      <c r="AS47" s="144">
        <f t="shared" si="65"/>
        <v>0</v>
      </c>
      <c r="AT47" s="141"/>
      <c r="AU47" s="141"/>
      <c r="AV47" s="141"/>
      <c r="AW47" s="142">
        <f t="shared" si="66"/>
        <v>0</v>
      </c>
      <c r="AX47" s="145">
        <f t="shared" si="67"/>
        <v>0</v>
      </c>
      <c r="AY47" s="141"/>
      <c r="AZ47" s="141"/>
      <c r="BA47" s="141"/>
      <c r="BB47" s="143">
        <f t="shared" si="68"/>
        <v>0</v>
      </c>
      <c r="BC47" s="144">
        <f t="shared" si="80"/>
        <v>0</v>
      </c>
      <c r="BD47" s="141"/>
      <c r="BE47" s="141"/>
      <c r="BF47" s="141"/>
      <c r="BG47" s="142">
        <f t="shared" si="69"/>
        <v>0</v>
      </c>
      <c r="BH47" s="145">
        <f t="shared" si="70"/>
        <v>0</v>
      </c>
      <c r="BI47" s="141"/>
      <c r="BJ47" s="141"/>
      <c r="BK47" s="141"/>
      <c r="BL47" s="143">
        <f t="shared" si="71"/>
        <v>0</v>
      </c>
      <c r="BM47" s="144">
        <f t="shared" ref="BM47:BM57" si="84">BG47</f>
        <v>0</v>
      </c>
      <c r="BN47" s="141"/>
      <c r="BO47" s="141"/>
      <c r="BP47" s="141"/>
      <c r="BQ47" s="142">
        <f t="shared" si="73"/>
        <v>0</v>
      </c>
      <c r="BR47" s="145">
        <f t="shared" si="74"/>
        <v>0</v>
      </c>
      <c r="BS47" s="141"/>
      <c r="BT47" s="141"/>
      <c r="BU47" s="141"/>
      <c r="BV47" s="143">
        <f t="shared" ref="BV47:BV56" si="85">BR47+BS47-BT47+BU47</f>
        <v>0</v>
      </c>
      <c r="BW47" s="144">
        <f t="shared" si="76"/>
        <v>0</v>
      </c>
      <c r="BX47" s="141"/>
      <c r="BY47" s="141"/>
      <c r="BZ47" s="141"/>
      <c r="CA47" s="141"/>
      <c r="CB47" s="141"/>
      <c r="CC47" s="141"/>
      <c r="CD47" s="142">
        <f t="shared" ref="CD47:CD56" si="86">BW47+BX47-BY47+SUM(BZ47:CC47)</f>
        <v>0</v>
      </c>
      <c r="CE47" s="145">
        <f t="shared" ref="CE47:CE56" si="87">BV47</f>
        <v>0</v>
      </c>
      <c r="CF47" s="141"/>
      <c r="CG47" s="141"/>
      <c r="CH47" s="141"/>
      <c r="CI47" s="143">
        <f t="shared" si="79"/>
        <v>0</v>
      </c>
      <c r="CJ47" s="140"/>
      <c r="CK47" s="141"/>
      <c r="CL47" s="145">
        <f t="shared" si="81"/>
        <v>0</v>
      </c>
      <c r="CM47" s="146">
        <f t="shared" si="82"/>
        <v>0</v>
      </c>
      <c r="CN47" s="147"/>
      <c r="CO47" s="141"/>
      <c r="CP47" s="137">
        <f t="shared" si="33"/>
        <v>0</v>
      </c>
      <c r="CQ47" s="148">
        <v>0</v>
      </c>
      <c r="CR47" s="137">
        <f t="shared" si="34"/>
        <v>0</v>
      </c>
    </row>
    <row r="48" spans="1:96" ht="15" thickBot="1" x14ac:dyDescent="0.25">
      <c r="A48" s="1">
        <v>18</v>
      </c>
      <c r="C48" s="5" t="s">
        <v>4</v>
      </c>
      <c r="D48" s="8">
        <v>1518</v>
      </c>
      <c r="E48" s="140">
        <v>18156.23</v>
      </c>
      <c r="F48" s="141">
        <f>22231.12-18156.23</f>
        <v>4074.8899999999994</v>
      </c>
      <c r="G48" s="141"/>
      <c r="H48" s="141"/>
      <c r="I48" s="142">
        <f t="shared" si="51"/>
        <v>22231.119999999999</v>
      </c>
      <c r="J48" s="141">
        <v>0</v>
      </c>
      <c r="K48" s="141"/>
      <c r="L48" s="141"/>
      <c r="M48" s="141"/>
      <c r="N48" s="143">
        <f t="shared" si="52"/>
        <v>0</v>
      </c>
      <c r="O48" s="144">
        <f t="shared" si="53"/>
        <v>22231.119999999999</v>
      </c>
      <c r="P48" s="141">
        <f>-2553.8+18156.23</f>
        <v>15602.43</v>
      </c>
      <c r="Q48" s="141">
        <v>18156.23</v>
      </c>
      <c r="R48" s="141"/>
      <c r="S48" s="142">
        <f t="shared" si="54"/>
        <v>19677.320000000003</v>
      </c>
      <c r="T48" s="145">
        <f t="shared" si="55"/>
        <v>0</v>
      </c>
      <c r="U48" s="141">
        <v>415.26</v>
      </c>
      <c r="V48" s="141"/>
      <c r="W48" s="141"/>
      <c r="X48" s="143">
        <f t="shared" si="56"/>
        <v>415.26</v>
      </c>
      <c r="Y48" s="144">
        <f t="shared" si="57"/>
        <v>19677.320000000003</v>
      </c>
      <c r="Z48" s="141">
        <f>31378.35-19677.32</f>
        <v>11701.029999999999</v>
      </c>
      <c r="AA48" s="141"/>
      <c r="AB48" s="141"/>
      <c r="AC48" s="142">
        <f t="shared" si="58"/>
        <v>31378.350000000002</v>
      </c>
      <c r="AD48" s="145">
        <f t="shared" si="59"/>
        <v>415.26</v>
      </c>
      <c r="AE48" s="141">
        <f>1627.13-415.26</f>
        <v>1211.8700000000001</v>
      </c>
      <c r="AF48" s="141"/>
      <c r="AG48" s="141"/>
      <c r="AH48" s="143">
        <f t="shared" si="60"/>
        <v>1627.13</v>
      </c>
      <c r="AI48" s="144">
        <f t="shared" si="61"/>
        <v>31378.350000000002</v>
      </c>
      <c r="AJ48" s="141">
        <f>43102.91-31378.35</f>
        <v>11724.560000000005</v>
      </c>
      <c r="AK48" s="141"/>
      <c r="AL48" s="141"/>
      <c r="AM48" s="142">
        <f t="shared" si="62"/>
        <v>43102.91</v>
      </c>
      <c r="AN48" s="145">
        <f t="shared" si="63"/>
        <v>1627.13</v>
      </c>
      <c r="AO48" s="141">
        <f>3066.51-1627.13</f>
        <v>1439.38</v>
      </c>
      <c r="AP48" s="141"/>
      <c r="AQ48" s="141"/>
      <c r="AR48" s="143">
        <f t="shared" si="64"/>
        <v>3066.51</v>
      </c>
      <c r="AS48" s="144">
        <f t="shared" si="65"/>
        <v>43102.91</v>
      </c>
      <c r="AT48" s="141">
        <v>17297.759999999998</v>
      </c>
      <c r="AU48" s="141"/>
      <c r="AV48" s="141"/>
      <c r="AW48" s="142">
        <f t="shared" si="66"/>
        <v>60400.67</v>
      </c>
      <c r="AX48" s="145">
        <f t="shared" si="67"/>
        <v>3066.51</v>
      </c>
      <c r="AY48" s="141">
        <v>507.96</v>
      </c>
      <c r="AZ48" s="141"/>
      <c r="BA48" s="141"/>
      <c r="BB48" s="143">
        <f t="shared" si="68"/>
        <v>3574.4700000000003</v>
      </c>
      <c r="BC48" s="144">
        <f t="shared" si="80"/>
        <v>60400.67</v>
      </c>
      <c r="BD48" s="141">
        <v>5164.9799999999996</v>
      </c>
      <c r="BE48" s="141"/>
      <c r="BF48" s="141"/>
      <c r="BG48" s="142">
        <f t="shared" si="69"/>
        <v>65565.649999999994</v>
      </c>
      <c r="BH48" s="145">
        <f t="shared" si="70"/>
        <v>3574.4700000000003</v>
      </c>
      <c r="BI48" s="141">
        <v>501.72</v>
      </c>
      <c r="BJ48" s="141"/>
      <c r="BK48" s="141"/>
      <c r="BL48" s="143">
        <f t="shared" si="71"/>
        <v>4076.1900000000005</v>
      </c>
      <c r="BM48" s="144">
        <f t="shared" si="84"/>
        <v>65565.649999999994</v>
      </c>
      <c r="BN48" s="141">
        <v>8819.19</v>
      </c>
      <c r="BO48" s="141"/>
      <c r="BP48" s="141"/>
      <c r="BQ48" s="142">
        <f t="shared" si="73"/>
        <v>74384.84</v>
      </c>
      <c r="BR48" s="145">
        <f t="shared" si="74"/>
        <v>4076.1900000000005</v>
      </c>
      <c r="BS48" s="141">
        <v>1024.94</v>
      </c>
      <c r="BT48" s="141"/>
      <c r="BU48" s="141"/>
      <c r="BV48" s="143">
        <f t="shared" si="85"/>
        <v>5101.130000000001</v>
      </c>
      <c r="BW48" s="144">
        <f t="shared" si="76"/>
        <v>74384.84</v>
      </c>
      <c r="BX48" s="141">
        <v>1309.67</v>
      </c>
      <c r="BY48" s="141"/>
      <c r="BZ48" s="141"/>
      <c r="CA48" s="141"/>
      <c r="CB48" s="141"/>
      <c r="CC48" s="141"/>
      <c r="CD48" s="142">
        <f t="shared" si="86"/>
        <v>75694.509999999995</v>
      </c>
      <c r="CE48" s="145">
        <f t="shared" si="87"/>
        <v>5101.130000000001</v>
      </c>
      <c r="CF48" s="141">
        <v>1108.29</v>
      </c>
      <c r="CG48" s="141"/>
      <c r="CH48" s="141"/>
      <c r="CI48" s="143">
        <f t="shared" si="79"/>
        <v>6209.420000000001</v>
      </c>
      <c r="CJ48" s="140"/>
      <c r="CK48" s="141"/>
      <c r="CL48" s="145">
        <f t="shared" si="81"/>
        <v>75694.509999999995</v>
      </c>
      <c r="CM48" s="146">
        <f t="shared" si="82"/>
        <v>6209.420000000001</v>
      </c>
      <c r="CN48" s="147">
        <f t="shared" ref="CN48" si="88">1.47%*CL48</f>
        <v>1112.7092969999999</v>
      </c>
      <c r="CO48" s="141">
        <f>1.47%*CL48*4/12</f>
        <v>370.90309899999994</v>
      </c>
      <c r="CP48" s="137">
        <f t="shared" si="33"/>
        <v>83387.54239599999</v>
      </c>
      <c r="CQ48" s="148">
        <v>81903.929999999993</v>
      </c>
      <c r="CR48" s="137">
        <f t="shared" si="34"/>
        <v>0</v>
      </c>
    </row>
    <row r="49" spans="1:96" ht="15" thickBot="1" x14ac:dyDescent="0.25">
      <c r="A49" s="1">
        <v>19</v>
      </c>
      <c r="C49" s="5" t="s">
        <v>17</v>
      </c>
      <c r="D49" s="8">
        <v>1525</v>
      </c>
      <c r="E49" s="153"/>
      <c r="F49" s="154"/>
      <c r="G49" s="154"/>
      <c r="H49" s="154"/>
      <c r="I49" s="142">
        <f t="shared" si="51"/>
        <v>0</v>
      </c>
      <c r="J49" s="154"/>
      <c r="K49" s="154"/>
      <c r="L49" s="154"/>
      <c r="M49" s="154"/>
      <c r="N49" s="143">
        <f t="shared" si="52"/>
        <v>0</v>
      </c>
      <c r="O49" s="144">
        <f t="shared" si="53"/>
        <v>0</v>
      </c>
      <c r="P49" s="154"/>
      <c r="Q49" s="154"/>
      <c r="R49" s="154"/>
      <c r="S49" s="142">
        <f t="shared" si="54"/>
        <v>0</v>
      </c>
      <c r="T49" s="145">
        <f t="shared" si="55"/>
        <v>0</v>
      </c>
      <c r="U49" s="154"/>
      <c r="V49" s="154"/>
      <c r="W49" s="154"/>
      <c r="X49" s="143">
        <f t="shared" si="56"/>
        <v>0</v>
      </c>
      <c r="Y49" s="144">
        <f t="shared" si="57"/>
        <v>0</v>
      </c>
      <c r="Z49" s="154"/>
      <c r="AA49" s="154"/>
      <c r="AB49" s="154"/>
      <c r="AC49" s="142">
        <f t="shared" si="58"/>
        <v>0</v>
      </c>
      <c r="AD49" s="145">
        <f t="shared" si="59"/>
        <v>0</v>
      </c>
      <c r="AE49" s="154"/>
      <c r="AF49" s="154"/>
      <c r="AG49" s="154"/>
      <c r="AH49" s="143">
        <f t="shared" si="60"/>
        <v>0</v>
      </c>
      <c r="AI49" s="144">
        <f t="shared" si="61"/>
        <v>0</v>
      </c>
      <c r="AJ49" s="154"/>
      <c r="AK49" s="154"/>
      <c r="AL49" s="154"/>
      <c r="AM49" s="142">
        <f t="shared" si="62"/>
        <v>0</v>
      </c>
      <c r="AN49" s="145">
        <f t="shared" si="63"/>
        <v>0</v>
      </c>
      <c r="AO49" s="154"/>
      <c r="AP49" s="154"/>
      <c r="AQ49" s="154"/>
      <c r="AR49" s="143">
        <f t="shared" si="64"/>
        <v>0</v>
      </c>
      <c r="AS49" s="144">
        <f t="shared" si="65"/>
        <v>0</v>
      </c>
      <c r="AT49" s="154"/>
      <c r="AU49" s="154"/>
      <c r="AV49" s="154"/>
      <c r="AW49" s="142">
        <f t="shared" si="66"/>
        <v>0</v>
      </c>
      <c r="AX49" s="145">
        <f t="shared" si="67"/>
        <v>0</v>
      </c>
      <c r="AY49" s="154"/>
      <c r="AZ49" s="154"/>
      <c r="BA49" s="154"/>
      <c r="BB49" s="143">
        <f t="shared" si="68"/>
        <v>0</v>
      </c>
      <c r="BC49" s="144">
        <f t="shared" si="80"/>
        <v>0</v>
      </c>
      <c r="BD49" s="141"/>
      <c r="BE49" s="141"/>
      <c r="BF49" s="141"/>
      <c r="BG49" s="142">
        <f t="shared" si="69"/>
        <v>0</v>
      </c>
      <c r="BH49" s="145">
        <f t="shared" si="70"/>
        <v>0</v>
      </c>
      <c r="BI49" s="141"/>
      <c r="BJ49" s="154"/>
      <c r="BK49" s="154"/>
      <c r="BL49" s="143">
        <f t="shared" si="71"/>
        <v>0</v>
      </c>
      <c r="BM49" s="144">
        <f t="shared" si="84"/>
        <v>0</v>
      </c>
      <c r="BN49" s="141"/>
      <c r="BO49" s="141"/>
      <c r="BP49" s="141"/>
      <c r="BQ49" s="142">
        <f t="shared" si="73"/>
        <v>0</v>
      </c>
      <c r="BR49" s="145">
        <f t="shared" si="74"/>
        <v>0</v>
      </c>
      <c r="BS49" s="141"/>
      <c r="BT49" s="154"/>
      <c r="BU49" s="154"/>
      <c r="BV49" s="143">
        <f t="shared" si="85"/>
        <v>0</v>
      </c>
      <c r="BW49" s="144">
        <f t="shared" si="76"/>
        <v>0</v>
      </c>
      <c r="BX49" s="141"/>
      <c r="BY49" s="141"/>
      <c r="BZ49" s="141"/>
      <c r="CA49" s="141"/>
      <c r="CB49" s="141"/>
      <c r="CC49" s="141"/>
      <c r="CD49" s="142">
        <f t="shared" si="86"/>
        <v>0</v>
      </c>
      <c r="CE49" s="145">
        <f t="shared" si="87"/>
        <v>0</v>
      </c>
      <c r="CF49" s="141"/>
      <c r="CG49" s="154"/>
      <c r="CH49" s="154"/>
      <c r="CI49" s="143">
        <f t="shared" si="79"/>
        <v>0</v>
      </c>
      <c r="CJ49" s="140"/>
      <c r="CK49" s="141"/>
      <c r="CL49" s="145">
        <f t="shared" si="81"/>
        <v>0</v>
      </c>
      <c r="CM49" s="146">
        <f t="shared" si="82"/>
        <v>0</v>
      </c>
      <c r="CN49" s="147"/>
      <c r="CO49" s="141"/>
      <c r="CP49" s="137">
        <f t="shared" si="33"/>
        <v>0</v>
      </c>
      <c r="CQ49" s="148">
        <v>0</v>
      </c>
      <c r="CR49" s="137">
        <f t="shared" si="34"/>
        <v>0</v>
      </c>
    </row>
    <row r="50" spans="1:96" ht="15" thickBot="1" x14ac:dyDescent="0.25">
      <c r="A50" s="1">
        <v>20</v>
      </c>
      <c r="C50" s="5" t="s">
        <v>64</v>
      </c>
      <c r="D50" s="8">
        <v>1531</v>
      </c>
      <c r="E50" s="151"/>
      <c r="F50" s="152"/>
      <c r="G50" s="152"/>
      <c r="H50" s="152"/>
      <c r="I50" s="142"/>
      <c r="J50" s="152"/>
      <c r="K50" s="152"/>
      <c r="L50" s="152"/>
      <c r="M50" s="152"/>
      <c r="N50" s="143"/>
      <c r="O50" s="144"/>
      <c r="P50" s="152"/>
      <c r="Q50" s="152"/>
      <c r="R50" s="152"/>
      <c r="S50" s="142"/>
      <c r="T50" s="145"/>
      <c r="U50" s="152"/>
      <c r="V50" s="152"/>
      <c r="W50" s="152"/>
      <c r="X50" s="143"/>
      <c r="Y50" s="144"/>
      <c r="Z50" s="152"/>
      <c r="AA50" s="152"/>
      <c r="AB50" s="152"/>
      <c r="AC50" s="142"/>
      <c r="AD50" s="152"/>
      <c r="AE50" s="152"/>
      <c r="AF50" s="152"/>
      <c r="AG50" s="152"/>
      <c r="AH50" s="143"/>
      <c r="AI50" s="144"/>
      <c r="AJ50" s="152"/>
      <c r="AK50" s="152"/>
      <c r="AL50" s="152"/>
      <c r="AM50" s="142"/>
      <c r="AN50" s="152"/>
      <c r="AO50" s="152"/>
      <c r="AP50" s="152"/>
      <c r="AQ50" s="152"/>
      <c r="AR50" s="143"/>
      <c r="AS50" s="155">
        <v>0</v>
      </c>
      <c r="AT50" s="154">
        <v>386.27</v>
      </c>
      <c r="AU50" s="154"/>
      <c r="AV50" s="154">
        <v>-386.27</v>
      </c>
      <c r="AW50" s="142">
        <f t="shared" si="66"/>
        <v>0</v>
      </c>
      <c r="AX50" s="145">
        <f t="shared" si="67"/>
        <v>0</v>
      </c>
      <c r="AY50" s="154">
        <v>0.37</v>
      </c>
      <c r="AZ50" s="154"/>
      <c r="BA50" s="154">
        <f>-AY50</f>
        <v>-0.37</v>
      </c>
      <c r="BB50" s="143">
        <f t="shared" si="68"/>
        <v>0</v>
      </c>
      <c r="BC50" s="144">
        <f t="shared" si="80"/>
        <v>0</v>
      </c>
      <c r="BD50" s="141">
        <v>14665.1</v>
      </c>
      <c r="BE50" s="141"/>
      <c r="BF50" s="141">
        <v>-14665.1</v>
      </c>
      <c r="BG50" s="142">
        <f t="shared" si="69"/>
        <v>0</v>
      </c>
      <c r="BH50" s="145">
        <f t="shared" si="70"/>
        <v>0</v>
      </c>
      <c r="BI50" s="141">
        <v>51.51</v>
      </c>
      <c r="BJ50" s="141"/>
      <c r="BK50" s="141">
        <f>-BI50</f>
        <v>-51.51</v>
      </c>
      <c r="BL50" s="143">
        <f t="shared" si="71"/>
        <v>0</v>
      </c>
      <c r="BM50" s="144">
        <f t="shared" si="84"/>
        <v>0</v>
      </c>
      <c r="BN50" s="141"/>
      <c r="BO50" s="141"/>
      <c r="BP50" s="141"/>
      <c r="BQ50" s="142">
        <f t="shared" si="73"/>
        <v>0</v>
      </c>
      <c r="BR50" s="145">
        <f t="shared" si="74"/>
        <v>0</v>
      </c>
      <c r="BS50" s="141">
        <v>221.45</v>
      </c>
      <c r="BT50" s="141"/>
      <c r="BU50" s="154">
        <f>-BS50</f>
        <v>-221.45</v>
      </c>
      <c r="BV50" s="143">
        <f t="shared" si="85"/>
        <v>0</v>
      </c>
      <c r="BW50" s="144">
        <f t="shared" si="76"/>
        <v>0</v>
      </c>
      <c r="BX50" s="141"/>
      <c r="BY50" s="141"/>
      <c r="BZ50" s="141"/>
      <c r="CA50" s="141"/>
      <c r="CB50" s="141"/>
      <c r="CC50" s="141"/>
      <c r="CD50" s="142">
        <f t="shared" si="86"/>
        <v>0</v>
      </c>
      <c r="CE50" s="145">
        <f t="shared" si="87"/>
        <v>0</v>
      </c>
      <c r="CF50" s="141">
        <v>221.24</v>
      </c>
      <c r="CG50" s="141"/>
      <c r="CH50" s="154">
        <v>-221.24</v>
      </c>
      <c r="CI50" s="143">
        <f t="shared" si="79"/>
        <v>0</v>
      </c>
      <c r="CJ50" s="141"/>
      <c r="CK50" s="141"/>
      <c r="CL50" s="145">
        <f t="shared" si="81"/>
        <v>0</v>
      </c>
      <c r="CM50" s="146">
        <f t="shared" si="82"/>
        <v>0</v>
      </c>
      <c r="CN50" s="147"/>
      <c r="CO50" s="141"/>
      <c r="CP50" s="137">
        <f t="shared" si="33"/>
        <v>0</v>
      </c>
      <c r="CQ50" s="148">
        <v>15545.94</v>
      </c>
      <c r="CR50" s="137">
        <f t="shared" si="34"/>
        <v>15545.94</v>
      </c>
    </row>
    <row r="51" spans="1:96" ht="15" thickBot="1" x14ac:dyDescent="0.25">
      <c r="A51" s="1">
        <v>21</v>
      </c>
      <c r="C51" s="5" t="s">
        <v>65</v>
      </c>
      <c r="D51" s="8">
        <v>1532</v>
      </c>
      <c r="E51" s="151"/>
      <c r="F51" s="152"/>
      <c r="G51" s="152"/>
      <c r="H51" s="152"/>
      <c r="I51" s="142"/>
      <c r="J51" s="152"/>
      <c r="K51" s="152"/>
      <c r="L51" s="152"/>
      <c r="M51" s="152"/>
      <c r="N51" s="143"/>
      <c r="O51" s="144"/>
      <c r="P51" s="152"/>
      <c r="Q51" s="152"/>
      <c r="R51" s="152"/>
      <c r="S51" s="142"/>
      <c r="T51" s="145"/>
      <c r="U51" s="152"/>
      <c r="V51" s="152"/>
      <c r="W51" s="152"/>
      <c r="X51" s="143"/>
      <c r="Y51" s="144"/>
      <c r="Z51" s="152"/>
      <c r="AA51" s="152"/>
      <c r="AB51" s="152"/>
      <c r="AC51" s="142"/>
      <c r="AD51" s="152"/>
      <c r="AE51" s="152"/>
      <c r="AF51" s="152"/>
      <c r="AG51" s="152"/>
      <c r="AH51" s="143"/>
      <c r="AI51" s="144"/>
      <c r="AJ51" s="152"/>
      <c r="AK51" s="152"/>
      <c r="AL51" s="152"/>
      <c r="AM51" s="142"/>
      <c r="AN51" s="152"/>
      <c r="AO51" s="152"/>
      <c r="AP51" s="152"/>
      <c r="AQ51" s="152"/>
      <c r="AR51" s="143"/>
      <c r="AS51" s="155">
        <v>0</v>
      </c>
      <c r="AT51" s="154">
        <v>5636.75</v>
      </c>
      <c r="AU51" s="154"/>
      <c r="AV51" s="154">
        <f>'[4]Renew Connect'!$C$18-'[4]Renew Connect'!$C$6</f>
        <v>-5636.7499999999991</v>
      </c>
      <c r="AW51" s="142">
        <f t="shared" si="66"/>
        <v>0</v>
      </c>
      <c r="AX51" s="145">
        <f t="shared" si="67"/>
        <v>0</v>
      </c>
      <c r="AY51" s="154">
        <v>7.41</v>
      </c>
      <c r="AZ51" s="154"/>
      <c r="BA51" s="154">
        <f>'[4]Renew Connect'!$C$19-'[4]Renew Connect'!$C$7</f>
        <v>-7.41</v>
      </c>
      <c r="BB51" s="143">
        <f t="shared" si="68"/>
        <v>0</v>
      </c>
      <c r="BC51" s="144">
        <f t="shared" si="80"/>
        <v>0</v>
      </c>
      <c r="BD51" s="141">
        <v>1171.8499999999999</v>
      </c>
      <c r="BE51" s="141"/>
      <c r="BF51" s="141">
        <f>'[4]Renew Connect'!$D$18-'[4]Renew Connect'!$D$6</f>
        <v>11399.81</v>
      </c>
      <c r="BG51" s="142">
        <f t="shared" si="69"/>
        <v>12571.66</v>
      </c>
      <c r="BH51" s="145">
        <f t="shared" si="70"/>
        <v>0</v>
      </c>
      <c r="BI51" s="141">
        <v>48.94</v>
      </c>
      <c r="BJ51" s="141"/>
      <c r="BK51" s="141">
        <f>'[4]Renew Connect'!$D$19-'[4]Renew Connect'!$D$7</f>
        <v>43.461701000000005</v>
      </c>
      <c r="BL51" s="143">
        <f t="shared" si="71"/>
        <v>92.401701000000003</v>
      </c>
      <c r="BM51" s="144">
        <f t="shared" si="84"/>
        <v>12571.66</v>
      </c>
      <c r="BN51" s="141">
        <v>840.9</v>
      </c>
      <c r="BO51" s="141"/>
      <c r="BP51" s="141">
        <f>'[4]Renew Connect'!$E$18-'[4]Renew Connect'!$E$6</f>
        <v>5159.1000000000004</v>
      </c>
      <c r="BQ51" s="142">
        <f t="shared" si="73"/>
        <v>18571.66</v>
      </c>
      <c r="BR51" s="145">
        <f t="shared" si="74"/>
        <v>92.401701000000003</v>
      </c>
      <c r="BS51" s="141">
        <v>110.92</v>
      </c>
      <c r="BT51" s="141"/>
      <c r="BU51" s="154">
        <f>'[4]Renew Connect'!$E$19-'[4]Renew Connect'!$E$7</f>
        <v>117.983402</v>
      </c>
      <c r="BV51" s="143">
        <f t="shared" si="85"/>
        <v>321.30510300000003</v>
      </c>
      <c r="BW51" s="144">
        <f t="shared" si="76"/>
        <v>18571.66</v>
      </c>
      <c r="BX51" s="141"/>
      <c r="BY51" s="141"/>
      <c r="BZ51" s="141"/>
      <c r="CA51" s="141"/>
      <c r="CB51" s="141"/>
      <c r="CC51" s="141"/>
      <c r="CD51" s="142">
        <f t="shared" si="86"/>
        <v>18571.66</v>
      </c>
      <c r="CE51" s="145">
        <f t="shared" si="87"/>
        <v>321.30510300000003</v>
      </c>
      <c r="CF51" s="141">
        <v>112.44</v>
      </c>
      <c r="CG51" s="141"/>
      <c r="CH51" s="154">
        <f>'[4]Renew Connect'!$F$19-'[4]Renew Connect'!$F$7</f>
        <v>160.563402</v>
      </c>
      <c r="CI51" s="143">
        <f t="shared" si="79"/>
        <v>594.30850499999997</v>
      </c>
      <c r="CJ51" s="141">
        <v>18571.66</v>
      </c>
      <c r="CK51" s="141">
        <v>594.30999999999995</v>
      </c>
      <c r="CL51" s="145">
        <f t="shared" si="81"/>
        <v>0</v>
      </c>
      <c r="CM51" s="146">
        <f t="shared" si="82"/>
        <v>-1.4949999999771535E-3</v>
      </c>
      <c r="CN51" s="147"/>
      <c r="CO51" s="141"/>
      <c r="CP51" s="137">
        <f t="shared" si="33"/>
        <v>-1.4949999999771535E-3</v>
      </c>
      <c r="CQ51" s="148">
        <v>7929.21</v>
      </c>
      <c r="CR51" s="137">
        <f t="shared" si="34"/>
        <v>-11236.758505000002</v>
      </c>
    </row>
    <row r="52" spans="1:96" ht="15" thickBot="1" x14ac:dyDescent="0.25">
      <c r="A52" s="1">
        <v>22</v>
      </c>
      <c r="C52" s="9" t="s">
        <v>41</v>
      </c>
      <c r="D52" s="8">
        <v>1533</v>
      </c>
      <c r="E52" s="151"/>
      <c r="F52" s="152"/>
      <c r="G52" s="152"/>
      <c r="H52" s="152"/>
      <c r="I52" s="142"/>
      <c r="J52" s="152"/>
      <c r="K52" s="152"/>
      <c r="L52" s="152"/>
      <c r="M52" s="152"/>
      <c r="N52" s="143"/>
      <c r="O52" s="144"/>
      <c r="P52" s="152"/>
      <c r="Q52" s="152"/>
      <c r="R52" s="152"/>
      <c r="S52" s="142"/>
      <c r="T52" s="145"/>
      <c r="U52" s="152"/>
      <c r="V52" s="152"/>
      <c r="W52" s="152"/>
      <c r="X52" s="143"/>
      <c r="Y52" s="144"/>
      <c r="Z52" s="152"/>
      <c r="AA52" s="152"/>
      <c r="AB52" s="152"/>
      <c r="AC52" s="142"/>
      <c r="AD52" s="152"/>
      <c r="AE52" s="152"/>
      <c r="AF52" s="152"/>
      <c r="AG52" s="152"/>
      <c r="AH52" s="143"/>
      <c r="AI52" s="144"/>
      <c r="AJ52" s="152"/>
      <c r="AK52" s="152"/>
      <c r="AL52" s="152"/>
      <c r="AM52" s="142"/>
      <c r="AN52" s="152"/>
      <c r="AO52" s="152"/>
      <c r="AP52" s="152"/>
      <c r="AQ52" s="152"/>
      <c r="AR52" s="143"/>
      <c r="AS52" s="155">
        <v>0</v>
      </c>
      <c r="AT52" s="154">
        <v>0</v>
      </c>
      <c r="AU52" s="154"/>
      <c r="AV52" s="154"/>
      <c r="AW52" s="142">
        <f t="shared" si="66"/>
        <v>0</v>
      </c>
      <c r="AX52" s="145">
        <f t="shared" si="67"/>
        <v>0</v>
      </c>
      <c r="AY52" s="154">
        <v>0</v>
      </c>
      <c r="AZ52" s="154"/>
      <c r="BA52" s="154"/>
      <c r="BB52" s="143">
        <f t="shared" si="68"/>
        <v>0</v>
      </c>
      <c r="BC52" s="144">
        <f t="shared" si="80"/>
        <v>0</v>
      </c>
      <c r="BD52" s="141">
        <v>0</v>
      </c>
      <c r="BE52" s="141"/>
      <c r="BF52" s="141"/>
      <c r="BG52" s="142">
        <f t="shared" si="69"/>
        <v>0</v>
      </c>
      <c r="BH52" s="145">
        <f t="shared" si="70"/>
        <v>0</v>
      </c>
      <c r="BI52" s="141"/>
      <c r="BJ52" s="141"/>
      <c r="BK52" s="141"/>
      <c r="BL52" s="143">
        <f t="shared" si="71"/>
        <v>0</v>
      </c>
      <c r="BM52" s="144">
        <f t="shared" si="84"/>
        <v>0</v>
      </c>
      <c r="BN52" s="141"/>
      <c r="BO52" s="141"/>
      <c r="BP52" s="141"/>
      <c r="BQ52" s="142">
        <f t="shared" si="73"/>
        <v>0</v>
      </c>
      <c r="BR52" s="145">
        <f t="shared" si="74"/>
        <v>0</v>
      </c>
      <c r="BS52" s="141"/>
      <c r="BT52" s="141"/>
      <c r="BU52" s="154"/>
      <c r="BV52" s="143">
        <f t="shared" si="85"/>
        <v>0</v>
      </c>
      <c r="BW52" s="144">
        <f t="shared" si="76"/>
        <v>0</v>
      </c>
      <c r="BX52" s="141"/>
      <c r="BY52" s="141"/>
      <c r="BZ52" s="141"/>
      <c r="CA52" s="141"/>
      <c r="CB52" s="141"/>
      <c r="CC52" s="141"/>
      <c r="CD52" s="142">
        <f t="shared" si="86"/>
        <v>0</v>
      </c>
      <c r="CE52" s="145">
        <f t="shared" si="87"/>
        <v>0</v>
      </c>
      <c r="CF52" s="141"/>
      <c r="CG52" s="141"/>
      <c r="CH52" s="154"/>
      <c r="CI52" s="143">
        <f t="shared" si="79"/>
        <v>0</v>
      </c>
      <c r="CJ52" s="141"/>
      <c r="CK52" s="141"/>
      <c r="CL52" s="145">
        <f t="shared" si="81"/>
        <v>0</v>
      </c>
      <c r="CM52" s="146">
        <f t="shared" si="82"/>
        <v>0</v>
      </c>
      <c r="CN52" s="147"/>
      <c r="CO52" s="141"/>
      <c r="CP52" s="137">
        <f t="shared" si="33"/>
        <v>0</v>
      </c>
      <c r="CQ52" s="148">
        <v>0</v>
      </c>
      <c r="CR52" s="137">
        <f t="shared" si="34"/>
        <v>0</v>
      </c>
    </row>
    <row r="53" spans="1:96" ht="15" thickBot="1" x14ac:dyDescent="0.25">
      <c r="A53" s="1">
        <v>23</v>
      </c>
      <c r="C53" s="5" t="s">
        <v>32</v>
      </c>
      <c r="D53" s="8">
        <v>1534</v>
      </c>
      <c r="E53" s="151"/>
      <c r="F53" s="152"/>
      <c r="G53" s="152"/>
      <c r="H53" s="152"/>
      <c r="I53" s="142"/>
      <c r="J53" s="152"/>
      <c r="K53" s="152"/>
      <c r="L53" s="152"/>
      <c r="M53" s="152"/>
      <c r="N53" s="143"/>
      <c r="O53" s="144"/>
      <c r="P53" s="152"/>
      <c r="Q53" s="152"/>
      <c r="R53" s="152"/>
      <c r="S53" s="142"/>
      <c r="T53" s="145"/>
      <c r="U53" s="152"/>
      <c r="V53" s="152"/>
      <c r="W53" s="152"/>
      <c r="X53" s="143"/>
      <c r="Y53" s="144"/>
      <c r="Z53" s="152"/>
      <c r="AA53" s="152"/>
      <c r="AB53" s="152"/>
      <c r="AC53" s="142"/>
      <c r="AD53" s="152"/>
      <c r="AE53" s="152"/>
      <c r="AF53" s="152"/>
      <c r="AG53" s="152"/>
      <c r="AH53" s="143"/>
      <c r="AI53" s="144"/>
      <c r="AJ53" s="152"/>
      <c r="AK53" s="152"/>
      <c r="AL53" s="152"/>
      <c r="AM53" s="142"/>
      <c r="AN53" s="152"/>
      <c r="AO53" s="152"/>
      <c r="AP53" s="152"/>
      <c r="AQ53" s="152"/>
      <c r="AR53" s="143"/>
      <c r="AS53" s="155">
        <v>0</v>
      </c>
      <c r="AT53" s="154">
        <v>1482.5</v>
      </c>
      <c r="AU53" s="154"/>
      <c r="AV53" s="154">
        <f>'[4]Smart Grid'!$C$23</f>
        <v>-49.416666666666664</v>
      </c>
      <c r="AW53" s="142">
        <f t="shared" si="66"/>
        <v>1433.0833333333333</v>
      </c>
      <c r="AX53" s="145">
        <f t="shared" si="67"/>
        <v>0</v>
      </c>
      <c r="AY53" s="154">
        <v>0</v>
      </c>
      <c r="AZ53" s="154"/>
      <c r="BA53" s="154"/>
      <c r="BB53" s="143">
        <f t="shared" si="68"/>
        <v>0</v>
      </c>
      <c r="BC53" s="144">
        <f t="shared" si="80"/>
        <v>1433.0833333333333</v>
      </c>
      <c r="BD53" s="141">
        <v>250568.6</v>
      </c>
      <c r="BE53" s="141"/>
      <c r="BF53" s="141">
        <f>'[4]Smart Grid'!$D$23</f>
        <v>-8451.1200000000008</v>
      </c>
      <c r="BG53" s="142">
        <f t="shared" si="69"/>
        <v>243550.56333333335</v>
      </c>
      <c r="BH53" s="145">
        <f t="shared" si="70"/>
        <v>0</v>
      </c>
      <c r="BI53" s="141">
        <v>871.49</v>
      </c>
      <c r="BJ53" s="141"/>
      <c r="BK53" s="141"/>
      <c r="BL53" s="143">
        <f t="shared" si="71"/>
        <v>871.49</v>
      </c>
      <c r="BM53" s="144">
        <f t="shared" si="84"/>
        <v>243550.56333333335</v>
      </c>
      <c r="BN53" s="141">
        <v>21346.86</v>
      </c>
      <c r="BO53" s="141"/>
      <c r="BP53" s="141">
        <f>'[4]Smart Grid'!$E$23</f>
        <v>-17514.968666666668</v>
      </c>
      <c r="BQ53" s="142">
        <f t="shared" si="73"/>
        <v>247382.45466666669</v>
      </c>
      <c r="BR53" s="145">
        <f t="shared" si="74"/>
        <v>871.49</v>
      </c>
      <c r="BS53" s="141">
        <v>3905.79</v>
      </c>
      <c r="BT53" s="141"/>
      <c r="BU53" s="154"/>
      <c r="BV53" s="143">
        <f t="shared" si="85"/>
        <v>4777.28</v>
      </c>
      <c r="BW53" s="144">
        <f t="shared" si="76"/>
        <v>247382.45466666669</v>
      </c>
      <c r="BX53" s="141"/>
      <c r="BY53" s="141"/>
      <c r="BZ53" s="141"/>
      <c r="CA53" s="141"/>
      <c r="CB53" s="141">
        <v>-229155.92</v>
      </c>
      <c r="CC53" s="141">
        <f>'[4]Smart Grid'!$F$23</f>
        <v>-18226.530666666666</v>
      </c>
      <c r="CD53" s="142">
        <f t="shared" si="86"/>
        <v>4.0000000153668225E-3</v>
      </c>
      <c r="CE53" s="145">
        <f t="shared" si="87"/>
        <v>4777.28</v>
      </c>
      <c r="CF53" s="141">
        <v>4018.96</v>
      </c>
      <c r="CG53" s="141"/>
      <c r="CH53" s="154">
        <v>-8796.24</v>
      </c>
      <c r="CI53" s="143">
        <f t="shared" si="79"/>
        <v>0</v>
      </c>
      <c r="CJ53" s="141"/>
      <c r="CK53" s="141"/>
      <c r="CL53" s="145">
        <f t="shared" si="81"/>
        <v>4.0000000153668225E-3</v>
      </c>
      <c r="CM53" s="146">
        <f t="shared" si="82"/>
        <v>0</v>
      </c>
      <c r="CN53" s="147">
        <f t="shared" ref="CN53:CN54" si="89">1.47%*CL53</f>
        <v>5.8800000225892289E-5</v>
      </c>
      <c r="CO53" s="141">
        <f>1.47%*CL53*4/12</f>
        <v>1.960000007529743E-5</v>
      </c>
      <c r="CP53" s="137">
        <f t="shared" si="33"/>
        <v>4.0784000156680123E-3</v>
      </c>
      <c r="CQ53" s="148">
        <v>282194.2</v>
      </c>
      <c r="CR53" s="137">
        <f t="shared" si="34"/>
        <v>282194.196</v>
      </c>
    </row>
    <row r="54" spans="1:96" ht="15" thickBot="1" x14ac:dyDescent="0.25">
      <c r="A54" s="1">
        <v>24</v>
      </c>
      <c r="C54" s="5" t="s">
        <v>33</v>
      </c>
      <c r="D54" s="8">
        <v>1535</v>
      </c>
      <c r="E54" s="151"/>
      <c r="F54" s="152"/>
      <c r="G54" s="152"/>
      <c r="H54" s="152"/>
      <c r="I54" s="142"/>
      <c r="J54" s="152"/>
      <c r="K54" s="152"/>
      <c r="L54" s="152"/>
      <c r="M54" s="152"/>
      <c r="N54" s="143"/>
      <c r="O54" s="144"/>
      <c r="P54" s="152"/>
      <c r="Q54" s="152"/>
      <c r="R54" s="152"/>
      <c r="S54" s="142"/>
      <c r="T54" s="145"/>
      <c r="U54" s="152"/>
      <c r="V54" s="152"/>
      <c r="W54" s="152"/>
      <c r="X54" s="143"/>
      <c r="Y54" s="144"/>
      <c r="Z54" s="152"/>
      <c r="AA54" s="152"/>
      <c r="AB54" s="152"/>
      <c r="AC54" s="142"/>
      <c r="AD54" s="152"/>
      <c r="AE54" s="152"/>
      <c r="AF54" s="152"/>
      <c r="AG54" s="152"/>
      <c r="AH54" s="143"/>
      <c r="AI54" s="144"/>
      <c r="AJ54" s="152"/>
      <c r="AK54" s="152"/>
      <c r="AL54" s="152"/>
      <c r="AM54" s="142"/>
      <c r="AN54" s="152"/>
      <c r="AO54" s="152"/>
      <c r="AP54" s="152"/>
      <c r="AQ54" s="152"/>
      <c r="AR54" s="143"/>
      <c r="AS54" s="155">
        <v>0</v>
      </c>
      <c r="AT54" s="154">
        <v>10602.18</v>
      </c>
      <c r="AU54" s="154"/>
      <c r="AV54" s="154">
        <f>'[4]Smart Grid'!$C$22</f>
        <v>49.416666666666664</v>
      </c>
      <c r="AW54" s="142">
        <f t="shared" si="66"/>
        <v>10651.596666666666</v>
      </c>
      <c r="AX54" s="145">
        <f t="shared" si="67"/>
        <v>0</v>
      </c>
      <c r="AY54" s="154">
        <v>10.64</v>
      </c>
      <c r="AZ54" s="154"/>
      <c r="BA54" s="154"/>
      <c r="BB54" s="143">
        <f t="shared" si="68"/>
        <v>10.64</v>
      </c>
      <c r="BC54" s="144">
        <f t="shared" si="80"/>
        <v>10651.596666666666</v>
      </c>
      <c r="BD54" s="141">
        <v>2207.7399999999998</v>
      </c>
      <c r="BE54" s="141"/>
      <c r="BF54" s="141">
        <f>'[4]Smart Grid'!$D$22</f>
        <v>8451.1200000000008</v>
      </c>
      <c r="BG54" s="142">
        <f t="shared" si="69"/>
        <v>21310.456666666665</v>
      </c>
      <c r="BH54" s="145">
        <f t="shared" si="70"/>
        <v>10.64</v>
      </c>
      <c r="BI54" s="141">
        <v>92.64</v>
      </c>
      <c r="BJ54" s="141"/>
      <c r="BK54" s="141"/>
      <c r="BL54" s="143">
        <f t="shared" si="71"/>
        <v>103.28</v>
      </c>
      <c r="BM54" s="144">
        <f t="shared" si="84"/>
        <v>21310.456666666665</v>
      </c>
      <c r="BN54" s="141">
        <v>69726.399999999994</v>
      </c>
      <c r="BO54" s="141"/>
      <c r="BP54" s="141">
        <f>'[4]Smart Grid'!$E$22</f>
        <v>17514.968666666668</v>
      </c>
      <c r="BQ54" s="142">
        <f t="shared" si="73"/>
        <v>108551.82533333333</v>
      </c>
      <c r="BR54" s="145">
        <f t="shared" si="74"/>
        <v>103.28</v>
      </c>
      <c r="BS54" s="141">
        <v>334.14</v>
      </c>
      <c r="BT54" s="141"/>
      <c r="BU54" s="154"/>
      <c r="BV54" s="143">
        <f t="shared" si="85"/>
        <v>437.41999999999996</v>
      </c>
      <c r="BW54" s="144">
        <f t="shared" si="76"/>
        <v>108551.82533333333</v>
      </c>
      <c r="BX54" s="141">
        <v>2049</v>
      </c>
      <c r="BY54" s="141"/>
      <c r="BZ54" s="141"/>
      <c r="CA54" s="141"/>
      <c r="CB54" s="141"/>
      <c r="CC54" s="141">
        <f>'[4]Smart Grid'!$F$22</f>
        <v>18226.530666666666</v>
      </c>
      <c r="CD54" s="142">
        <f t="shared" si="86"/>
        <v>128827.356</v>
      </c>
      <c r="CE54" s="145">
        <f t="shared" si="87"/>
        <v>437.41999999999996</v>
      </c>
      <c r="CF54" s="141">
        <v>1235.1400000000001</v>
      </c>
      <c r="CG54" s="141"/>
      <c r="CH54" s="154"/>
      <c r="CI54" s="143">
        <f t="shared" si="79"/>
        <v>1672.56</v>
      </c>
      <c r="CJ54" s="141"/>
      <c r="CK54" s="141"/>
      <c r="CL54" s="145">
        <f t="shared" si="81"/>
        <v>128827.356</v>
      </c>
      <c r="CM54" s="146">
        <f t="shared" si="82"/>
        <v>1672.56</v>
      </c>
      <c r="CN54" s="147">
        <f t="shared" si="89"/>
        <v>1893.7621331999999</v>
      </c>
      <c r="CO54" s="141">
        <f>1.47%*CL54*4/12</f>
        <v>631.2540444</v>
      </c>
      <c r="CP54" s="137">
        <f t="shared" si="33"/>
        <v>133024.93217760001</v>
      </c>
      <c r="CQ54" s="148">
        <v>86257.88</v>
      </c>
      <c r="CR54" s="137">
        <f t="shared" si="34"/>
        <v>-44242.035999999993</v>
      </c>
    </row>
    <row r="55" spans="1:96" ht="15" thickBot="1" x14ac:dyDescent="0.25">
      <c r="A55" s="1">
        <v>25</v>
      </c>
      <c r="C55" s="5" t="s">
        <v>39</v>
      </c>
      <c r="D55" s="8">
        <v>1536</v>
      </c>
      <c r="E55" s="151"/>
      <c r="F55" s="152"/>
      <c r="G55" s="152"/>
      <c r="H55" s="152"/>
      <c r="I55" s="142"/>
      <c r="J55" s="152"/>
      <c r="K55" s="152"/>
      <c r="L55" s="152"/>
      <c r="M55" s="152"/>
      <c r="N55" s="143"/>
      <c r="O55" s="144"/>
      <c r="P55" s="152"/>
      <c r="Q55" s="152"/>
      <c r="R55" s="152"/>
      <c r="S55" s="142"/>
      <c r="T55" s="145"/>
      <c r="U55" s="152"/>
      <c r="V55" s="152"/>
      <c r="W55" s="152"/>
      <c r="X55" s="143"/>
      <c r="Y55" s="144"/>
      <c r="Z55" s="152"/>
      <c r="AA55" s="152"/>
      <c r="AB55" s="152"/>
      <c r="AC55" s="142"/>
      <c r="AD55" s="152"/>
      <c r="AE55" s="152"/>
      <c r="AF55" s="152"/>
      <c r="AG55" s="152"/>
      <c r="AH55" s="143"/>
      <c r="AI55" s="144"/>
      <c r="AJ55" s="152"/>
      <c r="AK55" s="152"/>
      <c r="AL55" s="152"/>
      <c r="AM55" s="142"/>
      <c r="AN55" s="152"/>
      <c r="AO55" s="152"/>
      <c r="AP55" s="152"/>
      <c r="AQ55" s="152"/>
      <c r="AR55" s="143"/>
      <c r="AS55" s="155">
        <v>0</v>
      </c>
      <c r="AT55" s="154">
        <v>0</v>
      </c>
      <c r="AU55" s="154"/>
      <c r="AV55" s="154"/>
      <c r="AW55" s="142">
        <f t="shared" si="66"/>
        <v>0</v>
      </c>
      <c r="AX55" s="145">
        <f t="shared" si="67"/>
        <v>0</v>
      </c>
      <c r="AY55" s="154">
        <v>0</v>
      </c>
      <c r="AZ55" s="154"/>
      <c r="BA55" s="154"/>
      <c r="BB55" s="143">
        <f t="shared" si="68"/>
        <v>0</v>
      </c>
      <c r="BC55" s="144">
        <f t="shared" si="80"/>
        <v>0</v>
      </c>
      <c r="BD55" s="141">
        <v>0</v>
      </c>
      <c r="BE55" s="141"/>
      <c r="BF55" s="141"/>
      <c r="BG55" s="142">
        <f t="shared" si="69"/>
        <v>0</v>
      </c>
      <c r="BH55" s="145">
        <f t="shared" si="70"/>
        <v>0</v>
      </c>
      <c r="BI55" s="141">
        <v>0</v>
      </c>
      <c r="BJ55" s="141"/>
      <c r="BK55" s="141"/>
      <c r="BL55" s="143">
        <f t="shared" si="71"/>
        <v>0</v>
      </c>
      <c r="BM55" s="144">
        <f t="shared" si="84"/>
        <v>0</v>
      </c>
      <c r="BN55" s="141"/>
      <c r="BO55" s="141"/>
      <c r="BP55" s="141"/>
      <c r="BQ55" s="142">
        <f t="shared" si="73"/>
        <v>0</v>
      </c>
      <c r="BR55" s="145">
        <f t="shared" si="74"/>
        <v>0</v>
      </c>
      <c r="BS55" s="141"/>
      <c r="BT55" s="141"/>
      <c r="BU55" s="154"/>
      <c r="BV55" s="143">
        <f t="shared" si="85"/>
        <v>0</v>
      </c>
      <c r="BW55" s="144">
        <f t="shared" si="76"/>
        <v>0</v>
      </c>
      <c r="BX55" s="141"/>
      <c r="BY55" s="141"/>
      <c r="BZ55" s="141"/>
      <c r="CA55" s="141"/>
      <c r="CB55" s="141"/>
      <c r="CC55" s="141"/>
      <c r="CD55" s="142">
        <f t="shared" si="86"/>
        <v>0</v>
      </c>
      <c r="CE55" s="145">
        <f t="shared" si="87"/>
        <v>0</v>
      </c>
      <c r="CF55" s="141"/>
      <c r="CG55" s="141"/>
      <c r="CH55" s="154"/>
      <c r="CI55" s="143">
        <f t="shared" si="79"/>
        <v>0</v>
      </c>
      <c r="CJ55" s="141"/>
      <c r="CK55" s="141"/>
      <c r="CL55" s="145">
        <f t="shared" si="81"/>
        <v>0</v>
      </c>
      <c r="CM55" s="146">
        <f t="shared" si="82"/>
        <v>0</v>
      </c>
      <c r="CN55" s="147"/>
      <c r="CO55" s="141"/>
      <c r="CP55" s="137">
        <f t="shared" si="33"/>
        <v>0</v>
      </c>
      <c r="CQ55" s="148">
        <v>0</v>
      </c>
      <c r="CR55" s="137">
        <f t="shared" si="34"/>
        <v>0</v>
      </c>
    </row>
    <row r="56" spans="1:96" ht="15" thickBot="1" x14ac:dyDescent="0.25">
      <c r="A56" s="1">
        <v>26</v>
      </c>
      <c r="C56" s="5" t="s">
        <v>5</v>
      </c>
      <c r="D56" s="8">
        <v>1548</v>
      </c>
      <c r="E56" s="156">
        <v>27144.09</v>
      </c>
      <c r="F56" s="155">
        <f>29237.1-27144.09</f>
        <v>2093.0099999999984</v>
      </c>
      <c r="G56" s="155"/>
      <c r="H56" s="155"/>
      <c r="I56" s="142">
        <f t="shared" si="51"/>
        <v>29237.1</v>
      </c>
      <c r="J56" s="155">
        <v>0</v>
      </c>
      <c r="K56" s="155"/>
      <c r="L56" s="155"/>
      <c r="M56" s="155"/>
      <c r="N56" s="143">
        <f t="shared" si="52"/>
        <v>0</v>
      </c>
      <c r="O56" s="144">
        <f t="shared" ref="O56:O61" si="90">I56</f>
        <v>29237.1</v>
      </c>
      <c r="P56" s="155">
        <f>-23629.36+27144.09</f>
        <v>3514.7299999999996</v>
      </c>
      <c r="Q56" s="155">
        <v>27144.09</v>
      </c>
      <c r="R56" s="155"/>
      <c r="S56" s="142">
        <f t="shared" si="54"/>
        <v>5607.739999999998</v>
      </c>
      <c r="T56" s="145">
        <f t="shared" si="55"/>
        <v>0</v>
      </c>
      <c r="U56" s="155">
        <v>90.34</v>
      </c>
      <c r="V56" s="155"/>
      <c r="W56" s="155"/>
      <c r="X56" s="143">
        <f t="shared" si="56"/>
        <v>90.34</v>
      </c>
      <c r="Y56" s="144">
        <f>S56</f>
        <v>5607.739999999998</v>
      </c>
      <c r="Z56" s="155">
        <f>22099.91-5607.74</f>
        <v>16492.169999999998</v>
      </c>
      <c r="AA56" s="155"/>
      <c r="AB56" s="155"/>
      <c r="AC56" s="142">
        <f t="shared" si="58"/>
        <v>22099.909999999996</v>
      </c>
      <c r="AD56" s="145">
        <f>X56</f>
        <v>90.34</v>
      </c>
      <c r="AE56" s="155">
        <f>583.63-90.34</f>
        <v>493.28999999999996</v>
      </c>
      <c r="AF56" s="155"/>
      <c r="AG56" s="155"/>
      <c r="AH56" s="143">
        <f t="shared" si="60"/>
        <v>583.63</v>
      </c>
      <c r="AI56" s="144">
        <f>AC56</f>
        <v>22099.909999999996</v>
      </c>
      <c r="AJ56" s="155">
        <f>88917.12-22099.91</f>
        <v>66817.209999999992</v>
      </c>
      <c r="AK56" s="155"/>
      <c r="AL56" s="155"/>
      <c r="AM56" s="142">
        <f t="shared" si="62"/>
        <v>88917.119999999995</v>
      </c>
      <c r="AN56" s="145">
        <f>AH56</f>
        <v>583.63</v>
      </c>
      <c r="AO56" s="155">
        <f>1971.53-583.63</f>
        <v>1387.9</v>
      </c>
      <c r="AP56" s="155"/>
      <c r="AQ56" s="155"/>
      <c r="AR56" s="143">
        <f t="shared" si="64"/>
        <v>1971.5300000000002</v>
      </c>
      <c r="AS56" s="144">
        <f>AM56</f>
        <v>88917.119999999995</v>
      </c>
      <c r="AT56" s="154">
        <v>12562.01</v>
      </c>
      <c r="AU56" s="154"/>
      <c r="AV56" s="154"/>
      <c r="AW56" s="142">
        <f t="shared" si="66"/>
        <v>101479.12999999999</v>
      </c>
      <c r="AX56" s="145">
        <f t="shared" si="67"/>
        <v>1971.5300000000002</v>
      </c>
      <c r="AY56" s="141">
        <v>1047.1500000000001</v>
      </c>
      <c r="AZ56" s="141"/>
      <c r="BA56" s="141"/>
      <c r="BB56" s="143">
        <f t="shared" si="68"/>
        <v>3018.6800000000003</v>
      </c>
      <c r="BC56" s="144">
        <f t="shared" si="80"/>
        <v>101479.12999999999</v>
      </c>
      <c r="BD56" s="141">
        <v>11945.18</v>
      </c>
      <c r="BE56" s="141"/>
      <c r="BF56" s="141"/>
      <c r="BG56" s="142">
        <f t="shared" si="69"/>
        <v>113424.31</v>
      </c>
      <c r="BH56" s="145">
        <f t="shared" si="70"/>
        <v>3018.6800000000003</v>
      </c>
      <c r="BI56" s="141">
        <v>861.66</v>
      </c>
      <c r="BJ56" s="155"/>
      <c r="BK56" s="155"/>
      <c r="BL56" s="143">
        <f t="shared" si="71"/>
        <v>3880.34</v>
      </c>
      <c r="BM56" s="144">
        <f t="shared" si="84"/>
        <v>113424.31</v>
      </c>
      <c r="BN56" s="141">
        <v>12666.22</v>
      </c>
      <c r="BO56" s="141"/>
      <c r="BP56" s="141"/>
      <c r="BQ56" s="142">
        <f t="shared" si="73"/>
        <v>126090.53</v>
      </c>
      <c r="BR56" s="145">
        <f t="shared" si="74"/>
        <v>3880.34</v>
      </c>
      <c r="BS56" s="141">
        <v>1750.64</v>
      </c>
      <c r="BT56" s="155"/>
      <c r="BU56" s="154"/>
      <c r="BV56" s="143">
        <f t="shared" si="85"/>
        <v>5630.9800000000005</v>
      </c>
      <c r="BW56" s="144">
        <f t="shared" si="76"/>
        <v>126090.53</v>
      </c>
      <c r="BX56" s="141">
        <v>17776.18</v>
      </c>
      <c r="BY56" s="141"/>
      <c r="BZ56" s="141"/>
      <c r="CA56" s="141"/>
      <c r="CB56" s="141"/>
      <c r="CC56" s="141"/>
      <c r="CD56" s="142">
        <f t="shared" si="86"/>
        <v>143866.71</v>
      </c>
      <c r="CE56" s="145">
        <f t="shared" si="87"/>
        <v>5630.9800000000005</v>
      </c>
      <c r="CF56" s="141">
        <v>1971.4</v>
      </c>
      <c r="CG56" s="155"/>
      <c r="CH56" s="154"/>
      <c r="CI56" s="143">
        <f t="shared" si="79"/>
        <v>7602.380000000001</v>
      </c>
      <c r="CJ56" s="140"/>
      <c r="CK56" s="141"/>
      <c r="CL56" s="145">
        <f t="shared" si="81"/>
        <v>143866.71</v>
      </c>
      <c r="CM56" s="146">
        <f t="shared" si="82"/>
        <v>7602.380000000001</v>
      </c>
      <c r="CN56" s="147">
        <f t="shared" ref="CN56" si="91">1.47%*CL56</f>
        <v>2114.8406369999998</v>
      </c>
      <c r="CO56" s="141">
        <f>1.47%*CL56*4/12</f>
        <v>704.94687899999997</v>
      </c>
      <c r="CP56" s="137">
        <f t="shared" si="33"/>
        <v>154288.87751599998</v>
      </c>
      <c r="CQ56" s="148">
        <v>151469.09</v>
      </c>
      <c r="CR56" s="137">
        <f t="shared" si="34"/>
        <v>0</v>
      </c>
    </row>
    <row r="57" spans="1:96" ht="15" thickBot="1" x14ac:dyDescent="0.25">
      <c r="A57" s="1">
        <v>27</v>
      </c>
      <c r="C57" s="5" t="s">
        <v>66</v>
      </c>
      <c r="D57" s="8">
        <v>1567</v>
      </c>
      <c r="E57" s="151"/>
      <c r="F57" s="152"/>
      <c r="G57" s="152"/>
      <c r="H57" s="152"/>
      <c r="I57" s="142"/>
      <c r="J57" s="152"/>
      <c r="K57" s="152"/>
      <c r="L57" s="152"/>
      <c r="M57" s="152"/>
      <c r="N57" s="143"/>
      <c r="O57" s="144"/>
      <c r="P57" s="152"/>
      <c r="Q57" s="152"/>
      <c r="R57" s="152"/>
      <c r="S57" s="142"/>
      <c r="T57" s="145"/>
      <c r="U57" s="152"/>
      <c r="V57" s="152"/>
      <c r="W57" s="152"/>
      <c r="X57" s="143"/>
      <c r="Y57" s="144"/>
      <c r="Z57" s="152"/>
      <c r="AA57" s="152"/>
      <c r="AB57" s="152"/>
      <c r="AC57" s="142"/>
      <c r="AD57" s="152"/>
      <c r="AE57" s="152"/>
      <c r="AF57" s="152"/>
      <c r="AG57" s="152"/>
      <c r="AH57" s="143"/>
      <c r="AI57" s="144"/>
      <c r="AJ57" s="152"/>
      <c r="AK57" s="152"/>
      <c r="AL57" s="152"/>
      <c r="AM57" s="142"/>
      <c r="AN57" s="152"/>
      <c r="AO57" s="152"/>
      <c r="AP57" s="152"/>
      <c r="AQ57" s="152"/>
      <c r="AR57" s="143"/>
      <c r="AS57" s="157"/>
      <c r="AT57" s="158"/>
      <c r="AU57" s="158"/>
      <c r="AV57" s="158"/>
      <c r="AW57" s="142"/>
      <c r="AX57" s="145"/>
      <c r="AY57" s="158"/>
      <c r="AZ57" s="158"/>
      <c r="BA57" s="158"/>
      <c r="BB57" s="143">
        <f t="shared" si="68"/>
        <v>0</v>
      </c>
      <c r="BC57" s="140">
        <v>0</v>
      </c>
      <c r="BD57" s="141"/>
      <c r="BE57" s="141"/>
      <c r="BF57" s="141"/>
      <c r="BG57" s="142">
        <f t="shared" si="69"/>
        <v>0</v>
      </c>
      <c r="BH57" s="145">
        <f t="shared" si="70"/>
        <v>0</v>
      </c>
      <c r="BI57" s="141"/>
      <c r="BJ57" s="141"/>
      <c r="BK57" s="141"/>
      <c r="BL57" s="143">
        <f>BH57+BI57-BJ57+BK57</f>
        <v>0</v>
      </c>
      <c r="BM57" s="144">
        <f t="shared" si="84"/>
        <v>0</v>
      </c>
      <c r="BN57" s="141"/>
      <c r="BO57" s="141"/>
      <c r="BP57" s="141"/>
      <c r="BQ57" s="142">
        <f t="shared" si="73"/>
        <v>0</v>
      </c>
      <c r="BR57" s="145">
        <f t="shared" si="74"/>
        <v>0</v>
      </c>
      <c r="BS57" s="141"/>
      <c r="BT57" s="141"/>
      <c r="BU57" s="141"/>
      <c r="BV57" s="143">
        <f>BR57+BS57-BT57+BU57</f>
        <v>0</v>
      </c>
      <c r="BW57" s="144">
        <f t="shared" si="76"/>
        <v>0</v>
      </c>
      <c r="BX57" s="141"/>
      <c r="BY57" s="141"/>
      <c r="BZ57" s="141"/>
      <c r="CA57" s="141"/>
      <c r="CB57" s="141"/>
      <c r="CC57" s="141"/>
      <c r="CD57" s="142">
        <f>BW57+BX57-BY57+SUM(BZ57:CC57)</f>
        <v>0</v>
      </c>
      <c r="CE57" s="145">
        <f>BV57</f>
        <v>0</v>
      </c>
      <c r="CF57" s="141"/>
      <c r="CG57" s="141"/>
      <c r="CH57" s="141"/>
      <c r="CI57" s="143">
        <f>CE57+CF57-CG57+CH57</f>
        <v>0</v>
      </c>
      <c r="CJ57" s="140"/>
      <c r="CK57" s="141"/>
      <c r="CL57" s="145">
        <f t="shared" si="81"/>
        <v>0</v>
      </c>
      <c r="CM57" s="146">
        <f t="shared" si="82"/>
        <v>0</v>
      </c>
      <c r="CN57" s="147"/>
      <c r="CO57" s="141"/>
      <c r="CP57" s="137">
        <f t="shared" si="33"/>
        <v>0</v>
      </c>
      <c r="CQ57" s="148">
        <v>0</v>
      </c>
      <c r="CR57" s="137">
        <f t="shared" si="34"/>
        <v>0</v>
      </c>
    </row>
    <row r="58" spans="1:96" ht="15" thickBot="1" x14ac:dyDescent="0.25">
      <c r="A58" s="1">
        <v>28</v>
      </c>
      <c r="C58" s="5" t="s">
        <v>18</v>
      </c>
      <c r="D58" s="8">
        <v>1572</v>
      </c>
      <c r="E58" s="140"/>
      <c r="F58" s="141"/>
      <c r="G58" s="141"/>
      <c r="H58" s="141"/>
      <c r="I58" s="142">
        <f t="shared" si="51"/>
        <v>0</v>
      </c>
      <c r="J58" s="141"/>
      <c r="K58" s="141"/>
      <c r="L58" s="141"/>
      <c r="M58" s="141"/>
      <c r="N58" s="143">
        <f t="shared" si="52"/>
        <v>0</v>
      </c>
      <c r="O58" s="144">
        <f t="shared" si="90"/>
        <v>0</v>
      </c>
      <c r="P58" s="141"/>
      <c r="Q58" s="141"/>
      <c r="R58" s="141"/>
      <c r="S58" s="142">
        <f t="shared" si="54"/>
        <v>0</v>
      </c>
      <c r="T58" s="145">
        <f t="shared" si="55"/>
        <v>0</v>
      </c>
      <c r="U58" s="141"/>
      <c r="V58" s="141"/>
      <c r="W58" s="141"/>
      <c r="X58" s="143">
        <f t="shared" si="56"/>
        <v>0</v>
      </c>
      <c r="Y58" s="144">
        <f>S58</f>
        <v>0</v>
      </c>
      <c r="Z58" s="141"/>
      <c r="AA58" s="141"/>
      <c r="AB58" s="141"/>
      <c r="AC58" s="142">
        <f t="shared" si="58"/>
        <v>0</v>
      </c>
      <c r="AD58" s="145">
        <f>X58</f>
        <v>0</v>
      </c>
      <c r="AE58" s="141"/>
      <c r="AF58" s="141"/>
      <c r="AG58" s="141"/>
      <c r="AH58" s="143">
        <f t="shared" si="60"/>
        <v>0</v>
      </c>
      <c r="AI58" s="144">
        <f>AC58</f>
        <v>0</v>
      </c>
      <c r="AJ58" s="141"/>
      <c r="AK58" s="141"/>
      <c r="AL58" s="141"/>
      <c r="AM58" s="142">
        <f t="shared" si="62"/>
        <v>0</v>
      </c>
      <c r="AN58" s="145">
        <f>AH58</f>
        <v>0</v>
      </c>
      <c r="AO58" s="141"/>
      <c r="AP58" s="141"/>
      <c r="AQ58" s="141"/>
      <c r="AR58" s="143">
        <f t="shared" si="64"/>
        <v>0</v>
      </c>
      <c r="AS58" s="144">
        <f>AM58</f>
        <v>0</v>
      </c>
      <c r="AT58" s="141"/>
      <c r="AU58" s="141"/>
      <c r="AV58" s="141"/>
      <c r="AW58" s="142">
        <f t="shared" si="66"/>
        <v>0</v>
      </c>
      <c r="AX58" s="145">
        <f>AR58</f>
        <v>0</v>
      </c>
      <c r="AY58" s="141"/>
      <c r="AZ58" s="141"/>
      <c r="BA58" s="141"/>
      <c r="BB58" s="143">
        <f t="shared" si="68"/>
        <v>0</v>
      </c>
      <c r="BC58" s="144">
        <f>AW58</f>
        <v>0</v>
      </c>
      <c r="BD58" s="141"/>
      <c r="BE58" s="141"/>
      <c r="BF58" s="141"/>
      <c r="BG58" s="142">
        <f t="shared" si="69"/>
        <v>0</v>
      </c>
      <c r="BH58" s="145">
        <f t="shared" si="70"/>
        <v>0</v>
      </c>
      <c r="BI58" s="141"/>
      <c r="BJ58" s="141"/>
      <c r="BK58" s="141"/>
      <c r="BL58" s="143">
        <f t="shared" si="71"/>
        <v>0</v>
      </c>
      <c r="BM58" s="144">
        <f>BG58</f>
        <v>0</v>
      </c>
      <c r="BN58" s="141"/>
      <c r="BO58" s="141"/>
      <c r="BP58" s="141"/>
      <c r="BQ58" s="142">
        <f t="shared" si="73"/>
        <v>0</v>
      </c>
      <c r="BR58" s="145">
        <f t="shared" si="74"/>
        <v>0</v>
      </c>
      <c r="BS58" s="141"/>
      <c r="BT58" s="141"/>
      <c r="BU58" s="141"/>
      <c r="BV58" s="143">
        <f>BR58+BS58-BT58+BU58</f>
        <v>0</v>
      </c>
      <c r="BW58" s="144">
        <f>BQ58</f>
        <v>0</v>
      </c>
      <c r="BX58" s="141"/>
      <c r="BY58" s="141"/>
      <c r="BZ58" s="141"/>
      <c r="CA58" s="141"/>
      <c r="CB58" s="141"/>
      <c r="CC58" s="141">
        <f>[5]Summary!$D$14</f>
        <v>55230.29</v>
      </c>
      <c r="CD58" s="142">
        <f t="shared" ref="CD58:CD61" si="92">BW58+BX58-BY58+SUM(BZ58:CC58)</f>
        <v>55230.29</v>
      </c>
      <c r="CE58" s="145">
        <f t="shared" ref="CE58:CE61" si="93">BV58</f>
        <v>0</v>
      </c>
      <c r="CF58" s="141"/>
      <c r="CG58" s="141"/>
      <c r="CH58" s="141">
        <f>[5]Interest!$F$15</f>
        <v>608.91394724999986</v>
      </c>
      <c r="CI58" s="143">
        <f>CE58+CF58-CG58+CH58</f>
        <v>608.91394724999986</v>
      </c>
      <c r="CJ58" s="140"/>
      <c r="CK58" s="141"/>
      <c r="CL58" s="145">
        <f t="shared" si="81"/>
        <v>55230.29</v>
      </c>
      <c r="CM58" s="146">
        <f t="shared" si="82"/>
        <v>608.91394724999986</v>
      </c>
      <c r="CN58" s="147"/>
      <c r="CO58" s="141"/>
      <c r="CP58" s="137">
        <f t="shared" si="33"/>
        <v>55839.203947250004</v>
      </c>
      <c r="CQ58" s="148">
        <v>0</v>
      </c>
      <c r="CR58" s="137">
        <f t="shared" si="34"/>
        <v>-55839.203947250004</v>
      </c>
    </row>
    <row r="59" spans="1:96" ht="15" thickBot="1" x14ac:dyDescent="0.25">
      <c r="A59" s="1">
        <v>29</v>
      </c>
      <c r="C59" s="5" t="s">
        <v>6</v>
      </c>
      <c r="D59" s="8">
        <v>1574</v>
      </c>
      <c r="E59" s="140"/>
      <c r="F59" s="141"/>
      <c r="G59" s="141"/>
      <c r="H59" s="141"/>
      <c r="I59" s="142">
        <f t="shared" si="51"/>
        <v>0</v>
      </c>
      <c r="J59" s="141"/>
      <c r="K59" s="141"/>
      <c r="L59" s="141"/>
      <c r="M59" s="141"/>
      <c r="N59" s="143">
        <f t="shared" si="52"/>
        <v>0</v>
      </c>
      <c r="O59" s="144">
        <f t="shared" si="90"/>
        <v>0</v>
      </c>
      <c r="P59" s="141"/>
      <c r="Q59" s="141"/>
      <c r="R59" s="141"/>
      <c r="S59" s="142">
        <f t="shared" si="54"/>
        <v>0</v>
      </c>
      <c r="T59" s="145">
        <f t="shared" si="55"/>
        <v>0</v>
      </c>
      <c r="U59" s="141"/>
      <c r="V59" s="141"/>
      <c r="W59" s="141"/>
      <c r="X59" s="143">
        <f t="shared" si="56"/>
        <v>0</v>
      </c>
      <c r="Y59" s="144">
        <f>S59</f>
        <v>0</v>
      </c>
      <c r="Z59" s="141"/>
      <c r="AA59" s="141"/>
      <c r="AB59" s="141"/>
      <c r="AC59" s="142">
        <f t="shared" si="58"/>
        <v>0</v>
      </c>
      <c r="AD59" s="145">
        <f>X59</f>
        <v>0</v>
      </c>
      <c r="AE59" s="141"/>
      <c r="AF59" s="141"/>
      <c r="AG59" s="141"/>
      <c r="AH59" s="143">
        <f t="shared" si="60"/>
        <v>0</v>
      </c>
      <c r="AI59" s="144">
        <f>AC59</f>
        <v>0</v>
      </c>
      <c r="AJ59" s="141"/>
      <c r="AK59" s="141"/>
      <c r="AL59" s="141"/>
      <c r="AM59" s="142">
        <f t="shared" si="62"/>
        <v>0</v>
      </c>
      <c r="AN59" s="145">
        <f>AH59</f>
        <v>0</v>
      </c>
      <c r="AO59" s="141"/>
      <c r="AP59" s="141"/>
      <c r="AQ59" s="141"/>
      <c r="AR59" s="143">
        <f t="shared" si="64"/>
        <v>0</v>
      </c>
      <c r="AS59" s="144">
        <f>AM59</f>
        <v>0</v>
      </c>
      <c r="AT59" s="141"/>
      <c r="AU59" s="141"/>
      <c r="AV59" s="141"/>
      <c r="AW59" s="142">
        <f t="shared" si="66"/>
        <v>0</v>
      </c>
      <c r="AX59" s="145">
        <f>AR59</f>
        <v>0</v>
      </c>
      <c r="AY59" s="141"/>
      <c r="AZ59" s="141"/>
      <c r="BA59" s="141"/>
      <c r="BB59" s="143">
        <f t="shared" si="68"/>
        <v>0</v>
      </c>
      <c r="BC59" s="144">
        <f>AW59</f>
        <v>0</v>
      </c>
      <c r="BD59" s="141"/>
      <c r="BE59" s="141"/>
      <c r="BF59" s="141"/>
      <c r="BG59" s="142">
        <f t="shared" si="69"/>
        <v>0</v>
      </c>
      <c r="BH59" s="145">
        <f t="shared" si="70"/>
        <v>0</v>
      </c>
      <c r="BI59" s="141"/>
      <c r="BJ59" s="141"/>
      <c r="BK59" s="141"/>
      <c r="BL59" s="143">
        <f t="shared" si="71"/>
        <v>0</v>
      </c>
      <c r="BM59" s="144">
        <f>BG59</f>
        <v>0</v>
      </c>
      <c r="BN59" s="141"/>
      <c r="BO59" s="141"/>
      <c r="BP59" s="141"/>
      <c r="BQ59" s="142">
        <f t="shared" si="73"/>
        <v>0</v>
      </c>
      <c r="BR59" s="145">
        <f t="shared" si="74"/>
        <v>0</v>
      </c>
      <c r="BS59" s="141"/>
      <c r="BT59" s="141"/>
      <c r="BU59" s="141"/>
      <c r="BV59" s="143">
        <f>BR59+BS59-BT59+BU59</f>
        <v>0</v>
      </c>
      <c r="BW59" s="144">
        <f>BQ59</f>
        <v>0</v>
      </c>
      <c r="BX59" s="141"/>
      <c r="BY59" s="141"/>
      <c r="BZ59" s="141"/>
      <c r="CA59" s="141"/>
      <c r="CB59" s="141"/>
      <c r="CC59" s="141"/>
      <c r="CD59" s="142">
        <f t="shared" si="92"/>
        <v>0</v>
      </c>
      <c r="CE59" s="145">
        <f t="shared" si="93"/>
        <v>0</v>
      </c>
      <c r="CF59" s="141"/>
      <c r="CG59" s="141"/>
      <c r="CH59" s="141"/>
      <c r="CI59" s="143">
        <f>CE59+CF59-CG59+CH59</f>
        <v>0</v>
      </c>
      <c r="CJ59" s="140"/>
      <c r="CK59" s="141"/>
      <c r="CL59" s="145">
        <f t="shared" si="81"/>
        <v>0</v>
      </c>
      <c r="CM59" s="146">
        <f t="shared" si="82"/>
        <v>0</v>
      </c>
      <c r="CN59" s="147"/>
      <c r="CO59" s="141"/>
      <c r="CP59" s="137">
        <f t="shared" si="33"/>
        <v>0</v>
      </c>
      <c r="CQ59" s="148">
        <v>0</v>
      </c>
      <c r="CR59" s="137">
        <f t="shared" si="34"/>
        <v>0</v>
      </c>
    </row>
    <row r="60" spans="1:96" ht="15" thickBot="1" x14ac:dyDescent="0.25">
      <c r="A60" s="1">
        <v>30</v>
      </c>
      <c r="C60" s="9" t="s">
        <v>63</v>
      </c>
      <c r="D60" s="8">
        <v>1582</v>
      </c>
      <c r="E60" s="140">
        <v>39128.75</v>
      </c>
      <c r="F60" s="159"/>
      <c r="G60" s="141"/>
      <c r="H60" s="141"/>
      <c r="I60" s="142">
        <f t="shared" si="51"/>
        <v>39128.75</v>
      </c>
      <c r="J60" s="141">
        <v>4519.08</v>
      </c>
      <c r="K60" s="141"/>
      <c r="L60" s="141"/>
      <c r="M60" s="141"/>
      <c r="N60" s="143">
        <f t="shared" si="52"/>
        <v>4519.08</v>
      </c>
      <c r="O60" s="144">
        <f t="shared" si="90"/>
        <v>39128.75</v>
      </c>
      <c r="P60" s="141"/>
      <c r="Q60" s="141">
        <v>28926.11</v>
      </c>
      <c r="R60" s="141"/>
      <c r="S60" s="142">
        <f t="shared" si="54"/>
        <v>10202.64</v>
      </c>
      <c r="T60" s="145">
        <f t="shared" si="55"/>
        <v>4519.08</v>
      </c>
      <c r="U60" s="141">
        <f>-3686.5+4936.66</f>
        <v>1250.1599999999999</v>
      </c>
      <c r="V60" s="141">
        <v>4936.66</v>
      </c>
      <c r="W60" s="141"/>
      <c r="X60" s="143">
        <f t="shared" si="56"/>
        <v>832.57999999999993</v>
      </c>
      <c r="Y60" s="144">
        <f>S60</f>
        <v>10202.64</v>
      </c>
      <c r="Z60" s="141">
        <v>0</v>
      </c>
      <c r="AA60" s="141"/>
      <c r="AB60" s="141"/>
      <c r="AC60" s="142">
        <f t="shared" si="58"/>
        <v>10202.64</v>
      </c>
      <c r="AD60" s="145">
        <f>X60</f>
        <v>832.57999999999993</v>
      </c>
      <c r="AE60" s="141">
        <f>1314.91-832.58</f>
        <v>482.33000000000004</v>
      </c>
      <c r="AF60" s="141"/>
      <c r="AG60" s="141"/>
      <c r="AH60" s="143">
        <f t="shared" si="60"/>
        <v>1314.9099999999999</v>
      </c>
      <c r="AI60" s="144">
        <f>AC60</f>
        <v>10202.64</v>
      </c>
      <c r="AJ60" s="141">
        <v>0</v>
      </c>
      <c r="AK60" s="141"/>
      <c r="AL60" s="141"/>
      <c r="AM60" s="142">
        <f t="shared" si="62"/>
        <v>10202.64</v>
      </c>
      <c r="AN60" s="145">
        <f>AH60</f>
        <v>1314.9099999999999</v>
      </c>
      <c r="AO60" s="141">
        <f>1720.98-1314.91</f>
        <v>406.06999999999994</v>
      </c>
      <c r="AP60" s="141"/>
      <c r="AQ60" s="141"/>
      <c r="AR60" s="143">
        <f t="shared" si="64"/>
        <v>1720.9799999999998</v>
      </c>
      <c r="AS60" s="144">
        <f>AM60</f>
        <v>10202.64</v>
      </c>
      <c r="AT60" s="141">
        <v>0</v>
      </c>
      <c r="AU60" s="141"/>
      <c r="AV60" s="141"/>
      <c r="AW60" s="142">
        <f t="shared" si="66"/>
        <v>10202.64</v>
      </c>
      <c r="AX60" s="145">
        <f>AR60</f>
        <v>1720.9799999999998</v>
      </c>
      <c r="AY60" s="141">
        <v>116.06</v>
      </c>
      <c r="AZ60" s="141"/>
      <c r="BA60" s="141"/>
      <c r="BB60" s="143">
        <f t="shared" si="68"/>
        <v>1837.0399999999997</v>
      </c>
      <c r="BC60" s="144">
        <f>AW60</f>
        <v>10202.64</v>
      </c>
      <c r="BD60" s="141">
        <v>0</v>
      </c>
      <c r="BE60" s="141"/>
      <c r="BF60" s="141"/>
      <c r="BG60" s="142">
        <f t="shared" si="69"/>
        <v>10202.64</v>
      </c>
      <c r="BH60" s="145">
        <f t="shared" si="70"/>
        <v>1837.0399999999997</v>
      </c>
      <c r="BI60" s="141">
        <v>81.37</v>
      </c>
      <c r="BJ60" s="141"/>
      <c r="BK60" s="141"/>
      <c r="BL60" s="143">
        <f t="shared" si="71"/>
        <v>1918.4099999999999</v>
      </c>
      <c r="BM60" s="144">
        <f>BG60</f>
        <v>10202.64</v>
      </c>
      <c r="BN60" s="141"/>
      <c r="BO60" s="141"/>
      <c r="BP60" s="141"/>
      <c r="BQ60" s="142">
        <f t="shared" si="73"/>
        <v>10202.64</v>
      </c>
      <c r="BR60" s="145">
        <f t="shared" si="74"/>
        <v>1918.4099999999999</v>
      </c>
      <c r="BS60" s="141">
        <v>149.97999999999999</v>
      </c>
      <c r="BT60" s="141"/>
      <c r="BU60" s="141"/>
      <c r="BV60" s="143">
        <f>BR60+BS60-BT60+BU60</f>
        <v>2068.39</v>
      </c>
      <c r="BW60" s="144">
        <f>BQ60</f>
        <v>10202.64</v>
      </c>
      <c r="BX60" s="141"/>
      <c r="BY60" s="141"/>
      <c r="BZ60" s="141"/>
      <c r="CA60" s="141"/>
      <c r="CB60" s="141"/>
      <c r="CC60" s="141"/>
      <c r="CD60" s="142">
        <f t="shared" si="92"/>
        <v>10202.64</v>
      </c>
      <c r="CE60" s="145">
        <f t="shared" si="93"/>
        <v>2068.39</v>
      </c>
      <c r="CF60" s="141">
        <f>3293.21-2068.39-1074.84</f>
        <v>149.98000000000025</v>
      </c>
      <c r="CG60" s="141"/>
      <c r="CH60" s="141"/>
      <c r="CI60" s="143">
        <f>CE60+CF60-CG60+CH60</f>
        <v>2218.37</v>
      </c>
      <c r="CJ60" s="140"/>
      <c r="CK60" s="141"/>
      <c r="CL60" s="145">
        <f t="shared" si="81"/>
        <v>10202.64</v>
      </c>
      <c r="CM60" s="146">
        <f t="shared" si="82"/>
        <v>2218.37</v>
      </c>
      <c r="CN60" s="147">
        <f t="shared" ref="CN60" si="94">1.47%*CL60</f>
        <v>149.97880799999999</v>
      </c>
      <c r="CO60" s="141">
        <f>1.47%*CL60*4/12</f>
        <v>49.992935999999993</v>
      </c>
      <c r="CP60" s="137">
        <f t="shared" si="33"/>
        <v>12620.981743999999</v>
      </c>
      <c r="CQ60" s="148">
        <v>12421.01</v>
      </c>
      <c r="CR60" s="137">
        <f t="shared" si="34"/>
        <v>0</v>
      </c>
    </row>
    <row r="61" spans="1:96" ht="15" thickBot="1" x14ac:dyDescent="0.25">
      <c r="A61" s="1">
        <v>31</v>
      </c>
      <c r="C61" s="6" t="s">
        <v>7</v>
      </c>
      <c r="D61" s="14">
        <v>2425</v>
      </c>
      <c r="E61" s="140"/>
      <c r="F61" s="141"/>
      <c r="G61" s="141"/>
      <c r="H61" s="141"/>
      <c r="I61" s="142">
        <f t="shared" si="51"/>
        <v>0</v>
      </c>
      <c r="J61" s="141"/>
      <c r="K61" s="141"/>
      <c r="L61" s="141"/>
      <c r="M61" s="141"/>
      <c r="N61" s="143">
        <f t="shared" si="52"/>
        <v>0</v>
      </c>
      <c r="O61" s="144">
        <f t="shared" si="90"/>
        <v>0</v>
      </c>
      <c r="P61" s="141"/>
      <c r="Q61" s="141"/>
      <c r="R61" s="141"/>
      <c r="S61" s="142">
        <f t="shared" si="54"/>
        <v>0</v>
      </c>
      <c r="T61" s="145">
        <f t="shared" si="55"/>
        <v>0</v>
      </c>
      <c r="U61" s="141"/>
      <c r="V61" s="141"/>
      <c r="W61" s="141"/>
      <c r="X61" s="143">
        <f t="shared" si="56"/>
        <v>0</v>
      </c>
      <c r="Y61" s="144">
        <f>S61</f>
        <v>0</v>
      </c>
      <c r="Z61" s="141"/>
      <c r="AA61" s="141"/>
      <c r="AB61" s="141"/>
      <c r="AC61" s="142">
        <f t="shared" si="58"/>
        <v>0</v>
      </c>
      <c r="AD61" s="145">
        <f>X61</f>
        <v>0</v>
      </c>
      <c r="AE61" s="141"/>
      <c r="AF61" s="141"/>
      <c r="AG61" s="141"/>
      <c r="AH61" s="143">
        <f t="shared" si="60"/>
        <v>0</v>
      </c>
      <c r="AI61" s="144">
        <f>AC61</f>
        <v>0</v>
      </c>
      <c r="AJ61" s="141"/>
      <c r="AK61" s="141"/>
      <c r="AL61" s="141"/>
      <c r="AM61" s="142">
        <f t="shared" si="62"/>
        <v>0</v>
      </c>
      <c r="AN61" s="145">
        <f>AH61</f>
        <v>0</v>
      </c>
      <c r="AO61" s="141"/>
      <c r="AP61" s="141"/>
      <c r="AQ61" s="141"/>
      <c r="AR61" s="143">
        <f t="shared" si="64"/>
        <v>0</v>
      </c>
      <c r="AS61" s="144">
        <f>AM61</f>
        <v>0</v>
      </c>
      <c r="AT61" s="141"/>
      <c r="AU61" s="141"/>
      <c r="AV61" s="141"/>
      <c r="AW61" s="142">
        <f t="shared" si="66"/>
        <v>0</v>
      </c>
      <c r="AX61" s="145">
        <f>AR61</f>
        <v>0</v>
      </c>
      <c r="AY61" s="141"/>
      <c r="AZ61" s="141"/>
      <c r="BA61" s="141"/>
      <c r="BB61" s="143">
        <f t="shared" si="68"/>
        <v>0</v>
      </c>
      <c r="BC61" s="144">
        <f>AW61</f>
        <v>0</v>
      </c>
      <c r="BD61" s="141"/>
      <c r="BE61" s="141"/>
      <c r="BF61" s="141"/>
      <c r="BG61" s="142">
        <f t="shared" si="69"/>
        <v>0</v>
      </c>
      <c r="BH61" s="145">
        <f t="shared" si="70"/>
        <v>0</v>
      </c>
      <c r="BI61" s="141"/>
      <c r="BJ61" s="141"/>
      <c r="BK61" s="141"/>
      <c r="BL61" s="143">
        <f t="shared" si="71"/>
        <v>0</v>
      </c>
      <c r="BM61" s="144">
        <f>BG61</f>
        <v>0</v>
      </c>
      <c r="BN61" s="141"/>
      <c r="BO61" s="141"/>
      <c r="BP61" s="141"/>
      <c r="BQ61" s="142">
        <f t="shared" si="73"/>
        <v>0</v>
      </c>
      <c r="BR61" s="145">
        <f t="shared" si="74"/>
        <v>0</v>
      </c>
      <c r="BS61" s="141"/>
      <c r="BT61" s="141"/>
      <c r="BU61" s="141"/>
      <c r="BV61" s="143">
        <f>BR61+BS61-BT61+BU61</f>
        <v>0</v>
      </c>
      <c r="BW61" s="144">
        <f>BQ61</f>
        <v>0</v>
      </c>
      <c r="BX61" s="141"/>
      <c r="BY61" s="141"/>
      <c r="BZ61" s="141"/>
      <c r="CA61" s="141"/>
      <c r="CB61" s="141"/>
      <c r="CC61" s="141"/>
      <c r="CD61" s="142">
        <f t="shared" si="92"/>
        <v>0</v>
      </c>
      <c r="CE61" s="145">
        <f t="shared" si="93"/>
        <v>0</v>
      </c>
      <c r="CF61" s="141"/>
      <c r="CG61" s="141"/>
      <c r="CH61" s="141"/>
      <c r="CI61" s="143">
        <f>CE61+CF61-CG61+CH61</f>
        <v>0</v>
      </c>
      <c r="CJ61" s="140"/>
      <c r="CK61" s="141"/>
      <c r="CL61" s="145">
        <f t="shared" si="81"/>
        <v>0</v>
      </c>
      <c r="CM61" s="146">
        <f t="shared" si="82"/>
        <v>0</v>
      </c>
      <c r="CN61" s="147"/>
      <c r="CO61" s="141"/>
      <c r="CP61" s="137">
        <f t="shared" si="33"/>
        <v>0</v>
      </c>
      <c r="CQ61" s="148">
        <v>0</v>
      </c>
      <c r="CR61" s="137">
        <f t="shared" si="34"/>
        <v>0</v>
      </c>
    </row>
    <row r="62" spans="1:96" ht="14.25" x14ac:dyDescent="0.2">
      <c r="C62" s="6"/>
      <c r="D62" s="6"/>
      <c r="E62" s="149"/>
      <c r="F62" s="142"/>
      <c r="G62" s="142"/>
      <c r="H62" s="142"/>
      <c r="I62" s="142"/>
      <c r="J62" s="142"/>
      <c r="K62" s="142"/>
      <c r="L62" s="142"/>
      <c r="M62" s="142"/>
      <c r="N62" s="143"/>
      <c r="O62" s="149"/>
      <c r="P62" s="142"/>
      <c r="Q62" s="142"/>
      <c r="R62" s="142"/>
      <c r="S62" s="142"/>
      <c r="T62" s="142"/>
      <c r="U62" s="142"/>
      <c r="V62" s="142"/>
      <c r="W62" s="142"/>
      <c r="X62" s="143"/>
      <c r="Y62" s="149"/>
      <c r="Z62" s="142"/>
      <c r="AA62" s="142"/>
      <c r="AB62" s="142"/>
      <c r="AC62" s="142"/>
      <c r="AD62" s="142"/>
      <c r="AE62" s="142"/>
      <c r="AF62" s="142"/>
      <c r="AG62" s="142"/>
      <c r="AH62" s="143"/>
      <c r="AI62" s="149"/>
      <c r="AJ62" s="142"/>
      <c r="AK62" s="142"/>
      <c r="AL62" s="142"/>
      <c r="AM62" s="142"/>
      <c r="AN62" s="142"/>
      <c r="AO62" s="142"/>
      <c r="AP62" s="142"/>
      <c r="AQ62" s="142"/>
      <c r="AR62" s="143"/>
      <c r="AS62" s="149"/>
      <c r="AT62" s="142"/>
      <c r="AU62" s="142"/>
      <c r="AV62" s="142"/>
      <c r="AW62" s="142"/>
      <c r="AX62" s="142"/>
      <c r="AY62" s="142"/>
      <c r="AZ62" s="142"/>
      <c r="BA62" s="142"/>
      <c r="BB62" s="143"/>
      <c r="BC62" s="149"/>
      <c r="BD62" s="142"/>
      <c r="BE62" s="142"/>
      <c r="BF62" s="142"/>
      <c r="BG62" s="142"/>
      <c r="BH62" s="142"/>
      <c r="BI62" s="142"/>
      <c r="BJ62" s="142"/>
      <c r="BK62" s="142"/>
      <c r="BL62" s="143"/>
      <c r="BM62" s="149"/>
      <c r="BN62" s="142"/>
      <c r="BO62" s="142"/>
      <c r="BP62" s="142"/>
      <c r="BQ62" s="142"/>
      <c r="BR62" s="142"/>
      <c r="BS62" s="142"/>
      <c r="BT62" s="142"/>
      <c r="BU62" s="142"/>
      <c r="BV62" s="143"/>
      <c r="BW62" s="149"/>
      <c r="BX62" s="142"/>
      <c r="BY62" s="142"/>
      <c r="BZ62" s="142"/>
      <c r="CA62" s="142"/>
      <c r="CB62" s="142"/>
      <c r="CC62" s="142"/>
      <c r="CD62" s="142"/>
      <c r="CE62" s="142"/>
      <c r="CF62" s="142"/>
      <c r="CG62" s="142"/>
      <c r="CH62" s="142"/>
      <c r="CI62" s="143"/>
      <c r="CJ62" s="149"/>
      <c r="CK62" s="142"/>
      <c r="CL62" s="142"/>
      <c r="CM62" s="143"/>
      <c r="CN62" s="136"/>
      <c r="CO62" s="136"/>
      <c r="CP62" s="137"/>
      <c r="CQ62" s="138"/>
      <c r="CR62" s="137"/>
    </row>
    <row r="63" spans="1:96" ht="15" x14ac:dyDescent="0.25">
      <c r="C63" s="15" t="s">
        <v>34</v>
      </c>
      <c r="D63" s="6"/>
      <c r="E63" s="149">
        <f t="shared" ref="E63:K63" si="95">SUM(E41:E61)</f>
        <v>84429.07</v>
      </c>
      <c r="F63" s="142">
        <f t="shared" si="95"/>
        <v>6167.8999999999978</v>
      </c>
      <c r="G63" s="142">
        <f t="shared" si="95"/>
        <v>0</v>
      </c>
      <c r="H63" s="142">
        <f t="shared" si="95"/>
        <v>0</v>
      </c>
      <c r="I63" s="142">
        <f t="shared" si="95"/>
        <v>90596.97</v>
      </c>
      <c r="J63" s="142">
        <f t="shared" si="95"/>
        <v>4519.08</v>
      </c>
      <c r="K63" s="142">
        <f t="shared" si="95"/>
        <v>0</v>
      </c>
      <c r="L63" s="142">
        <f>SUM(L41:L61)</f>
        <v>0</v>
      </c>
      <c r="M63" s="142">
        <f>SUM(M41:M61)</f>
        <v>0</v>
      </c>
      <c r="N63" s="142">
        <f>SUM(N41:N61)</f>
        <v>4519.08</v>
      </c>
      <c r="O63" s="149">
        <f t="shared" ref="O63:X63" si="96">SUM(O41:O61)</f>
        <v>90596.97</v>
      </c>
      <c r="P63" s="142">
        <f t="shared" si="96"/>
        <v>19117.16</v>
      </c>
      <c r="Q63" s="142">
        <f t="shared" si="96"/>
        <v>74226.429999999993</v>
      </c>
      <c r="R63" s="142">
        <f t="shared" si="96"/>
        <v>0</v>
      </c>
      <c r="S63" s="142">
        <f t="shared" si="96"/>
        <v>35487.699999999997</v>
      </c>
      <c r="T63" s="142">
        <f t="shared" si="96"/>
        <v>4519.08</v>
      </c>
      <c r="U63" s="142">
        <f t="shared" si="96"/>
        <v>1755.7599999999998</v>
      </c>
      <c r="V63" s="142">
        <f t="shared" si="96"/>
        <v>4936.66</v>
      </c>
      <c r="W63" s="142">
        <f t="shared" si="96"/>
        <v>0</v>
      </c>
      <c r="X63" s="143">
        <f t="shared" si="96"/>
        <v>1338.1799999999998</v>
      </c>
      <c r="Y63" s="149">
        <f t="shared" ref="Y63:BB63" si="97">SUM(Y41:Y61)</f>
        <v>35487.699999999997</v>
      </c>
      <c r="Z63" s="142">
        <f t="shared" si="97"/>
        <v>28193.199999999997</v>
      </c>
      <c r="AA63" s="142">
        <f t="shared" si="97"/>
        <v>0</v>
      </c>
      <c r="AB63" s="142">
        <f t="shared" si="97"/>
        <v>0</v>
      </c>
      <c r="AC63" s="142">
        <f t="shared" si="97"/>
        <v>63680.899999999994</v>
      </c>
      <c r="AD63" s="142">
        <f t="shared" si="97"/>
        <v>1338.1799999999998</v>
      </c>
      <c r="AE63" s="142">
        <f t="shared" si="97"/>
        <v>2187.4900000000002</v>
      </c>
      <c r="AF63" s="142">
        <f t="shared" si="97"/>
        <v>0</v>
      </c>
      <c r="AG63" s="142">
        <f t="shared" si="97"/>
        <v>0</v>
      </c>
      <c r="AH63" s="143">
        <f t="shared" si="97"/>
        <v>3525.67</v>
      </c>
      <c r="AI63" s="149">
        <f t="shared" si="97"/>
        <v>63680.899999999994</v>
      </c>
      <c r="AJ63" s="142">
        <f t="shared" si="97"/>
        <v>78541.76999999999</v>
      </c>
      <c r="AK63" s="142">
        <f t="shared" si="97"/>
        <v>0</v>
      </c>
      <c r="AL63" s="142">
        <f t="shared" si="97"/>
        <v>0</v>
      </c>
      <c r="AM63" s="142">
        <f t="shared" si="97"/>
        <v>142222.66999999998</v>
      </c>
      <c r="AN63" s="142">
        <f t="shared" si="97"/>
        <v>3525.67</v>
      </c>
      <c r="AO63" s="142">
        <f t="shared" si="97"/>
        <v>3233.3500000000004</v>
      </c>
      <c r="AP63" s="142">
        <f>SUM(AP41:AP61)</f>
        <v>0</v>
      </c>
      <c r="AQ63" s="142">
        <f>SUM(AQ41:AQ61)</f>
        <v>0</v>
      </c>
      <c r="AR63" s="143">
        <f t="shared" si="97"/>
        <v>6759.02</v>
      </c>
      <c r="AS63" s="149">
        <f t="shared" si="97"/>
        <v>142222.66999999998</v>
      </c>
      <c r="AT63" s="142">
        <f t="shared" si="97"/>
        <v>48562.32</v>
      </c>
      <c r="AU63" s="142">
        <f t="shared" si="97"/>
        <v>0</v>
      </c>
      <c r="AV63" s="142">
        <f t="shared" si="97"/>
        <v>-6023.0199999999986</v>
      </c>
      <c r="AW63" s="142">
        <f t="shared" si="97"/>
        <v>184761.96999999997</v>
      </c>
      <c r="AX63" s="142">
        <f t="shared" si="97"/>
        <v>6759.02</v>
      </c>
      <c r="AY63" s="142">
        <f t="shared" si="97"/>
        <v>1689.8600000000001</v>
      </c>
      <c r="AZ63" s="142">
        <f t="shared" si="97"/>
        <v>0</v>
      </c>
      <c r="BA63" s="142">
        <f t="shared" si="97"/>
        <v>-7.78</v>
      </c>
      <c r="BB63" s="143">
        <f t="shared" si="97"/>
        <v>8441.1</v>
      </c>
      <c r="BC63" s="149">
        <f t="shared" ref="BC63:BL63" si="98">SUM(BC41:BC61)</f>
        <v>184761.96999999997</v>
      </c>
      <c r="BD63" s="142">
        <f t="shared" si="98"/>
        <v>289806.14999999997</v>
      </c>
      <c r="BE63" s="142">
        <f t="shared" si="98"/>
        <v>0</v>
      </c>
      <c r="BF63" s="142">
        <f t="shared" si="98"/>
        <v>-6597.99</v>
      </c>
      <c r="BG63" s="142">
        <f t="shared" si="98"/>
        <v>467970.13000000006</v>
      </c>
      <c r="BH63" s="142">
        <f t="shared" si="98"/>
        <v>8441.1</v>
      </c>
      <c r="BI63" s="142">
        <f t="shared" si="98"/>
        <v>2525</v>
      </c>
      <c r="BJ63" s="142">
        <f t="shared" si="98"/>
        <v>0</v>
      </c>
      <c r="BK63" s="142">
        <f t="shared" si="98"/>
        <v>-21.338298999999992</v>
      </c>
      <c r="BL63" s="143">
        <f t="shared" si="98"/>
        <v>10944.761700999999</v>
      </c>
      <c r="BM63" s="149">
        <f t="shared" ref="BM63:BV63" si="99">SUM(BM41:BM61)</f>
        <v>467970.13000000006</v>
      </c>
      <c r="BN63" s="142">
        <f t="shared" si="99"/>
        <v>133930.07</v>
      </c>
      <c r="BO63" s="142">
        <f t="shared" si="99"/>
        <v>0</v>
      </c>
      <c r="BP63" s="142">
        <f t="shared" si="99"/>
        <v>1468.4400000000005</v>
      </c>
      <c r="BQ63" s="142">
        <f t="shared" si="99"/>
        <v>603368.64</v>
      </c>
      <c r="BR63" s="142">
        <f t="shared" si="99"/>
        <v>10944.761700999999</v>
      </c>
      <c r="BS63" s="142">
        <f t="shared" si="99"/>
        <v>7753.92</v>
      </c>
      <c r="BT63" s="142">
        <f t="shared" si="99"/>
        <v>0</v>
      </c>
      <c r="BU63" s="142">
        <f t="shared" si="99"/>
        <v>-179.58659799999998</v>
      </c>
      <c r="BV63" s="143">
        <f t="shared" si="99"/>
        <v>18519.095103</v>
      </c>
      <c r="BW63" s="149">
        <f t="shared" ref="BW63:CI63" si="100">SUM(BW41:BW61)</f>
        <v>603368.64</v>
      </c>
      <c r="BX63" s="142">
        <f t="shared" si="100"/>
        <v>69265.889999999985</v>
      </c>
      <c r="BY63" s="142">
        <f t="shared" si="100"/>
        <v>0</v>
      </c>
      <c r="BZ63" s="142">
        <f t="shared" si="100"/>
        <v>0</v>
      </c>
      <c r="CA63" s="142">
        <f t="shared" si="100"/>
        <v>0</v>
      </c>
      <c r="CB63" s="142">
        <f t="shared" si="100"/>
        <v>-229155.92</v>
      </c>
      <c r="CC63" s="142">
        <f t="shared" si="100"/>
        <v>-11085.69000000001</v>
      </c>
      <c r="CD63" s="142">
        <f t="shared" si="100"/>
        <v>432392.92</v>
      </c>
      <c r="CE63" s="142">
        <f t="shared" si="100"/>
        <v>18519.095103</v>
      </c>
      <c r="CF63" s="142">
        <f t="shared" si="100"/>
        <v>9550.4700000000012</v>
      </c>
      <c r="CG63" s="142">
        <f t="shared" si="100"/>
        <v>0</v>
      </c>
      <c r="CH63" s="142">
        <f t="shared" si="100"/>
        <v>-9019.5826507500005</v>
      </c>
      <c r="CI63" s="143">
        <f t="shared" si="100"/>
        <v>19049.982452250002</v>
      </c>
      <c r="CJ63" s="149">
        <f t="shared" ref="CJ63:CQ63" si="101">SUM(CJ41:CJ61)</f>
        <v>18571.66</v>
      </c>
      <c r="CK63" s="142">
        <f t="shared" si="101"/>
        <v>594.30999999999995</v>
      </c>
      <c r="CL63" s="142">
        <f t="shared" si="101"/>
        <v>413821.25999999995</v>
      </c>
      <c r="CM63" s="143">
        <f t="shared" si="101"/>
        <v>18455.672452250001</v>
      </c>
      <c r="CN63" s="142">
        <f t="shared" si="101"/>
        <v>5271.2872589999997</v>
      </c>
      <c r="CO63" s="142">
        <f t="shared" si="101"/>
        <v>1757.0957530000001</v>
      </c>
      <c r="CP63" s="137">
        <f t="shared" si="33"/>
        <v>439305.31546424993</v>
      </c>
      <c r="CQ63" s="150">
        <f t="shared" si="101"/>
        <v>712065.37</v>
      </c>
      <c r="CR63" s="137">
        <f t="shared" si="34"/>
        <v>260622.46754774998</v>
      </c>
    </row>
    <row r="64" spans="1:96" ht="15" thickBot="1" x14ac:dyDescent="0.25">
      <c r="C64" s="6"/>
      <c r="D64" s="6"/>
      <c r="E64" s="149"/>
      <c r="F64" s="142"/>
      <c r="G64" s="142"/>
      <c r="H64" s="142"/>
      <c r="I64" s="142"/>
      <c r="J64" s="142"/>
      <c r="K64" s="142"/>
      <c r="L64" s="142"/>
      <c r="M64" s="142"/>
      <c r="N64" s="143"/>
      <c r="O64" s="149"/>
      <c r="P64" s="142"/>
      <c r="Q64" s="142"/>
      <c r="R64" s="142"/>
      <c r="S64" s="142"/>
      <c r="T64" s="142"/>
      <c r="U64" s="142"/>
      <c r="V64" s="142"/>
      <c r="W64" s="142"/>
      <c r="X64" s="143"/>
      <c r="Y64" s="149"/>
      <c r="Z64" s="142"/>
      <c r="AA64" s="142"/>
      <c r="AB64" s="142"/>
      <c r="AC64" s="142"/>
      <c r="AD64" s="142"/>
      <c r="AE64" s="142"/>
      <c r="AF64" s="142"/>
      <c r="AG64" s="142"/>
      <c r="AH64" s="143"/>
      <c r="AI64" s="149"/>
      <c r="AJ64" s="142"/>
      <c r="AK64" s="142"/>
      <c r="AL64" s="142"/>
      <c r="AM64" s="142"/>
      <c r="AN64" s="142"/>
      <c r="AO64" s="142"/>
      <c r="AP64" s="142"/>
      <c r="AQ64" s="142"/>
      <c r="AR64" s="143"/>
      <c r="AS64" s="149"/>
      <c r="AT64" s="142"/>
      <c r="AU64" s="142"/>
      <c r="AV64" s="142"/>
      <c r="AW64" s="142"/>
      <c r="AX64" s="142"/>
      <c r="AY64" s="142"/>
      <c r="AZ64" s="142"/>
      <c r="BA64" s="142"/>
      <c r="BB64" s="143"/>
      <c r="BC64" s="149"/>
      <c r="BD64" s="142"/>
      <c r="BE64" s="142"/>
      <c r="BF64" s="142"/>
      <c r="BG64" s="142"/>
      <c r="BH64" s="142"/>
      <c r="BI64" s="142"/>
      <c r="BJ64" s="142"/>
      <c r="BK64" s="142"/>
      <c r="BL64" s="143"/>
      <c r="BM64" s="149"/>
      <c r="BN64" s="142"/>
      <c r="BO64" s="142"/>
      <c r="BP64" s="142"/>
      <c r="BQ64" s="142"/>
      <c r="BR64" s="142"/>
      <c r="BS64" s="142"/>
      <c r="BT64" s="142"/>
      <c r="BU64" s="142"/>
      <c r="BV64" s="143"/>
      <c r="BW64" s="149"/>
      <c r="BX64" s="142"/>
      <c r="BY64" s="142"/>
      <c r="BZ64" s="142"/>
      <c r="CA64" s="142"/>
      <c r="CB64" s="142"/>
      <c r="CC64" s="142"/>
      <c r="CD64" s="142"/>
      <c r="CE64" s="142"/>
      <c r="CF64" s="142"/>
      <c r="CG64" s="142"/>
      <c r="CH64" s="142"/>
      <c r="CI64" s="143"/>
      <c r="CJ64" s="149"/>
      <c r="CK64" s="142"/>
      <c r="CL64" s="142"/>
      <c r="CM64" s="143"/>
      <c r="CN64" s="136"/>
      <c r="CO64" s="136"/>
      <c r="CP64" s="137"/>
      <c r="CQ64" s="138"/>
      <c r="CR64" s="137"/>
    </row>
    <row r="65" spans="1:96" ht="15" thickBot="1" x14ac:dyDescent="0.25">
      <c r="A65" s="1">
        <v>32</v>
      </c>
      <c r="C65" s="6" t="s">
        <v>16</v>
      </c>
      <c r="D65" s="8">
        <v>1562</v>
      </c>
      <c r="E65" s="140"/>
      <c r="F65" s="159"/>
      <c r="G65" s="141"/>
      <c r="H65" s="141"/>
      <c r="I65" s="142">
        <f>E65+F65-G65+H65</f>
        <v>0</v>
      </c>
      <c r="J65" s="141"/>
      <c r="K65" s="141"/>
      <c r="L65" s="141"/>
      <c r="M65" s="141"/>
      <c r="N65" s="143">
        <f>J65+K65-L65+M65</f>
        <v>0</v>
      </c>
      <c r="O65" s="144">
        <f>I65</f>
        <v>0</v>
      </c>
      <c r="P65" s="141"/>
      <c r="Q65" s="141"/>
      <c r="R65" s="141"/>
      <c r="S65" s="142">
        <f>O65+P65-Q65+R65</f>
        <v>0</v>
      </c>
      <c r="T65" s="145">
        <f>N65</f>
        <v>0</v>
      </c>
      <c r="U65" s="141"/>
      <c r="V65" s="141"/>
      <c r="W65" s="141"/>
      <c r="X65" s="143">
        <f>T65+U65-V65+W65</f>
        <v>0</v>
      </c>
      <c r="Y65" s="144">
        <f>S65</f>
        <v>0</v>
      </c>
      <c r="Z65" s="141"/>
      <c r="AA65" s="141"/>
      <c r="AB65" s="141"/>
      <c r="AC65" s="142">
        <f>Y65+Z65-AA65+AB65</f>
        <v>0</v>
      </c>
      <c r="AD65" s="145">
        <f>X65</f>
        <v>0</v>
      </c>
      <c r="AE65" s="141"/>
      <c r="AF65" s="141"/>
      <c r="AG65" s="141"/>
      <c r="AH65" s="143">
        <f>AD65+AE65-AF65+AG65</f>
        <v>0</v>
      </c>
      <c r="AI65" s="144">
        <f>AC65</f>
        <v>0</v>
      </c>
      <c r="AJ65" s="141"/>
      <c r="AK65" s="141"/>
      <c r="AL65" s="141"/>
      <c r="AM65" s="142">
        <f>AI65+AJ65-AK65+AL65</f>
        <v>0</v>
      </c>
      <c r="AN65" s="145">
        <f>AH65</f>
        <v>0</v>
      </c>
      <c r="AO65" s="141"/>
      <c r="AP65" s="141"/>
      <c r="AQ65" s="141"/>
      <c r="AR65" s="143">
        <f>AN65+AO65-AP65+AQ65</f>
        <v>0</v>
      </c>
      <c r="AS65" s="144">
        <f>AM65</f>
        <v>0</v>
      </c>
      <c r="AT65" s="141"/>
      <c r="AU65" s="141"/>
      <c r="AV65" s="141"/>
      <c r="AW65" s="142">
        <f>AS65+AT65-AU65+AV65</f>
        <v>0</v>
      </c>
      <c r="AX65" s="145">
        <f>AR65</f>
        <v>0</v>
      </c>
      <c r="AY65" s="141"/>
      <c r="AZ65" s="141"/>
      <c r="BA65" s="141"/>
      <c r="BB65" s="143">
        <f>AX65+AY65-AZ65+BA65</f>
        <v>0</v>
      </c>
      <c r="BC65" s="144">
        <f>AW65</f>
        <v>0</v>
      </c>
      <c r="BD65" s="141"/>
      <c r="BE65" s="141"/>
      <c r="BF65" s="141"/>
      <c r="BG65" s="142">
        <f>BC65+BD65-BE65+SUM(BF65:BF65)</f>
        <v>0</v>
      </c>
      <c r="BH65" s="145">
        <f>BB65</f>
        <v>0</v>
      </c>
      <c r="BI65" s="141"/>
      <c r="BJ65" s="141"/>
      <c r="BK65" s="141"/>
      <c r="BL65" s="143">
        <f>BH65+BI65-BJ65+BK65</f>
        <v>0</v>
      </c>
      <c r="BM65" s="144">
        <f>BG65</f>
        <v>0</v>
      </c>
      <c r="BN65" s="141"/>
      <c r="BO65" s="141"/>
      <c r="BP65" s="141"/>
      <c r="BQ65" s="142">
        <f>BM65+BN65-BO65+SUM(BP65:BP65)</f>
        <v>0</v>
      </c>
      <c r="BR65" s="145">
        <f>BL65</f>
        <v>0</v>
      </c>
      <c r="BS65" s="141"/>
      <c r="BT65" s="141"/>
      <c r="BU65" s="141"/>
      <c r="BV65" s="143">
        <f>BR65+BS65-BT65+BU65</f>
        <v>0</v>
      </c>
      <c r="BW65" s="144">
        <f>BQ65</f>
        <v>0</v>
      </c>
      <c r="BX65" s="141"/>
      <c r="BY65" s="141"/>
      <c r="BZ65" s="141"/>
      <c r="CA65" s="141"/>
      <c r="CB65" s="141"/>
      <c r="CC65" s="141"/>
      <c r="CD65" s="142">
        <f>BW65+BX65-BY65+SUM(BZ65:CC65)</f>
        <v>0</v>
      </c>
      <c r="CE65" s="145">
        <f>BV65</f>
        <v>0</v>
      </c>
      <c r="CF65" s="141"/>
      <c r="CG65" s="141"/>
      <c r="CH65" s="141"/>
      <c r="CI65" s="143">
        <f>CE65+CF65-CG65+CH65</f>
        <v>0</v>
      </c>
      <c r="CJ65" s="140"/>
      <c r="CK65" s="141"/>
      <c r="CL65" s="145">
        <f t="shared" ref="CL65" si="102">CD65-CJ65</f>
        <v>0</v>
      </c>
      <c r="CM65" s="146">
        <f t="shared" ref="CM65" si="103">CI65-CK65</f>
        <v>0</v>
      </c>
      <c r="CN65" s="147"/>
      <c r="CO65" s="141"/>
      <c r="CP65" s="137">
        <f t="shared" si="33"/>
        <v>0</v>
      </c>
      <c r="CQ65" s="148">
        <v>0</v>
      </c>
      <c r="CR65" s="137">
        <f t="shared" si="34"/>
        <v>0</v>
      </c>
    </row>
    <row r="66" spans="1:96" ht="29.25" thickBot="1" x14ac:dyDescent="0.25">
      <c r="A66" s="1">
        <v>33</v>
      </c>
      <c r="C66" s="30" t="s">
        <v>71</v>
      </c>
      <c r="D66" s="31">
        <v>1592</v>
      </c>
      <c r="E66" s="140"/>
      <c r="F66" s="141"/>
      <c r="G66" s="141"/>
      <c r="H66" s="141"/>
      <c r="I66" s="142">
        <f>E66+F66-G66+H66</f>
        <v>0</v>
      </c>
      <c r="J66" s="141"/>
      <c r="K66" s="141"/>
      <c r="L66" s="141"/>
      <c r="M66" s="141"/>
      <c r="N66" s="143">
        <f>J66+K66-L66+M66</f>
        <v>0</v>
      </c>
      <c r="O66" s="144">
        <f>I66</f>
        <v>0</v>
      </c>
      <c r="P66" s="141"/>
      <c r="Q66" s="141"/>
      <c r="R66" s="141"/>
      <c r="S66" s="142">
        <f>O66+P66-Q66+R66</f>
        <v>0</v>
      </c>
      <c r="T66" s="145">
        <f>N66</f>
        <v>0</v>
      </c>
      <c r="U66" s="141"/>
      <c r="V66" s="141"/>
      <c r="W66" s="141"/>
      <c r="X66" s="143">
        <f>T66+U66-V66+W66</f>
        <v>0</v>
      </c>
      <c r="Y66" s="144">
        <f>S66</f>
        <v>0</v>
      </c>
      <c r="Z66" s="141"/>
      <c r="AA66" s="141"/>
      <c r="AB66" s="141"/>
      <c r="AC66" s="142">
        <f>Y66+Z66-AA66+AB66</f>
        <v>0</v>
      </c>
      <c r="AD66" s="145">
        <f>X66</f>
        <v>0</v>
      </c>
      <c r="AE66" s="141"/>
      <c r="AF66" s="141"/>
      <c r="AG66" s="141"/>
      <c r="AH66" s="143">
        <f>AD66+AE66-AF66+AG66</f>
        <v>0</v>
      </c>
      <c r="AI66" s="144">
        <f>AC66</f>
        <v>0</v>
      </c>
      <c r="AJ66" s="141"/>
      <c r="AK66" s="141"/>
      <c r="AL66" s="141"/>
      <c r="AM66" s="142">
        <f>AI66+AJ66-AK66+AL66</f>
        <v>0</v>
      </c>
      <c r="AN66" s="145">
        <f>AH66</f>
        <v>0</v>
      </c>
      <c r="AO66" s="141"/>
      <c r="AP66" s="141"/>
      <c r="AQ66" s="141"/>
      <c r="AR66" s="143">
        <f>AN66+AO66-AP66+AQ66</f>
        <v>0</v>
      </c>
      <c r="AS66" s="144">
        <f>AM66</f>
        <v>0</v>
      </c>
      <c r="AT66" s="141"/>
      <c r="AU66" s="141"/>
      <c r="AV66" s="141"/>
      <c r="AW66" s="142">
        <f>AS66+AT66-AU66+AV66</f>
        <v>0</v>
      </c>
      <c r="AX66" s="145">
        <f>AR66</f>
        <v>0</v>
      </c>
      <c r="AY66" s="141"/>
      <c r="AZ66" s="141"/>
      <c r="BA66" s="141"/>
      <c r="BB66" s="143">
        <f>AX66+AY66-AZ66+BA66</f>
        <v>0</v>
      </c>
      <c r="BC66" s="144">
        <f>AW66</f>
        <v>0</v>
      </c>
      <c r="BD66" s="141"/>
      <c r="BE66" s="141"/>
      <c r="BF66" s="141"/>
      <c r="BG66" s="142">
        <f>BC66+BD66-BE66+SUM(BF66:BF66)</f>
        <v>0</v>
      </c>
      <c r="BH66" s="145">
        <f>BB66</f>
        <v>0</v>
      </c>
      <c r="BI66" s="141"/>
      <c r="BJ66" s="141"/>
      <c r="BK66" s="141"/>
      <c r="BL66" s="143">
        <f>BH66+BI66-BJ66+BK66</f>
        <v>0</v>
      </c>
      <c r="BM66" s="144">
        <f>BG66</f>
        <v>0</v>
      </c>
      <c r="BN66" s="141"/>
      <c r="BO66" s="141"/>
      <c r="BP66" s="141"/>
      <c r="BQ66" s="142">
        <f>BM66+BN66-BO66+SUM(BP66:BP66)</f>
        <v>0</v>
      </c>
      <c r="BR66" s="145">
        <f>BL66</f>
        <v>0</v>
      </c>
      <c r="BS66" s="141"/>
      <c r="BT66" s="141"/>
      <c r="BU66" s="141"/>
      <c r="BV66" s="143">
        <f>BR66+BS66-BT66+BU66</f>
        <v>0</v>
      </c>
      <c r="BW66" s="144">
        <f>BQ66</f>
        <v>0</v>
      </c>
      <c r="BX66" s="141"/>
      <c r="BY66" s="141"/>
      <c r="BZ66" s="141"/>
      <c r="CA66" s="141"/>
      <c r="CB66" s="141"/>
      <c r="CC66" s="141"/>
      <c r="CD66" s="142">
        <f>BW66+BX66-BY66+SUM(BZ66:CC66)</f>
        <v>0</v>
      </c>
      <c r="CE66" s="145">
        <f>BV66</f>
        <v>0</v>
      </c>
      <c r="CF66" s="141"/>
      <c r="CG66" s="141"/>
      <c r="CH66" s="141"/>
      <c r="CI66" s="143">
        <f>CE66+CF66-CG66+CH66</f>
        <v>0</v>
      </c>
      <c r="CJ66" s="140"/>
      <c r="CK66" s="141"/>
      <c r="CL66" s="145">
        <f t="shared" ref="CL66:CL67" si="104">CD66-CJ66</f>
        <v>0</v>
      </c>
      <c r="CM66" s="146">
        <f t="shared" ref="CM66:CM67" si="105">CI66-CK66</f>
        <v>0</v>
      </c>
      <c r="CN66" s="147"/>
      <c r="CO66" s="141"/>
      <c r="CP66" s="137">
        <f t="shared" si="33"/>
        <v>0</v>
      </c>
      <c r="CQ66" s="148">
        <v>0</v>
      </c>
      <c r="CR66" s="137">
        <f t="shared" si="34"/>
        <v>0</v>
      </c>
    </row>
    <row r="67" spans="1:96" ht="29.25" thickBot="1" x14ac:dyDescent="0.25">
      <c r="A67" s="1">
        <v>34</v>
      </c>
      <c r="C67" s="30" t="s">
        <v>70</v>
      </c>
      <c r="D67" s="31">
        <v>1592</v>
      </c>
      <c r="E67" s="140"/>
      <c r="F67" s="141"/>
      <c r="G67" s="141"/>
      <c r="H67" s="141"/>
      <c r="I67" s="142">
        <f>E67+F67-G67+H67</f>
        <v>0</v>
      </c>
      <c r="J67" s="141"/>
      <c r="K67" s="141"/>
      <c r="L67" s="141"/>
      <c r="M67" s="141"/>
      <c r="N67" s="143">
        <f>J67+K67-L67+M67</f>
        <v>0</v>
      </c>
      <c r="O67" s="144">
        <f>I67</f>
        <v>0</v>
      </c>
      <c r="P67" s="141"/>
      <c r="Q67" s="141"/>
      <c r="R67" s="141"/>
      <c r="S67" s="142">
        <f>O67+P67-Q67+R67</f>
        <v>0</v>
      </c>
      <c r="T67" s="145">
        <f>N67</f>
        <v>0</v>
      </c>
      <c r="U67" s="141"/>
      <c r="V67" s="141"/>
      <c r="W67" s="141"/>
      <c r="X67" s="143">
        <f>T67+U67-V67+W67</f>
        <v>0</v>
      </c>
      <c r="Y67" s="144">
        <f>S67</f>
        <v>0</v>
      </c>
      <c r="Z67" s="141"/>
      <c r="AA67" s="141"/>
      <c r="AB67" s="141"/>
      <c r="AC67" s="142">
        <f>Y67+Z67-AA67+AB67</f>
        <v>0</v>
      </c>
      <c r="AD67" s="145">
        <f>X67</f>
        <v>0</v>
      </c>
      <c r="AE67" s="141"/>
      <c r="AF67" s="141"/>
      <c r="AG67" s="141"/>
      <c r="AH67" s="143">
        <f>AD67+AE67-AF67+AG67</f>
        <v>0</v>
      </c>
      <c r="AI67" s="144">
        <f>AC67</f>
        <v>0</v>
      </c>
      <c r="AJ67" s="141"/>
      <c r="AK67" s="141"/>
      <c r="AL67" s="141"/>
      <c r="AM67" s="142">
        <f>AI67+AJ67-AK67+AL67</f>
        <v>0</v>
      </c>
      <c r="AN67" s="145">
        <f>AH67</f>
        <v>0</v>
      </c>
      <c r="AO67" s="141"/>
      <c r="AP67" s="141"/>
      <c r="AQ67" s="141"/>
      <c r="AR67" s="143">
        <f>AN67+AO67-AP67+AQ67</f>
        <v>0</v>
      </c>
      <c r="AS67" s="144">
        <f>AM67</f>
        <v>0</v>
      </c>
      <c r="AT67" s="141"/>
      <c r="AU67" s="141"/>
      <c r="AV67" s="141"/>
      <c r="AW67" s="142">
        <f>AS67+AT67-AU67+AV67</f>
        <v>0</v>
      </c>
      <c r="AX67" s="145">
        <f>AR67</f>
        <v>0</v>
      </c>
      <c r="AY67" s="141"/>
      <c r="AZ67" s="141"/>
      <c r="BA67" s="141"/>
      <c r="BB67" s="143">
        <f>AX67+AY67-AZ67+BA67</f>
        <v>0</v>
      </c>
      <c r="BC67" s="144">
        <f>AW67</f>
        <v>0</v>
      </c>
      <c r="BD67" s="141">
        <f>[6]Analysis!$B$28</f>
        <v>-2274.8152000000005</v>
      </c>
      <c r="BE67" s="141"/>
      <c r="BF67" s="141"/>
      <c r="BG67" s="142">
        <f>BC67+BD67-BE67+SUM(BF67:BF67)</f>
        <v>-2274.8152000000005</v>
      </c>
      <c r="BH67" s="145">
        <f>BB67</f>
        <v>0</v>
      </c>
      <c r="BI67" s="141">
        <f>[6]Analysis!$B$71</f>
        <v>-9.0708256100000035</v>
      </c>
      <c r="BJ67" s="141"/>
      <c r="BK67" s="141"/>
      <c r="BL67" s="143">
        <f>BH67+BI67-BJ67+BK67</f>
        <v>-9.0708256100000035</v>
      </c>
      <c r="BM67" s="144">
        <f>BG67</f>
        <v>-2274.8152000000005</v>
      </c>
      <c r="BN67" s="141">
        <f>[6]Analysis!$C$28</f>
        <v>-11788.03886666666</v>
      </c>
      <c r="BO67" s="141"/>
      <c r="BP67" s="141"/>
      <c r="BQ67" s="142">
        <f>BM67+BN67-BO67+SUM(BP67:BP67)</f>
        <v>-14062.854066666661</v>
      </c>
      <c r="BR67" s="145">
        <f>BL67</f>
        <v>-9.0708256100000035</v>
      </c>
      <c r="BS67" s="141">
        <f>[6]Analysis!$C$71</f>
        <v>-120.08186910999996</v>
      </c>
      <c r="BT67" s="141"/>
      <c r="BU67" s="141"/>
      <c r="BV67" s="143">
        <f>BR67+BS67-BT67+BU67</f>
        <v>-129.15269471999997</v>
      </c>
      <c r="BW67" s="144">
        <f>BQ67</f>
        <v>-14062.854066666661</v>
      </c>
      <c r="BX67" s="141">
        <f>[6]Analysis!$D$28</f>
        <v>-9574.9919874999978</v>
      </c>
      <c r="BY67" s="141"/>
      <c r="BZ67" s="141"/>
      <c r="CA67" s="141"/>
      <c r="CB67" s="141">
        <f>[6]Analysis!$E$28</f>
        <v>-10818.232746062269</v>
      </c>
      <c r="CC67" s="141">
        <f>[6]Analysis!$F$28</f>
        <v>-8291.6846947802187</v>
      </c>
      <c r="CD67" s="142">
        <f>BW67+BX67-BY67+SUM(BZ67:CC67)</f>
        <v>-42747.763495009145</v>
      </c>
      <c r="CE67" s="145">
        <f>BV67</f>
        <v>-129.15269471999997</v>
      </c>
      <c r="CF67" s="141">
        <f>[6]Analysis!$D$71</f>
        <v>-277.10014588812493</v>
      </c>
      <c r="CG67" s="141"/>
      <c r="CH67" s="141">
        <f>[7]Analysis!$F$30-0.5*[7]Analysis!$H$43</f>
        <v>0</v>
      </c>
      <c r="CI67" s="143">
        <f>CE67+CF67-CG67+CH67</f>
        <v>-406.25284060812487</v>
      </c>
      <c r="CJ67" s="140"/>
      <c r="CK67" s="141"/>
      <c r="CL67" s="145">
        <f t="shared" si="104"/>
        <v>-42747.763495009145</v>
      </c>
      <c r="CM67" s="146">
        <f t="shared" si="105"/>
        <v>-406.25284060812487</v>
      </c>
      <c r="CN67" s="147">
        <f>[6]Analysis!$E$71</f>
        <v>-426.99034767980754</v>
      </c>
      <c r="CO67" s="141">
        <f>[6]Analysis!$F$71</f>
        <v>-141.86206021749996</v>
      </c>
      <c r="CP67" s="137">
        <f t="shared" si="33"/>
        <v>-43722.868743514577</v>
      </c>
      <c r="CQ67" s="148">
        <v>-193186.12</v>
      </c>
      <c r="CR67" s="137">
        <f t="shared" si="34"/>
        <v>-150032.10366438271</v>
      </c>
    </row>
    <row r="68" spans="1:96" ht="14.25" x14ac:dyDescent="0.2">
      <c r="C68" s="6"/>
      <c r="D68" s="6"/>
      <c r="E68" s="149"/>
      <c r="F68" s="142"/>
      <c r="G68" s="142"/>
      <c r="H68" s="142"/>
      <c r="I68" s="142"/>
      <c r="J68" s="142"/>
      <c r="K68" s="142"/>
      <c r="L68" s="142"/>
      <c r="M68" s="142"/>
      <c r="N68" s="143"/>
      <c r="O68" s="149"/>
      <c r="P68" s="142"/>
      <c r="Q68" s="142"/>
      <c r="R68" s="142"/>
      <c r="S68" s="142"/>
      <c r="T68" s="142"/>
      <c r="U68" s="142"/>
      <c r="V68" s="142"/>
      <c r="W68" s="142"/>
      <c r="X68" s="143"/>
      <c r="Y68" s="149"/>
      <c r="Z68" s="142"/>
      <c r="AA68" s="142"/>
      <c r="AB68" s="142"/>
      <c r="AC68" s="142"/>
      <c r="AD68" s="142"/>
      <c r="AE68" s="142"/>
      <c r="AF68" s="142"/>
      <c r="AG68" s="142"/>
      <c r="AH68" s="143"/>
      <c r="AI68" s="149"/>
      <c r="AJ68" s="142"/>
      <c r="AK68" s="142"/>
      <c r="AL68" s="142"/>
      <c r="AM68" s="142"/>
      <c r="AN68" s="142"/>
      <c r="AO68" s="142"/>
      <c r="AP68" s="142"/>
      <c r="AQ68" s="142"/>
      <c r="AR68" s="143"/>
      <c r="AS68" s="149"/>
      <c r="AT68" s="142"/>
      <c r="AU68" s="142"/>
      <c r="AV68" s="142"/>
      <c r="AW68" s="142"/>
      <c r="AX68" s="142"/>
      <c r="AY68" s="142"/>
      <c r="AZ68" s="142"/>
      <c r="BA68" s="142"/>
      <c r="BB68" s="143"/>
      <c r="BC68" s="149"/>
      <c r="BD68" s="142"/>
      <c r="BE68" s="142"/>
      <c r="BF68" s="142"/>
      <c r="BG68" s="142"/>
      <c r="BH68" s="142"/>
      <c r="BI68" s="142"/>
      <c r="BJ68" s="142"/>
      <c r="BK68" s="142"/>
      <c r="BL68" s="143"/>
      <c r="BM68" s="149"/>
      <c r="BN68" s="142"/>
      <c r="BO68" s="142"/>
      <c r="BP68" s="142"/>
      <c r="BQ68" s="142"/>
      <c r="BR68" s="142"/>
      <c r="BS68" s="142"/>
      <c r="BT68" s="142"/>
      <c r="BU68" s="142"/>
      <c r="BV68" s="143"/>
      <c r="BW68" s="149"/>
      <c r="BX68" s="142"/>
      <c r="BY68" s="142"/>
      <c r="BZ68" s="142"/>
      <c r="CA68" s="142"/>
      <c r="CB68" s="142"/>
      <c r="CC68" s="142"/>
      <c r="CD68" s="142"/>
      <c r="CE68" s="142"/>
      <c r="CF68" s="142"/>
      <c r="CG68" s="142"/>
      <c r="CH68" s="142"/>
      <c r="CI68" s="143"/>
      <c r="CJ68" s="149"/>
      <c r="CK68" s="142"/>
      <c r="CL68" s="142"/>
      <c r="CM68" s="143"/>
      <c r="CN68" s="136"/>
      <c r="CO68" s="136"/>
      <c r="CP68" s="137"/>
      <c r="CQ68" s="138"/>
      <c r="CR68" s="137"/>
    </row>
    <row r="69" spans="1:96" ht="15" x14ac:dyDescent="0.25">
      <c r="C69" s="15" t="s">
        <v>59</v>
      </c>
      <c r="D69" s="6"/>
      <c r="E69" s="149">
        <f>+E63+E36+E65+E66+E67</f>
        <v>84429.07</v>
      </c>
      <c r="F69" s="142">
        <f t="shared" ref="F69:BP69" si="106">+F63+F36+F65+F66+F67</f>
        <v>6167.8999999999978</v>
      </c>
      <c r="G69" s="142">
        <f t="shared" si="106"/>
        <v>0</v>
      </c>
      <c r="H69" s="142">
        <f t="shared" si="106"/>
        <v>0</v>
      </c>
      <c r="I69" s="142">
        <f t="shared" si="106"/>
        <v>90596.97</v>
      </c>
      <c r="J69" s="142">
        <f t="shared" si="106"/>
        <v>4519.08</v>
      </c>
      <c r="K69" s="142">
        <f t="shared" si="106"/>
        <v>0</v>
      </c>
      <c r="L69" s="142">
        <f t="shared" si="106"/>
        <v>0</v>
      </c>
      <c r="M69" s="142">
        <f t="shared" si="106"/>
        <v>0</v>
      </c>
      <c r="N69" s="143">
        <f t="shared" si="106"/>
        <v>4519.08</v>
      </c>
      <c r="O69" s="149">
        <f t="shared" si="106"/>
        <v>90596.97</v>
      </c>
      <c r="P69" s="142">
        <f t="shared" si="106"/>
        <v>19117.16</v>
      </c>
      <c r="Q69" s="142">
        <f t="shared" si="106"/>
        <v>74226.429999999993</v>
      </c>
      <c r="R69" s="142">
        <f t="shared" si="106"/>
        <v>0</v>
      </c>
      <c r="S69" s="142">
        <f t="shared" si="106"/>
        <v>35487.699999999997</v>
      </c>
      <c r="T69" s="142">
        <f t="shared" si="106"/>
        <v>4519.08</v>
      </c>
      <c r="U69" s="142">
        <f t="shared" si="106"/>
        <v>1755.7599999999998</v>
      </c>
      <c r="V69" s="142">
        <f t="shared" si="106"/>
        <v>4936.66</v>
      </c>
      <c r="W69" s="142">
        <f t="shared" si="106"/>
        <v>0</v>
      </c>
      <c r="X69" s="143">
        <f t="shared" si="106"/>
        <v>1338.1799999999998</v>
      </c>
      <c r="Y69" s="149">
        <f t="shared" si="106"/>
        <v>35487.699999999997</v>
      </c>
      <c r="Z69" s="142">
        <f t="shared" si="106"/>
        <v>28193.199999999997</v>
      </c>
      <c r="AA69" s="142">
        <f t="shared" si="106"/>
        <v>0</v>
      </c>
      <c r="AB69" s="142">
        <f t="shared" si="106"/>
        <v>0</v>
      </c>
      <c r="AC69" s="142">
        <f t="shared" si="106"/>
        <v>63680.899999999994</v>
      </c>
      <c r="AD69" s="142">
        <f t="shared" si="106"/>
        <v>1338.1799999999998</v>
      </c>
      <c r="AE69" s="142">
        <f t="shared" si="106"/>
        <v>2187.4900000000002</v>
      </c>
      <c r="AF69" s="142">
        <f t="shared" si="106"/>
        <v>0</v>
      </c>
      <c r="AG69" s="142">
        <f t="shared" si="106"/>
        <v>0</v>
      </c>
      <c r="AH69" s="143">
        <f t="shared" si="106"/>
        <v>3525.67</v>
      </c>
      <c r="AI69" s="149">
        <f t="shared" si="106"/>
        <v>63680.899999999994</v>
      </c>
      <c r="AJ69" s="142">
        <f t="shared" si="106"/>
        <v>78541.76999999999</v>
      </c>
      <c r="AK69" s="142">
        <f t="shared" si="106"/>
        <v>0</v>
      </c>
      <c r="AL69" s="142">
        <f t="shared" si="106"/>
        <v>0</v>
      </c>
      <c r="AM69" s="142">
        <f t="shared" si="106"/>
        <v>142222.66999999998</v>
      </c>
      <c r="AN69" s="142">
        <f t="shared" si="106"/>
        <v>3525.67</v>
      </c>
      <c r="AO69" s="142">
        <f t="shared" si="106"/>
        <v>3233.3500000000004</v>
      </c>
      <c r="AP69" s="142">
        <f t="shared" si="106"/>
        <v>0</v>
      </c>
      <c r="AQ69" s="142">
        <f t="shared" si="106"/>
        <v>0</v>
      </c>
      <c r="AR69" s="143">
        <f t="shared" si="106"/>
        <v>6759.02</v>
      </c>
      <c r="AS69" s="149">
        <f t="shared" si="106"/>
        <v>142222.66999999998</v>
      </c>
      <c r="AT69" s="142">
        <f t="shared" si="106"/>
        <v>48562.32</v>
      </c>
      <c r="AU69" s="142">
        <f t="shared" si="106"/>
        <v>0</v>
      </c>
      <c r="AV69" s="142">
        <f t="shared" si="106"/>
        <v>-6023.0199999999986</v>
      </c>
      <c r="AW69" s="142">
        <f t="shared" si="106"/>
        <v>184761.96999999997</v>
      </c>
      <c r="AX69" s="142">
        <f t="shared" si="106"/>
        <v>6759.02</v>
      </c>
      <c r="AY69" s="142">
        <f t="shared" si="106"/>
        <v>1689.8600000000001</v>
      </c>
      <c r="AZ69" s="142">
        <f t="shared" si="106"/>
        <v>0</v>
      </c>
      <c r="BA69" s="142">
        <f t="shared" si="106"/>
        <v>-7.78</v>
      </c>
      <c r="BB69" s="143">
        <f t="shared" si="106"/>
        <v>8441.1</v>
      </c>
      <c r="BC69" s="149">
        <f t="shared" si="106"/>
        <v>184761.96999999997</v>
      </c>
      <c r="BD69" s="142">
        <f t="shared" si="106"/>
        <v>287531.33479999995</v>
      </c>
      <c r="BE69" s="142">
        <f t="shared" si="106"/>
        <v>0</v>
      </c>
      <c r="BF69" s="142">
        <f t="shared" si="106"/>
        <v>-6597.99</v>
      </c>
      <c r="BG69" s="142">
        <f t="shared" si="106"/>
        <v>465695.31480000005</v>
      </c>
      <c r="BH69" s="142">
        <f t="shared" si="106"/>
        <v>8441.1</v>
      </c>
      <c r="BI69" s="142">
        <f t="shared" si="106"/>
        <v>2515.9291743899998</v>
      </c>
      <c r="BJ69" s="142">
        <f t="shared" si="106"/>
        <v>0</v>
      </c>
      <c r="BK69" s="142">
        <f t="shared" si="106"/>
        <v>-21.338298999999992</v>
      </c>
      <c r="BL69" s="143">
        <f t="shared" si="106"/>
        <v>10935.690875389999</v>
      </c>
      <c r="BM69" s="149">
        <f t="shared" si="106"/>
        <v>465695.31480000005</v>
      </c>
      <c r="BN69" s="142">
        <f t="shared" si="106"/>
        <v>890983.06113333325</v>
      </c>
      <c r="BO69" s="142">
        <f t="shared" si="106"/>
        <v>681589.07</v>
      </c>
      <c r="BP69" s="142">
        <f t="shared" si="106"/>
        <v>1468.4400000000005</v>
      </c>
      <c r="BQ69" s="142">
        <f t="shared" ref="BQ69:CQ69" si="107">+BQ63+BQ36+BQ65+BQ66+BQ67</f>
        <v>676557.7459333333</v>
      </c>
      <c r="BR69" s="142">
        <f t="shared" si="107"/>
        <v>10935.690875389999</v>
      </c>
      <c r="BS69" s="142">
        <f t="shared" si="107"/>
        <v>-542.22186910999574</v>
      </c>
      <c r="BT69" s="142">
        <f t="shared" si="107"/>
        <v>10728.17</v>
      </c>
      <c r="BU69" s="142">
        <f t="shared" si="107"/>
        <v>-179.58659799999998</v>
      </c>
      <c r="BV69" s="143">
        <f t="shared" si="107"/>
        <v>-514.28759171999627</v>
      </c>
      <c r="BW69" s="149">
        <f t="shared" si="107"/>
        <v>676557.7459333333</v>
      </c>
      <c r="BX69" s="142">
        <f t="shared" si="107"/>
        <v>-646190.06198750087</v>
      </c>
      <c r="BY69" s="142">
        <f t="shared" si="107"/>
        <v>0</v>
      </c>
      <c r="BZ69" s="142">
        <f t="shared" si="107"/>
        <v>0</v>
      </c>
      <c r="CA69" s="142">
        <f t="shared" si="107"/>
        <v>0</v>
      </c>
      <c r="CB69" s="142">
        <f t="shared" ref="CB69:CI69" si="108">+CB63+CB36+CB65+CB66+CB67</f>
        <v>-239974.15274606229</v>
      </c>
      <c r="CC69" s="142">
        <f t="shared" si="108"/>
        <v>-19377.374694780228</v>
      </c>
      <c r="CD69" s="142">
        <f t="shared" si="108"/>
        <v>-228983.84349501011</v>
      </c>
      <c r="CE69" s="142">
        <f t="shared" si="108"/>
        <v>-514.28759171999627</v>
      </c>
      <c r="CF69" s="142">
        <f t="shared" si="108"/>
        <v>18490.259854111871</v>
      </c>
      <c r="CG69" s="142">
        <f t="shared" si="108"/>
        <v>0</v>
      </c>
      <c r="CH69" s="142">
        <f t="shared" si="108"/>
        <v>-13644.632650750002</v>
      </c>
      <c r="CI69" s="143">
        <f t="shared" si="108"/>
        <v>4331.339611641878</v>
      </c>
      <c r="CJ69" s="149">
        <f t="shared" si="107"/>
        <v>350852.66</v>
      </c>
      <c r="CK69" s="142">
        <f t="shared" si="107"/>
        <v>1514.52</v>
      </c>
      <c r="CL69" s="142">
        <f t="shared" si="107"/>
        <v>-579836.50349501008</v>
      </c>
      <c r="CM69" s="143">
        <f t="shared" si="107"/>
        <v>2816.8196116418776</v>
      </c>
      <c r="CN69" s="142">
        <f t="shared" si="107"/>
        <v>-9134.0800886798224</v>
      </c>
      <c r="CO69" s="142">
        <f t="shared" si="107"/>
        <v>-3044.2253072175045</v>
      </c>
      <c r="CP69" s="137">
        <f t="shared" si="107"/>
        <v>-589197.98927926563</v>
      </c>
      <c r="CQ69" s="138">
        <f t="shared" si="107"/>
        <v>-109437.08999999997</v>
      </c>
      <c r="CR69" s="137">
        <f t="shared" si="34"/>
        <v>115215.41388336825</v>
      </c>
    </row>
    <row r="70" spans="1:96" ht="14.25" x14ac:dyDescent="0.2">
      <c r="C70" s="16"/>
      <c r="D70" s="16"/>
      <c r="E70" s="149"/>
      <c r="F70" s="142"/>
      <c r="G70" s="142"/>
      <c r="H70" s="142"/>
      <c r="I70" s="142"/>
      <c r="J70" s="142"/>
      <c r="K70" s="142"/>
      <c r="L70" s="142"/>
      <c r="M70" s="142"/>
      <c r="N70" s="143"/>
      <c r="O70" s="149"/>
      <c r="P70" s="142"/>
      <c r="Q70" s="142"/>
      <c r="R70" s="142"/>
      <c r="S70" s="142"/>
      <c r="T70" s="142"/>
      <c r="U70" s="142"/>
      <c r="V70" s="142"/>
      <c r="W70" s="142"/>
      <c r="X70" s="143"/>
      <c r="Y70" s="149"/>
      <c r="Z70" s="142"/>
      <c r="AA70" s="142"/>
      <c r="AB70" s="142"/>
      <c r="AC70" s="142"/>
      <c r="AD70" s="142"/>
      <c r="AE70" s="142"/>
      <c r="AF70" s="142"/>
      <c r="AG70" s="142"/>
      <c r="AH70" s="143"/>
      <c r="AI70" s="149"/>
      <c r="AJ70" s="142"/>
      <c r="AK70" s="142"/>
      <c r="AL70" s="142"/>
      <c r="AM70" s="142"/>
      <c r="AN70" s="142"/>
      <c r="AO70" s="142"/>
      <c r="AP70" s="142"/>
      <c r="AQ70" s="142"/>
      <c r="AR70" s="143"/>
      <c r="AS70" s="149"/>
      <c r="AT70" s="142"/>
      <c r="AU70" s="142"/>
      <c r="AV70" s="142"/>
      <c r="AW70" s="142"/>
      <c r="AX70" s="142"/>
      <c r="AY70" s="142"/>
      <c r="AZ70" s="142"/>
      <c r="BA70" s="142"/>
      <c r="BB70" s="143"/>
      <c r="BC70" s="149"/>
      <c r="BD70" s="142"/>
      <c r="BE70" s="142"/>
      <c r="BF70" s="142"/>
      <c r="BG70" s="142"/>
      <c r="BH70" s="142"/>
      <c r="BI70" s="142"/>
      <c r="BJ70" s="142"/>
      <c r="BK70" s="142"/>
      <c r="BL70" s="143"/>
      <c r="BM70" s="149"/>
      <c r="BN70" s="142"/>
      <c r="BO70" s="142"/>
      <c r="BP70" s="142"/>
      <c r="BQ70" s="142"/>
      <c r="BR70" s="142"/>
      <c r="BS70" s="142"/>
      <c r="BT70" s="142"/>
      <c r="BU70" s="142"/>
      <c r="BV70" s="143"/>
      <c r="BW70" s="149"/>
      <c r="BX70" s="142"/>
      <c r="BY70" s="142"/>
      <c r="BZ70" s="142"/>
      <c r="CA70" s="142"/>
      <c r="CB70" s="142"/>
      <c r="CC70" s="142"/>
      <c r="CD70" s="142"/>
      <c r="CE70" s="142"/>
      <c r="CF70" s="142"/>
      <c r="CG70" s="142"/>
      <c r="CH70" s="142"/>
      <c r="CI70" s="143"/>
      <c r="CJ70" s="149"/>
      <c r="CK70" s="142"/>
      <c r="CL70" s="142"/>
      <c r="CM70" s="143"/>
      <c r="CN70" s="136"/>
      <c r="CO70" s="136"/>
      <c r="CP70" s="137"/>
      <c r="CQ70" s="138"/>
      <c r="CR70" s="137"/>
    </row>
    <row r="71" spans="1:96" ht="15" thickBot="1" x14ac:dyDescent="0.25">
      <c r="C71" s="16"/>
      <c r="D71" s="16"/>
      <c r="E71" s="149"/>
      <c r="F71" s="142"/>
      <c r="G71" s="142"/>
      <c r="H71" s="142"/>
      <c r="I71" s="142"/>
      <c r="J71" s="142"/>
      <c r="K71" s="142"/>
      <c r="L71" s="142"/>
      <c r="M71" s="142"/>
      <c r="N71" s="143"/>
      <c r="O71" s="149"/>
      <c r="P71" s="142"/>
      <c r="Q71" s="142"/>
      <c r="R71" s="142"/>
      <c r="S71" s="142"/>
      <c r="T71" s="142"/>
      <c r="U71" s="142"/>
      <c r="V71" s="142"/>
      <c r="W71" s="142"/>
      <c r="X71" s="143"/>
      <c r="Y71" s="149"/>
      <c r="Z71" s="142"/>
      <c r="AA71" s="142"/>
      <c r="AB71" s="142"/>
      <c r="AC71" s="142"/>
      <c r="AD71" s="142"/>
      <c r="AE71" s="142"/>
      <c r="AF71" s="142"/>
      <c r="AG71" s="142"/>
      <c r="AH71" s="143"/>
      <c r="AI71" s="149"/>
      <c r="AJ71" s="142"/>
      <c r="AK71" s="142"/>
      <c r="AL71" s="142"/>
      <c r="AM71" s="142"/>
      <c r="AN71" s="142"/>
      <c r="AO71" s="142"/>
      <c r="AP71" s="142"/>
      <c r="AQ71" s="142"/>
      <c r="AR71" s="143"/>
      <c r="AS71" s="149"/>
      <c r="AT71" s="142"/>
      <c r="AU71" s="142"/>
      <c r="AV71" s="142"/>
      <c r="AW71" s="142"/>
      <c r="AX71" s="142"/>
      <c r="AY71" s="142"/>
      <c r="AZ71" s="142"/>
      <c r="BA71" s="142"/>
      <c r="BB71" s="143"/>
      <c r="BC71" s="149"/>
      <c r="BD71" s="142"/>
      <c r="BE71" s="142"/>
      <c r="BF71" s="142"/>
      <c r="BG71" s="142"/>
      <c r="BH71" s="142"/>
      <c r="BI71" s="142"/>
      <c r="BJ71" s="142"/>
      <c r="BK71" s="142"/>
      <c r="BL71" s="143"/>
      <c r="BM71" s="149"/>
      <c r="BN71" s="142"/>
      <c r="BO71" s="142"/>
      <c r="BP71" s="142"/>
      <c r="BQ71" s="142"/>
      <c r="BR71" s="142"/>
      <c r="BS71" s="142"/>
      <c r="BT71" s="142"/>
      <c r="BU71" s="142"/>
      <c r="BV71" s="143"/>
      <c r="BW71" s="149"/>
      <c r="BX71" s="142"/>
      <c r="BY71" s="142"/>
      <c r="BZ71" s="142"/>
      <c r="CA71" s="142"/>
      <c r="CB71" s="142"/>
      <c r="CC71" s="142"/>
      <c r="CD71" s="142"/>
      <c r="CE71" s="142"/>
      <c r="CF71" s="142"/>
      <c r="CG71" s="142"/>
      <c r="CH71" s="142"/>
      <c r="CI71" s="143"/>
      <c r="CJ71" s="149"/>
      <c r="CK71" s="142"/>
      <c r="CL71" s="142"/>
      <c r="CM71" s="143"/>
      <c r="CN71" s="136"/>
      <c r="CO71" s="136"/>
      <c r="CP71" s="137"/>
      <c r="CQ71" s="138"/>
      <c r="CR71" s="137"/>
    </row>
    <row r="72" spans="1:96" ht="15.75" thickBot="1" x14ac:dyDescent="0.3">
      <c r="A72" s="1">
        <v>35</v>
      </c>
      <c r="C72" s="63" t="s">
        <v>138</v>
      </c>
      <c r="D72" s="62">
        <v>1568</v>
      </c>
      <c r="E72" s="160"/>
      <c r="F72" s="161"/>
      <c r="G72" s="161"/>
      <c r="H72" s="161"/>
      <c r="I72" s="161"/>
      <c r="J72" s="161"/>
      <c r="K72" s="161"/>
      <c r="L72" s="161"/>
      <c r="M72" s="161"/>
      <c r="N72" s="162"/>
      <c r="O72" s="160"/>
      <c r="P72" s="161"/>
      <c r="Q72" s="161"/>
      <c r="R72" s="161"/>
      <c r="S72" s="161"/>
      <c r="T72" s="161"/>
      <c r="U72" s="161"/>
      <c r="V72" s="161"/>
      <c r="W72" s="161"/>
      <c r="X72" s="162"/>
      <c r="Y72" s="160"/>
      <c r="Z72" s="161"/>
      <c r="AA72" s="161"/>
      <c r="AB72" s="161"/>
      <c r="AC72" s="161"/>
      <c r="AD72" s="161"/>
      <c r="AE72" s="161"/>
      <c r="AF72" s="161"/>
      <c r="AG72" s="161"/>
      <c r="AH72" s="162"/>
      <c r="AI72" s="160"/>
      <c r="AJ72" s="161"/>
      <c r="AK72" s="161"/>
      <c r="AL72" s="161"/>
      <c r="AM72" s="161"/>
      <c r="AN72" s="161"/>
      <c r="AO72" s="161"/>
      <c r="AP72" s="161"/>
      <c r="AQ72" s="161"/>
      <c r="AR72" s="162"/>
      <c r="AS72" s="160"/>
      <c r="AT72" s="161"/>
      <c r="AU72" s="161"/>
      <c r="AV72" s="161"/>
      <c r="AW72" s="161"/>
      <c r="AX72" s="161"/>
      <c r="AY72" s="161"/>
      <c r="AZ72" s="161"/>
      <c r="BA72" s="161"/>
      <c r="BB72" s="162"/>
      <c r="BC72" s="163"/>
      <c r="BD72" s="164"/>
      <c r="BE72" s="164"/>
      <c r="BF72" s="164"/>
      <c r="BG72" s="142">
        <f>BC72+BD72-BE72+SUM(BF72:BF72)</f>
        <v>0</v>
      </c>
      <c r="BH72" s="164">
        <v>0</v>
      </c>
      <c r="BI72" s="164"/>
      <c r="BJ72" s="164"/>
      <c r="BK72" s="164"/>
      <c r="BL72" s="143">
        <f>BH72+BI72-BJ72+BK72</f>
        <v>0</v>
      </c>
      <c r="BM72" s="144">
        <f>BG72</f>
        <v>0</v>
      </c>
      <c r="BN72" s="164"/>
      <c r="BO72" s="164"/>
      <c r="BP72" s="164"/>
      <c r="BQ72" s="142">
        <f>BM72+BN72-BO72+SUM(BP72:BP72)</f>
        <v>0</v>
      </c>
      <c r="BR72" s="142">
        <f>BL72</f>
        <v>0</v>
      </c>
      <c r="BS72" s="164"/>
      <c r="BT72" s="164"/>
      <c r="BU72" s="141"/>
      <c r="BV72" s="143">
        <f>BR72+BS72-BT72+BU72</f>
        <v>0</v>
      </c>
      <c r="BW72" s="144">
        <f>BQ72</f>
        <v>0</v>
      </c>
      <c r="BX72" s="164">
        <f>5550.8+13570.14+3614.03</f>
        <v>22734.969999999998</v>
      </c>
      <c r="BY72" s="164"/>
      <c r="BZ72" s="164"/>
      <c r="CA72" s="164"/>
      <c r="CB72" s="164"/>
      <c r="CC72" s="164">
        <f>[8]Sheet1!$I$48-BX72</f>
        <v>4200.8947333333381</v>
      </c>
      <c r="CD72" s="142">
        <f>BW72+BX72-BY72+SUM(BZ72:CC72)</f>
        <v>26935.864733333336</v>
      </c>
      <c r="CE72" s="142">
        <f>BV72</f>
        <v>0</v>
      </c>
      <c r="CF72" s="164"/>
      <c r="CG72" s="164"/>
      <c r="CH72" s="141">
        <f>AVERAGE(CD72,BW72)*1.47%</f>
        <v>197.97860579000002</v>
      </c>
      <c r="CI72" s="143">
        <f>CE72+CF72-CG72+CH72</f>
        <v>197.97860579000002</v>
      </c>
      <c r="CJ72" s="164"/>
      <c r="CK72" s="164"/>
      <c r="CL72" s="145">
        <f t="shared" ref="CL72" si="109">CD72-CJ72</f>
        <v>26935.864733333336</v>
      </c>
      <c r="CM72" s="146">
        <f t="shared" ref="CM72" si="110">CI72-CK72</f>
        <v>197.97860579000002</v>
      </c>
      <c r="CN72" s="165">
        <f t="shared" ref="CN72" si="111">1.47%*CL72</f>
        <v>395.95721158000003</v>
      </c>
      <c r="CO72" s="164">
        <f>1.47%*CL72*4/12</f>
        <v>131.98573719333334</v>
      </c>
      <c r="CP72" s="137">
        <f t="shared" ref="CP72" si="112">SUM(CL72:CO72)</f>
        <v>27661.786287896666</v>
      </c>
      <c r="CQ72" s="166">
        <v>22734.97</v>
      </c>
      <c r="CR72" s="137">
        <f t="shared" si="34"/>
        <v>-4398.8733391233327</v>
      </c>
    </row>
    <row r="73" spans="1:96" ht="15" x14ac:dyDescent="0.25">
      <c r="C73" s="63"/>
      <c r="D73" s="64"/>
      <c r="E73" s="149"/>
      <c r="F73" s="142"/>
      <c r="G73" s="142"/>
      <c r="H73" s="142"/>
      <c r="I73" s="142"/>
      <c r="J73" s="142"/>
      <c r="K73" s="142"/>
      <c r="L73" s="142"/>
      <c r="M73" s="142"/>
      <c r="N73" s="142"/>
      <c r="O73" s="149"/>
      <c r="P73" s="142"/>
      <c r="Q73" s="142"/>
      <c r="R73" s="142"/>
      <c r="S73" s="142"/>
      <c r="T73" s="142"/>
      <c r="U73" s="142"/>
      <c r="V73" s="142"/>
      <c r="W73" s="142"/>
      <c r="X73" s="142"/>
      <c r="Y73" s="149"/>
      <c r="Z73" s="142"/>
      <c r="AA73" s="142"/>
      <c r="AB73" s="142"/>
      <c r="AC73" s="142"/>
      <c r="AD73" s="142"/>
      <c r="AE73" s="142"/>
      <c r="AF73" s="142"/>
      <c r="AG73" s="142"/>
      <c r="AH73" s="142"/>
      <c r="AI73" s="149"/>
      <c r="AJ73" s="142"/>
      <c r="AK73" s="142"/>
      <c r="AL73" s="142"/>
      <c r="AM73" s="142"/>
      <c r="AN73" s="142"/>
      <c r="AO73" s="142"/>
      <c r="AP73" s="142"/>
      <c r="AQ73" s="142"/>
      <c r="AR73" s="142"/>
      <c r="AS73" s="149"/>
      <c r="AT73" s="142"/>
      <c r="AU73" s="142"/>
      <c r="AV73" s="142"/>
      <c r="AW73" s="142"/>
      <c r="AX73" s="142"/>
      <c r="AY73" s="142"/>
      <c r="AZ73" s="142"/>
      <c r="BA73" s="142"/>
      <c r="BB73" s="142"/>
      <c r="BC73" s="149"/>
      <c r="BD73" s="142"/>
      <c r="BE73" s="142"/>
      <c r="BF73" s="142"/>
      <c r="BG73" s="142"/>
      <c r="BH73" s="142"/>
      <c r="BI73" s="142"/>
      <c r="BJ73" s="142"/>
      <c r="BK73" s="142"/>
      <c r="BL73" s="142"/>
      <c r="BM73" s="149"/>
      <c r="BN73" s="142"/>
      <c r="BO73" s="142"/>
      <c r="BP73" s="142"/>
      <c r="BQ73" s="142"/>
      <c r="BR73" s="142"/>
      <c r="BS73" s="142"/>
      <c r="BT73" s="142"/>
      <c r="BU73" s="142"/>
      <c r="BV73" s="142"/>
      <c r="BW73" s="149"/>
      <c r="BX73" s="142"/>
      <c r="BY73" s="142"/>
      <c r="BZ73" s="142"/>
      <c r="CA73" s="142"/>
      <c r="CB73" s="142"/>
      <c r="CC73" s="142"/>
      <c r="CD73" s="142"/>
      <c r="CE73" s="142"/>
      <c r="CF73" s="142"/>
      <c r="CG73" s="142"/>
      <c r="CH73" s="142"/>
      <c r="CI73" s="142"/>
      <c r="CJ73" s="149"/>
      <c r="CK73" s="142"/>
      <c r="CL73" s="142"/>
      <c r="CM73" s="143"/>
      <c r="CN73" s="136"/>
      <c r="CO73" s="136"/>
      <c r="CP73" s="137"/>
      <c r="CQ73" s="138"/>
      <c r="CR73" s="137"/>
    </row>
    <row r="74" spans="1:96" ht="15" x14ac:dyDescent="0.25">
      <c r="C74" s="63"/>
      <c r="D74" s="64"/>
      <c r="E74" s="149"/>
      <c r="F74" s="142"/>
      <c r="G74" s="142"/>
      <c r="H74" s="142"/>
      <c r="I74" s="142"/>
      <c r="J74" s="142"/>
      <c r="K74" s="142"/>
      <c r="L74" s="142"/>
      <c r="M74" s="142"/>
      <c r="N74" s="142"/>
      <c r="O74" s="149"/>
      <c r="P74" s="142"/>
      <c r="Q74" s="142"/>
      <c r="R74" s="142"/>
      <c r="S74" s="142"/>
      <c r="T74" s="142"/>
      <c r="U74" s="142"/>
      <c r="V74" s="142"/>
      <c r="W74" s="142"/>
      <c r="X74" s="142"/>
      <c r="Y74" s="149"/>
      <c r="Z74" s="142"/>
      <c r="AA74" s="142"/>
      <c r="AB74" s="142"/>
      <c r="AC74" s="142"/>
      <c r="AD74" s="142"/>
      <c r="AE74" s="142"/>
      <c r="AF74" s="142"/>
      <c r="AG74" s="142"/>
      <c r="AH74" s="142"/>
      <c r="AI74" s="149"/>
      <c r="AJ74" s="142"/>
      <c r="AK74" s="142"/>
      <c r="AL74" s="142"/>
      <c r="AM74" s="142"/>
      <c r="AN74" s="142"/>
      <c r="AO74" s="142"/>
      <c r="AP74" s="142"/>
      <c r="AQ74" s="142"/>
      <c r="AR74" s="142"/>
      <c r="AS74" s="149"/>
      <c r="AT74" s="142"/>
      <c r="AU74" s="142"/>
      <c r="AV74" s="142"/>
      <c r="AW74" s="142"/>
      <c r="AX74" s="142"/>
      <c r="AY74" s="142"/>
      <c r="AZ74" s="142"/>
      <c r="BA74" s="142"/>
      <c r="BB74" s="142"/>
      <c r="BC74" s="149"/>
      <c r="BD74" s="142"/>
      <c r="BE74" s="142"/>
      <c r="BF74" s="142"/>
      <c r="BG74" s="142"/>
      <c r="BH74" s="142"/>
      <c r="BI74" s="142"/>
      <c r="BJ74" s="142"/>
      <c r="BK74" s="142"/>
      <c r="BL74" s="142"/>
      <c r="BM74" s="149"/>
      <c r="BN74" s="142"/>
      <c r="BO74" s="142"/>
      <c r="BP74" s="142"/>
      <c r="BQ74" s="142"/>
      <c r="BR74" s="142"/>
      <c r="BS74" s="142"/>
      <c r="BT74" s="142"/>
      <c r="BU74" s="142"/>
      <c r="BV74" s="142"/>
      <c r="BW74" s="149"/>
      <c r="BX74" s="142"/>
      <c r="BY74" s="142"/>
      <c r="BZ74" s="142"/>
      <c r="CA74" s="142"/>
      <c r="CB74" s="142"/>
      <c r="CC74" s="142"/>
      <c r="CD74" s="142"/>
      <c r="CE74" s="142"/>
      <c r="CF74" s="142"/>
      <c r="CG74" s="142"/>
      <c r="CH74" s="142"/>
      <c r="CI74" s="142"/>
      <c r="CJ74" s="149"/>
      <c r="CK74" s="142"/>
      <c r="CL74" s="142"/>
      <c r="CM74" s="143"/>
      <c r="CN74" s="136"/>
      <c r="CO74" s="136"/>
      <c r="CP74" s="137"/>
      <c r="CQ74" s="138"/>
      <c r="CR74" s="137"/>
    </row>
    <row r="75" spans="1:96" ht="15" x14ac:dyDescent="0.25">
      <c r="C75" s="17" t="s">
        <v>200</v>
      </c>
      <c r="D75" s="16"/>
      <c r="E75" s="149">
        <f>E69+E72</f>
        <v>84429.07</v>
      </c>
      <c r="F75" s="142">
        <f t="shared" ref="F75:BP75" si="113">F69+F72</f>
        <v>6167.8999999999978</v>
      </c>
      <c r="G75" s="142">
        <f t="shared" si="113"/>
        <v>0</v>
      </c>
      <c r="H75" s="142">
        <f t="shared" si="113"/>
        <v>0</v>
      </c>
      <c r="I75" s="142">
        <f t="shared" si="113"/>
        <v>90596.97</v>
      </c>
      <c r="J75" s="142">
        <f t="shared" si="113"/>
        <v>4519.08</v>
      </c>
      <c r="K75" s="142">
        <f t="shared" si="113"/>
        <v>0</v>
      </c>
      <c r="L75" s="142">
        <f t="shared" si="113"/>
        <v>0</v>
      </c>
      <c r="M75" s="142">
        <f t="shared" si="113"/>
        <v>0</v>
      </c>
      <c r="N75" s="143">
        <f t="shared" si="113"/>
        <v>4519.08</v>
      </c>
      <c r="O75" s="149">
        <f t="shared" si="113"/>
        <v>90596.97</v>
      </c>
      <c r="P75" s="142">
        <f t="shared" si="113"/>
        <v>19117.16</v>
      </c>
      <c r="Q75" s="142">
        <f t="shared" si="113"/>
        <v>74226.429999999993</v>
      </c>
      <c r="R75" s="142">
        <f t="shared" si="113"/>
        <v>0</v>
      </c>
      <c r="S75" s="142">
        <f t="shared" si="113"/>
        <v>35487.699999999997</v>
      </c>
      <c r="T75" s="142">
        <f t="shared" si="113"/>
        <v>4519.08</v>
      </c>
      <c r="U75" s="142">
        <f t="shared" si="113"/>
        <v>1755.7599999999998</v>
      </c>
      <c r="V75" s="142">
        <f t="shared" si="113"/>
        <v>4936.66</v>
      </c>
      <c r="W75" s="142">
        <f t="shared" si="113"/>
        <v>0</v>
      </c>
      <c r="X75" s="143">
        <f t="shared" si="113"/>
        <v>1338.1799999999998</v>
      </c>
      <c r="Y75" s="149">
        <f t="shared" si="113"/>
        <v>35487.699999999997</v>
      </c>
      <c r="Z75" s="142">
        <f t="shared" si="113"/>
        <v>28193.199999999997</v>
      </c>
      <c r="AA75" s="142">
        <f t="shared" si="113"/>
        <v>0</v>
      </c>
      <c r="AB75" s="142">
        <f t="shared" si="113"/>
        <v>0</v>
      </c>
      <c r="AC75" s="142">
        <f t="shared" si="113"/>
        <v>63680.899999999994</v>
      </c>
      <c r="AD75" s="142">
        <f t="shared" si="113"/>
        <v>1338.1799999999998</v>
      </c>
      <c r="AE75" s="142">
        <f t="shared" si="113"/>
        <v>2187.4900000000002</v>
      </c>
      <c r="AF75" s="142">
        <f t="shared" si="113"/>
        <v>0</v>
      </c>
      <c r="AG75" s="142">
        <f t="shared" si="113"/>
        <v>0</v>
      </c>
      <c r="AH75" s="143">
        <f t="shared" si="113"/>
        <v>3525.67</v>
      </c>
      <c r="AI75" s="149">
        <f t="shared" si="113"/>
        <v>63680.899999999994</v>
      </c>
      <c r="AJ75" s="142">
        <f t="shared" si="113"/>
        <v>78541.76999999999</v>
      </c>
      <c r="AK75" s="142">
        <f t="shared" si="113"/>
        <v>0</v>
      </c>
      <c r="AL75" s="142">
        <f t="shared" si="113"/>
        <v>0</v>
      </c>
      <c r="AM75" s="142">
        <f t="shared" si="113"/>
        <v>142222.66999999998</v>
      </c>
      <c r="AN75" s="142">
        <f t="shared" si="113"/>
        <v>3525.67</v>
      </c>
      <c r="AO75" s="142">
        <f t="shared" si="113"/>
        <v>3233.3500000000004</v>
      </c>
      <c r="AP75" s="142">
        <f t="shared" si="113"/>
        <v>0</v>
      </c>
      <c r="AQ75" s="142">
        <f t="shared" si="113"/>
        <v>0</v>
      </c>
      <c r="AR75" s="143">
        <f t="shared" si="113"/>
        <v>6759.02</v>
      </c>
      <c r="AS75" s="149">
        <f t="shared" si="113"/>
        <v>142222.66999999998</v>
      </c>
      <c r="AT75" s="142">
        <f t="shared" si="113"/>
        <v>48562.32</v>
      </c>
      <c r="AU75" s="142">
        <f t="shared" si="113"/>
        <v>0</v>
      </c>
      <c r="AV75" s="142">
        <f t="shared" si="113"/>
        <v>-6023.0199999999986</v>
      </c>
      <c r="AW75" s="142">
        <f t="shared" si="113"/>
        <v>184761.96999999997</v>
      </c>
      <c r="AX75" s="142">
        <f t="shared" si="113"/>
        <v>6759.02</v>
      </c>
      <c r="AY75" s="142">
        <f t="shared" si="113"/>
        <v>1689.8600000000001</v>
      </c>
      <c r="AZ75" s="142">
        <f t="shared" si="113"/>
        <v>0</v>
      </c>
      <c r="BA75" s="142">
        <f t="shared" si="113"/>
        <v>-7.78</v>
      </c>
      <c r="BB75" s="143">
        <f t="shared" si="113"/>
        <v>8441.1</v>
      </c>
      <c r="BC75" s="149">
        <f t="shared" si="113"/>
        <v>184761.96999999997</v>
      </c>
      <c r="BD75" s="142">
        <f t="shared" si="113"/>
        <v>287531.33479999995</v>
      </c>
      <c r="BE75" s="142">
        <f t="shared" si="113"/>
        <v>0</v>
      </c>
      <c r="BF75" s="142">
        <f t="shared" si="113"/>
        <v>-6597.99</v>
      </c>
      <c r="BG75" s="142">
        <f t="shared" si="113"/>
        <v>465695.31480000005</v>
      </c>
      <c r="BH75" s="142">
        <f t="shared" si="113"/>
        <v>8441.1</v>
      </c>
      <c r="BI75" s="142">
        <f t="shared" si="113"/>
        <v>2515.9291743899998</v>
      </c>
      <c r="BJ75" s="142">
        <f t="shared" si="113"/>
        <v>0</v>
      </c>
      <c r="BK75" s="142">
        <f t="shared" si="113"/>
        <v>-21.338298999999992</v>
      </c>
      <c r="BL75" s="143">
        <f t="shared" si="113"/>
        <v>10935.690875389999</v>
      </c>
      <c r="BM75" s="149">
        <f t="shared" si="113"/>
        <v>465695.31480000005</v>
      </c>
      <c r="BN75" s="142">
        <f t="shared" si="113"/>
        <v>890983.06113333325</v>
      </c>
      <c r="BO75" s="142">
        <f t="shared" si="113"/>
        <v>681589.07</v>
      </c>
      <c r="BP75" s="142">
        <f t="shared" si="113"/>
        <v>1468.4400000000005</v>
      </c>
      <c r="BQ75" s="142">
        <f t="shared" ref="BQ75:CQ75" si="114">BQ69+BQ72</f>
        <v>676557.7459333333</v>
      </c>
      <c r="BR75" s="142">
        <f t="shared" si="114"/>
        <v>10935.690875389999</v>
      </c>
      <c r="BS75" s="142">
        <f t="shared" si="114"/>
        <v>-542.22186910999574</v>
      </c>
      <c r="BT75" s="142">
        <f t="shared" si="114"/>
        <v>10728.17</v>
      </c>
      <c r="BU75" s="142">
        <f t="shared" si="114"/>
        <v>-179.58659799999998</v>
      </c>
      <c r="BV75" s="143">
        <f t="shared" si="114"/>
        <v>-514.28759171999627</v>
      </c>
      <c r="BW75" s="149">
        <f t="shared" si="114"/>
        <v>676557.7459333333</v>
      </c>
      <c r="BX75" s="142">
        <f t="shared" si="114"/>
        <v>-623455.0919875009</v>
      </c>
      <c r="BY75" s="142">
        <f t="shared" si="114"/>
        <v>0</v>
      </c>
      <c r="BZ75" s="142">
        <f t="shared" si="114"/>
        <v>0</v>
      </c>
      <c r="CA75" s="142">
        <f t="shared" si="114"/>
        <v>0</v>
      </c>
      <c r="CB75" s="142">
        <f t="shared" si="114"/>
        <v>-239974.15274606229</v>
      </c>
      <c r="CC75" s="142">
        <f t="shared" si="114"/>
        <v>-15176.47996144689</v>
      </c>
      <c r="CD75" s="142">
        <f t="shared" si="114"/>
        <v>-202047.97876167676</v>
      </c>
      <c r="CE75" s="142">
        <f t="shared" si="114"/>
        <v>-514.28759171999627</v>
      </c>
      <c r="CF75" s="142">
        <f t="shared" si="114"/>
        <v>18490.259854111871</v>
      </c>
      <c r="CG75" s="142">
        <f t="shared" si="114"/>
        <v>0</v>
      </c>
      <c r="CH75" s="142">
        <f t="shared" si="114"/>
        <v>-13446.654044960002</v>
      </c>
      <c r="CI75" s="143">
        <f t="shared" si="114"/>
        <v>4529.3182174318781</v>
      </c>
      <c r="CJ75" s="149">
        <f t="shared" si="114"/>
        <v>350852.66</v>
      </c>
      <c r="CK75" s="142">
        <f t="shared" si="114"/>
        <v>1514.52</v>
      </c>
      <c r="CL75" s="142">
        <f t="shared" si="114"/>
        <v>-552900.63876167673</v>
      </c>
      <c r="CM75" s="143">
        <f t="shared" si="114"/>
        <v>3014.7982174318777</v>
      </c>
      <c r="CN75" s="149">
        <f t="shared" si="114"/>
        <v>-8738.1228770998223</v>
      </c>
      <c r="CO75" s="142">
        <f t="shared" si="114"/>
        <v>-2912.2395700241709</v>
      </c>
      <c r="CP75" s="143">
        <f t="shared" si="114"/>
        <v>-561536.20299136895</v>
      </c>
      <c r="CQ75" s="143">
        <f t="shared" si="114"/>
        <v>-86702.119999999966</v>
      </c>
      <c r="CR75" s="137">
        <f t="shared" si="34"/>
        <v>110816.54054424493</v>
      </c>
    </row>
    <row r="76" spans="1:96" ht="15" thickBot="1" x14ac:dyDescent="0.25">
      <c r="C76" s="16"/>
      <c r="D76" s="16"/>
      <c r="E76" s="149"/>
      <c r="F76" s="142"/>
      <c r="G76" s="142"/>
      <c r="H76" s="142"/>
      <c r="I76" s="142"/>
      <c r="J76" s="142"/>
      <c r="K76" s="142"/>
      <c r="L76" s="142"/>
      <c r="M76" s="142"/>
      <c r="N76" s="143"/>
      <c r="O76" s="149"/>
      <c r="P76" s="142"/>
      <c r="Q76" s="142"/>
      <c r="R76" s="142"/>
      <c r="S76" s="142"/>
      <c r="T76" s="142"/>
      <c r="U76" s="142"/>
      <c r="V76" s="142"/>
      <c r="W76" s="142"/>
      <c r="X76" s="143"/>
      <c r="Y76" s="149"/>
      <c r="Z76" s="142"/>
      <c r="AA76" s="142"/>
      <c r="AB76" s="142"/>
      <c r="AC76" s="142"/>
      <c r="AD76" s="142"/>
      <c r="AE76" s="142"/>
      <c r="AF76" s="142"/>
      <c r="AG76" s="142"/>
      <c r="AH76" s="143"/>
      <c r="AI76" s="149"/>
      <c r="AJ76" s="142"/>
      <c r="AK76" s="142"/>
      <c r="AL76" s="142"/>
      <c r="AM76" s="142"/>
      <c r="AN76" s="142"/>
      <c r="AO76" s="142"/>
      <c r="AP76" s="142"/>
      <c r="AQ76" s="142"/>
      <c r="AR76" s="143"/>
      <c r="AS76" s="149"/>
      <c r="AT76" s="142"/>
      <c r="AU76" s="142"/>
      <c r="AV76" s="142"/>
      <c r="AW76" s="142"/>
      <c r="AX76" s="142"/>
      <c r="AY76" s="142"/>
      <c r="AZ76" s="142"/>
      <c r="BA76" s="142"/>
      <c r="BB76" s="143"/>
      <c r="BC76" s="149"/>
      <c r="BD76" s="142"/>
      <c r="BE76" s="142"/>
      <c r="BF76" s="142"/>
      <c r="BG76" s="142"/>
      <c r="BH76" s="142"/>
      <c r="BI76" s="142"/>
      <c r="BJ76" s="142"/>
      <c r="BK76" s="142"/>
      <c r="BL76" s="143"/>
      <c r="BM76" s="149"/>
      <c r="BN76" s="142"/>
      <c r="BO76" s="142"/>
      <c r="BP76" s="142"/>
      <c r="BQ76" s="142"/>
      <c r="BR76" s="142"/>
      <c r="BS76" s="142"/>
      <c r="BT76" s="142"/>
      <c r="BU76" s="142"/>
      <c r="BV76" s="143"/>
      <c r="BW76" s="149"/>
      <c r="BX76" s="142"/>
      <c r="BY76" s="142"/>
      <c r="BZ76" s="142"/>
      <c r="CA76" s="142"/>
      <c r="CB76" s="142"/>
      <c r="CC76" s="142"/>
      <c r="CD76" s="142"/>
      <c r="CE76" s="142"/>
      <c r="CF76" s="142"/>
      <c r="CG76" s="142"/>
      <c r="CH76" s="142"/>
      <c r="CI76" s="143"/>
      <c r="CJ76" s="149"/>
      <c r="CK76" s="142"/>
      <c r="CL76" s="142"/>
      <c r="CM76" s="143"/>
      <c r="CN76" s="136"/>
      <c r="CO76" s="136"/>
      <c r="CP76" s="137"/>
      <c r="CQ76" s="138"/>
      <c r="CR76" s="137"/>
    </row>
    <row r="77" spans="1:96" ht="17.25" thickBot="1" x14ac:dyDescent="0.25">
      <c r="A77" s="1">
        <v>36</v>
      </c>
      <c r="C77" s="5" t="s">
        <v>196</v>
      </c>
      <c r="D77" s="8">
        <v>1555</v>
      </c>
      <c r="E77" s="156"/>
      <c r="F77" s="155"/>
      <c r="G77" s="155"/>
      <c r="H77" s="155"/>
      <c r="I77" s="142">
        <f>E77+F77-G77+H77</f>
        <v>0</v>
      </c>
      <c r="J77" s="155"/>
      <c r="K77" s="155"/>
      <c r="L77" s="155"/>
      <c r="M77" s="155"/>
      <c r="N77" s="143">
        <f>J77+K77-L77+M77</f>
        <v>0</v>
      </c>
      <c r="O77" s="144">
        <f>I77</f>
        <v>0</v>
      </c>
      <c r="P77" s="155"/>
      <c r="Q77" s="155"/>
      <c r="R77" s="155"/>
      <c r="S77" s="142">
        <f>O77+P77-Q77+R77</f>
        <v>0</v>
      </c>
      <c r="T77" s="145">
        <f>N77</f>
        <v>0</v>
      </c>
      <c r="U77" s="155"/>
      <c r="V77" s="155"/>
      <c r="W77" s="155"/>
      <c r="X77" s="143">
        <f>T77+U77-V77+W77</f>
        <v>0</v>
      </c>
      <c r="Y77" s="144">
        <f>S77</f>
        <v>0</v>
      </c>
      <c r="Z77" s="155"/>
      <c r="AA77" s="155"/>
      <c r="AB77" s="155"/>
      <c r="AC77" s="142">
        <f>Y77+Z77-AA77+AB77</f>
        <v>0</v>
      </c>
      <c r="AD77" s="145">
        <f>X77</f>
        <v>0</v>
      </c>
      <c r="AE77" s="155"/>
      <c r="AF77" s="155"/>
      <c r="AG77" s="155"/>
      <c r="AH77" s="143">
        <f>AD77+AE77-AF77+AG77</f>
        <v>0</v>
      </c>
      <c r="AI77" s="144">
        <f>AC77</f>
        <v>0</v>
      </c>
      <c r="AJ77" s="155"/>
      <c r="AK77" s="155"/>
      <c r="AL77" s="155"/>
      <c r="AM77" s="142">
        <f>AI77+AJ77-AK77+AL77</f>
        <v>0</v>
      </c>
      <c r="AN77" s="145">
        <f>AH77</f>
        <v>0</v>
      </c>
      <c r="AO77" s="155"/>
      <c r="AP77" s="155"/>
      <c r="AQ77" s="155"/>
      <c r="AR77" s="143">
        <f>AN77+AO77-AP77+AQ77</f>
        <v>0</v>
      </c>
      <c r="AS77" s="144">
        <f>AM77</f>
        <v>0</v>
      </c>
      <c r="AT77" s="154"/>
      <c r="AU77" s="154"/>
      <c r="AV77" s="154"/>
      <c r="AW77" s="142">
        <f>AS77+AT77-AU77+AV77</f>
        <v>0</v>
      </c>
      <c r="AX77" s="145">
        <f>AR77</f>
        <v>0</v>
      </c>
      <c r="AY77" s="141"/>
      <c r="AZ77" s="141"/>
      <c r="BA77" s="141"/>
      <c r="BB77" s="143">
        <f>AX77+AY77-AZ77+BA77</f>
        <v>0</v>
      </c>
      <c r="BC77" s="144">
        <f>AW77</f>
        <v>0</v>
      </c>
      <c r="BD77" s="141"/>
      <c r="BE77" s="141"/>
      <c r="BF77" s="141"/>
      <c r="BG77" s="142">
        <f>BC77+BD77-BE77+SUM(BF77:BF77)</f>
        <v>0</v>
      </c>
      <c r="BH77" s="145">
        <f>BB77</f>
        <v>0</v>
      </c>
      <c r="BI77" s="141"/>
      <c r="BJ77" s="155"/>
      <c r="BK77" s="155"/>
      <c r="BL77" s="143">
        <f>BH77+BI77-BJ77+BK77</f>
        <v>0</v>
      </c>
      <c r="BM77" s="144">
        <f>BG77</f>
        <v>0</v>
      </c>
      <c r="BN77" s="141"/>
      <c r="BO77" s="141"/>
      <c r="BP77" s="141"/>
      <c r="BQ77" s="142">
        <f>BM77+BN77-BO77+SUM(BP77:BP77)</f>
        <v>0</v>
      </c>
      <c r="BR77" s="145">
        <f>BL77</f>
        <v>0</v>
      </c>
      <c r="BS77" s="155"/>
      <c r="BT77" s="155"/>
      <c r="BU77" s="155"/>
      <c r="BV77" s="143">
        <f>BR77+BS77-BT77+BU77</f>
        <v>0</v>
      </c>
      <c r="BW77" s="144">
        <f>BQ77</f>
        <v>0</v>
      </c>
      <c r="BX77" s="141"/>
      <c r="BY77" s="141"/>
      <c r="BZ77" s="141"/>
      <c r="CA77" s="141"/>
      <c r="CB77" s="141"/>
      <c r="CC77" s="141"/>
      <c r="CD77" s="142">
        <f>BW77+BX77-BY77+SUM(BZ77:CC77)</f>
        <v>0</v>
      </c>
      <c r="CE77" s="145">
        <f>BV77</f>
        <v>0</v>
      </c>
      <c r="CF77" s="141"/>
      <c r="CG77" s="155"/>
      <c r="CH77" s="155"/>
      <c r="CI77" s="143">
        <f>CE77+CF77-CG77+CH77</f>
        <v>0</v>
      </c>
      <c r="CJ77" s="140"/>
      <c r="CK77" s="141"/>
      <c r="CL77" s="145">
        <f t="shared" ref="CL77" si="115">CD77-CJ77</f>
        <v>0</v>
      </c>
      <c r="CM77" s="146">
        <f t="shared" ref="CM77" si="116">CI77-CK77</f>
        <v>0</v>
      </c>
      <c r="CN77" s="147"/>
      <c r="CO77" s="141"/>
      <c r="CP77" s="137">
        <f t="shared" si="33"/>
        <v>0</v>
      </c>
      <c r="CQ77" s="148">
        <v>0</v>
      </c>
      <c r="CR77" s="137">
        <f t="shared" si="34"/>
        <v>0</v>
      </c>
    </row>
    <row r="78" spans="1:96" ht="17.25" thickBot="1" x14ac:dyDescent="0.25">
      <c r="A78" s="1">
        <v>37</v>
      </c>
      <c r="C78" s="5" t="s">
        <v>197</v>
      </c>
      <c r="D78" s="8">
        <v>1555</v>
      </c>
      <c r="E78" s="156"/>
      <c r="F78" s="155"/>
      <c r="G78" s="155"/>
      <c r="H78" s="155"/>
      <c r="I78" s="142">
        <f>E78+F78-G78+H78</f>
        <v>0</v>
      </c>
      <c r="J78" s="155"/>
      <c r="K78" s="155"/>
      <c r="L78" s="155"/>
      <c r="M78" s="155"/>
      <c r="N78" s="143">
        <f>J78+K78-L78+M78</f>
        <v>0</v>
      </c>
      <c r="O78" s="144">
        <f>I78</f>
        <v>0</v>
      </c>
      <c r="P78" s="155"/>
      <c r="Q78" s="155"/>
      <c r="R78" s="155"/>
      <c r="S78" s="142">
        <f>O78+P78-Q78+R78</f>
        <v>0</v>
      </c>
      <c r="T78" s="145">
        <f>N78</f>
        <v>0</v>
      </c>
      <c r="U78" s="155"/>
      <c r="V78" s="155"/>
      <c r="W78" s="155"/>
      <c r="X78" s="143">
        <f>T78+U78-V78+W78</f>
        <v>0</v>
      </c>
      <c r="Y78" s="144">
        <f>S78</f>
        <v>0</v>
      </c>
      <c r="Z78" s="155"/>
      <c r="AA78" s="155"/>
      <c r="AB78" s="155"/>
      <c r="AC78" s="142">
        <f>Y78+Z78-AA78+AB78</f>
        <v>0</v>
      </c>
      <c r="AD78" s="145">
        <f>X78</f>
        <v>0</v>
      </c>
      <c r="AE78" s="155"/>
      <c r="AF78" s="155"/>
      <c r="AG78" s="155"/>
      <c r="AH78" s="143">
        <f>AD78+AE78-AF78+AG78</f>
        <v>0</v>
      </c>
      <c r="AI78" s="144">
        <f>AC78</f>
        <v>0</v>
      </c>
      <c r="AJ78" s="155"/>
      <c r="AK78" s="155"/>
      <c r="AL78" s="155"/>
      <c r="AM78" s="142">
        <f>AI78+AJ78-AK78+AL78</f>
        <v>0</v>
      </c>
      <c r="AN78" s="145">
        <f>AH78</f>
        <v>0</v>
      </c>
      <c r="AO78" s="155"/>
      <c r="AP78" s="155"/>
      <c r="AQ78" s="155"/>
      <c r="AR78" s="143">
        <f>AN78+AO78-AP78+AQ78</f>
        <v>0</v>
      </c>
      <c r="AS78" s="144">
        <f>AM78</f>
        <v>0</v>
      </c>
      <c r="AT78" s="154"/>
      <c r="AU78" s="154"/>
      <c r="AV78" s="154"/>
      <c r="AW78" s="142">
        <f>AS78+AT78-AU78+AV78</f>
        <v>0</v>
      </c>
      <c r="AX78" s="145">
        <f>AR78</f>
        <v>0</v>
      </c>
      <c r="AY78" s="141"/>
      <c r="AZ78" s="141"/>
      <c r="BA78" s="141"/>
      <c r="BB78" s="143">
        <f>AX78+AY78-AZ78+BA78</f>
        <v>0</v>
      </c>
      <c r="BC78" s="144">
        <f>AW78</f>
        <v>0</v>
      </c>
      <c r="BD78" s="141"/>
      <c r="BE78" s="141"/>
      <c r="BF78" s="141"/>
      <c r="BG78" s="142">
        <f>BC78+BD78-BE78+SUM(BF78:BF78)</f>
        <v>0</v>
      </c>
      <c r="BH78" s="145">
        <f>BB78</f>
        <v>0</v>
      </c>
      <c r="BI78" s="141"/>
      <c r="BJ78" s="155"/>
      <c r="BK78" s="155"/>
      <c r="BL78" s="143">
        <f>BH78+BI78-BJ78+BK78</f>
        <v>0</v>
      </c>
      <c r="BM78" s="144">
        <f>BG78</f>
        <v>0</v>
      </c>
      <c r="BN78" s="141"/>
      <c r="BO78" s="141"/>
      <c r="BP78" s="141"/>
      <c r="BQ78" s="142">
        <f>BM78+BN78-BO78+SUM(BP78:BP78)</f>
        <v>0</v>
      </c>
      <c r="BR78" s="145">
        <f>BL78</f>
        <v>0</v>
      </c>
      <c r="BS78" s="155"/>
      <c r="BT78" s="155"/>
      <c r="BU78" s="155"/>
      <c r="BV78" s="143">
        <f>BR78+BS78-BT78+BU78</f>
        <v>0</v>
      </c>
      <c r="BW78" s="144">
        <f>BQ78</f>
        <v>0</v>
      </c>
      <c r="BX78" s="141"/>
      <c r="BY78" s="141"/>
      <c r="BZ78" s="141"/>
      <c r="CA78" s="141"/>
      <c r="CB78" s="141"/>
      <c r="CC78" s="141"/>
      <c r="CD78" s="142">
        <f>BW78+BX78-BY78+SUM(BZ78:CC78)</f>
        <v>0</v>
      </c>
      <c r="CE78" s="145">
        <f>BV78</f>
        <v>0</v>
      </c>
      <c r="CF78" s="141"/>
      <c r="CG78" s="155"/>
      <c r="CH78" s="155"/>
      <c r="CI78" s="143">
        <f>CE78+CF78-CG78+CH78</f>
        <v>0</v>
      </c>
      <c r="CJ78" s="140"/>
      <c r="CK78" s="141"/>
      <c r="CL78" s="145">
        <f t="shared" ref="CL78:CL80" si="117">CD78-CJ78</f>
        <v>0</v>
      </c>
      <c r="CM78" s="146">
        <f t="shared" ref="CM78:CM80" si="118">CI78-CK78</f>
        <v>0</v>
      </c>
      <c r="CN78" s="147"/>
      <c r="CO78" s="141"/>
      <c r="CP78" s="137">
        <f t="shared" si="33"/>
        <v>0</v>
      </c>
      <c r="CQ78" s="148">
        <v>0</v>
      </c>
      <c r="CR78" s="137">
        <f t="shared" si="34"/>
        <v>0</v>
      </c>
    </row>
    <row r="79" spans="1:96" ht="17.25" thickBot="1" x14ac:dyDescent="0.25">
      <c r="A79" s="1">
        <v>38</v>
      </c>
      <c r="C79" s="5" t="s">
        <v>198</v>
      </c>
      <c r="D79" s="8">
        <v>1555</v>
      </c>
      <c r="E79" s="140"/>
      <c r="F79" s="141"/>
      <c r="G79" s="141"/>
      <c r="H79" s="141"/>
      <c r="I79" s="142">
        <f>E79+F79-G79+H79</f>
        <v>0</v>
      </c>
      <c r="J79" s="141"/>
      <c r="K79" s="141"/>
      <c r="L79" s="141"/>
      <c r="M79" s="141"/>
      <c r="N79" s="143">
        <f>J79+K79-L79+M79</f>
        <v>0</v>
      </c>
      <c r="O79" s="144">
        <f>I79</f>
        <v>0</v>
      </c>
      <c r="P79" s="141"/>
      <c r="Q79" s="141"/>
      <c r="R79" s="141"/>
      <c r="S79" s="142">
        <f>O79+P79-Q79+R79</f>
        <v>0</v>
      </c>
      <c r="T79" s="145">
        <f>N79</f>
        <v>0</v>
      </c>
      <c r="U79" s="141"/>
      <c r="V79" s="141"/>
      <c r="W79" s="141"/>
      <c r="X79" s="143">
        <f>T79+U79-V79+W79</f>
        <v>0</v>
      </c>
      <c r="Y79" s="144">
        <f>S79</f>
        <v>0</v>
      </c>
      <c r="Z79" s="141"/>
      <c r="AA79" s="141"/>
      <c r="AB79" s="141"/>
      <c r="AC79" s="142">
        <f>Y79+Z79-AA79+AB79</f>
        <v>0</v>
      </c>
      <c r="AD79" s="145">
        <f>X79</f>
        <v>0</v>
      </c>
      <c r="AE79" s="141"/>
      <c r="AF79" s="141"/>
      <c r="AG79" s="141"/>
      <c r="AH79" s="143">
        <f>AD79+AE79-AF79+AG79</f>
        <v>0</v>
      </c>
      <c r="AI79" s="144">
        <f>AC79</f>
        <v>0</v>
      </c>
      <c r="AJ79" s="141"/>
      <c r="AK79" s="141"/>
      <c r="AL79" s="141"/>
      <c r="AM79" s="142">
        <f>AI79+AJ79-AK79+AL79</f>
        <v>0</v>
      </c>
      <c r="AN79" s="145">
        <f>AH79</f>
        <v>0</v>
      </c>
      <c r="AO79" s="141"/>
      <c r="AP79" s="141"/>
      <c r="AQ79" s="141"/>
      <c r="AR79" s="143">
        <f>AN79+AO79-AP79+AQ79</f>
        <v>0</v>
      </c>
      <c r="AS79" s="144">
        <f>AM79</f>
        <v>0</v>
      </c>
      <c r="AT79" s="154"/>
      <c r="AU79" s="154"/>
      <c r="AV79" s="154"/>
      <c r="AW79" s="142">
        <f>AS79+AT79-AU79+AV79</f>
        <v>0</v>
      </c>
      <c r="AX79" s="145">
        <f>AR79</f>
        <v>0</v>
      </c>
      <c r="AY79" s="141"/>
      <c r="AZ79" s="141"/>
      <c r="BA79" s="141"/>
      <c r="BB79" s="143">
        <f>AX79+AY79-AZ79+BA79</f>
        <v>0</v>
      </c>
      <c r="BC79" s="144">
        <f>AW79</f>
        <v>0</v>
      </c>
      <c r="BD79" s="141"/>
      <c r="BE79" s="141"/>
      <c r="BF79" s="141"/>
      <c r="BG79" s="142">
        <f>BC79+BD79-BE79+SUM(BF79:BF79)</f>
        <v>0</v>
      </c>
      <c r="BH79" s="145">
        <f>BB79</f>
        <v>0</v>
      </c>
      <c r="BI79" s="141"/>
      <c r="BJ79" s="141"/>
      <c r="BK79" s="141"/>
      <c r="BL79" s="143">
        <f>BH79+BI79-BJ79+BK79</f>
        <v>0</v>
      </c>
      <c r="BM79" s="144">
        <f>BG79</f>
        <v>0</v>
      </c>
      <c r="BN79" s="141"/>
      <c r="BO79" s="141"/>
      <c r="BP79" s="141"/>
      <c r="BQ79" s="142">
        <f>BM79+BN79-BO79+SUM(BP79:BP79)</f>
        <v>0</v>
      </c>
      <c r="BR79" s="145">
        <f>BL79</f>
        <v>0</v>
      </c>
      <c r="BS79" s="141"/>
      <c r="BT79" s="141"/>
      <c r="BU79" s="141"/>
      <c r="BV79" s="143">
        <f>BR79+BS79-BT79+BU79</f>
        <v>0</v>
      </c>
      <c r="BW79" s="144">
        <f>BQ79</f>
        <v>0</v>
      </c>
      <c r="BX79" s="141"/>
      <c r="BY79" s="141"/>
      <c r="BZ79" s="141"/>
      <c r="CA79" s="141"/>
      <c r="CB79" s="141"/>
      <c r="CC79" s="141"/>
      <c r="CD79" s="142">
        <f>BW79+BX79-BY79+SUM(BZ79:CC79)</f>
        <v>0</v>
      </c>
      <c r="CE79" s="145">
        <f>BV79</f>
        <v>0</v>
      </c>
      <c r="CF79" s="141"/>
      <c r="CG79" s="141"/>
      <c r="CH79" s="141"/>
      <c r="CI79" s="143">
        <f>CE79+CF79-CG79+CH79</f>
        <v>0</v>
      </c>
      <c r="CJ79" s="140"/>
      <c r="CK79" s="141"/>
      <c r="CL79" s="145">
        <f t="shared" si="117"/>
        <v>0</v>
      </c>
      <c r="CM79" s="146">
        <f t="shared" si="118"/>
        <v>0</v>
      </c>
      <c r="CN79" s="147"/>
      <c r="CO79" s="141"/>
      <c r="CP79" s="137">
        <f t="shared" si="33"/>
        <v>0</v>
      </c>
      <c r="CQ79" s="148">
        <v>0</v>
      </c>
      <c r="CR79" s="137">
        <f t="shared" si="34"/>
        <v>0</v>
      </c>
    </row>
    <row r="80" spans="1:96" ht="17.25" thickBot="1" x14ac:dyDescent="0.25">
      <c r="A80" s="1">
        <v>39</v>
      </c>
      <c r="C80" s="5" t="s">
        <v>199</v>
      </c>
      <c r="D80" s="8">
        <v>1556</v>
      </c>
      <c r="E80" s="153"/>
      <c r="F80" s="154"/>
      <c r="G80" s="154"/>
      <c r="H80" s="154"/>
      <c r="I80" s="142">
        <f>E80+F80-G80+H80</f>
        <v>0</v>
      </c>
      <c r="J80" s="154"/>
      <c r="K80" s="154"/>
      <c r="L80" s="154"/>
      <c r="M80" s="154"/>
      <c r="N80" s="143">
        <f>J80+K80-L80+M80</f>
        <v>0</v>
      </c>
      <c r="O80" s="167">
        <f>I80</f>
        <v>0</v>
      </c>
      <c r="P80" s="154"/>
      <c r="Q80" s="154"/>
      <c r="R80" s="154"/>
      <c r="S80" s="142">
        <f>O80+P80-Q80+R80</f>
        <v>0</v>
      </c>
      <c r="T80" s="168">
        <f>N80</f>
        <v>0</v>
      </c>
      <c r="U80" s="154"/>
      <c r="V80" s="154"/>
      <c r="W80" s="154"/>
      <c r="X80" s="143">
        <f>T80+U80-V80+W80</f>
        <v>0</v>
      </c>
      <c r="Y80" s="167">
        <f>S80</f>
        <v>0</v>
      </c>
      <c r="Z80" s="154"/>
      <c r="AA80" s="154"/>
      <c r="AB80" s="154"/>
      <c r="AC80" s="142">
        <f>Y80+Z80-AA80+AB80</f>
        <v>0</v>
      </c>
      <c r="AD80" s="168">
        <f>X80</f>
        <v>0</v>
      </c>
      <c r="AE80" s="154"/>
      <c r="AF80" s="154"/>
      <c r="AG80" s="154"/>
      <c r="AH80" s="143">
        <f>AD80+AE80-AF80+AG80</f>
        <v>0</v>
      </c>
      <c r="AI80" s="167">
        <f>AC80</f>
        <v>0</v>
      </c>
      <c r="AJ80" s="154"/>
      <c r="AK80" s="154"/>
      <c r="AL80" s="154"/>
      <c r="AM80" s="142">
        <f>AI80+AJ80-AK80+AL80</f>
        <v>0</v>
      </c>
      <c r="AN80" s="168">
        <f>AH80</f>
        <v>0</v>
      </c>
      <c r="AO80" s="154"/>
      <c r="AP80" s="154"/>
      <c r="AQ80" s="154"/>
      <c r="AR80" s="143">
        <f>AN80+AO80-AP80+AQ80</f>
        <v>0</v>
      </c>
      <c r="AS80" s="167">
        <f>AM80</f>
        <v>0</v>
      </c>
      <c r="AT80" s="154"/>
      <c r="AU80" s="154"/>
      <c r="AV80" s="154"/>
      <c r="AW80" s="142">
        <f>AS80+AT80-AU80+AV80</f>
        <v>0</v>
      </c>
      <c r="AX80" s="168">
        <f>AR80</f>
        <v>0</v>
      </c>
      <c r="AY80" s="154"/>
      <c r="AZ80" s="154"/>
      <c r="BA80" s="154"/>
      <c r="BB80" s="143">
        <f>AX80+AY80-AZ80+BA80</f>
        <v>0</v>
      </c>
      <c r="BC80" s="167">
        <f>AW80</f>
        <v>0</v>
      </c>
      <c r="BD80" s="154"/>
      <c r="BE80" s="154"/>
      <c r="BF80" s="154"/>
      <c r="BG80" s="142">
        <f>BC80+BD80-BE80+SUM(BF80:BF80)</f>
        <v>0</v>
      </c>
      <c r="BH80" s="168">
        <f>BB80</f>
        <v>0</v>
      </c>
      <c r="BI80" s="154"/>
      <c r="BJ80" s="154"/>
      <c r="BK80" s="154"/>
      <c r="BL80" s="143">
        <f>BH80+BI80-BJ80+BK80</f>
        <v>0</v>
      </c>
      <c r="BM80" s="167">
        <f>BG80</f>
        <v>0</v>
      </c>
      <c r="BN80" s="154"/>
      <c r="BO80" s="141"/>
      <c r="BP80" s="141"/>
      <c r="BQ80" s="142">
        <f>BM80+BN80-BO80+SUM(BP80:BP80)</f>
        <v>0</v>
      </c>
      <c r="BR80" s="168">
        <f>BL80</f>
        <v>0</v>
      </c>
      <c r="BS80" s="154"/>
      <c r="BT80" s="154"/>
      <c r="BU80" s="154"/>
      <c r="BV80" s="143">
        <f>BR80+BS80-BT80+BU80</f>
        <v>0</v>
      </c>
      <c r="BW80" s="167">
        <f>BQ80</f>
        <v>0</v>
      </c>
      <c r="BX80" s="154"/>
      <c r="BY80" s="154"/>
      <c r="BZ80" s="154"/>
      <c r="CA80" s="154"/>
      <c r="CB80" s="154"/>
      <c r="CC80" s="154"/>
      <c r="CD80" s="142">
        <f>BW80+BX80-BY80+SUM(BZ80:CC80)</f>
        <v>0</v>
      </c>
      <c r="CE80" s="168">
        <f>BV80</f>
        <v>0</v>
      </c>
      <c r="CF80" s="154"/>
      <c r="CG80" s="154"/>
      <c r="CH80" s="154"/>
      <c r="CI80" s="143">
        <f>CE80+CF80-CG80+CH80</f>
        <v>0</v>
      </c>
      <c r="CJ80" s="153"/>
      <c r="CK80" s="154"/>
      <c r="CL80" s="168">
        <f t="shared" si="117"/>
        <v>0</v>
      </c>
      <c r="CM80" s="169">
        <f t="shared" si="118"/>
        <v>0</v>
      </c>
      <c r="CN80" s="170"/>
      <c r="CO80" s="154"/>
      <c r="CP80" s="137">
        <f t="shared" si="33"/>
        <v>0</v>
      </c>
      <c r="CQ80" s="171">
        <v>0</v>
      </c>
      <c r="CR80" s="137">
        <f t="shared" si="34"/>
        <v>0</v>
      </c>
    </row>
    <row r="81" spans="1:96" ht="15" thickBot="1" x14ac:dyDescent="0.25">
      <c r="C81" s="5"/>
      <c r="D81" s="8"/>
      <c r="E81" s="149"/>
      <c r="F81" s="142"/>
      <c r="G81" s="142"/>
      <c r="H81" s="142"/>
      <c r="I81" s="142"/>
      <c r="J81" s="142"/>
      <c r="K81" s="142"/>
      <c r="L81" s="142"/>
      <c r="M81" s="142"/>
      <c r="N81" s="142"/>
      <c r="O81" s="149"/>
      <c r="P81" s="142"/>
      <c r="Q81" s="142"/>
      <c r="R81" s="142"/>
      <c r="S81" s="142"/>
      <c r="T81" s="142"/>
      <c r="U81" s="142"/>
      <c r="V81" s="142"/>
      <c r="W81" s="142"/>
      <c r="X81" s="142"/>
      <c r="Y81" s="149"/>
      <c r="Z81" s="142"/>
      <c r="AA81" s="142"/>
      <c r="AB81" s="142"/>
      <c r="AC81" s="142"/>
      <c r="AD81" s="142"/>
      <c r="AE81" s="142"/>
      <c r="AF81" s="142"/>
      <c r="AG81" s="142"/>
      <c r="AH81" s="142"/>
      <c r="AI81" s="149"/>
      <c r="AJ81" s="142"/>
      <c r="AK81" s="142"/>
      <c r="AL81" s="142"/>
      <c r="AM81" s="142"/>
      <c r="AN81" s="142"/>
      <c r="AO81" s="142"/>
      <c r="AP81" s="142"/>
      <c r="AQ81" s="142"/>
      <c r="AR81" s="142"/>
      <c r="AS81" s="149"/>
      <c r="AT81" s="142"/>
      <c r="AU81" s="142"/>
      <c r="AV81" s="142"/>
      <c r="AW81" s="142"/>
      <c r="AX81" s="142"/>
      <c r="AY81" s="142"/>
      <c r="AZ81" s="142"/>
      <c r="BA81" s="142"/>
      <c r="BB81" s="142"/>
      <c r="BC81" s="149"/>
      <c r="BD81" s="142"/>
      <c r="BE81" s="142"/>
      <c r="BF81" s="142"/>
      <c r="BG81" s="142"/>
      <c r="BH81" s="142"/>
      <c r="BI81" s="142"/>
      <c r="BJ81" s="142"/>
      <c r="BK81" s="142"/>
      <c r="BL81" s="142"/>
      <c r="BM81" s="149"/>
      <c r="BN81" s="142"/>
      <c r="BO81" s="142"/>
      <c r="BP81" s="142"/>
      <c r="BQ81" s="142"/>
      <c r="BR81" s="142"/>
      <c r="BS81" s="142"/>
      <c r="BT81" s="142"/>
      <c r="BU81" s="142"/>
      <c r="BV81" s="142"/>
      <c r="BW81" s="149"/>
      <c r="BX81" s="142"/>
      <c r="BY81" s="142"/>
      <c r="BZ81" s="142"/>
      <c r="CA81" s="142"/>
      <c r="CB81" s="142"/>
      <c r="CC81" s="142"/>
      <c r="CD81" s="142"/>
      <c r="CE81" s="142"/>
      <c r="CF81" s="142"/>
      <c r="CG81" s="142"/>
      <c r="CH81" s="142"/>
      <c r="CI81" s="142"/>
      <c r="CJ81" s="149"/>
      <c r="CK81" s="142"/>
      <c r="CL81" s="142"/>
      <c r="CM81" s="142"/>
      <c r="CN81" s="149"/>
      <c r="CO81" s="142"/>
      <c r="CP81" s="142"/>
      <c r="CQ81" s="149"/>
      <c r="CR81" s="150"/>
    </row>
    <row r="82" spans="1:96" ht="17.25" thickBot="1" x14ac:dyDescent="0.25">
      <c r="A82" s="1">
        <v>40</v>
      </c>
      <c r="C82" s="30" t="s">
        <v>288</v>
      </c>
      <c r="D82" s="204">
        <v>1575</v>
      </c>
      <c r="E82" s="203"/>
      <c r="F82" s="152"/>
      <c r="G82" s="152"/>
      <c r="H82" s="152"/>
      <c r="I82" s="142"/>
      <c r="J82" s="152"/>
      <c r="K82" s="152"/>
      <c r="L82" s="152"/>
      <c r="M82" s="152"/>
      <c r="N82" s="142"/>
      <c r="O82" s="149"/>
      <c r="P82" s="152"/>
      <c r="Q82" s="152"/>
      <c r="R82" s="152"/>
      <c r="S82" s="142"/>
      <c r="T82" s="142"/>
      <c r="U82" s="152"/>
      <c r="V82" s="152"/>
      <c r="W82" s="152"/>
      <c r="X82" s="142"/>
      <c r="Y82" s="149"/>
      <c r="Z82" s="152"/>
      <c r="AA82" s="152"/>
      <c r="AB82" s="152"/>
      <c r="AC82" s="142"/>
      <c r="AD82" s="142"/>
      <c r="AE82" s="152"/>
      <c r="AF82" s="152"/>
      <c r="AG82" s="152"/>
      <c r="AH82" s="142"/>
      <c r="AI82" s="149"/>
      <c r="AJ82" s="152"/>
      <c r="AK82" s="152"/>
      <c r="AL82" s="152"/>
      <c r="AM82" s="142"/>
      <c r="AN82" s="142"/>
      <c r="AO82" s="152"/>
      <c r="AP82" s="152"/>
      <c r="AQ82" s="152"/>
      <c r="AR82" s="142"/>
      <c r="AS82" s="172"/>
      <c r="AT82" s="152"/>
      <c r="AU82" s="152"/>
      <c r="AV82" s="152"/>
      <c r="AW82" s="142"/>
      <c r="AX82" s="157"/>
      <c r="AY82" s="152"/>
      <c r="AZ82" s="152"/>
      <c r="BA82" s="152"/>
      <c r="BB82" s="143"/>
      <c r="BC82" s="172"/>
      <c r="BD82" s="152"/>
      <c r="BE82" s="152"/>
      <c r="BF82" s="152"/>
      <c r="BG82" s="142"/>
      <c r="BH82" s="157"/>
      <c r="BI82" s="152"/>
      <c r="BJ82" s="152"/>
      <c r="BK82" s="152"/>
      <c r="BL82" s="143"/>
      <c r="BM82" s="172"/>
      <c r="BN82" s="152"/>
      <c r="BO82" s="152"/>
      <c r="BP82" s="152"/>
      <c r="BQ82" s="142"/>
      <c r="BR82" s="157"/>
      <c r="BS82" s="152"/>
      <c r="BT82" s="152"/>
      <c r="BU82" s="152"/>
      <c r="BV82" s="143"/>
      <c r="BW82" s="172"/>
      <c r="BX82" s="152"/>
      <c r="BY82" s="152"/>
      <c r="BZ82" s="152"/>
      <c r="CA82" s="152"/>
      <c r="CB82" s="152"/>
      <c r="CC82" s="155"/>
      <c r="CD82" s="142">
        <f>BW82+BX82-BY82+SUM(BZ82:CC82)</f>
        <v>0</v>
      </c>
      <c r="CE82" s="157">
        <f>BV82</f>
        <v>0</v>
      </c>
      <c r="CF82" s="152"/>
      <c r="CG82" s="152"/>
      <c r="CH82" s="152"/>
      <c r="CI82" s="143">
        <f>CE82+CF82-CG82+CH82</f>
        <v>0</v>
      </c>
      <c r="CJ82" s="152"/>
      <c r="CK82" s="152"/>
      <c r="CL82" s="157">
        <f t="shared" ref="CL82" si="119">CD82-CJ82</f>
        <v>0</v>
      </c>
      <c r="CM82" s="173">
        <f t="shared" ref="CM82" si="120">CI82-CK82</f>
        <v>0</v>
      </c>
      <c r="CN82" s="152"/>
      <c r="CO82" s="152"/>
      <c r="CP82" s="137">
        <f>SUM(CL82:CO82)</f>
        <v>0</v>
      </c>
      <c r="CQ82" s="171">
        <v>0</v>
      </c>
      <c r="CR82" s="137">
        <f>CQ82-SUM(CD82,CI82)</f>
        <v>0</v>
      </c>
    </row>
    <row r="83" spans="1:96" ht="17.25" thickBot="1" x14ac:dyDescent="0.25">
      <c r="A83" s="1">
        <v>41</v>
      </c>
      <c r="C83" s="30" t="s">
        <v>289</v>
      </c>
      <c r="D83" s="204">
        <v>1576</v>
      </c>
      <c r="E83" s="203"/>
      <c r="F83" s="152"/>
      <c r="G83" s="152"/>
      <c r="H83" s="152"/>
      <c r="I83" s="142"/>
      <c r="J83" s="152"/>
      <c r="K83" s="152"/>
      <c r="L83" s="152"/>
      <c r="M83" s="152"/>
      <c r="N83" s="142"/>
      <c r="O83" s="149"/>
      <c r="P83" s="152"/>
      <c r="Q83" s="152"/>
      <c r="R83" s="152"/>
      <c r="S83" s="142"/>
      <c r="T83" s="142"/>
      <c r="U83" s="152"/>
      <c r="V83" s="152"/>
      <c r="W83" s="152"/>
      <c r="X83" s="142"/>
      <c r="Y83" s="149"/>
      <c r="Z83" s="152"/>
      <c r="AA83" s="152"/>
      <c r="AB83" s="152"/>
      <c r="AC83" s="142"/>
      <c r="AD83" s="142"/>
      <c r="AE83" s="152"/>
      <c r="AF83" s="152"/>
      <c r="AG83" s="152"/>
      <c r="AH83" s="142"/>
      <c r="AI83" s="149"/>
      <c r="AJ83" s="152"/>
      <c r="AK83" s="152"/>
      <c r="AL83" s="152"/>
      <c r="AM83" s="142"/>
      <c r="AN83" s="142"/>
      <c r="AO83" s="152"/>
      <c r="AP83" s="152"/>
      <c r="AQ83" s="152"/>
      <c r="AR83" s="142"/>
      <c r="AS83" s="144"/>
      <c r="AT83" s="152"/>
      <c r="AU83" s="152"/>
      <c r="AV83" s="152"/>
      <c r="AW83" s="142"/>
      <c r="AX83" s="145"/>
      <c r="AY83" s="152"/>
      <c r="AZ83" s="152"/>
      <c r="BA83" s="152"/>
      <c r="BB83" s="143"/>
      <c r="BC83" s="144"/>
      <c r="BD83" s="152"/>
      <c r="BE83" s="152"/>
      <c r="BF83" s="152"/>
      <c r="BG83" s="142"/>
      <c r="BH83" s="145"/>
      <c r="BI83" s="152"/>
      <c r="BJ83" s="152"/>
      <c r="BK83" s="152"/>
      <c r="BL83" s="143"/>
      <c r="BM83" s="144"/>
      <c r="BN83" s="152"/>
      <c r="BO83" s="152"/>
      <c r="BP83" s="152"/>
      <c r="BQ83" s="142"/>
      <c r="BR83" s="145"/>
      <c r="BS83" s="152"/>
      <c r="BT83" s="152"/>
      <c r="BU83" s="152"/>
      <c r="BV83" s="143"/>
      <c r="BW83" s="144"/>
      <c r="BX83" s="152"/>
      <c r="BY83" s="152"/>
      <c r="BZ83" s="152"/>
      <c r="CA83" s="152"/>
      <c r="CB83" s="152"/>
      <c r="CC83" s="141">
        <f>[9]Sheet1!$F$39</f>
        <v>-884319.86665013176</v>
      </c>
      <c r="CD83" s="142">
        <f>BW83+BX83-BY83+SUM(BZ83:CC83)</f>
        <v>-884319.86665013176</v>
      </c>
      <c r="CE83" s="145">
        <f>BV83</f>
        <v>0</v>
      </c>
      <c r="CF83" s="152"/>
      <c r="CG83" s="152"/>
      <c r="CH83" s="152"/>
      <c r="CI83" s="143">
        <f>CE83+CF83-CG83+CH83</f>
        <v>0</v>
      </c>
      <c r="CJ83" s="152"/>
      <c r="CK83" s="152"/>
      <c r="CL83" s="145">
        <f t="shared" ref="CL83" si="121">CD83-CJ83</f>
        <v>-884319.86665013176</v>
      </c>
      <c r="CM83" s="146">
        <f t="shared" ref="CM83" si="122">CI83-CK83</f>
        <v>0</v>
      </c>
      <c r="CN83" s="152"/>
      <c r="CO83" s="152"/>
      <c r="CP83" s="137">
        <f>SUM(CL83:CO83)</f>
        <v>-884319.86665013176</v>
      </c>
      <c r="CQ83" s="171">
        <v>0</v>
      </c>
      <c r="CR83" s="137">
        <f>CQ83-SUM(CD83,CI83)</f>
        <v>884319.86665013176</v>
      </c>
    </row>
    <row r="84" spans="1:96" ht="14.25" x14ac:dyDescent="0.2">
      <c r="C84" s="5"/>
      <c r="D84" s="8"/>
      <c r="E84" s="149"/>
      <c r="F84" s="142"/>
      <c r="G84" s="142"/>
      <c r="H84" s="142"/>
      <c r="I84" s="142"/>
      <c r="J84" s="142"/>
      <c r="K84" s="142"/>
      <c r="L84" s="142"/>
      <c r="M84" s="142"/>
      <c r="N84" s="142"/>
      <c r="O84" s="174"/>
      <c r="P84" s="142"/>
      <c r="Q84" s="142"/>
      <c r="R84" s="142"/>
      <c r="S84" s="142"/>
      <c r="T84" s="142"/>
      <c r="U84" s="142"/>
      <c r="V84" s="142"/>
      <c r="W84" s="142"/>
      <c r="X84" s="142"/>
      <c r="Y84" s="174"/>
      <c r="Z84" s="142"/>
      <c r="AA84" s="142"/>
      <c r="AB84" s="142"/>
      <c r="AC84" s="142"/>
      <c r="AD84" s="142"/>
      <c r="AE84" s="142"/>
      <c r="AF84" s="142"/>
      <c r="AG84" s="142"/>
      <c r="AH84" s="142"/>
      <c r="AI84" s="174"/>
      <c r="AJ84" s="142"/>
      <c r="AK84" s="142"/>
      <c r="AL84" s="142"/>
      <c r="AM84" s="142"/>
      <c r="AN84" s="142"/>
      <c r="AO84" s="142"/>
      <c r="AP84" s="142"/>
      <c r="AQ84" s="142"/>
      <c r="AR84" s="142"/>
      <c r="AS84" s="175"/>
      <c r="AT84" s="142"/>
      <c r="AU84" s="142"/>
      <c r="AV84" s="142"/>
      <c r="AW84" s="142"/>
      <c r="AX84" s="142"/>
      <c r="AY84" s="142"/>
      <c r="AZ84" s="142"/>
      <c r="BA84" s="142"/>
      <c r="BB84" s="142"/>
      <c r="BC84" s="174"/>
      <c r="BD84" s="142"/>
      <c r="BE84" s="142"/>
      <c r="BF84" s="142"/>
      <c r="BG84" s="142"/>
      <c r="BH84" s="142"/>
      <c r="BI84" s="142"/>
      <c r="BJ84" s="142"/>
      <c r="BK84" s="142"/>
      <c r="BL84" s="142"/>
      <c r="BM84" s="174"/>
      <c r="BN84" s="142"/>
      <c r="BO84" s="142"/>
      <c r="BP84" s="142"/>
      <c r="BQ84" s="142"/>
      <c r="BR84" s="142"/>
      <c r="BS84" s="142"/>
      <c r="BT84" s="142"/>
      <c r="BU84" s="142"/>
      <c r="BV84" s="142"/>
      <c r="BW84" s="174"/>
      <c r="BX84" s="142"/>
      <c r="BY84" s="142"/>
      <c r="BZ84" s="142"/>
      <c r="CA84" s="142"/>
      <c r="CB84" s="142"/>
      <c r="CC84" s="142"/>
      <c r="CD84" s="142"/>
      <c r="CE84" s="142"/>
      <c r="CF84" s="142"/>
      <c r="CG84" s="142"/>
      <c r="CH84" s="142"/>
      <c r="CI84" s="142"/>
      <c r="CJ84" s="174"/>
      <c r="CK84" s="142"/>
      <c r="CL84" s="142"/>
      <c r="CM84" s="142"/>
      <c r="CN84" s="174"/>
      <c r="CO84" s="142"/>
      <c r="CP84" s="137"/>
      <c r="CQ84" s="142"/>
      <c r="CR84" s="138"/>
    </row>
    <row r="85" spans="1:96" ht="15.75" thickBot="1" x14ac:dyDescent="0.3">
      <c r="C85" s="4" t="s">
        <v>35</v>
      </c>
      <c r="D85" s="5"/>
      <c r="E85" s="129"/>
      <c r="F85" s="130"/>
      <c r="G85" s="130"/>
      <c r="H85" s="130"/>
      <c r="I85" s="142"/>
      <c r="J85" s="130"/>
      <c r="K85" s="130"/>
      <c r="L85" s="130"/>
      <c r="M85" s="130"/>
      <c r="N85" s="143"/>
      <c r="O85" s="129"/>
      <c r="P85" s="130"/>
      <c r="Q85" s="130"/>
      <c r="R85" s="130"/>
      <c r="S85" s="142"/>
      <c r="T85" s="130"/>
      <c r="U85" s="130"/>
      <c r="V85" s="130"/>
      <c r="W85" s="130"/>
      <c r="X85" s="143"/>
      <c r="Y85" s="129"/>
      <c r="Z85" s="130"/>
      <c r="AA85" s="130"/>
      <c r="AB85" s="130"/>
      <c r="AC85" s="142"/>
      <c r="AD85" s="130"/>
      <c r="AE85" s="130"/>
      <c r="AF85" s="130"/>
      <c r="AG85" s="130"/>
      <c r="AH85" s="143"/>
      <c r="AI85" s="129"/>
      <c r="AJ85" s="130"/>
      <c r="AK85" s="130"/>
      <c r="AL85" s="130"/>
      <c r="AM85" s="142"/>
      <c r="AN85" s="130"/>
      <c r="AO85" s="130"/>
      <c r="AP85" s="130"/>
      <c r="AQ85" s="130"/>
      <c r="AR85" s="143"/>
      <c r="AS85" s="129"/>
      <c r="AT85" s="130"/>
      <c r="AU85" s="130"/>
      <c r="AV85" s="130"/>
      <c r="AW85" s="142"/>
      <c r="AX85" s="130"/>
      <c r="AY85" s="130"/>
      <c r="AZ85" s="130"/>
      <c r="BA85" s="130"/>
      <c r="BB85" s="143"/>
      <c r="BC85" s="129"/>
      <c r="BD85" s="130"/>
      <c r="BE85" s="130"/>
      <c r="BF85" s="130"/>
      <c r="BG85" s="142"/>
      <c r="BH85" s="130"/>
      <c r="BI85" s="130"/>
      <c r="BJ85" s="130"/>
      <c r="BK85" s="130"/>
      <c r="BL85" s="143"/>
      <c r="BM85" s="129"/>
      <c r="BN85" s="130"/>
      <c r="BO85" s="130"/>
      <c r="BP85" s="130"/>
      <c r="BQ85" s="142"/>
      <c r="BR85" s="130"/>
      <c r="BS85" s="130"/>
      <c r="BT85" s="130"/>
      <c r="BU85" s="130"/>
      <c r="BV85" s="143"/>
      <c r="BW85" s="129"/>
      <c r="BX85" s="130"/>
      <c r="BY85" s="130"/>
      <c r="BZ85" s="130"/>
      <c r="CA85" s="130"/>
      <c r="CB85" s="130"/>
      <c r="CC85" s="130"/>
      <c r="CD85" s="142"/>
      <c r="CE85" s="130"/>
      <c r="CF85" s="130"/>
      <c r="CG85" s="130"/>
      <c r="CH85" s="130"/>
      <c r="CI85" s="143"/>
      <c r="CJ85" s="129"/>
      <c r="CK85" s="130"/>
      <c r="CL85" s="130"/>
      <c r="CM85" s="176"/>
      <c r="CN85" s="136"/>
      <c r="CO85" s="136"/>
      <c r="CP85" s="137"/>
      <c r="CQ85" s="138"/>
      <c r="CR85" s="137"/>
    </row>
    <row r="86" spans="1:96" ht="17.25" thickBot="1" x14ac:dyDescent="0.25">
      <c r="A86" s="1">
        <v>42</v>
      </c>
      <c r="C86" s="5" t="s">
        <v>106</v>
      </c>
      <c r="D86" s="8">
        <v>1563</v>
      </c>
      <c r="E86" s="140"/>
      <c r="F86" s="141"/>
      <c r="G86" s="141"/>
      <c r="H86" s="141"/>
      <c r="I86" s="142">
        <f>E86+F86-G86+H86</f>
        <v>0</v>
      </c>
      <c r="J86" s="141"/>
      <c r="K86" s="141"/>
      <c r="L86" s="141"/>
      <c r="M86" s="141"/>
      <c r="N86" s="143">
        <f>J86+K86-L86+M86</f>
        <v>0</v>
      </c>
      <c r="O86" s="144">
        <f>I86</f>
        <v>0</v>
      </c>
      <c r="P86" s="141"/>
      <c r="Q86" s="141"/>
      <c r="R86" s="141"/>
      <c r="S86" s="142">
        <f>O86+P86-Q86+R86</f>
        <v>0</v>
      </c>
      <c r="T86" s="145">
        <f>N86</f>
        <v>0</v>
      </c>
      <c r="U86" s="141"/>
      <c r="V86" s="141"/>
      <c r="W86" s="141"/>
      <c r="X86" s="143">
        <f>T86+U86-V86+W86</f>
        <v>0</v>
      </c>
      <c r="Y86" s="144">
        <f>S86</f>
        <v>0</v>
      </c>
      <c r="Z86" s="141"/>
      <c r="AA86" s="141"/>
      <c r="AB86" s="141"/>
      <c r="AC86" s="142">
        <f>Y86+Z86-AA86+AB86</f>
        <v>0</v>
      </c>
      <c r="AD86" s="145">
        <f>X86</f>
        <v>0</v>
      </c>
      <c r="AE86" s="141"/>
      <c r="AF86" s="141"/>
      <c r="AG86" s="141"/>
      <c r="AH86" s="143">
        <f>AD86+AE86-AF86+AG86</f>
        <v>0</v>
      </c>
      <c r="AI86" s="144">
        <f>AC86</f>
        <v>0</v>
      </c>
      <c r="AJ86" s="141"/>
      <c r="AK86" s="141"/>
      <c r="AL86" s="141"/>
      <c r="AM86" s="142">
        <f>AI86+AJ86-AK86+AL86</f>
        <v>0</v>
      </c>
      <c r="AN86" s="145">
        <f>AH86</f>
        <v>0</v>
      </c>
      <c r="AO86" s="141"/>
      <c r="AP86" s="141"/>
      <c r="AQ86" s="141"/>
      <c r="AR86" s="143">
        <f>AN86+AO86-AP86+AQ86</f>
        <v>0</v>
      </c>
      <c r="AS86" s="144">
        <f>AM86</f>
        <v>0</v>
      </c>
      <c r="AT86" s="141"/>
      <c r="AU86" s="141"/>
      <c r="AV86" s="141"/>
      <c r="AW86" s="142">
        <f>AS86+AT86-AU86+AV86</f>
        <v>0</v>
      </c>
      <c r="AX86" s="145">
        <f>AR86</f>
        <v>0</v>
      </c>
      <c r="AY86" s="141"/>
      <c r="AZ86" s="141"/>
      <c r="BA86" s="141"/>
      <c r="BB86" s="143">
        <f>AX86+AY86-AZ86+BA86</f>
        <v>0</v>
      </c>
      <c r="BC86" s="144">
        <f>AW86</f>
        <v>0</v>
      </c>
      <c r="BD86" s="141"/>
      <c r="BE86" s="141"/>
      <c r="BF86" s="141"/>
      <c r="BG86" s="142">
        <f>BC86+BD86-BE86+SUM(BF86:BF86)</f>
        <v>0</v>
      </c>
      <c r="BH86" s="145">
        <f>BB86</f>
        <v>0</v>
      </c>
      <c r="BI86" s="141"/>
      <c r="BJ86" s="141"/>
      <c r="BK86" s="141"/>
      <c r="BL86" s="143">
        <f>BH86+BI86-BJ86+BK86</f>
        <v>0</v>
      </c>
      <c r="BM86" s="144">
        <f>BG86</f>
        <v>0</v>
      </c>
      <c r="BN86" s="141"/>
      <c r="BO86" s="141"/>
      <c r="BP86" s="141"/>
      <c r="BQ86" s="142">
        <f>BM86+BN86-BO86+SUM(BP86:BP86)</f>
        <v>0</v>
      </c>
      <c r="BR86" s="145">
        <f>BL86</f>
        <v>0</v>
      </c>
      <c r="BS86" s="141"/>
      <c r="BT86" s="141"/>
      <c r="BU86" s="141"/>
      <c r="BV86" s="143">
        <f>BR86+BS86-BT86+BU86</f>
        <v>0</v>
      </c>
      <c r="BW86" s="144">
        <f>BQ86</f>
        <v>0</v>
      </c>
      <c r="BX86" s="141"/>
      <c r="BY86" s="141"/>
      <c r="BZ86" s="141"/>
      <c r="CA86" s="141"/>
      <c r="CB86" s="141"/>
      <c r="CC86" s="141"/>
      <c r="CD86" s="142">
        <f>BW86+BX86-BY86+SUM(BZ86:CC86)</f>
        <v>0</v>
      </c>
      <c r="CE86" s="145">
        <f>BV86</f>
        <v>0</v>
      </c>
      <c r="CF86" s="141"/>
      <c r="CG86" s="141"/>
      <c r="CH86" s="141"/>
      <c r="CI86" s="143">
        <f>CE86+CF86-CG86+CH86</f>
        <v>0</v>
      </c>
      <c r="CJ86" s="140"/>
      <c r="CK86" s="141"/>
      <c r="CL86" s="145">
        <f t="shared" ref="CL86" si="123">CD86-CJ86</f>
        <v>0</v>
      </c>
      <c r="CM86" s="146">
        <f t="shared" ref="CM86" si="124">CI86-CK86</f>
        <v>0</v>
      </c>
      <c r="CN86" s="147"/>
      <c r="CO86" s="141"/>
      <c r="CP86" s="137">
        <f t="shared" si="33"/>
        <v>0</v>
      </c>
      <c r="CQ86" s="148">
        <v>0</v>
      </c>
      <c r="CR86" s="137">
        <f t="shared" si="34"/>
        <v>0</v>
      </c>
    </row>
    <row r="87" spans="1:96" ht="29.25" thickBot="1" x14ac:dyDescent="0.25">
      <c r="A87" s="1">
        <v>43</v>
      </c>
      <c r="C87" s="30" t="s">
        <v>72</v>
      </c>
      <c r="D87" s="31">
        <v>1592</v>
      </c>
      <c r="E87" s="140"/>
      <c r="F87" s="141"/>
      <c r="G87" s="141"/>
      <c r="H87" s="141"/>
      <c r="I87" s="142">
        <f>E87+F87-G87+H87</f>
        <v>0</v>
      </c>
      <c r="J87" s="141"/>
      <c r="K87" s="141"/>
      <c r="L87" s="141"/>
      <c r="M87" s="141"/>
      <c r="N87" s="143">
        <f>J87+K87-L87+M87</f>
        <v>0</v>
      </c>
      <c r="O87" s="144">
        <f>I87</f>
        <v>0</v>
      </c>
      <c r="P87" s="141"/>
      <c r="Q87" s="141"/>
      <c r="R87" s="141"/>
      <c r="S87" s="142">
        <f>O87+P87-Q87+R87</f>
        <v>0</v>
      </c>
      <c r="T87" s="145">
        <f>N87</f>
        <v>0</v>
      </c>
      <c r="U87" s="141"/>
      <c r="V87" s="141"/>
      <c r="W87" s="141"/>
      <c r="X87" s="143">
        <f>T87+U87-V87+W87</f>
        <v>0</v>
      </c>
      <c r="Y87" s="144">
        <f>S87</f>
        <v>0</v>
      </c>
      <c r="Z87" s="141"/>
      <c r="AA87" s="141"/>
      <c r="AB87" s="141"/>
      <c r="AC87" s="142">
        <f>Y87+Z87-AA87+AB87</f>
        <v>0</v>
      </c>
      <c r="AD87" s="145">
        <f>X87</f>
        <v>0</v>
      </c>
      <c r="AE87" s="141"/>
      <c r="AF87" s="141"/>
      <c r="AG87" s="141"/>
      <c r="AH87" s="143">
        <f>AD87+AE87-AF87+AG87</f>
        <v>0</v>
      </c>
      <c r="AI87" s="144">
        <f>AC87</f>
        <v>0</v>
      </c>
      <c r="AJ87" s="141"/>
      <c r="AK87" s="141"/>
      <c r="AL87" s="141"/>
      <c r="AM87" s="142">
        <f>AI87+AJ87-AK87+AL87</f>
        <v>0</v>
      </c>
      <c r="AN87" s="145">
        <f>AH87</f>
        <v>0</v>
      </c>
      <c r="AO87" s="141"/>
      <c r="AP87" s="141"/>
      <c r="AQ87" s="141"/>
      <c r="AR87" s="143">
        <f>AN87+AO87-AP87+AQ87</f>
        <v>0</v>
      </c>
      <c r="AS87" s="144">
        <f>AM87</f>
        <v>0</v>
      </c>
      <c r="AT87" s="141"/>
      <c r="AU87" s="141"/>
      <c r="AV87" s="141"/>
      <c r="AW87" s="142">
        <f>AS87+AT87-AU87+AV87</f>
        <v>0</v>
      </c>
      <c r="AX87" s="145">
        <f>AR87</f>
        <v>0</v>
      </c>
      <c r="AY87" s="141"/>
      <c r="AZ87" s="141"/>
      <c r="BA87" s="141"/>
      <c r="BB87" s="143">
        <f>AX87+AY87-AZ87+BA87</f>
        <v>0</v>
      </c>
      <c r="BC87" s="144">
        <f>AW87</f>
        <v>0</v>
      </c>
      <c r="BD87" s="141">
        <f>-BD67</f>
        <v>2274.8152000000005</v>
      </c>
      <c r="BE87" s="141"/>
      <c r="BF87" s="141"/>
      <c r="BG87" s="142">
        <f>BC87+BD87-BE87+SUM(BF87:BF87)</f>
        <v>2274.8152000000005</v>
      </c>
      <c r="BH87" s="145">
        <f>BB87</f>
        <v>0</v>
      </c>
      <c r="BI87" s="141">
        <f>-BI67</f>
        <v>9.0708256100000035</v>
      </c>
      <c r="BJ87" s="141"/>
      <c r="BK87" s="141"/>
      <c r="BL87" s="143">
        <f>BH87+BI87-BJ87+BK87</f>
        <v>9.0708256100000035</v>
      </c>
      <c r="BM87" s="144">
        <f>BG87</f>
        <v>2274.8152000000005</v>
      </c>
      <c r="BN87" s="141">
        <f>-BN67</f>
        <v>11788.03886666666</v>
      </c>
      <c r="BO87" s="141"/>
      <c r="BP87" s="141"/>
      <c r="BQ87" s="142">
        <f>BM87+BN87-BO87+SUM(BP87:BP87)</f>
        <v>14062.854066666661</v>
      </c>
      <c r="BR87" s="145">
        <f>BL87</f>
        <v>9.0708256100000035</v>
      </c>
      <c r="BS87" s="141">
        <f>-BS67</f>
        <v>120.08186910999996</v>
      </c>
      <c r="BT87" s="141"/>
      <c r="BU87" s="141"/>
      <c r="BV87" s="143">
        <f>BR87+BS87-BT87+BU87</f>
        <v>129.15269471999997</v>
      </c>
      <c r="BW87" s="144">
        <f>BQ87</f>
        <v>14062.854066666661</v>
      </c>
      <c r="BX87" s="141">
        <f>-BX67</f>
        <v>9574.9919874999978</v>
      </c>
      <c r="BY87" s="141"/>
      <c r="BZ87" s="141"/>
      <c r="CA87" s="141"/>
      <c r="CB87" s="141">
        <f>-CB67</f>
        <v>10818.232746062269</v>
      </c>
      <c r="CC87" s="141">
        <f>-CC67</f>
        <v>8291.6846947802187</v>
      </c>
      <c r="CD87" s="142">
        <f>BW87+BX87-BY87+SUM(BZ87:CC87)</f>
        <v>42747.763495009145</v>
      </c>
      <c r="CE87" s="145">
        <f>BV87</f>
        <v>129.15269471999997</v>
      </c>
      <c r="CF87" s="141">
        <f t="shared" ref="CF87:CG87" si="125">-CF67</f>
        <v>277.10014588812493</v>
      </c>
      <c r="CG87" s="141">
        <f t="shared" si="125"/>
        <v>0</v>
      </c>
      <c r="CH87" s="141">
        <f>-CH67</f>
        <v>0</v>
      </c>
      <c r="CI87" s="143">
        <f>CE87+CF87-CG87+CH87</f>
        <v>406.25284060812487</v>
      </c>
      <c r="CJ87" s="140"/>
      <c r="CK87" s="141"/>
      <c r="CL87" s="145">
        <f t="shared" ref="CL87" si="126">CD87-CJ87</f>
        <v>42747.763495009145</v>
      </c>
      <c r="CM87" s="146">
        <f t="shared" ref="CM87" si="127">CI87-CK87</f>
        <v>406.25284060812487</v>
      </c>
      <c r="CN87" s="147">
        <f t="shared" ref="CN87:CO87" si="128">-CN67</f>
        <v>426.99034767980754</v>
      </c>
      <c r="CO87" s="141">
        <f t="shared" si="128"/>
        <v>141.86206021749996</v>
      </c>
      <c r="CP87" s="137">
        <f t="shared" si="33"/>
        <v>43722.868743514577</v>
      </c>
      <c r="CQ87" s="148">
        <f>-CQ67</f>
        <v>193186.12</v>
      </c>
      <c r="CR87" s="137">
        <f t="shared" si="34"/>
        <v>150032.10366438271</v>
      </c>
    </row>
    <row r="88" spans="1:96" ht="17.25" thickBot="1" x14ac:dyDescent="0.25">
      <c r="A88" s="1">
        <v>44</v>
      </c>
      <c r="C88" s="5" t="s">
        <v>108</v>
      </c>
      <c r="D88" s="8">
        <v>1595</v>
      </c>
      <c r="E88" s="177"/>
      <c r="F88" s="178"/>
      <c r="G88" s="178"/>
      <c r="H88" s="178"/>
      <c r="I88" s="179">
        <f>E88+F88-G88+H88</f>
        <v>0</v>
      </c>
      <c r="J88" s="178"/>
      <c r="K88" s="178"/>
      <c r="L88" s="178"/>
      <c r="M88" s="178"/>
      <c r="N88" s="180">
        <f>J88+K88-L88+M88</f>
        <v>0</v>
      </c>
      <c r="O88" s="181">
        <f>I88</f>
        <v>0</v>
      </c>
      <c r="P88" s="178"/>
      <c r="Q88" s="178"/>
      <c r="R88" s="178"/>
      <c r="S88" s="179">
        <f>O88+P88-Q88+R88</f>
        <v>0</v>
      </c>
      <c r="T88" s="182">
        <f>N88</f>
        <v>0</v>
      </c>
      <c r="U88" s="178"/>
      <c r="V88" s="178"/>
      <c r="W88" s="178"/>
      <c r="X88" s="183">
        <f>T88+U88-V88+W88</f>
        <v>0</v>
      </c>
      <c r="Y88" s="181">
        <f>S88</f>
        <v>0</v>
      </c>
      <c r="Z88" s="178"/>
      <c r="AA88" s="178"/>
      <c r="AB88" s="178"/>
      <c r="AC88" s="183">
        <f>Y88+Z88-AA88+AB88</f>
        <v>0</v>
      </c>
      <c r="AD88" s="182">
        <f>X88</f>
        <v>0</v>
      </c>
      <c r="AE88" s="178"/>
      <c r="AF88" s="178"/>
      <c r="AG88" s="178"/>
      <c r="AH88" s="183">
        <f>AD88+AE88-AF88+AG88</f>
        <v>0</v>
      </c>
      <c r="AI88" s="181">
        <f>AC88</f>
        <v>0</v>
      </c>
      <c r="AJ88" s="178"/>
      <c r="AK88" s="178"/>
      <c r="AL88" s="178"/>
      <c r="AM88" s="182">
        <f>AI88+AJ88-AK88+AL88</f>
        <v>0</v>
      </c>
      <c r="AN88" s="182">
        <f>AH88</f>
        <v>0</v>
      </c>
      <c r="AO88" s="178"/>
      <c r="AP88" s="178"/>
      <c r="AQ88" s="178"/>
      <c r="AR88" s="183">
        <f>AN88+AO88-AP88+AQ88</f>
        <v>0</v>
      </c>
      <c r="AS88" s="181">
        <f>AM88</f>
        <v>0</v>
      </c>
      <c r="AT88" s="178"/>
      <c r="AU88" s="178"/>
      <c r="AV88" s="178"/>
      <c r="AW88" s="184">
        <f>AS88+AT88-AU88+AV88</f>
        <v>0</v>
      </c>
      <c r="AX88" s="185">
        <f>AR88</f>
        <v>0</v>
      </c>
      <c r="AY88" s="178"/>
      <c r="AZ88" s="178"/>
      <c r="BA88" s="178"/>
      <c r="BB88" s="183">
        <f>AX88+AY88-AZ88+BA88</f>
        <v>0</v>
      </c>
      <c r="BC88" s="181">
        <f>AW88</f>
        <v>0</v>
      </c>
      <c r="BD88" s="178">
        <v>66925.77</v>
      </c>
      <c r="BE88" s="178"/>
      <c r="BF88" s="178"/>
      <c r="BG88" s="179">
        <f>BC88+BD88-BE88+SUM(BF88:BF88)</f>
        <v>66925.77</v>
      </c>
      <c r="BH88" s="182">
        <f>BB88</f>
        <v>0</v>
      </c>
      <c r="BI88" s="178">
        <v>17325.060000000001</v>
      </c>
      <c r="BJ88" s="178"/>
      <c r="BK88" s="178"/>
      <c r="BL88" s="180">
        <f>BH88+BI88-BJ88+BK88</f>
        <v>17325.060000000001</v>
      </c>
      <c r="BM88" s="181">
        <f>BG88</f>
        <v>66925.77</v>
      </c>
      <c r="BN88" s="178">
        <v>-30875.13</v>
      </c>
      <c r="BO88" s="178"/>
      <c r="BP88" s="178"/>
      <c r="BQ88" s="179">
        <f>BM88+BN88-BO88+SUM(BP88:BP88)</f>
        <v>36050.639999999999</v>
      </c>
      <c r="BR88" s="182">
        <f>BL88</f>
        <v>17325.060000000001</v>
      </c>
      <c r="BS88" s="178">
        <v>776.72</v>
      </c>
      <c r="BT88" s="178"/>
      <c r="BU88" s="178"/>
      <c r="BV88" s="180">
        <f>BR88+BS88-BT88+BU88</f>
        <v>18101.780000000002</v>
      </c>
      <c r="BW88" s="181">
        <f>BQ88</f>
        <v>36050.639999999999</v>
      </c>
      <c r="BX88" s="178">
        <f>-2992.87-183266.7+17615.23+13529.12-31065.54</f>
        <v>-186180.76</v>
      </c>
      <c r="BY88" s="178"/>
      <c r="BZ88" s="178"/>
      <c r="CA88" s="178"/>
      <c r="CB88" s="178"/>
      <c r="CC88" s="178"/>
      <c r="CD88" s="179">
        <f>BW88+BX88-BY88+SUM(BZ88:CC88)</f>
        <v>-150130.12</v>
      </c>
      <c r="CE88" s="182">
        <f>BV88</f>
        <v>18101.780000000002</v>
      </c>
      <c r="CF88" s="178">
        <f>168.86-25.65-27873-733.57+48.48+324.57</f>
        <v>-28090.31</v>
      </c>
      <c r="CG88" s="178"/>
      <c r="CH88" s="178"/>
      <c r="CI88" s="180">
        <f>CE88+CF88-CG88+CH88</f>
        <v>-9988.5299999999988</v>
      </c>
      <c r="CJ88" s="186"/>
      <c r="CK88" s="187"/>
      <c r="CL88" s="145">
        <f t="shared" ref="CL88" si="129">CD88-CJ88</f>
        <v>-150130.12</v>
      </c>
      <c r="CM88" s="146">
        <f t="shared" ref="CM88" si="130">CI88-CK88</f>
        <v>-9988.5299999999988</v>
      </c>
      <c r="CN88" s="188">
        <f t="shared" ref="CN88" si="131">1.47%*CL88</f>
        <v>-2206.9127639999997</v>
      </c>
      <c r="CO88" s="178">
        <f>1.47%*CL88*4/12</f>
        <v>-735.63758799999994</v>
      </c>
      <c r="CP88" s="189">
        <f t="shared" si="33"/>
        <v>-163061.20035200001</v>
      </c>
      <c r="CQ88" s="190">
        <v>-160118.65</v>
      </c>
      <c r="CR88" s="191">
        <f t="shared" si="34"/>
        <v>0</v>
      </c>
    </row>
    <row r="91" spans="1:96" ht="30.75" customHeight="1" x14ac:dyDescent="0.2">
      <c r="B91" s="2"/>
      <c r="C91" s="267" t="s">
        <v>79</v>
      </c>
      <c r="D91" s="267"/>
      <c r="E91" s="267"/>
      <c r="F91" s="267"/>
      <c r="G91" s="267"/>
      <c r="H91" s="267"/>
    </row>
    <row r="92" spans="1:96" ht="16.5" x14ac:dyDescent="0.2">
      <c r="B92" s="18">
        <v>1</v>
      </c>
      <c r="C92" s="19" t="s">
        <v>56</v>
      </c>
      <c r="E92" s="192"/>
      <c r="F92" s="193"/>
      <c r="G92" s="193"/>
      <c r="H92" s="142"/>
      <c r="I92" s="193"/>
      <c r="J92" s="193"/>
      <c r="K92" s="142"/>
      <c r="L92" s="142"/>
      <c r="M92" s="142"/>
      <c r="N92" s="142"/>
      <c r="O92" s="194"/>
      <c r="P92" s="194"/>
      <c r="Q92" s="194"/>
      <c r="R92" s="194"/>
      <c r="V92" s="142"/>
      <c r="W92" s="142"/>
      <c r="AF92" s="142"/>
      <c r="AG92" s="142"/>
      <c r="AP92" s="142"/>
      <c r="AQ92" s="142"/>
      <c r="AZ92" s="142"/>
      <c r="BA92" s="142"/>
      <c r="BJ92" s="142"/>
      <c r="BK92" s="142"/>
      <c r="BT92" s="142"/>
      <c r="BU92" s="142"/>
      <c r="CG92" s="142"/>
      <c r="CH92" s="142"/>
      <c r="CJ92" s="142"/>
      <c r="CK92" s="142"/>
      <c r="CL92" s="142"/>
      <c r="CM92" s="142"/>
    </row>
    <row r="93" spans="1:96" ht="16.5" x14ac:dyDescent="0.2">
      <c r="B93" s="20" t="s">
        <v>90</v>
      </c>
      <c r="C93" s="19" t="s">
        <v>69</v>
      </c>
      <c r="E93" s="192"/>
      <c r="F93" s="193"/>
      <c r="G93" s="193"/>
      <c r="H93" s="142"/>
      <c r="I93" s="193"/>
      <c r="J93" s="193"/>
      <c r="K93" s="142"/>
      <c r="L93" s="142"/>
      <c r="M93" s="142"/>
      <c r="N93" s="142"/>
      <c r="O93" s="194"/>
      <c r="P93" s="194"/>
      <c r="Q93" s="194"/>
      <c r="R93" s="194"/>
      <c r="V93" s="142"/>
      <c r="W93" s="142"/>
      <c r="AF93" s="142"/>
      <c r="AG93" s="142"/>
      <c r="AP93" s="142"/>
      <c r="AQ93" s="142"/>
      <c r="AZ93" s="142"/>
      <c r="BA93" s="142"/>
      <c r="BJ93" s="142"/>
      <c r="BK93" s="142"/>
      <c r="BT93" s="142"/>
      <c r="BU93" s="142"/>
      <c r="CG93" s="142"/>
      <c r="CH93" s="142"/>
      <c r="CJ93" s="142"/>
      <c r="CK93" s="142"/>
      <c r="CL93" s="142"/>
      <c r="CM93" s="142"/>
      <c r="CR93" s="195"/>
    </row>
    <row r="94" spans="1:96" ht="16.5" x14ac:dyDescent="0.2">
      <c r="B94" s="18">
        <v>2</v>
      </c>
      <c r="C94" s="1" t="s">
        <v>58</v>
      </c>
      <c r="E94" s="192"/>
      <c r="F94" s="193"/>
      <c r="G94" s="193"/>
      <c r="H94" s="142"/>
      <c r="I94" s="193"/>
      <c r="J94" s="193"/>
      <c r="K94" s="142"/>
      <c r="L94" s="142"/>
      <c r="M94" s="142"/>
      <c r="N94" s="142"/>
      <c r="O94" s="194"/>
      <c r="P94" s="194"/>
      <c r="Q94" s="194"/>
      <c r="R94" s="194"/>
      <c r="V94" s="142"/>
      <c r="W94" s="142"/>
      <c r="AF94" s="142"/>
      <c r="AG94" s="142"/>
      <c r="AP94" s="142"/>
      <c r="AQ94" s="142"/>
      <c r="AZ94" s="142"/>
      <c r="BA94" s="142"/>
      <c r="BJ94" s="142"/>
      <c r="BK94" s="142"/>
      <c r="BT94" s="142"/>
      <c r="BU94" s="142"/>
      <c r="CG94" s="142"/>
      <c r="CH94" s="142"/>
      <c r="CJ94" s="142"/>
      <c r="CK94" s="142"/>
      <c r="CL94" s="142"/>
      <c r="CM94" s="142"/>
    </row>
    <row r="95" spans="1:96" ht="16.5" x14ac:dyDescent="0.2">
      <c r="B95" s="18">
        <v>3</v>
      </c>
      <c r="C95" s="19" t="s">
        <v>57</v>
      </c>
      <c r="E95" s="192"/>
      <c r="F95" s="193"/>
      <c r="G95" s="193"/>
      <c r="H95" s="142"/>
      <c r="I95" s="193"/>
      <c r="J95" s="193"/>
      <c r="K95" s="142"/>
      <c r="L95" s="142"/>
      <c r="M95" s="142"/>
      <c r="N95" s="142"/>
      <c r="O95" s="194"/>
      <c r="P95" s="194"/>
      <c r="Q95" s="194"/>
      <c r="R95" s="194"/>
      <c r="V95" s="142"/>
      <c r="W95" s="142"/>
      <c r="AF95" s="142"/>
      <c r="AG95" s="142"/>
      <c r="AP95" s="142"/>
      <c r="AQ95" s="142"/>
      <c r="AZ95" s="142"/>
      <c r="BA95" s="142"/>
      <c r="BJ95" s="142"/>
      <c r="BK95" s="142"/>
      <c r="BT95" s="142"/>
      <c r="BU95" s="142"/>
      <c r="CG95" s="142"/>
      <c r="CH95" s="142"/>
      <c r="CJ95" s="142"/>
      <c r="CK95" s="142"/>
      <c r="CL95" s="142"/>
      <c r="CM95" s="142"/>
    </row>
    <row r="96" spans="1:96" ht="16.5" x14ac:dyDescent="0.2">
      <c r="B96" s="18">
        <v>4</v>
      </c>
      <c r="C96" s="19" t="s">
        <v>20</v>
      </c>
      <c r="E96" s="193"/>
      <c r="F96" s="193"/>
      <c r="G96" s="193"/>
      <c r="H96" s="142"/>
      <c r="I96" s="193"/>
      <c r="J96" s="193"/>
      <c r="K96" s="142"/>
      <c r="L96" s="142"/>
      <c r="M96" s="142"/>
      <c r="N96" s="142"/>
      <c r="O96" s="194"/>
      <c r="P96" s="194"/>
      <c r="Q96" s="194"/>
      <c r="R96" s="194"/>
      <c r="V96" s="142"/>
      <c r="W96" s="142"/>
      <c r="AF96" s="142"/>
      <c r="AG96" s="142"/>
      <c r="AP96" s="142"/>
      <c r="AQ96" s="142"/>
      <c r="AZ96" s="142"/>
      <c r="BA96" s="142"/>
      <c r="BJ96" s="142"/>
      <c r="BK96" s="142"/>
      <c r="BT96" s="142"/>
      <c r="BU96" s="142"/>
      <c r="CG96" s="142"/>
      <c r="CH96" s="142"/>
      <c r="CJ96" s="142"/>
      <c r="CK96" s="142"/>
      <c r="CL96" s="142"/>
      <c r="CM96" s="142"/>
    </row>
    <row r="97" spans="2:91" ht="16.5" x14ac:dyDescent="0.2">
      <c r="B97" s="18">
        <v>5</v>
      </c>
      <c r="C97" s="19" t="s">
        <v>21</v>
      </c>
      <c r="E97" s="193"/>
      <c r="F97" s="193"/>
      <c r="G97" s="193"/>
      <c r="H97" s="142"/>
      <c r="I97" s="193"/>
      <c r="J97" s="193"/>
      <c r="K97" s="142"/>
      <c r="L97" s="142"/>
      <c r="M97" s="142"/>
      <c r="N97" s="142"/>
      <c r="O97" s="196"/>
      <c r="P97" s="196"/>
      <c r="Q97" s="196"/>
      <c r="R97" s="196"/>
      <c r="V97" s="142"/>
      <c r="W97" s="142"/>
      <c r="AF97" s="142"/>
      <c r="AG97" s="142"/>
      <c r="AP97" s="142"/>
      <c r="AQ97" s="142"/>
      <c r="AZ97" s="142"/>
      <c r="BA97" s="142"/>
      <c r="BJ97" s="142"/>
      <c r="BK97" s="142"/>
      <c r="BT97" s="142"/>
      <c r="BU97" s="142"/>
      <c r="CG97" s="142"/>
      <c r="CH97" s="142"/>
      <c r="CJ97" s="142"/>
      <c r="CK97" s="142"/>
      <c r="CL97" s="142"/>
      <c r="CM97" s="142"/>
    </row>
    <row r="98" spans="2:91" ht="16.5" customHeight="1" x14ac:dyDescent="0.2">
      <c r="B98" s="18">
        <v>6</v>
      </c>
      <c r="C98" s="260" t="s">
        <v>115</v>
      </c>
      <c r="D98" s="260"/>
      <c r="E98" s="260"/>
      <c r="F98" s="260"/>
      <c r="G98" s="260"/>
      <c r="H98" s="260"/>
      <c r="I98" s="193"/>
      <c r="J98" s="193"/>
      <c r="K98" s="142"/>
      <c r="L98" s="142"/>
      <c r="M98" s="142"/>
      <c r="N98" s="142"/>
      <c r="O98" s="197"/>
      <c r="P98" s="197"/>
      <c r="Q98" s="197"/>
      <c r="R98" s="197"/>
      <c r="V98" s="142"/>
      <c r="W98" s="142"/>
      <c r="AF98" s="142"/>
      <c r="AG98" s="142"/>
      <c r="AP98" s="142"/>
      <c r="AQ98" s="142"/>
      <c r="AZ98" s="142"/>
      <c r="BA98" s="142"/>
      <c r="BJ98" s="142"/>
      <c r="BK98" s="142"/>
      <c r="BT98" s="142"/>
      <c r="BU98" s="142"/>
      <c r="CG98" s="142"/>
      <c r="CH98" s="142"/>
      <c r="CJ98" s="142"/>
      <c r="CK98" s="142"/>
      <c r="CL98" s="142"/>
      <c r="CM98" s="142"/>
    </row>
    <row r="99" spans="2:91" ht="19.5" customHeight="1" x14ac:dyDescent="0.2">
      <c r="B99" s="18"/>
      <c r="C99" s="260"/>
      <c r="D99" s="260"/>
      <c r="E99" s="260"/>
      <c r="F99" s="260"/>
      <c r="G99" s="260"/>
      <c r="H99" s="260"/>
      <c r="I99" s="193"/>
      <c r="J99" s="193"/>
      <c r="K99" s="142"/>
      <c r="L99" s="142"/>
      <c r="M99" s="142"/>
      <c r="N99" s="142"/>
      <c r="O99" s="197"/>
      <c r="P99" s="197"/>
      <c r="Q99" s="197"/>
      <c r="R99" s="197"/>
      <c r="V99" s="142"/>
      <c r="W99" s="142"/>
      <c r="AF99" s="142"/>
      <c r="AG99" s="142"/>
      <c r="AP99" s="142"/>
      <c r="AQ99" s="142"/>
      <c r="AZ99" s="142"/>
      <c r="BA99" s="142"/>
      <c r="BJ99" s="142"/>
      <c r="BK99" s="142"/>
      <c r="BT99" s="142"/>
      <c r="BU99" s="142"/>
      <c r="CG99" s="142"/>
      <c r="CH99" s="142"/>
      <c r="CJ99" s="142"/>
      <c r="CK99" s="142"/>
      <c r="CL99" s="142"/>
      <c r="CM99" s="142"/>
    </row>
    <row r="100" spans="2:91" ht="3.75" customHeight="1" x14ac:dyDescent="0.2">
      <c r="B100" s="18"/>
      <c r="C100" s="260"/>
      <c r="D100" s="260"/>
      <c r="E100" s="260"/>
      <c r="F100" s="260"/>
      <c r="G100" s="260"/>
      <c r="H100" s="260"/>
      <c r="I100" s="193"/>
      <c r="J100" s="193"/>
      <c r="K100" s="142"/>
      <c r="L100" s="142"/>
      <c r="M100" s="142"/>
      <c r="N100" s="142"/>
      <c r="O100" s="197"/>
      <c r="P100" s="197"/>
      <c r="Q100" s="197"/>
      <c r="R100" s="197"/>
      <c r="V100" s="142"/>
      <c r="W100" s="142"/>
      <c r="AF100" s="142"/>
      <c r="AG100" s="142"/>
      <c r="AP100" s="142"/>
      <c r="AQ100" s="142"/>
      <c r="AZ100" s="142"/>
      <c r="BA100" s="142"/>
      <c r="BJ100" s="142"/>
      <c r="BK100" s="142"/>
      <c r="BT100" s="142"/>
      <c r="BU100" s="142"/>
      <c r="CG100" s="142"/>
      <c r="CH100" s="142"/>
      <c r="CJ100" s="142"/>
      <c r="CK100" s="142"/>
      <c r="CL100" s="142"/>
      <c r="CM100" s="142"/>
    </row>
    <row r="101" spans="2:91" ht="16.5" x14ac:dyDescent="0.2">
      <c r="B101" s="18">
        <v>7</v>
      </c>
      <c r="C101" s="122" t="s">
        <v>172</v>
      </c>
      <c r="E101" s="193"/>
      <c r="F101" s="193"/>
      <c r="G101" s="193"/>
      <c r="H101" s="142"/>
      <c r="I101" s="193"/>
      <c r="J101" s="193"/>
      <c r="K101" s="142"/>
      <c r="L101" s="142"/>
      <c r="M101" s="142"/>
      <c r="N101" s="142"/>
      <c r="O101" s="197"/>
      <c r="P101" s="197"/>
      <c r="Q101" s="197"/>
      <c r="R101" s="197"/>
      <c r="V101" s="142"/>
      <c r="W101" s="142"/>
      <c r="AF101" s="142"/>
      <c r="AG101" s="142"/>
      <c r="AP101" s="142"/>
      <c r="AQ101" s="142"/>
      <c r="AZ101" s="142"/>
      <c r="BA101" s="142"/>
      <c r="BJ101" s="142"/>
      <c r="BK101" s="142"/>
      <c r="BT101" s="142"/>
      <c r="BU101" s="142"/>
      <c r="CG101" s="142"/>
      <c r="CH101" s="142"/>
      <c r="CJ101" s="142"/>
      <c r="CK101" s="142"/>
      <c r="CL101" s="142"/>
      <c r="CM101" s="142"/>
    </row>
    <row r="102" spans="2:91" ht="16.5" x14ac:dyDescent="0.2">
      <c r="B102" s="18"/>
      <c r="C102" s="19" t="s">
        <v>116</v>
      </c>
      <c r="E102" s="193"/>
      <c r="F102" s="193"/>
      <c r="G102" s="193"/>
      <c r="H102" s="142"/>
      <c r="I102" s="193"/>
      <c r="J102" s="193"/>
      <c r="K102" s="142"/>
      <c r="L102" s="142"/>
      <c r="M102" s="142"/>
      <c r="N102" s="142"/>
      <c r="O102" s="194"/>
      <c r="P102" s="194"/>
      <c r="Q102" s="194"/>
      <c r="R102" s="194"/>
      <c r="V102" s="142"/>
      <c r="W102" s="142"/>
      <c r="AF102" s="142"/>
      <c r="AG102" s="142"/>
      <c r="AP102" s="142"/>
      <c r="AQ102" s="142"/>
      <c r="AZ102" s="142"/>
      <c r="BA102" s="142"/>
      <c r="BJ102" s="142"/>
      <c r="BK102" s="142"/>
      <c r="BT102" s="142"/>
      <c r="BU102" s="142"/>
      <c r="CG102" s="142"/>
      <c r="CH102" s="142"/>
      <c r="CJ102" s="142"/>
      <c r="CK102" s="142"/>
      <c r="CL102" s="142"/>
      <c r="CM102" s="142"/>
    </row>
    <row r="103" spans="2:91" ht="16.5" x14ac:dyDescent="0.2">
      <c r="B103" s="18">
        <v>8</v>
      </c>
      <c r="C103" s="19" t="s">
        <v>87</v>
      </c>
    </row>
    <row r="104" spans="2:91" x14ac:dyDescent="0.2">
      <c r="C104" s="19" t="s">
        <v>117</v>
      </c>
    </row>
    <row r="105" spans="2:91" ht="14.25" x14ac:dyDescent="0.2">
      <c r="C105" s="19" t="s">
        <v>88</v>
      </c>
      <c r="D105" s="8"/>
    </row>
    <row r="106" spans="2:91" ht="40.5" customHeight="1" x14ac:dyDescent="0.2">
      <c r="B106" s="124">
        <v>9</v>
      </c>
      <c r="C106" s="258" t="s">
        <v>208</v>
      </c>
      <c r="D106" s="259"/>
      <c r="E106" s="259"/>
      <c r="F106" s="259"/>
      <c r="G106" s="259"/>
      <c r="H106" s="259"/>
      <c r="I106" s="259"/>
      <c r="J106" s="259"/>
    </row>
    <row r="107" spans="2:91" ht="16.5" x14ac:dyDescent="0.2">
      <c r="B107" s="18">
        <v>10</v>
      </c>
      <c r="C107" s="19" t="s">
        <v>112</v>
      </c>
    </row>
    <row r="108" spans="2:91" x14ac:dyDescent="0.2">
      <c r="C108" s="19" t="s">
        <v>113</v>
      </c>
    </row>
  </sheetData>
  <sheetProtection password="F8BD" sheet="1" objects="1" scenarios="1"/>
  <mergeCells count="107">
    <mergeCell ref="E19:N19"/>
    <mergeCell ref="AJ20:AJ22"/>
    <mergeCell ref="BC19:BL19"/>
    <mergeCell ref="E20:E22"/>
    <mergeCell ref="O19:X19"/>
    <mergeCell ref="I20:I22"/>
    <mergeCell ref="T20:T22"/>
    <mergeCell ref="U20:U22"/>
    <mergeCell ref="M20:M22"/>
    <mergeCell ref="V20:V22"/>
    <mergeCell ref="S20:S22"/>
    <mergeCell ref="O20:O22"/>
    <mergeCell ref="N20:N22"/>
    <mergeCell ref="L20:L22"/>
    <mergeCell ref="X20:X22"/>
    <mergeCell ref="Y20:Y22"/>
    <mergeCell ref="Z20:Z22"/>
    <mergeCell ref="W20:W22"/>
    <mergeCell ref="P20:P22"/>
    <mergeCell ref="Q20:Q22"/>
    <mergeCell ref="R20:R22"/>
    <mergeCell ref="C106:J106"/>
    <mergeCell ref="BM19:BV19"/>
    <mergeCell ref="BM20:BM22"/>
    <mergeCell ref="BN20:BN22"/>
    <mergeCell ref="BO20:BO22"/>
    <mergeCell ref="BP20:BP22"/>
    <mergeCell ref="BQ20:BQ22"/>
    <mergeCell ref="BR20:BR22"/>
    <mergeCell ref="C98:H100"/>
    <mergeCell ref="C20:C22"/>
    <mergeCell ref="D20:D22"/>
    <mergeCell ref="BA20:BA22"/>
    <mergeCell ref="AW20:AW22"/>
    <mergeCell ref="F20:F22"/>
    <mergeCell ref="G20:G22"/>
    <mergeCell ref="J20:J22"/>
    <mergeCell ref="K20:K22"/>
    <mergeCell ref="C91:H91"/>
    <mergeCell ref="H20:H22"/>
    <mergeCell ref="Y19:AH19"/>
    <mergeCell ref="AI19:AR19"/>
    <mergeCell ref="BT20:BT22"/>
    <mergeCell ref="BU20:BU22"/>
    <mergeCell ref="BK20:BK22"/>
    <mergeCell ref="CQ20:CQ22"/>
    <mergeCell ref="CR20:CR22"/>
    <mergeCell ref="CN19:CP19"/>
    <mergeCell ref="CP20:CP22"/>
    <mergeCell ref="CO20:CO22"/>
    <mergeCell ref="CN20:CN22"/>
    <mergeCell ref="AH20:AH22"/>
    <mergeCell ref="AN20:AN22"/>
    <mergeCell ref="CK20:CK22"/>
    <mergeCell ref="CJ19:CM19"/>
    <mergeCell ref="CL20:CL22"/>
    <mergeCell ref="BB20:BB22"/>
    <mergeCell ref="AZ20:AZ22"/>
    <mergeCell ref="AS19:BB19"/>
    <mergeCell ref="AS20:AS22"/>
    <mergeCell ref="AT20:AT22"/>
    <mergeCell ref="BW19:CI19"/>
    <mergeCell ref="BW20:BW22"/>
    <mergeCell ref="BX20:BX22"/>
    <mergeCell ref="BY20:BY22"/>
    <mergeCell ref="BZ20:BZ22"/>
    <mergeCell ref="CA20:CA22"/>
    <mergeCell ref="CB20:CB22"/>
    <mergeCell ref="CC20:CC22"/>
    <mergeCell ref="CD20:CD22"/>
    <mergeCell ref="CE20:CE22"/>
    <mergeCell ref="BF20:BF22"/>
    <mergeCell ref="BG20:BG22"/>
    <mergeCell ref="AM20:AM22"/>
    <mergeCell ref="BH20:BH22"/>
    <mergeCell ref="AA20:AA22"/>
    <mergeCell ref="AB20:AB22"/>
    <mergeCell ref="AF20:AF22"/>
    <mergeCell ref="AC20:AC22"/>
    <mergeCell ref="AE20:AE22"/>
    <mergeCell ref="AI20:AI22"/>
    <mergeCell ref="AG20:AG22"/>
    <mergeCell ref="AD20:AD22"/>
    <mergeCell ref="CM20:CM22"/>
    <mergeCell ref="AK20:AK22"/>
    <mergeCell ref="CJ20:CJ22"/>
    <mergeCell ref="BV20:BV22"/>
    <mergeCell ref="BI20:BI22"/>
    <mergeCell ref="BS20:BS22"/>
    <mergeCell ref="BL20:BL22"/>
    <mergeCell ref="BJ20:BJ22"/>
    <mergeCell ref="BC20:BC22"/>
    <mergeCell ref="BD20:BD22"/>
    <mergeCell ref="BE20:BE22"/>
    <mergeCell ref="CI20:CI22"/>
    <mergeCell ref="CF20:CF22"/>
    <mergeCell ref="CG20:CG22"/>
    <mergeCell ref="CH20:CH22"/>
    <mergeCell ref="AL20:AL22"/>
    <mergeCell ref="AO20:AO22"/>
    <mergeCell ref="AR20:AR22"/>
    <mergeCell ref="AY20:AY22"/>
    <mergeCell ref="AX20:AX22"/>
    <mergeCell ref="AU20:AU22"/>
    <mergeCell ref="AV20:AV22"/>
    <mergeCell ref="AP20:AP22"/>
    <mergeCell ref="AQ20:AQ22"/>
  </mergeCells>
  <phoneticPr fontId="13" type="noConversion"/>
  <pageMargins left="0.36" right="0.41" top="0.64" bottom="0.98425196850393704" header="0.32" footer="0.511811023622047"/>
  <pageSetup scale="42" orientation="landscape" r:id="rId1"/>
  <headerFooter alignWithMargins="0">
    <oddHeader>&amp;L&amp;Z&amp;F&amp;A</oddHeader>
    <oddFooter>&amp;L&amp;D&amp;T</oddFooter>
  </headerFooter>
  <colBreaks count="6" manualBreakCount="6">
    <brk id="14" max="1048575" man="1"/>
    <brk id="24" max="1048575" man="1"/>
    <brk id="34" max="1048575" man="1"/>
    <brk id="44" max="1048575" man="1"/>
    <brk id="54" max="1048575" man="1"/>
    <brk id="6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6:F70"/>
  <sheetViews>
    <sheetView topLeftCell="B28" workbookViewId="0">
      <selection activeCell="D79" sqref="D79"/>
    </sheetView>
  </sheetViews>
  <sheetFormatPr defaultRowHeight="12.75" x14ac:dyDescent="0.2"/>
  <cols>
    <col min="1" max="1" width="6" style="1" customWidth="1"/>
    <col min="2" max="2" width="15" style="1" customWidth="1"/>
    <col min="3" max="3" width="86.42578125" style="1" customWidth="1"/>
    <col min="4" max="4" width="9.140625" style="1"/>
    <col min="5" max="5" width="20" style="1" customWidth="1"/>
    <col min="6" max="6" width="102.140625" style="1" customWidth="1"/>
    <col min="7" max="16384" width="9.140625" style="1"/>
  </cols>
  <sheetData>
    <row r="16" spans="2:5" ht="30" customHeight="1" x14ac:dyDescent="0.2">
      <c r="B16" s="274" t="s">
        <v>167</v>
      </c>
      <c r="C16" s="274"/>
      <c r="D16" s="274"/>
      <c r="E16" s="274"/>
    </row>
    <row r="18" spans="1:6" ht="38.25" customHeight="1" thickBot="1" x14ac:dyDescent="0.25">
      <c r="B18"/>
      <c r="C18"/>
      <c r="D18"/>
    </row>
    <row r="19" spans="1:6" ht="29.25" thickBot="1" x14ac:dyDescent="0.5">
      <c r="C19" s="26"/>
      <c r="D19" s="23"/>
      <c r="E19" s="24"/>
      <c r="F19" s="23"/>
    </row>
    <row r="20" spans="1:6" ht="14.25" customHeight="1" x14ac:dyDescent="0.2">
      <c r="C20" s="271" t="s">
        <v>40</v>
      </c>
      <c r="D20" s="265" t="s">
        <v>0</v>
      </c>
      <c r="E20" s="268" t="s">
        <v>193</v>
      </c>
      <c r="F20" s="264" t="s">
        <v>50</v>
      </c>
    </row>
    <row r="21" spans="1:6" ht="24.75" customHeight="1" x14ac:dyDescent="0.2">
      <c r="C21" s="272"/>
      <c r="D21" s="265"/>
      <c r="E21" s="269"/>
      <c r="F21" s="265"/>
    </row>
    <row r="22" spans="1:6" ht="36.75" customHeight="1" thickBot="1" x14ac:dyDescent="0.25">
      <c r="B22" s="21"/>
      <c r="C22" s="273"/>
      <c r="D22" s="266"/>
      <c r="E22" s="270"/>
      <c r="F22" s="266"/>
    </row>
    <row r="23" spans="1:6" ht="33.75" customHeight="1" x14ac:dyDescent="0.2">
      <c r="C23" s="29" t="s">
        <v>60</v>
      </c>
      <c r="D23" s="22"/>
      <c r="E23" s="25"/>
      <c r="F23" s="7"/>
    </row>
    <row r="24" spans="1:6" ht="30.75" hidden="1" customHeight="1" x14ac:dyDescent="0.2">
      <c r="A24" s="1">
        <v>1</v>
      </c>
      <c r="C24" s="35" t="s">
        <v>62</v>
      </c>
      <c r="D24" s="34">
        <v>1550</v>
      </c>
      <c r="E24" s="27">
        <f>IF(ISERROR(VLOOKUP($A24, '2. 2013 Continuity Schedule'!$A$20:$CR$90, MATCH('3. Appendix A'!$E$20, '2. 2013 Continuity Schedule'!$A$20:$CR$20,0),FALSE)), 0, VLOOKUP($A24, '2. 2013 Continuity Schedule'!$A$20:$CR$90, MATCH('3. Appendix A'!$E$20, '2. 2013 Continuity Schedule'!$A$20:$CR$20,0),FALSE))</f>
        <v>0</v>
      </c>
      <c r="F24" s="32"/>
    </row>
    <row r="25" spans="1:6" ht="30.75" hidden="1" customHeight="1" x14ac:dyDescent="0.2">
      <c r="A25" s="1">
        <v>2</v>
      </c>
      <c r="C25" s="35" t="s">
        <v>1</v>
      </c>
      <c r="D25" s="34">
        <v>1580</v>
      </c>
      <c r="E25" s="27">
        <f>IF(ISERROR(VLOOKUP($A25, '2. 2013 Continuity Schedule'!$A$20:$CR$90, MATCH('3. Appendix A'!$E$20, '2. 2013 Continuity Schedule'!$A$20:$CR$20,0),FALSE)), 0, VLOOKUP($A25, '2. 2013 Continuity Schedule'!$A$20:$CR$90, MATCH('3. Appendix A'!$E$20, '2. 2013 Continuity Schedule'!$A$20:$CR$20,0),FALSE))</f>
        <v>0</v>
      </c>
      <c r="F25" s="32"/>
    </row>
    <row r="26" spans="1:6" ht="30.75" hidden="1" customHeight="1" x14ac:dyDescent="0.2">
      <c r="A26" s="1">
        <v>3</v>
      </c>
      <c r="C26" s="35" t="s">
        <v>2</v>
      </c>
      <c r="D26" s="34">
        <v>1584</v>
      </c>
      <c r="E26" s="27">
        <f>IF(ISERROR(VLOOKUP($A26, '2. 2013 Continuity Schedule'!$A$20:$CR$90, MATCH('3. Appendix A'!$E$20, '2. 2013 Continuity Schedule'!$A$20:$CR$20,0),FALSE)), 0, VLOOKUP($A26, '2. 2013 Continuity Schedule'!$A$20:$CR$90, MATCH('3. Appendix A'!$E$20, '2. 2013 Continuity Schedule'!$A$20:$CR$20,0),FALSE))</f>
        <v>0</v>
      </c>
      <c r="F26" s="32"/>
    </row>
    <row r="27" spans="1:6" ht="30.75" hidden="1" customHeight="1" x14ac:dyDescent="0.2">
      <c r="A27" s="1">
        <v>4</v>
      </c>
      <c r="C27" s="35" t="s">
        <v>3</v>
      </c>
      <c r="D27" s="34">
        <v>1586</v>
      </c>
      <c r="E27" s="27">
        <f>IF(ISERROR(VLOOKUP($A27, '2. 2013 Continuity Schedule'!$A$20:$CR$90, MATCH('3. Appendix A'!$E$20, '2. 2013 Continuity Schedule'!$A$20:$CR$20,0),FALSE)), 0, VLOOKUP($A27, '2. 2013 Continuity Schedule'!$A$20:$CR$90, MATCH('3. Appendix A'!$E$20, '2. 2013 Continuity Schedule'!$A$20:$CR$20,0),FALSE))</f>
        <v>0</v>
      </c>
      <c r="F27" s="32"/>
    </row>
    <row r="28" spans="1:6" ht="30.75" customHeight="1" x14ac:dyDescent="0.2">
      <c r="A28" s="1">
        <v>5</v>
      </c>
      <c r="C28" s="35" t="s">
        <v>114</v>
      </c>
      <c r="D28" s="34">
        <v>1588</v>
      </c>
      <c r="E28" s="27">
        <f>IF(ISERROR(VLOOKUP($A28, '2. 2013 Continuity Schedule'!$A$20:$CR$90, MATCH('3. Appendix A'!$E$20, '2. 2013 Continuity Schedule'!$A$20:$CR$20,0),FALSE)), 0, VLOOKUP($A28, '2. 2013 Continuity Schedule'!$A$20:$CR$90, MATCH('3. Appendix A'!$E$20, '2. 2013 Continuity Schedule'!$A$20:$CR$20,0),FALSE))</f>
        <v>4625.0500000005959</v>
      </c>
      <c r="F28" s="213" t="s">
        <v>320</v>
      </c>
    </row>
    <row r="29" spans="1:6" ht="30.75" hidden="1" customHeight="1" x14ac:dyDescent="0.2">
      <c r="A29" s="1">
        <v>6</v>
      </c>
      <c r="C29" s="35" t="s">
        <v>168</v>
      </c>
      <c r="D29" s="34">
        <v>1589</v>
      </c>
      <c r="E29" s="27">
        <f>IF(ISERROR(VLOOKUP($A29, '2. 2013 Continuity Schedule'!$A$20:$CR$90, MATCH('3. Appendix A'!$E$20, '2. 2013 Continuity Schedule'!$A$20:$CR$20,0),FALSE)), 0, VLOOKUP($A29, '2. 2013 Continuity Schedule'!$A$20:$CR$90, MATCH('3. Appendix A'!$E$20, '2. 2013 Continuity Schedule'!$A$20:$CR$20,0),FALSE))</f>
        <v>0</v>
      </c>
      <c r="F29" s="32"/>
    </row>
    <row r="30" spans="1:6" ht="30.75" hidden="1" customHeight="1" x14ac:dyDescent="0.2">
      <c r="A30" s="1">
        <v>7</v>
      </c>
      <c r="C30" s="35" t="s">
        <v>19</v>
      </c>
      <c r="D30" s="34">
        <v>1590</v>
      </c>
      <c r="E30" s="27">
        <f>IF(ISERROR(VLOOKUP($A30, '2. 2013 Continuity Schedule'!$A$20:$CR$90, MATCH('3. Appendix A'!$E$20, '2. 2013 Continuity Schedule'!$A$20:$CR$20,0),FALSE)), 0, VLOOKUP($A30, '2. 2013 Continuity Schedule'!$A$20:$CR$90, MATCH('3. Appendix A'!$E$20, '2. 2013 Continuity Schedule'!$A$20:$CR$20,0),FALSE))</f>
        <v>0</v>
      </c>
      <c r="F30" s="32"/>
    </row>
    <row r="31" spans="1:6" ht="30.75" hidden="1" customHeight="1" x14ac:dyDescent="0.2">
      <c r="A31" s="1">
        <v>8</v>
      </c>
      <c r="C31" s="37" t="s">
        <v>109</v>
      </c>
      <c r="D31" s="34">
        <v>1595</v>
      </c>
      <c r="E31" s="27">
        <f>IF(ISERROR(VLOOKUP($A31, '2. 2013 Continuity Schedule'!$A$20:$CR$90, MATCH('3. Appendix A'!$E$20, '2. 2013 Continuity Schedule'!$A$20:$CR$20,0),FALSE)), 0, VLOOKUP($A31, '2. 2013 Continuity Schedule'!$A$20:$CR$90, MATCH('3. Appendix A'!$E$20, '2. 2013 Continuity Schedule'!$A$20:$CR$20,0),FALSE))</f>
        <v>0</v>
      </c>
      <c r="F31" s="32"/>
    </row>
    <row r="32" spans="1:6" ht="30.75" hidden="1" customHeight="1" x14ac:dyDescent="0.2">
      <c r="A32" s="1">
        <v>9</v>
      </c>
      <c r="C32" s="37" t="s">
        <v>110</v>
      </c>
      <c r="D32" s="34">
        <v>1595</v>
      </c>
      <c r="E32" s="27">
        <f>IF(ISERROR(VLOOKUP($A32, '2. 2013 Continuity Schedule'!$A$20:$CR$90, MATCH('3. Appendix A'!$E$20, '2. 2013 Continuity Schedule'!$A$20:$CR$20,0),FALSE)), 0, VLOOKUP($A32, '2. 2013 Continuity Schedule'!$A$20:$CR$90, MATCH('3. Appendix A'!$E$20, '2. 2013 Continuity Schedule'!$A$20:$CR$20,0),FALSE))</f>
        <v>0</v>
      </c>
      <c r="F32" s="32"/>
    </row>
    <row r="33" spans="1:6" ht="30.75" hidden="1" customHeight="1" x14ac:dyDescent="0.2">
      <c r="A33" s="1">
        <v>9</v>
      </c>
      <c r="C33" s="37" t="s">
        <v>111</v>
      </c>
      <c r="D33" s="34">
        <v>1595</v>
      </c>
      <c r="E33" s="27">
        <f>IF(ISERROR(VLOOKUP($A33, '2. 2013 Continuity Schedule'!$A$20:$CR$90, MATCH('3. Appendix A'!$E$20, '2. 2013 Continuity Schedule'!$A$20:$CR$20,0),FALSE)), 0, VLOOKUP($A33, '2. 2013 Continuity Schedule'!$A$20:$CR$90, MATCH('3. Appendix A'!$E$20, '2. 2013 Continuity Schedule'!$A$20:$CR$20,0),FALSE))</f>
        <v>0</v>
      </c>
      <c r="F33" s="32"/>
    </row>
    <row r="34" spans="1:6" ht="30.75" hidden="1" customHeight="1" x14ac:dyDescent="0.2">
      <c r="A34" s="1">
        <v>10</v>
      </c>
      <c r="C34" s="37" t="s">
        <v>171</v>
      </c>
      <c r="D34" s="34">
        <v>1595</v>
      </c>
      <c r="E34" s="27">
        <f>IF(ISERROR(VLOOKUP($A34, '2. 2013 Continuity Schedule'!$A$20:$CR$90, MATCH('3. Appendix A'!$E$20, '2. 2013 Continuity Schedule'!$A$20:$CR$20,0),FALSE)), 0, VLOOKUP($A34, '2. 2013 Continuity Schedule'!$A$20:$CR$90, MATCH('3. Appendix A'!$E$20, '2. 2013 Continuity Schedule'!$A$20:$CR$20,0),FALSE))</f>
        <v>0</v>
      </c>
      <c r="F34" s="123"/>
    </row>
    <row r="35" spans="1:6" ht="30.75" customHeight="1" x14ac:dyDescent="0.2">
      <c r="C35" s="29" t="s">
        <v>61</v>
      </c>
      <c r="D35" s="28"/>
      <c r="E35" s="27"/>
      <c r="F35" s="39"/>
    </row>
    <row r="36" spans="1:6" ht="30.75" hidden="1" customHeight="1" x14ac:dyDescent="0.2">
      <c r="A36" s="1">
        <v>11</v>
      </c>
      <c r="C36" s="35" t="s">
        <v>14</v>
      </c>
      <c r="D36" s="34">
        <v>1508</v>
      </c>
      <c r="E36" s="27">
        <f>IF(ISERROR(VLOOKUP($A36, '2. 2013 Continuity Schedule'!$A$20:$CR$90, MATCH('3. Appendix A'!$E$20, '2. 2013 Continuity Schedule'!$A$20:$CR$20,0),FALSE)), 0, VLOOKUP($A36, '2. 2013 Continuity Schedule'!$A$20:$CR$90, MATCH('3. Appendix A'!$E$20, '2. 2013 Continuity Schedule'!$A$20:$CR$20,0),FALSE))</f>
        <v>0</v>
      </c>
      <c r="F36" s="32"/>
    </row>
    <row r="37" spans="1:6" ht="30.75" hidden="1" customHeight="1" x14ac:dyDescent="0.2">
      <c r="A37" s="1">
        <v>12</v>
      </c>
      <c r="C37" s="35" t="s">
        <v>15</v>
      </c>
      <c r="D37" s="34">
        <v>1508</v>
      </c>
      <c r="E37" s="27">
        <f>IF(ISERROR(VLOOKUP($A37, '2. 2013 Continuity Schedule'!$A$20:$CR$90, MATCH('3. Appendix A'!$E$20, '2. 2013 Continuity Schedule'!$A$20:$CR$20,0),FALSE)), 0, VLOOKUP($A37, '2. 2013 Continuity Schedule'!$A$20:$CR$90, MATCH('3. Appendix A'!$E$20, '2. 2013 Continuity Schedule'!$A$20:$CR$20,0),FALSE))</f>
        <v>0</v>
      </c>
      <c r="F37" s="32"/>
    </row>
    <row r="38" spans="1:6" ht="30.75" customHeight="1" x14ac:dyDescent="0.2">
      <c r="A38" s="1">
        <v>13</v>
      </c>
      <c r="C38" s="35" t="s">
        <v>67</v>
      </c>
      <c r="D38" s="34">
        <v>1508</v>
      </c>
      <c r="E38" s="27">
        <f>IF(ISERROR(VLOOKUP($A38, '2. 2013 Continuity Schedule'!$A$20:$CR$90, MATCH('3. Appendix A'!$E$20, '2. 2013 Continuity Schedule'!$A$20:$CR$20,0),FALSE)), 0, VLOOKUP($A38, '2. 2013 Continuity Schedule'!$A$20:$CR$90, MATCH('3. Appendix A'!$E$20, '2. 2013 Continuity Schedule'!$A$20:$CR$20,0),FALSE))</f>
        <v>74200.33</v>
      </c>
      <c r="F38" s="213" t="s">
        <v>303</v>
      </c>
    </row>
    <row r="39" spans="1:6" ht="30.75" hidden="1" customHeight="1" x14ac:dyDescent="0.2">
      <c r="A39" s="1">
        <v>14</v>
      </c>
      <c r="C39" s="35" t="s">
        <v>68</v>
      </c>
      <c r="D39" s="34">
        <v>1508</v>
      </c>
      <c r="E39" s="27">
        <f>IF(ISERROR(VLOOKUP($A39, '2. 2013 Continuity Schedule'!$A$20:$CR$90, MATCH('3. Appendix A'!$E$20, '2. 2013 Continuity Schedule'!$A$20:$CR$20,0),FALSE)), 0, VLOOKUP($A39, '2. 2013 Continuity Schedule'!$A$20:$CR$90, MATCH('3. Appendix A'!$E$20, '2. 2013 Continuity Schedule'!$A$20:$CR$20,0),FALSE))</f>
        <v>0</v>
      </c>
      <c r="F39" s="32"/>
    </row>
    <row r="40" spans="1:6" ht="30.75" hidden="1" customHeight="1" x14ac:dyDescent="0.2">
      <c r="A40" s="1">
        <v>15</v>
      </c>
      <c r="C40" s="36" t="s">
        <v>107</v>
      </c>
      <c r="D40" s="34">
        <v>1508</v>
      </c>
      <c r="E40" s="27">
        <f>IF(ISERROR(VLOOKUP($A40, '2. 2013 Continuity Schedule'!$A$20:$CR$90, MATCH('3. Appendix A'!$E$20, '2. 2013 Continuity Schedule'!$A$20:$CR$20,0),FALSE)), 0, VLOOKUP($A40, '2. 2013 Continuity Schedule'!$A$20:$CR$90, MATCH('3. Appendix A'!$E$20, '2. 2013 Continuity Schedule'!$A$20:$CR$20,0),FALSE))</f>
        <v>0</v>
      </c>
      <c r="F40" s="213" t="s">
        <v>316</v>
      </c>
    </row>
    <row r="41" spans="1:6" ht="30.75" hidden="1" customHeight="1" x14ac:dyDescent="0.2">
      <c r="A41" s="1">
        <v>16</v>
      </c>
      <c r="C41" s="36" t="s">
        <v>86</v>
      </c>
      <c r="D41" s="34">
        <v>1508</v>
      </c>
      <c r="E41" s="27">
        <f>IF(ISERROR(VLOOKUP($A41, '2. 2013 Continuity Schedule'!$A$20:$CR$90, MATCH('3. Appendix A'!$E$20, '2. 2013 Continuity Schedule'!$A$20:$CR$20,0),FALSE)), 0, VLOOKUP($A41, '2. 2013 Continuity Schedule'!$A$20:$CR$90, MATCH('3. Appendix A'!$E$20, '2. 2013 Continuity Schedule'!$A$20:$CR$20,0),FALSE))</f>
        <v>0</v>
      </c>
      <c r="F41" s="32"/>
    </row>
    <row r="42" spans="1:6" ht="30.75" hidden="1" customHeight="1" x14ac:dyDescent="0.2">
      <c r="A42" s="1">
        <v>17</v>
      </c>
      <c r="C42" s="35" t="s">
        <v>105</v>
      </c>
      <c r="D42" s="34">
        <v>1508</v>
      </c>
      <c r="E42" s="27">
        <f>IF(ISERROR(VLOOKUP($A42, '2. 2013 Continuity Schedule'!$A$20:$CR$90, MATCH('3. Appendix A'!$E$20, '2. 2013 Continuity Schedule'!$A$20:$CR$20,0),FALSE)), 0, VLOOKUP($A42, '2. 2013 Continuity Schedule'!$A$20:$CR$90, MATCH('3. Appendix A'!$E$20, '2. 2013 Continuity Schedule'!$A$20:$CR$20,0),FALSE))</f>
        <v>0</v>
      </c>
      <c r="F42" s="32"/>
    </row>
    <row r="43" spans="1:6" ht="30.75" hidden="1" customHeight="1" x14ac:dyDescent="0.2">
      <c r="A43" s="1">
        <v>18</v>
      </c>
      <c r="C43" s="35" t="s">
        <v>4</v>
      </c>
      <c r="D43" s="34">
        <v>1518</v>
      </c>
      <c r="E43" s="27">
        <f>IF(ISERROR(VLOOKUP($A43, '2. 2013 Continuity Schedule'!$A$20:$CR$90, MATCH('3. Appendix A'!$E$20, '2. 2013 Continuity Schedule'!$A$20:$CR$20,0),FALSE)), 0, VLOOKUP($A43, '2. 2013 Continuity Schedule'!$A$20:$CR$90, MATCH('3. Appendix A'!$E$20, '2. 2013 Continuity Schedule'!$A$20:$CR$20,0),FALSE))</f>
        <v>0</v>
      </c>
      <c r="F43" s="32"/>
    </row>
    <row r="44" spans="1:6" ht="30.75" hidden="1" customHeight="1" x14ac:dyDescent="0.2">
      <c r="A44" s="1">
        <v>19</v>
      </c>
      <c r="C44" s="35" t="s">
        <v>17</v>
      </c>
      <c r="D44" s="34">
        <v>1525</v>
      </c>
      <c r="E44" s="27">
        <f>IF(ISERROR(VLOOKUP($A44, '2. 2013 Continuity Schedule'!$A$20:$CR$90, MATCH('3. Appendix A'!$E$20, '2. 2013 Continuity Schedule'!$A$20:$CR$20,0),FALSE)), 0, VLOOKUP($A44, '2. 2013 Continuity Schedule'!$A$20:$CR$90, MATCH('3. Appendix A'!$E$20, '2. 2013 Continuity Schedule'!$A$20:$CR$20,0),FALSE))</f>
        <v>0</v>
      </c>
      <c r="F44" s="32"/>
    </row>
    <row r="45" spans="1:6" ht="30.75" customHeight="1" x14ac:dyDescent="0.2">
      <c r="A45" s="1">
        <v>20</v>
      </c>
      <c r="C45" s="35" t="s">
        <v>64</v>
      </c>
      <c r="D45" s="34">
        <v>1531</v>
      </c>
      <c r="E45" s="27">
        <f>IF(ISERROR(VLOOKUP($A45, '2. 2013 Continuity Schedule'!$A$20:$CR$90, MATCH('3. Appendix A'!$E$20, '2. 2013 Continuity Schedule'!$A$20:$CR$20,0),FALSE)), 0, VLOOKUP($A45, '2. 2013 Continuity Schedule'!$A$20:$CR$90, MATCH('3. Appendix A'!$E$20, '2. 2013 Continuity Schedule'!$A$20:$CR$20,0),FALSE))</f>
        <v>15545.94</v>
      </c>
      <c r="F45" s="213" t="s">
        <v>304</v>
      </c>
    </row>
    <row r="46" spans="1:6" ht="30.75" customHeight="1" x14ac:dyDescent="0.2">
      <c r="A46" s="1">
        <v>21</v>
      </c>
      <c r="C46" s="35" t="s">
        <v>65</v>
      </c>
      <c r="D46" s="34">
        <v>1532</v>
      </c>
      <c r="E46" s="27">
        <f>IF(ISERROR(VLOOKUP($A46, '2. 2013 Continuity Schedule'!$A$20:$CR$90, MATCH('3. Appendix A'!$E$20, '2. 2013 Continuity Schedule'!$A$20:$CR$20,0),FALSE)), 0, VLOOKUP($A46, '2. 2013 Continuity Schedule'!$A$20:$CR$90, MATCH('3. Appendix A'!$E$20, '2. 2013 Continuity Schedule'!$A$20:$CR$20,0),FALSE))</f>
        <v>-11236.758505000002</v>
      </c>
      <c r="F46" s="213" t="s">
        <v>305</v>
      </c>
    </row>
    <row r="47" spans="1:6" ht="30.75" hidden="1" customHeight="1" x14ac:dyDescent="0.2">
      <c r="A47" s="1">
        <v>22</v>
      </c>
      <c r="C47" s="35" t="s">
        <v>41</v>
      </c>
      <c r="D47" s="34">
        <v>1533</v>
      </c>
      <c r="E47" s="27">
        <f>IF(ISERROR(VLOOKUP($A47, '2. 2013 Continuity Schedule'!$A$20:$CR$90, MATCH('3. Appendix A'!$E$20, '2. 2013 Continuity Schedule'!$A$20:$CR$20,0),FALSE)), 0, VLOOKUP($A47, '2. 2013 Continuity Schedule'!$A$20:$CR$90, MATCH('3. Appendix A'!$E$20, '2. 2013 Continuity Schedule'!$A$20:$CR$20,0),FALSE))</f>
        <v>0</v>
      </c>
      <c r="F47" s="32"/>
    </row>
    <row r="48" spans="1:6" ht="30.75" customHeight="1" x14ac:dyDescent="0.2">
      <c r="A48" s="1">
        <v>23</v>
      </c>
      <c r="C48" s="35" t="s">
        <v>32</v>
      </c>
      <c r="D48" s="34">
        <v>1534</v>
      </c>
      <c r="E48" s="27">
        <f>IF(ISERROR(VLOOKUP($A48, '2. 2013 Continuity Schedule'!$A$20:$CR$90, MATCH('3. Appendix A'!$E$20, '2. 2013 Continuity Schedule'!$A$20:$CR$20,0),FALSE)), 0, VLOOKUP($A48, '2. 2013 Continuity Schedule'!$A$20:$CR$90, MATCH('3. Appendix A'!$E$20, '2. 2013 Continuity Schedule'!$A$20:$CR$20,0),FALSE))</f>
        <v>282194.196</v>
      </c>
      <c r="F48" s="213" t="s">
        <v>315</v>
      </c>
    </row>
    <row r="49" spans="1:6" ht="30.75" customHeight="1" x14ac:dyDescent="0.2">
      <c r="A49" s="1">
        <v>24</v>
      </c>
      <c r="C49" s="35" t="s">
        <v>33</v>
      </c>
      <c r="D49" s="34">
        <v>1535</v>
      </c>
      <c r="E49" s="27">
        <f>IF(ISERROR(VLOOKUP($A49, '2. 2013 Continuity Schedule'!$A$20:$CR$90, MATCH('3. Appendix A'!$E$20, '2. 2013 Continuity Schedule'!$A$20:$CR$20,0),FALSE)), 0, VLOOKUP($A49, '2. 2013 Continuity Schedule'!$A$20:$CR$90, MATCH('3. Appendix A'!$E$20, '2. 2013 Continuity Schedule'!$A$20:$CR$20,0),FALSE))</f>
        <v>-44242.035999999993</v>
      </c>
      <c r="F49" s="213" t="s">
        <v>302</v>
      </c>
    </row>
    <row r="50" spans="1:6" ht="30.75" hidden="1" customHeight="1" x14ac:dyDescent="0.2">
      <c r="A50" s="1">
        <v>25</v>
      </c>
      <c r="C50" s="35" t="s">
        <v>39</v>
      </c>
      <c r="D50" s="34">
        <v>1536</v>
      </c>
      <c r="E50" s="27">
        <f>IF(ISERROR(VLOOKUP($A50, '2. 2013 Continuity Schedule'!$A$20:$CR$90, MATCH('3. Appendix A'!$E$20, '2. 2013 Continuity Schedule'!$A$20:$CR$20,0),FALSE)), 0, VLOOKUP($A50, '2. 2013 Continuity Schedule'!$A$20:$CR$90, MATCH('3. Appendix A'!$E$20, '2. 2013 Continuity Schedule'!$A$20:$CR$20,0),FALSE))</f>
        <v>0</v>
      </c>
      <c r="F50" s="32"/>
    </row>
    <row r="51" spans="1:6" ht="30.75" hidden="1" customHeight="1" x14ac:dyDescent="0.2">
      <c r="A51" s="1">
        <v>26</v>
      </c>
      <c r="C51" s="35" t="s">
        <v>5</v>
      </c>
      <c r="D51" s="34">
        <v>1548</v>
      </c>
      <c r="E51" s="27">
        <f>IF(ISERROR(VLOOKUP($A51, '2. 2013 Continuity Schedule'!$A$20:$CR$90, MATCH('3. Appendix A'!$E$20, '2. 2013 Continuity Schedule'!$A$20:$CR$20,0),FALSE)), 0, VLOOKUP($A51, '2. 2013 Continuity Schedule'!$A$20:$CR$90, MATCH('3. Appendix A'!$E$20, '2. 2013 Continuity Schedule'!$A$20:$CR$20,0),FALSE))</f>
        <v>0</v>
      </c>
      <c r="F51" s="32"/>
    </row>
    <row r="52" spans="1:6" ht="30.75" hidden="1" customHeight="1" x14ac:dyDescent="0.2">
      <c r="A52" s="1">
        <v>27</v>
      </c>
      <c r="C52" s="35" t="s">
        <v>66</v>
      </c>
      <c r="D52" s="34">
        <v>1567</v>
      </c>
      <c r="E52" s="27">
        <f>IF(ISERROR(VLOOKUP($A52, '2. 2013 Continuity Schedule'!$A$20:$CR$90, MATCH('3. Appendix A'!$E$20, '2. 2013 Continuity Schedule'!$A$20:$CR$20,0),FALSE)), 0, VLOOKUP($A52, '2. 2013 Continuity Schedule'!$A$20:$CR$90, MATCH('3. Appendix A'!$E$20, '2. 2013 Continuity Schedule'!$A$20:$CR$20,0),FALSE))</f>
        <v>0</v>
      </c>
      <c r="F52" s="32"/>
    </row>
    <row r="53" spans="1:6" ht="30.75" customHeight="1" x14ac:dyDescent="0.2">
      <c r="A53" s="1">
        <v>28</v>
      </c>
      <c r="C53" s="35" t="s">
        <v>18</v>
      </c>
      <c r="D53" s="34">
        <v>1572</v>
      </c>
      <c r="E53" s="27">
        <f>IF(ISERROR(VLOOKUP($A53, '2. 2013 Continuity Schedule'!$A$20:$CR$90, MATCH('3. Appendix A'!$E$20, '2. 2013 Continuity Schedule'!$A$20:$CR$20,0),FALSE)), 0, VLOOKUP($A53, '2. 2013 Continuity Schedule'!$A$20:$CR$90, MATCH('3. Appendix A'!$E$20, '2. 2013 Continuity Schedule'!$A$20:$CR$20,0),FALSE))</f>
        <v>-55839.203947250004</v>
      </c>
      <c r="F53" s="213" t="s">
        <v>321</v>
      </c>
    </row>
    <row r="54" spans="1:6" ht="30.75" hidden="1" customHeight="1" x14ac:dyDescent="0.2">
      <c r="A54" s="1">
        <v>29</v>
      </c>
      <c r="C54" s="35" t="s">
        <v>6</v>
      </c>
      <c r="D54" s="34">
        <v>1574</v>
      </c>
      <c r="E54" s="27">
        <f>IF(ISERROR(VLOOKUP($A54, '2. 2013 Continuity Schedule'!$A$20:$CR$90, MATCH('3. Appendix A'!$E$20, '2. 2013 Continuity Schedule'!$A$20:$CR$20,0),FALSE)), 0, VLOOKUP($A54, '2. 2013 Continuity Schedule'!$A$20:$CR$90, MATCH('3. Appendix A'!$E$20, '2. 2013 Continuity Schedule'!$A$20:$CR$20,0),FALSE))</f>
        <v>0</v>
      </c>
      <c r="F54" s="32"/>
    </row>
    <row r="55" spans="1:6" ht="30.75" hidden="1" customHeight="1" x14ac:dyDescent="0.2">
      <c r="A55" s="1">
        <v>30</v>
      </c>
      <c r="C55" s="35" t="s">
        <v>63</v>
      </c>
      <c r="D55" s="34">
        <v>1582</v>
      </c>
      <c r="E55" s="27">
        <f>IF(ISERROR(VLOOKUP($A55, '2. 2013 Continuity Schedule'!$A$20:$CR$90, MATCH('3. Appendix A'!$E$20, '2. 2013 Continuity Schedule'!$A$20:$CR$20,0),FALSE)), 0, VLOOKUP($A55, '2. 2013 Continuity Schedule'!$A$20:$CR$90, MATCH('3. Appendix A'!$E$20, '2. 2013 Continuity Schedule'!$A$20:$CR$20,0),FALSE))</f>
        <v>0</v>
      </c>
      <c r="F55" s="32"/>
    </row>
    <row r="56" spans="1:6" ht="30.75" hidden="1" customHeight="1" x14ac:dyDescent="0.2">
      <c r="A56" s="1">
        <v>31</v>
      </c>
      <c r="C56" s="35" t="s">
        <v>7</v>
      </c>
      <c r="D56" s="31">
        <v>2425</v>
      </c>
      <c r="E56" s="27">
        <f>IF(ISERROR(VLOOKUP($A56, '2. 2013 Continuity Schedule'!$A$20:$CR$90, MATCH('3. Appendix A'!$E$20, '2. 2013 Continuity Schedule'!$A$20:$CR$20,0),FALSE)), 0, VLOOKUP($A56, '2. 2013 Continuity Schedule'!$A$20:$CR$90, MATCH('3. Appendix A'!$E$20, '2. 2013 Continuity Schedule'!$A$20:$CR$20,0),FALSE))</f>
        <v>0</v>
      </c>
      <c r="F56" s="32"/>
    </row>
    <row r="57" spans="1:6" ht="30.75" hidden="1" customHeight="1" x14ac:dyDescent="0.2">
      <c r="A57" s="1">
        <v>32</v>
      </c>
      <c r="B57" s="7"/>
      <c r="C57" s="205" t="s">
        <v>16</v>
      </c>
      <c r="D57" s="34">
        <v>1562</v>
      </c>
      <c r="E57" s="27">
        <f>IF(ISERROR(VLOOKUP($A57, '2. 2013 Continuity Schedule'!$A$20:$CR$90, MATCH('3. Appendix A'!$E$20, '2. 2013 Continuity Schedule'!$A$20:$CR$20,0),FALSE)), 0, VLOOKUP($A57, '2. 2013 Continuity Schedule'!$A$20:$CR$90, MATCH('3. Appendix A'!$E$20, '2. 2013 Continuity Schedule'!$A$20:$CR$20,0),FALSE))</f>
        <v>0</v>
      </c>
      <c r="F57" s="32"/>
    </row>
    <row r="58" spans="1:6" ht="30.75" hidden="1" customHeight="1" x14ac:dyDescent="0.2">
      <c r="A58" s="1">
        <v>33</v>
      </c>
      <c r="B58" s="7"/>
      <c r="C58" s="206" t="s">
        <v>71</v>
      </c>
      <c r="D58" s="31">
        <v>1592</v>
      </c>
      <c r="E58" s="27">
        <f>IF(ISERROR(VLOOKUP($A58, '2. 2013 Continuity Schedule'!$A$20:$CR$90, MATCH('3. Appendix A'!$E$20, '2. 2013 Continuity Schedule'!$A$20:$CR$20,0),FALSE)), 0, VLOOKUP($A58, '2. 2013 Continuity Schedule'!$A$20:$CR$90, MATCH('3. Appendix A'!$E$20, '2. 2013 Continuity Schedule'!$A$20:$CR$20,0),FALSE))</f>
        <v>0</v>
      </c>
      <c r="F58" s="32"/>
    </row>
    <row r="59" spans="1:6" ht="30.75" customHeight="1" x14ac:dyDescent="0.2">
      <c r="A59" s="1">
        <v>34</v>
      </c>
      <c r="B59" s="7"/>
      <c r="C59" s="206" t="s">
        <v>70</v>
      </c>
      <c r="D59" s="31">
        <v>1592</v>
      </c>
      <c r="E59" s="27">
        <f>IF(ISERROR(VLOOKUP($A59, '2. 2013 Continuity Schedule'!$A$20:$CR$90, MATCH('3. Appendix A'!$E$20, '2. 2013 Continuity Schedule'!$A$20:$CR$20,0),FALSE)), 0, VLOOKUP($A59, '2. 2013 Continuity Schedule'!$A$20:$CR$90, MATCH('3. Appendix A'!$E$20, '2. 2013 Continuity Schedule'!$A$20:$CR$20,0),FALSE))</f>
        <v>-150032.10366438271</v>
      </c>
      <c r="F59" s="213" t="s">
        <v>319</v>
      </c>
    </row>
    <row r="60" spans="1:6" ht="30.75" customHeight="1" x14ac:dyDescent="0.2">
      <c r="A60" s="1">
        <v>35</v>
      </c>
      <c r="B60" s="7"/>
      <c r="C60" s="206" t="s">
        <v>138</v>
      </c>
      <c r="D60" s="31">
        <v>1568</v>
      </c>
      <c r="E60" s="27">
        <f>IF(ISERROR(VLOOKUP($A60, '2. 2013 Continuity Schedule'!$A$20:$CR$90, MATCH('3. Appendix A'!$E$20, '2. 2013 Continuity Schedule'!$A$20:$CR$20,0),FALSE)), 0, VLOOKUP($A60, '2. 2013 Continuity Schedule'!$A$20:$CR$90, MATCH('3. Appendix A'!$E$20, '2. 2013 Continuity Schedule'!$A$20:$CR$20,0),FALSE))</f>
        <v>-4398.8733391233327</v>
      </c>
      <c r="F60" s="213" t="s">
        <v>322</v>
      </c>
    </row>
    <row r="61" spans="1:6" ht="30.75" hidden="1" customHeight="1" x14ac:dyDescent="0.2">
      <c r="A61" s="1">
        <v>36</v>
      </c>
      <c r="B61" s="7"/>
      <c r="C61" s="6" t="s">
        <v>196</v>
      </c>
      <c r="D61" s="8">
        <v>1555</v>
      </c>
      <c r="E61" s="27">
        <f>IF(ISERROR(VLOOKUP($A61, '2. 2013 Continuity Schedule'!$A$20:$CR$90, MATCH('3. Appendix A'!$E$20, '2. 2013 Continuity Schedule'!$A$20:$CR$20,0),FALSE)), 0, VLOOKUP($A61, '2. 2013 Continuity Schedule'!$A$20:$CR$90, MATCH('3. Appendix A'!$E$20, '2. 2013 Continuity Schedule'!$A$20:$CR$20,0),FALSE))</f>
        <v>0</v>
      </c>
      <c r="F61" s="32"/>
    </row>
    <row r="62" spans="1:6" ht="30.75" hidden="1" customHeight="1" x14ac:dyDescent="0.2">
      <c r="A62" s="1">
        <v>37</v>
      </c>
      <c r="B62" s="7"/>
      <c r="C62" s="6" t="s">
        <v>197</v>
      </c>
      <c r="D62" s="8">
        <v>1555</v>
      </c>
      <c r="E62" s="27">
        <f>IF(ISERROR(VLOOKUP($A62, '2. 2013 Continuity Schedule'!$A$20:$CR$90, MATCH('3. Appendix A'!$E$20, '2. 2013 Continuity Schedule'!$A$20:$CR$20,0),FALSE)), 0, VLOOKUP($A62, '2. 2013 Continuity Schedule'!$A$20:$CR$90, MATCH('3. Appendix A'!$E$20, '2. 2013 Continuity Schedule'!$A$20:$CR$20,0),FALSE))</f>
        <v>0</v>
      </c>
      <c r="F62" s="32"/>
    </row>
    <row r="63" spans="1:6" ht="30.75" hidden="1" customHeight="1" x14ac:dyDescent="0.2">
      <c r="A63" s="1">
        <v>38</v>
      </c>
      <c r="B63" s="7"/>
      <c r="C63" s="6" t="s">
        <v>198</v>
      </c>
      <c r="D63" s="8">
        <v>1555</v>
      </c>
      <c r="E63" s="27">
        <f>IF(ISERROR(VLOOKUP($A63, '2. 2013 Continuity Schedule'!$A$20:$CR$90, MATCH('3. Appendix A'!$E$20, '2. 2013 Continuity Schedule'!$A$20:$CR$20,0),FALSE)), 0, VLOOKUP($A63, '2. 2013 Continuity Schedule'!$A$20:$CR$90, MATCH('3. Appendix A'!$E$20, '2. 2013 Continuity Schedule'!$A$20:$CR$20,0),FALSE))</f>
        <v>0</v>
      </c>
      <c r="F63" s="32"/>
    </row>
    <row r="64" spans="1:6" ht="30.75" hidden="1" customHeight="1" x14ac:dyDescent="0.2">
      <c r="A64" s="1">
        <v>39</v>
      </c>
      <c r="B64" s="7"/>
      <c r="C64" s="6" t="s">
        <v>199</v>
      </c>
      <c r="D64" s="8">
        <v>1556</v>
      </c>
      <c r="E64" s="27">
        <f>IF(ISERROR(VLOOKUP($A64, '2. 2013 Continuity Schedule'!$A$20:$CR$90, MATCH('3. Appendix A'!$E$20, '2. 2013 Continuity Schedule'!$A$20:$CR$20,0),FALSE)), 0, VLOOKUP($A64, '2. 2013 Continuity Schedule'!$A$20:$CR$90, MATCH('3. Appendix A'!$E$20, '2. 2013 Continuity Schedule'!$A$20:$CR$20,0),FALSE))</f>
        <v>0</v>
      </c>
      <c r="F64" s="32"/>
    </row>
    <row r="65" spans="1:6" ht="30.75" hidden="1" customHeight="1" thickBot="1" x14ac:dyDescent="0.25">
      <c r="A65" s="1">
        <v>40</v>
      </c>
      <c r="B65" s="7"/>
      <c r="C65" s="206" t="s">
        <v>288</v>
      </c>
      <c r="D65" s="204">
        <v>1575</v>
      </c>
      <c r="E65" s="27">
        <f>IF(ISERROR(VLOOKUP($A65, '2. 2013 Continuity Schedule'!$A$20:$CR$90, MATCH('3. Appendix A'!$E$20, '2. 2013 Continuity Schedule'!$A$20:$CR$20,0),FALSE)), 0, VLOOKUP($A65, '2. 2013 Continuity Schedule'!$A$20:$CR$90, MATCH('3. Appendix A'!$E$20, '2. 2013 Continuity Schedule'!$A$20:$CR$20,0),FALSE))</f>
        <v>0</v>
      </c>
      <c r="F65" s="32"/>
    </row>
    <row r="66" spans="1:6" ht="30.75" customHeight="1" x14ac:dyDescent="0.2">
      <c r="A66" s="1">
        <v>41</v>
      </c>
      <c r="B66" s="7"/>
      <c r="C66" s="206" t="s">
        <v>289</v>
      </c>
      <c r="D66" s="204">
        <v>1576</v>
      </c>
      <c r="E66" s="27">
        <f>IF(ISERROR(VLOOKUP($A66, '2. 2013 Continuity Schedule'!$A$20:$CR$90, MATCH('3. Appendix A'!$E$20, '2. 2013 Continuity Schedule'!$A$20:$CR$20,0),FALSE)), 0, VLOOKUP($A66, '2. 2013 Continuity Schedule'!$A$20:$CR$90, MATCH('3. Appendix A'!$E$20, '2. 2013 Continuity Schedule'!$A$20:$CR$20,0),FALSE))</f>
        <v>884319.86665013176</v>
      </c>
      <c r="F66" s="213" t="s">
        <v>301</v>
      </c>
    </row>
    <row r="67" spans="1:6" ht="30.75" hidden="1" customHeight="1" x14ac:dyDescent="0.2">
      <c r="A67" s="1">
        <v>42</v>
      </c>
      <c r="B67" s="7"/>
      <c r="C67" s="205" t="s">
        <v>106</v>
      </c>
      <c r="D67" s="34">
        <v>1563</v>
      </c>
      <c r="E67" s="27">
        <f>IF(ISERROR(VLOOKUP($A67, '2. 2013 Continuity Schedule'!$A$20:$CR$90, MATCH('3. Appendix A'!$E$20, '2. 2013 Continuity Schedule'!$A$20:$CR$20,0),FALSE)), 0, VLOOKUP($A67, '2. 2013 Continuity Schedule'!$A$20:$CR$90, MATCH('3. Appendix A'!$E$20, '2. 2013 Continuity Schedule'!$A$20:$CR$20,0),FALSE))</f>
        <v>0</v>
      </c>
      <c r="F67" s="32"/>
    </row>
    <row r="68" spans="1:6" ht="30.75" customHeight="1" thickBot="1" x14ac:dyDescent="0.25">
      <c r="A68" s="1">
        <v>43</v>
      </c>
      <c r="B68" s="7"/>
      <c r="C68" s="206" t="s">
        <v>72</v>
      </c>
      <c r="D68" s="31">
        <v>1592</v>
      </c>
      <c r="E68" s="27">
        <f>IF(ISERROR(VLOOKUP($A68, '2. 2013 Continuity Schedule'!$A$20:$CR$90, MATCH('3. Appendix A'!$E$20, '2. 2013 Continuity Schedule'!$A$20:$CR$20,0),FALSE)), 0, VLOOKUP($A68, '2. 2013 Continuity Schedule'!$A$20:$CR$90, MATCH('3. Appendix A'!$E$20, '2. 2013 Continuity Schedule'!$A$20:$CR$20,0),FALSE))</f>
        <v>150032.10366438271</v>
      </c>
      <c r="F68" s="213" t="s">
        <v>317</v>
      </c>
    </row>
    <row r="69" spans="1:6" ht="30.75" hidden="1" customHeight="1" thickBot="1" x14ac:dyDescent="0.25">
      <c r="A69" s="1">
        <v>44</v>
      </c>
      <c r="B69" s="7"/>
      <c r="C69" s="207" t="s">
        <v>108</v>
      </c>
      <c r="D69" s="34">
        <v>1595</v>
      </c>
      <c r="E69" s="27">
        <f>IF(ISERROR(VLOOKUP($A69, '2. 2013 Continuity Schedule'!$A$20:$CR$90, MATCH('3. Appendix A'!$E$20, '2. 2013 Continuity Schedule'!$A$20:$CR$20,0),FALSE)), 0, VLOOKUP($A69, '2. 2013 Continuity Schedule'!$A$20:$CR$90, MATCH('3. Appendix A'!$E$20, '2. 2013 Continuity Schedule'!$A$20:$CR$20,0),FALSE))</f>
        <v>0</v>
      </c>
      <c r="F69" s="38"/>
    </row>
    <row r="70" spans="1:6" x14ac:dyDescent="0.2">
      <c r="C70" s="40"/>
      <c r="D70" s="40"/>
      <c r="E70" s="40"/>
    </row>
  </sheetData>
  <sheetProtection password="F8BD" sheet="1" objects="1" scenarios="1"/>
  <mergeCells count="5">
    <mergeCell ref="E20:E22"/>
    <mergeCell ref="F20:F22"/>
    <mergeCell ref="C20:C22"/>
    <mergeCell ref="D20:D22"/>
    <mergeCell ref="B16:E16"/>
  </mergeCells>
  <phoneticPr fontId="13" type="noConversion"/>
  <conditionalFormatting sqref="F24:F34 F36:F69">
    <cfRule type="expression" dxfId="5" priority="4" stopIfTrue="1">
      <formula>ISBLANK(F24)</formula>
    </cfRule>
  </conditionalFormatting>
  <pageMargins left="0.35433070866141736" right="0.39370078740157483" top="0.61" bottom="0.63" header="0.37" footer="0.31"/>
  <pageSetup scale="42"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6:O47"/>
  <sheetViews>
    <sheetView topLeftCell="A10" workbookViewId="0">
      <selection activeCell="H56" sqref="H56"/>
    </sheetView>
  </sheetViews>
  <sheetFormatPr defaultRowHeight="12.75" x14ac:dyDescent="0.2"/>
  <cols>
    <col min="2" max="2" width="29.85546875" bestFit="1" customWidth="1"/>
    <col min="3" max="3" width="6.5703125" customWidth="1"/>
    <col min="4" max="4" width="14.42578125" bestFit="1" customWidth="1"/>
    <col min="5" max="5" width="13.140625" bestFit="1" customWidth="1"/>
    <col min="6" max="6" width="11.85546875" bestFit="1" customWidth="1"/>
    <col min="7" max="7" width="16.5703125" customWidth="1"/>
    <col min="8" max="8" width="17.28515625" customWidth="1"/>
    <col min="9" max="9" width="11.28515625" bestFit="1" customWidth="1"/>
    <col min="10" max="10" width="20.42578125" hidden="1" customWidth="1"/>
    <col min="11" max="11" width="21.28515625" hidden="1" customWidth="1"/>
    <col min="12" max="12" width="20.42578125" hidden="1" customWidth="1"/>
    <col min="13" max="13" width="20.28515625" bestFit="1" customWidth="1"/>
    <col min="14" max="14" width="20.28515625" customWidth="1"/>
    <col min="15" max="15" width="19.85546875" bestFit="1" customWidth="1"/>
  </cols>
  <sheetData>
    <row r="16" spans="2:9" ht="12.75" customHeight="1" x14ac:dyDescent="0.2">
      <c r="B16" s="275" t="s">
        <v>144</v>
      </c>
      <c r="C16" s="275"/>
      <c r="D16" s="275"/>
      <c r="E16" s="275"/>
      <c r="F16" s="275"/>
      <c r="G16" s="275"/>
      <c r="H16" s="275"/>
      <c r="I16" s="275"/>
    </row>
    <row r="17" spans="2:15" x14ac:dyDescent="0.2">
      <c r="B17" s="275"/>
      <c r="C17" s="275"/>
      <c r="D17" s="275"/>
      <c r="E17" s="275"/>
      <c r="F17" s="275"/>
      <c r="G17" s="275"/>
      <c r="H17" s="275"/>
      <c r="I17" s="275"/>
    </row>
    <row r="19" spans="2:15" ht="12.75" customHeight="1" x14ac:dyDescent="0.2">
      <c r="B19" s="284" t="s">
        <v>157</v>
      </c>
      <c r="C19" s="283" t="s">
        <v>142</v>
      </c>
      <c r="D19" s="276" t="s">
        <v>156</v>
      </c>
      <c r="E19" s="276" t="s">
        <v>136</v>
      </c>
      <c r="F19" s="276" t="s">
        <v>137</v>
      </c>
      <c r="G19" s="280" t="s">
        <v>130</v>
      </c>
      <c r="H19" s="280" t="s">
        <v>131</v>
      </c>
      <c r="I19" s="280" t="s">
        <v>132</v>
      </c>
      <c r="J19" s="280" t="s">
        <v>145</v>
      </c>
      <c r="K19" s="277" t="s">
        <v>133</v>
      </c>
      <c r="L19" s="277" t="s">
        <v>134</v>
      </c>
      <c r="M19" s="277" t="s">
        <v>135</v>
      </c>
      <c r="N19" s="281" t="s">
        <v>318</v>
      </c>
      <c r="O19" s="278" t="s">
        <v>139</v>
      </c>
    </row>
    <row r="20" spans="2:15" ht="45.75" customHeight="1" x14ac:dyDescent="0.2">
      <c r="B20" s="285"/>
      <c r="C20" s="283"/>
      <c r="D20" s="276"/>
      <c r="E20" s="276"/>
      <c r="F20" s="276"/>
      <c r="G20" s="280"/>
      <c r="H20" s="280"/>
      <c r="I20" s="280"/>
      <c r="J20" s="280"/>
      <c r="K20" s="277"/>
      <c r="L20" s="277"/>
      <c r="M20" s="277"/>
      <c r="N20" s="282"/>
      <c r="O20" s="278"/>
    </row>
    <row r="21" spans="2:15" x14ac:dyDescent="0.2">
      <c r="B21" s="210" t="s">
        <v>307</v>
      </c>
      <c r="C21" s="211" t="s">
        <v>306</v>
      </c>
      <c r="D21" s="212">
        <v>6818</v>
      </c>
      <c r="E21" s="212">
        <v>66912797</v>
      </c>
      <c r="F21" s="212"/>
      <c r="G21" s="212">
        <f>'[10]2012 Data'!$B$31</f>
        <v>2326643.6586065181</v>
      </c>
      <c r="H21" s="119">
        <f>IF(ISERROR(F21/E21*G21), 0, F21/E21*G21)</f>
        <v>0</v>
      </c>
      <c r="I21" s="212">
        <v>2304529.33</v>
      </c>
      <c r="J21" s="215"/>
      <c r="K21" s="215"/>
      <c r="L21" s="215"/>
      <c r="M21" s="214">
        <v>0.55000000000000004</v>
      </c>
      <c r="N21" s="214">
        <v>0.36299999999999999</v>
      </c>
      <c r="O21" s="212">
        <f>[8]Sheet1!$M$37</f>
        <v>6716.8269666666674</v>
      </c>
    </row>
    <row r="22" spans="2:15" x14ac:dyDescent="0.2">
      <c r="B22" s="210" t="s">
        <v>308</v>
      </c>
      <c r="C22" s="211" t="s">
        <v>306</v>
      </c>
      <c r="D22" s="212">
        <v>1252</v>
      </c>
      <c r="E22" s="212">
        <v>35318239</v>
      </c>
      <c r="F22" s="212"/>
      <c r="G22" s="212">
        <f>'[10]2012 Data'!$E$31</f>
        <v>3129725.508936251</v>
      </c>
      <c r="H22" s="119">
        <f t="shared" ref="H22:H40" si="0">IF(ISERROR(F22/E22*G22), 0, F22/E22*G22)</f>
        <v>0</v>
      </c>
      <c r="I22" s="212">
        <v>1181167.3400000001</v>
      </c>
      <c r="J22" s="215"/>
      <c r="K22" s="215"/>
      <c r="L22" s="215"/>
      <c r="M22" s="214">
        <v>0.26300000000000001</v>
      </c>
      <c r="N22" s="214">
        <v>0.19400000000000001</v>
      </c>
      <c r="O22" s="212">
        <f>[8]Sheet1!$M$38</f>
        <v>19828.642533333332</v>
      </c>
    </row>
    <row r="23" spans="2:15" x14ac:dyDescent="0.2">
      <c r="B23" s="210" t="s">
        <v>309</v>
      </c>
      <c r="C23" s="211" t="s">
        <v>312</v>
      </c>
      <c r="D23" s="212">
        <v>117</v>
      </c>
      <c r="E23" s="212">
        <v>79343538</v>
      </c>
      <c r="F23" s="212">
        <v>203974</v>
      </c>
      <c r="G23" s="212">
        <f>'[10]2012 Data'!$G$31</f>
        <v>73823914.984708011</v>
      </c>
      <c r="H23" s="119">
        <f t="shared" si="0"/>
        <v>189784.31784943637</v>
      </c>
      <c r="I23" s="212">
        <v>954392.81</v>
      </c>
      <c r="J23" s="215"/>
      <c r="K23" s="215"/>
      <c r="L23" s="215"/>
      <c r="M23" s="214">
        <v>0.182</v>
      </c>
      <c r="N23" s="214">
        <v>0.435</v>
      </c>
      <c r="O23" s="212">
        <f>[8]Sheet1!$M$39</f>
        <v>390.39523333333335</v>
      </c>
    </row>
    <row r="24" spans="2:15" x14ac:dyDescent="0.2">
      <c r="B24" s="210" t="s">
        <v>310</v>
      </c>
      <c r="C24" s="211" t="s">
        <v>306</v>
      </c>
      <c r="D24" s="212">
        <v>22</v>
      </c>
      <c r="E24" s="212">
        <v>219430</v>
      </c>
      <c r="F24" s="212"/>
      <c r="G24" s="212">
        <f>'[10]2012 Data'!$K$31</f>
        <v>0</v>
      </c>
      <c r="H24" s="119">
        <f t="shared" si="0"/>
        <v>0</v>
      </c>
      <c r="I24" s="212">
        <v>15896.71</v>
      </c>
      <c r="J24" s="215"/>
      <c r="K24" s="215"/>
      <c r="L24" s="215"/>
      <c r="M24" s="214">
        <v>3.0000000000000001E-3</v>
      </c>
      <c r="N24" s="214">
        <v>1E-3</v>
      </c>
      <c r="O24" s="212">
        <v>0</v>
      </c>
    </row>
    <row r="25" spans="2:15" x14ac:dyDescent="0.2">
      <c r="B25" s="210" t="s">
        <v>311</v>
      </c>
      <c r="C25" s="211" t="s">
        <v>312</v>
      </c>
      <c r="D25" s="212">
        <v>5</v>
      </c>
      <c r="E25" s="212">
        <v>1163465</v>
      </c>
      <c r="F25" s="212">
        <v>3238</v>
      </c>
      <c r="G25" s="212">
        <f>'[10]2012 Data'!$L$31</f>
        <v>1061783</v>
      </c>
      <c r="H25" s="119">
        <f t="shared" si="0"/>
        <v>2955.0122728229899</v>
      </c>
      <c r="I25" s="212">
        <v>191359.82</v>
      </c>
      <c r="J25" s="215"/>
      <c r="K25" s="215"/>
      <c r="L25" s="215"/>
      <c r="M25" s="214">
        <v>2E-3</v>
      </c>
      <c r="N25" s="214">
        <v>7.0000000000000001E-3</v>
      </c>
      <c r="O25" s="212">
        <v>0</v>
      </c>
    </row>
    <row r="26" spans="2:15" hidden="1" x14ac:dyDescent="0.2">
      <c r="B26" s="216"/>
      <c r="C26" s="216"/>
      <c r="D26" s="215"/>
      <c r="E26" s="215"/>
      <c r="F26" s="215"/>
      <c r="G26" s="215"/>
      <c r="H26" s="119">
        <f t="shared" si="0"/>
        <v>0</v>
      </c>
      <c r="I26" s="215"/>
      <c r="J26" s="215"/>
      <c r="K26" s="215"/>
      <c r="L26" s="215"/>
      <c r="M26" s="215"/>
      <c r="N26" s="215"/>
      <c r="O26" s="215"/>
    </row>
    <row r="27" spans="2:15" hidden="1" x14ac:dyDescent="0.2">
      <c r="B27" s="216"/>
      <c r="C27" s="216"/>
      <c r="D27" s="215"/>
      <c r="E27" s="215"/>
      <c r="F27" s="215"/>
      <c r="G27" s="215"/>
      <c r="H27" s="119">
        <f t="shared" si="0"/>
        <v>0</v>
      </c>
      <c r="I27" s="215"/>
      <c r="J27" s="215"/>
      <c r="K27" s="215"/>
      <c r="L27" s="215"/>
      <c r="M27" s="215"/>
      <c r="N27" s="215"/>
      <c r="O27" s="215"/>
    </row>
    <row r="28" spans="2:15" hidden="1" x14ac:dyDescent="0.2">
      <c r="B28" s="216"/>
      <c r="C28" s="216"/>
      <c r="D28" s="215"/>
      <c r="E28" s="215"/>
      <c r="F28" s="215"/>
      <c r="G28" s="215"/>
      <c r="H28" s="119">
        <f t="shared" si="0"/>
        <v>0</v>
      </c>
      <c r="I28" s="215"/>
      <c r="J28" s="215"/>
      <c r="K28" s="215"/>
      <c r="L28" s="215"/>
      <c r="M28" s="215"/>
      <c r="N28" s="215"/>
      <c r="O28" s="215"/>
    </row>
    <row r="29" spans="2:15" hidden="1" x14ac:dyDescent="0.2">
      <c r="B29" s="216"/>
      <c r="C29" s="216"/>
      <c r="D29" s="215"/>
      <c r="E29" s="215"/>
      <c r="F29" s="215"/>
      <c r="G29" s="215"/>
      <c r="H29" s="119">
        <f t="shared" si="0"/>
        <v>0</v>
      </c>
      <c r="I29" s="215"/>
      <c r="J29" s="215"/>
      <c r="K29" s="215"/>
      <c r="L29" s="215"/>
      <c r="M29" s="215"/>
      <c r="N29" s="215"/>
      <c r="O29" s="215"/>
    </row>
    <row r="30" spans="2:15" hidden="1" x14ac:dyDescent="0.2">
      <c r="B30" s="216"/>
      <c r="C30" s="216"/>
      <c r="D30" s="215"/>
      <c r="E30" s="215"/>
      <c r="F30" s="215"/>
      <c r="G30" s="215"/>
      <c r="H30" s="119">
        <f t="shared" si="0"/>
        <v>0</v>
      </c>
      <c r="I30" s="215"/>
      <c r="J30" s="215"/>
      <c r="K30" s="215"/>
      <c r="L30" s="215"/>
      <c r="M30" s="215"/>
      <c r="N30" s="215"/>
      <c r="O30" s="215"/>
    </row>
    <row r="31" spans="2:15" hidden="1" x14ac:dyDescent="0.2">
      <c r="B31" s="216"/>
      <c r="C31" s="216"/>
      <c r="D31" s="215"/>
      <c r="E31" s="215"/>
      <c r="F31" s="215"/>
      <c r="G31" s="215"/>
      <c r="H31" s="119">
        <f t="shared" si="0"/>
        <v>0</v>
      </c>
      <c r="I31" s="215"/>
      <c r="J31" s="215"/>
      <c r="K31" s="215"/>
      <c r="L31" s="215"/>
      <c r="M31" s="215"/>
      <c r="N31" s="215"/>
      <c r="O31" s="215"/>
    </row>
    <row r="32" spans="2:15" hidden="1" x14ac:dyDescent="0.2">
      <c r="B32" s="216"/>
      <c r="C32" s="216"/>
      <c r="D32" s="215"/>
      <c r="E32" s="215"/>
      <c r="F32" s="215"/>
      <c r="G32" s="215"/>
      <c r="H32" s="119">
        <f t="shared" si="0"/>
        <v>0</v>
      </c>
      <c r="I32" s="215"/>
      <c r="J32" s="215"/>
      <c r="K32" s="215"/>
      <c r="L32" s="215"/>
      <c r="M32" s="215"/>
      <c r="N32" s="215"/>
      <c r="O32" s="215"/>
    </row>
    <row r="33" spans="1:15" hidden="1" x14ac:dyDescent="0.2">
      <c r="B33" s="216"/>
      <c r="C33" s="216"/>
      <c r="D33" s="215"/>
      <c r="E33" s="215"/>
      <c r="F33" s="215"/>
      <c r="G33" s="215"/>
      <c r="H33" s="119">
        <f t="shared" si="0"/>
        <v>0</v>
      </c>
      <c r="I33" s="215"/>
      <c r="J33" s="215"/>
      <c r="K33" s="215"/>
      <c r="L33" s="215"/>
      <c r="M33" s="215"/>
      <c r="N33" s="215"/>
      <c r="O33" s="215"/>
    </row>
    <row r="34" spans="1:15" hidden="1" x14ac:dyDescent="0.2">
      <c r="B34" s="216"/>
      <c r="C34" s="216"/>
      <c r="D34" s="215"/>
      <c r="E34" s="215"/>
      <c r="F34" s="215"/>
      <c r="G34" s="215"/>
      <c r="H34" s="119">
        <f t="shared" si="0"/>
        <v>0</v>
      </c>
      <c r="I34" s="215"/>
      <c r="J34" s="215"/>
      <c r="K34" s="215"/>
      <c r="L34" s="215"/>
      <c r="M34" s="215"/>
      <c r="N34" s="215"/>
      <c r="O34" s="215"/>
    </row>
    <row r="35" spans="1:15" hidden="1" x14ac:dyDescent="0.2">
      <c r="B35" s="216"/>
      <c r="C35" s="216"/>
      <c r="D35" s="215"/>
      <c r="E35" s="215"/>
      <c r="F35" s="215"/>
      <c r="G35" s="215"/>
      <c r="H35" s="119">
        <f t="shared" si="0"/>
        <v>0</v>
      </c>
      <c r="I35" s="215"/>
      <c r="J35" s="215"/>
      <c r="K35" s="215"/>
      <c r="L35" s="215"/>
      <c r="M35" s="215"/>
      <c r="N35" s="215"/>
      <c r="O35" s="215"/>
    </row>
    <row r="36" spans="1:15" hidden="1" x14ac:dyDescent="0.2">
      <c r="B36" s="216"/>
      <c r="C36" s="216"/>
      <c r="D36" s="215"/>
      <c r="E36" s="215"/>
      <c r="F36" s="215"/>
      <c r="G36" s="215"/>
      <c r="H36" s="119">
        <f t="shared" si="0"/>
        <v>0</v>
      </c>
      <c r="I36" s="215"/>
      <c r="J36" s="215"/>
      <c r="K36" s="215"/>
      <c r="L36" s="215"/>
      <c r="M36" s="215"/>
      <c r="N36" s="215"/>
      <c r="O36" s="215"/>
    </row>
    <row r="37" spans="1:15" hidden="1" x14ac:dyDescent="0.2">
      <c r="B37" s="216"/>
      <c r="C37" s="216"/>
      <c r="D37" s="215"/>
      <c r="E37" s="215"/>
      <c r="F37" s="215"/>
      <c r="G37" s="215"/>
      <c r="H37" s="119">
        <f t="shared" si="0"/>
        <v>0</v>
      </c>
      <c r="I37" s="215"/>
      <c r="J37" s="215"/>
      <c r="K37" s="215"/>
      <c r="L37" s="215"/>
      <c r="M37" s="215"/>
      <c r="N37" s="215"/>
      <c r="O37" s="215"/>
    </row>
    <row r="38" spans="1:15" hidden="1" x14ac:dyDescent="0.2">
      <c r="B38" s="216"/>
      <c r="C38" s="216"/>
      <c r="D38" s="215"/>
      <c r="E38" s="215"/>
      <c r="F38" s="215"/>
      <c r="G38" s="215"/>
      <c r="H38" s="119">
        <f t="shared" si="0"/>
        <v>0</v>
      </c>
      <c r="I38" s="215"/>
      <c r="J38" s="215"/>
      <c r="K38" s="215"/>
      <c r="L38" s="215"/>
      <c r="M38" s="215"/>
      <c r="N38" s="215"/>
      <c r="O38" s="215"/>
    </row>
    <row r="39" spans="1:15" hidden="1" x14ac:dyDescent="0.2">
      <c r="B39" s="216"/>
      <c r="C39" s="216"/>
      <c r="D39" s="215"/>
      <c r="E39" s="215"/>
      <c r="F39" s="215"/>
      <c r="G39" s="215"/>
      <c r="H39" s="119">
        <f t="shared" si="0"/>
        <v>0</v>
      </c>
      <c r="I39" s="215"/>
      <c r="J39" s="215"/>
      <c r="K39" s="215"/>
      <c r="L39" s="215"/>
      <c r="M39" s="215"/>
      <c r="N39" s="215"/>
      <c r="O39" s="215"/>
    </row>
    <row r="40" spans="1:15" hidden="1" x14ac:dyDescent="0.2">
      <c r="B40" s="216"/>
      <c r="C40" s="216"/>
      <c r="D40" s="215"/>
      <c r="E40" s="215"/>
      <c r="F40" s="215"/>
      <c r="G40" s="215"/>
      <c r="H40" s="119">
        <f t="shared" si="0"/>
        <v>0</v>
      </c>
      <c r="I40" s="215"/>
      <c r="J40" s="215"/>
      <c r="K40" s="215"/>
      <c r="L40" s="215"/>
      <c r="M40" s="215"/>
      <c r="N40" s="215"/>
      <c r="O40" s="215"/>
    </row>
    <row r="41" spans="1:15" x14ac:dyDescent="0.2">
      <c r="B41" s="66" t="s">
        <v>143</v>
      </c>
      <c r="C41" s="65"/>
      <c r="D41" s="96">
        <f t="shared" ref="D41:O41" si="1">SUM(D21:D40)</f>
        <v>8214</v>
      </c>
      <c r="E41" s="96">
        <f t="shared" si="1"/>
        <v>182957469</v>
      </c>
      <c r="F41" s="96">
        <f t="shared" si="1"/>
        <v>207212</v>
      </c>
      <c r="G41" s="96">
        <f t="shared" si="1"/>
        <v>80342067.152250782</v>
      </c>
      <c r="H41" s="96">
        <f t="shared" si="1"/>
        <v>192739.33012225936</v>
      </c>
      <c r="I41" s="67">
        <f t="shared" si="1"/>
        <v>4647346.0100000007</v>
      </c>
      <c r="J41" s="97">
        <f t="shared" si="1"/>
        <v>0</v>
      </c>
      <c r="K41" s="97">
        <f t="shared" si="1"/>
        <v>0</v>
      </c>
      <c r="L41" s="97">
        <f t="shared" si="1"/>
        <v>0</v>
      </c>
      <c r="M41" s="97">
        <f t="shared" si="1"/>
        <v>1</v>
      </c>
      <c r="N41" s="97">
        <f t="shared" si="1"/>
        <v>1</v>
      </c>
      <c r="O41" s="67">
        <f t="shared" si="1"/>
        <v>26935.864733333332</v>
      </c>
    </row>
    <row r="42" spans="1:15" x14ac:dyDescent="0.2">
      <c r="B42" s="60"/>
      <c r="N42" s="68" t="s">
        <v>146</v>
      </c>
      <c r="O42" s="69">
        <f>'2. 2013 Continuity Schedule'!CP72</f>
        <v>27661.786287896666</v>
      </c>
    </row>
    <row r="43" spans="1:15" x14ac:dyDescent="0.2">
      <c r="B43" s="60"/>
      <c r="N43" s="68" t="s">
        <v>147</v>
      </c>
      <c r="O43" s="70">
        <f>O41-O42</f>
        <v>-725.92155456333421</v>
      </c>
    </row>
    <row r="44" spans="1:15" x14ac:dyDescent="0.2">
      <c r="B44" s="60"/>
    </row>
    <row r="45" spans="1:15" x14ac:dyDescent="0.2">
      <c r="A45" s="279" t="s">
        <v>140</v>
      </c>
      <c r="B45" s="279"/>
      <c r="C45" s="279"/>
      <c r="D45" s="279"/>
      <c r="E45" s="279"/>
      <c r="F45" s="279"/>
      <c r="G45" s="279"/>
      <c r="H45" s="279"/>
    </row>
    <row r="46" spans="1:15" ht="33" customHeight="1" x14ac:dyDescent="0.2">
      <c r="A46" s="279"/>
      <c r="B46" s="279"/>
      <c r="C46" s="279"/>
      <c r="D46" s="279"/>
      <c r="E46" s="279"/>
      <c r="F46" s="279"/>
      <c r="G46" s="279"/>
      <c r="H46" s="279"/>
    </row>
    <row r="47" spans="1:15" ht="17.25" x14ac:dyDescent="0.2">
      <c r="A47" s="279" t="s">
        <v>141</v>
      </c>
      <c r="B47" s="279"/>
      <c r="C47" s="279"/>
      <c r="D47" s="279"/>
      <c r="E47" s="279"/>
      <c r="F47" s="279"/>
      <c r="G47" s="279"/>
      <c r="H47" s="279"/>
    </row>
  </sheetData>
  <mergeCells count="17">
    <mergeCell ref="A47:H47"/>
    <mergeCell ref="F19:F20"/>
    <mergeCell ref="E19:E20"/>
    <mergeCell ref="C19:C20"/>
    <mergeCell ref="B19:B20"/>
    <mergeCell ref="G19:G20"/>
    <mergeCell ref="H19:H20"/>
    <mergeCell ref="B16:I17"/>
    <mergeCell ref="D19:D20"/>
    <mergeCell ref="M19:M20"/>
    <mergeCell ref="O19:O20"/>
    <mergeCell ref="A45:H46"/>
    <mergeCell ref="I19:I20"/>
    <mergeCell ref="J19:J20"/>
    <mergeCell ref="K19:K20"/>
    <mergeCell ref="L19:L20"/>
    <mergeCell ref="N19:N20"/>
  </mergeCells>
  <dataValidations disablePrompts="1" count="1">
    <dataValidation type="list" allowBlank="1" showInputMessage="1" showErrorMessage="1" sqref="C21:C40">
      <formula1>"kW, kWh"</formula1>
    </dataValidation>
  </dataValidations>
  <pageMargins left="0.7" right="0.7" top="0.75" bottom="0.75" header="0.3" footer="0.3"/>
  <pageSetup scale="64"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Y56"/>
  <sheetViews>
    <sheetView tabSelected="1" topLeftCell="A16" workbookViewId="0">
      <selection activeCell="D60" sqref="D60"/>
    </sheetView>
  </sheetViews>
  <sheetFormatPr defaultRowHeight="12.75" x14ac:dyDescent="0.2"/>
  <cols>
    <col min="1" max="1" width="1.140625" style="60" customWidth="1"/>
    <col min="2" max="2" width="66.28515625" style="60" bestFit="1" customWidth="1"/>
    <col min="3" max="3" width="9.140625" style="60"/>
    <col min="4" max="4" width="14.5703125" style="60" customWidth="1"/>
    <col min="5" max="5" width="14.7109375" style="60" customWidth="1"/>
    <col min="6" max="25" width="24.140625" style="60" customWidth="1"/>
    <col min="26" max="16384" width="9.140625" style="60"/>
  </cols>
  <sheetData>
    <row r="1" spans="2:25" ht="143.25" customHeight="1" x14ac:dyDescent="0.2"/>
    <row r="4" spans="2:25" ht="39" customHeight="1" x14ac:dyDescent="0.2">
      <c r="D4" s="72" t="s">
        <v>161</v>
      </c>
      <c r="E4" s="71" t="s">
        <v>154</v>
      </c>
      <c r="F4" s="72" t="str">
        <f>IF(LEN(TRIM('4. Billing Determinants'!$B21))=0, "", '4. Billing Determinants'!$B21)</f>
        <v>Residential</v>
      </c>
      <c r="G4" s="72" t="str">
        <f>IF(LEN(TRIM('4. Billing Determinants'!$B22))=0, "", '4. Billing Determinants'!$B22)</f>
        <v>General Service Less Than 50 kW</v>
      </c>
      <c r="H4" s="72" t="str">
        <f>IF(LEN(TRIM('4. Billing Determinants'!$B23))=0, "", '4. Billing Determinants'!$B23)</f>
        <v>General Service 50 to 4,999 kW</v>
      </c>
      <c r="I4" s="72" t="str">
        <f>IF(LEN(TRIM('4. Billing Determinants'!$B24))=0, "", '4. Billing Determinants'!$B24)</f>
        <v>Unmetered Scattered Load</v>
      </c>
      <c r="J4" s="72" t="str">
        <f>IF(LEN(TRIM('4. Billing Determinants'!$B25))=0, "", '4. Billing Determinants'!$B25)</f>
        <v>Street Lighting</v>
      </c>
      <c r="K4" s="72" t="str">
        <f>IF(LEN(TRIM('4. Billing Determinants'!$B26))=0, "", '4. Billing Determinants'!$B26)</f>
        <v/>
      </c>
      <c r="L4" s="72" t="str">
        <f>IF(LEN(TRIM('4. Billing Determinants'!$B27))=0, "", '4. Billing Determinants'!$B27)</f>
        <v/>
      </c>
      <c r="M4" s="72" t="str">
        <f>IF(LEN(TRIM('4. Billing Determinants'!$B28))=0, "", '4. Billing Determinants'!$B28)</f>
        <v/>
      </c>
      <c r="N4" s="72" t="str">
        <f>IF(LEN(TRIM('4. Billing Determinants'!$B29))=0, "", '4. Billing Determinants'!$B29)</f>
        <v/>
      </c>
      <c r="O4" s="72" t="str">
        <f>IF(LEN(TRIM('4. Billing Determinants'!$B30))=0, "", '4. Billing Determinants'!$B30)</f>
        <v/>
      </c>
      <c r="P4" s="72" t="str">
        <f>IF(LEN(TRIM('4. Billing Determinants'!$B31))=0, "", '4. Billing Determinants'!$B31)</f>
        <v/>
      </c>
      <c r="Q4" s="72" t="str">
        <f>IF(LEN(TRIM('4. Billing Determinants'!$B32))=0, "", '4. Billing Determinants'!$B32)</f>
        <v/>
      </c>
      <c r="R4" s="72" t="str">
        <f>IF(LEN(TRIM('4. Billing Determinants'!$B33))=0, "", '4. Billing Determinants'!$B33)</f>
        <v/>
      </c>
      <c r="S4" s="72" t="str">
        <f>IF(LEN(TRIM('4. Billing Determinants'!$B34))=0, "", '4. Billing Determinants'!$B34)</f>
        <v/>
      </c>
      <c r="T4" s="72" t="str">
        <f>IF(LEN(TRIM('4. Billing Determinants'!$B35))=0, "", '4. Billing Determinants'!$B35)</f>
        <v/>
      </c>
      <c r="U4" s="72" t="str">
        <f>IF(LEN(TRIM('4. Billing Determinants'!$B36))=0, "", '4. Billing Determinants'!$B36)</f>
        <v/>
      </c>
      <c r="V4" s="72" t="str">
        <f>IF(LEN(TRIM('4. Billing Determinants'!$B37))=0, "", '4. Billing Determinants'!$B37)</f>
        <v/>
      </c>
      <c r="W4" s="72" t="str">
        <f>IF(LEN(TRIM('4. Billing Determinants'!$B38))=0, "", '4. Billing Determinants'!$B38)</f>
        <v/>
      </c>
      <c r="X4" s="72" t="str">
        <f>IF(LEN(TRIM('4. Billing Determinants'!$B39))=0, "", '4. Billing Determinants'!$B39)</f>
        <v/>
      </c>
      <c r="Y4" s="72" t="str">
        <f>IF(LEN(TRIM('4. Billing Determinants'!$B40))=0, "", '4. Billing Determinants'!$B40)</f>
        <v/>
      </c>
    </row>
    <row r="5" spans="2:25" x14ac:dyDescent="0.2">
      <c r="B5" s="73" t="s">
        <v>62</v>
      </c>
      <c r="C5" s="74">
        <v>1550</v>
      </c>
      <c r="D5" s="75">
        <f>'2. 2013 Continuity Schedule'!CP24</f>
        <v>0</v>
      </c>
      <c r="E5" s="208"/>
      <c r="F5" s="75">
        <f>IFERROR(IF(F$4="",0,IF($E5="kWh",VLOOKUP(F$4,'4. Billing Determinants'!$B$19:$O$41,4,0)/'4. Billing Determinants'!$E$41*$D5,IF($E5="kW",VLOOKUP(F$4,'4. Billing Determinants'!$B$19:$O$41,5,0)/'4. Billing Determinants'!$F$41*$D5,IF($E5="Non-RPP kWh",VLOOKUP(F$4,'4. Billing Determinants'!$B$19:$O$41,6,0)/'4. Billing Determinants'!$G$41*$D5,IF($E5="Distribution Rev.",VLOOKUP(F$4,'4. Billing Determinants'!$B$19:$O$41,8,0)/'4. Billing Determinants'!$I$41*$D5, VLOOKUP(F$4,'4. Billing Determinants'!$B$19:$O$41,3,0)/'4. Billing Determinants'!$D$41*$D5))))),0)</f>
        <v>0</v>
      </c>
      <c r="G5" s="75">
        <f>IFERROR(IF(G$4="",0,IF($E5="kWh",VLOOKUP(G$4,'4. Billing Determinants'!$B$19:$O$41,4,0)/'4. Billing Determinants'!$E$41*$D5,IF($E5="kW",VLOOKUP(G$4,'4. Billing Determinants'!$B$19:$O$41,5,0)/'4. Billing Determinants'!$F$41*$D5,IF($E5="Non-RPP kWh",VLOOKUP(G$4,'4. Billing Determinants'!$B$19:$O$41,6,0)/'4. Billing Determinants'!$G$41*$D5,IF($E5="Distribution Rev.",VLOOKUP(G$4,'4. Billing Determinants'!$B$19:$O$41,8,0)/'4. Billing Determinants'!$I$41*$D5, VLOOKUP(G$4,'4. Billing Determinants'!$B$19:$O$41,3,0)/'4. Billing Determinants'!$D$41*$D5))))),0)</f>
        <v>0</v>
      </c>
      <c r="H5" s="75">
        <f>IFERROR(IF(H$4="",0,IF($E5="kWh",VLOOKUP(H$4,'4. Billing Determinants'!$B$19:$O$41,4,0)/'4. Billing Determinants'!$E$41*$D5,IF($E5="kW",VLOOKUP(H$4,'4. Billing Determinants'!$B$19:$O$41,5,0)/'4. Billing Determinants'!$F$41*$D5,IF($E5="Non-RPP kWh",VLOOKUP(H$4,'4. Billing Determinants'!$B$19:$O$41,6,0)/'4. Billing Determinants'!$G$41*$D5,IF($E5="Distribution Rev.",VLOOKUP(H$4,'4. Billing Determinants'!$B$19:$O$41,8,0)/'4. Billing Determinants'!$I$41*$D5, VLOOKUP(H$4,'4. Billing Determinants'!$B$19:$O$41,3,0)/'4. Billing Determinants'!$D$41*$D5))))),0)</f>
        <v>0</v>
      </c>
      <c r="I5" s="75">
        <f>IFERROR(IF(I$4="",0,IF($E5="kWh",VLOOKUP(I$4,'4. Billing Determinants'!$B$19:$O$41,4,0)/'4. Billing Determinants'!$E$41*$D5,IF($E5="kW",VLOOKUP(I$4,'4. Billing Determinants'!$B$19:$O$41,5,0)/'4. Billing Determinants'!$F$41*$D5,IF($E5="Non-RPP kWh",VLOOKUP(I$4,'4. Billing Determinants'!$B$19:$O$41,6,0)/'4. Billing Determinants'!$G$41*$D5,IF($E5="Distribution Rev.",VLOOKUP(I$4,'4. Billing Determinants'!$B$19:$O$41,8,0)/'4. Billing Determinants'!$I$41*$D5, VLOOKUP(I$4,'4. Billing Determinants'!$B$19:$O$41,3,0)/'4. Billing Determinants'!$D$41*$D5))))),0)</f>
        <v>0</v>
      </c>
      <c r="J5" s="75">
        <f>IFERROR(IF(J$4="",0,IF($E5="kWh",VLOOKUP(J$4,'4. Billing Determinants'!$B$19:$O$41,4,0)/'4. Billing Determinants'!$E$41*$D5,IF($E5="kW",VLOOKUP(J$4,'4. Billing Determinants'!$B$19:$O$41,5,0)/'4. Billing Determinants'!$F$41*$D5,IF($E5="Non-RPP kWh",VLOOKUP(J$4,'4. Billing Determinants'!$B$19:$O$41,6,0)/'4. Billing Determinants'!$G$41*$D5,IF($E5="Distribution Rev.",VLOOKUP(J$4,'4. Billing Determinants'!$B$19:$O$41,8,0)/'4. Billing Determinants'!$I$41*$D5, VLOOKUP(J$4,'4. Billing Determinants'!$B$19:$O$41,3,0)/'4. Billing Determinants'!$D$41*$D5))))),0)</f>
        <v>0</v>
      </c>
      <c r="K5" s="75">
        <f>IFERROR(IF(K$4="",0,IF($E5="kWh",VLOOKUP(K$4,'4. Billing Determinants'!$B$19:$O$41,4,0)/'4. Billing Determinants'!$E$41*$D5,IF($E5="kW",VLOOKUP(K$4,'4. Billing Determinants'!$B$19:$O$41,5,0)/'4. Billing Determinants'!$F$41*$D5,IF($E5="Non-RPP kWh",VLOOKUP(K$4,'4. Billing Determinants'!$B$19:$O$41,6,0)/'4. Billing Determinants'!$G$41*$D5,IF($E5="Distribution Rev.",VLOOKUP(K$4,'4. Billing Determinants'!$B$19:$O$41,8,0)/'4. Billing Determinants'!$I$41*$D5, VLOOKUP(K$4,'4. Billing Determinants'!$B$19:$O$41,3,0)/'4. Billing Determinants'!$D$41*$D5))))),0)</f>
        <v>0</v>
      </c>
      <c r="L5" s="75">
        <f>IFERROR(IF(L$4="",0,IF($E5="kWh",VLOOKUP(L$4,'4. Billing Determinants'!$B$19:$O$41,4,0)/'4. Billing Determinants'!$E$41*$D5,IF($E5="kW",VLOOKUP(L$4,'4. Billing Determinants'!$B$19:$O$41,5,0)/'4. Billing Determinants'!$F$41*$D5,IF($E5="Non-RPP kWh",VLOOKUP(L$4,'4. Billing Determinants'!$B$19:$O$41,6,0)/'4. Billing Determinants'!$G$41*$D5,IF($E5="Distribution Rev.",VLOOKUP(L$4,'4. Billing Determinants'!$B$19:$O$41,8,0)/'4. Billing Determinants'!$I$41*$D5, VLOOKUP(L$4,'4. Billing Determinants'!$B$19:$O$41,3,0)/'4. Billing Determinants'!$D$41*$D5))))),0)</f>
        <v>0</v>
      </c>
      <c r="M5" s="75">
        <f>IFERROR(IF(M$4="",0,IF($E5="kWh",VLOOKUP(M$4,'4. Billing Determinants'!$B$19:$O$41,4,0)/'4. Billing Determinants'!$E$41*$D5,IF($E5="kW",VLOOKUP(M$4,'4. Billing Determinants'!$B$19:$O$41,5,0)/'4. Billing Determinants'!$F$41*$D5,IF($E5="Non-RPP kWh",VLOOKUP(M$4,'4. Billing Determinants'!$B$19:$O$41,6,0)/'4. Billing Determinants'!$G$41*$D5,IF($E5="Distribution Rev.",VLOOKUP(M$4,'4. Billing Determinants'!$B$19:$O$41,8,0)/'4. Billing Determinants'!$I$41*$D5, VLOOKUP(M$4,'4. Billing Determinants'!$B$19:$O$41,3,0)/'4. Billing Determinants'!$D$41*$D5))))),0)</f>
        <v>0</v>
      </c>
      <c r="N5" s="75">
        <f>IFERROR(IF(N$4="",0,IF($E5="kWh",VLOOKUP(N$4,'4. Billing Determinants'!$B$19:$O$41,4,0)/'4. Billing Determinants'!$E$41*$D5,IF($E5="kW",VLOOKUP(N$4,'4. Billing Determinants'!$B$19:$O$41,5,0)/'4. Billing Determinants'!$F$41*$D5,IF($E5="Non-RPP kWh",VLOOKUP(N$4,'4. Billing Determinants'!$B$19:$O$41,6,0)/'4. Billing Determinants'!$G$41*$D5,IF($E5="Distribution Rev.",VLOOKUP(N$4,'4. Billing Determinants'!$B$19:$O$41,8,0)/'4. Billing Determinants'!$I$41*$D5, VLOOKUP(N$4,'4. Billing Determinants'!$B$19:$O$41,3,0)/'4. Billing Determinants'!$D$41*$D5))))),0)</f>
        <v>0</v>
      </c>
      <c r="O5" s="75">
        <f>IFERROR(IF(O$4="",0,IF($E5="kWh",VLOOKUP(O$4,'4. Billing Determinants'!$B$19:$O$41,4,0)/'4. Billing Determinants'!$E$41*$D5,IF($E5="kW",VLOOKUP(O$4,'4. Billing Determinants'!$B$19:$O$41,5,0)/'4. Billing Determinants'!$F$41*$D5,IF($E5="Non-RPP kWh",VLOOKUP(O$4,'4. Billing Determinants'!$B$19:$O$41,6,0)/'4. Billing Determinants'!$G$41*$D5,IF($E5="Distribution Rev.",VLOOKUP(O$4,'4. Billing Determinants'!$B$19:$O$41,8,0)/'4. Billing Determinants'!$I$41*$D5, VLOOKUP(O$4,'4. Billing Determinants'!$B$19:$O$41,3,0)/'4. Billing Determinants'!$D$41*$D5))))),0)</f>
        <v>0</v>
      </c>
      <c r="P5" s="75">
        <f>IFERROR(IF(P$4="",0,IF($E5="kWh",VLOOKUP(P$4,'4. Billing Determinants'!$B$19:$O$41,4,0)/'4. Billing Determinants'!$E$41*$D5,IF($E5="kW",VLOOKUP(P$4,'4. Billing Determinants'!$B$19:$O$41,5,0)/'4. Billing Determinants'!$F$41*$D5,IF($E5="Non-RPP kWh",VLOOKUP(P$4,'4. Billing Determinants'!$B$19:$O$41,6,0)/'4. Billing Determinants'!$G$41*$D5,IF($E5="Distribution Rev.",VLOOKUP(P$4,'4. Billing Determinants'!$B$19:$O$41,8,0)/'4. Billing Determinants'!$I$41*$D5, VLOOKUP(P$4,'4. Billing Determinants'!$B$19:$O$41,3,0)/'4. Billing Determinants'!$D$41*$D5))))),0)</f>
        <v>0</v>
      </c>
      <c r="Q5" s="75">
        <f>IFERROR(IF(Q$4="",0,IF($E5="kWh",VLOOKUP(Q$4,'4. Billing Determinants'!$B$19:$O$41,4,0)/'4. Billing Determinants'!$E$41*$D5,IF($E5="kW",VLOOKUP(Q$4,'4. Billing Determinants'!$B$19:$O$41,5,0)/'4. Billing Determinants'!$F$41*$D5,IF($E5="Non-RPP kWh",VLOOKUP(Q$4,'4. Billing Determinants'!$B$19:$O$41,6,0)/'4. Billing Determinants'!$G$41*$D5,IF($E5="Distribution Rev.",VLOOKUP(Q$4,'4. Billing Determinants'!$B$19:$O$41,8,0)/'4. Billing Determinants'!$I$41*$D5, VLOOKUP(Q$4,'4. Billing Determinants'!$B$19:$O$41,3,0)/'4. Billing Determinants'!$D$41*$D5))))),0)</f>
        <v>0</v>
      </c>
      <c r="R5" s="75">
        <f>IFERROR(IF(R$4="",0,IF($E5="kWh",VLOOKUP(R$4,'4. Billing Determinants'!$B$19:$O$41,4,0)/'4. Billing Determinants'!$E$41*$D5,IF($E5="kW",VLOOKUP(R$4,'4. Billing Determinants'!$B$19:$O$41,5,0)/'4. Billing Determinants'!$F$41*$D5,IF($E5="Non-RPP kWh",VLOOKUP(R$4,'4. Billing Determinants'!$B$19:$O$41,6,0)/'4. Billing Determinants'!$G$41*$D5,IF($E5="Distribution Rev.",VLOOKUP(R$4,'4. Billing Determinants'!$B$19:$O$41,8,0)/'4. Billing Determinants'!$I$41*$D5, VLOOKUP(R$4,'4. Billing Determinants'!$B$19:$O$41,3,0)/'4. Billing Determinants'!$D$41*$D5))))),0)</f>
        <v>0</v>
      </c>
      <c r="S5" s="75">
        <f>IFERROR(IF(S$4="",0,IF($E5="kWh",VLOOKUP(S$4,'4. Billing Determinants'!$B$19:$O$41,4,0)/'4. Billing Determinants'!$E$41*$D5,IF($E5="kW",VLOOKUP(S$4,'4. Billing Determinants'!$B$19:$O$41,5,0)/'4. Billing Determinants'!$F$41*$D5,IF($E5="Non-RPP kWh",VLOOKUP(S$4,'4. Billing Determinants'!$B$19:$O$41,6,0)/'4. Billing Determinants'!$G$41*$D5,IF($E5="Distribution Rev.",VLOOKUP(S$4,'4. Billing Determinants'!$B$19:$O$41,8,0)/'4. Billing Determinants'!$I$41*$D5, VLOOKUP(S$4,'4. Billing Determinants'!$B$19:$O$41,3,0)/'4. Billing Determinants'!$D$41*$D5))))),0)</f>
        <v>0</v>
      </c>
      <c r="T5" s="75">
        <f>IFERROR(IF(T$4="",0,IF($E5="kWh",VLOOKUP(T$4,'4. Billing Determinants'!$B$19:$O$41,4,0)/'4. Billing Determinants'!$E$41*$D5,IF($E5="kW",VLOOKUP(T$4,'4. Billing Determinants'!$B$19:$O$41,5,0)/'4. Billing Determinants'!$F$41*$D5,IF($E5="Non-RPP kWh",VLOOKUP(T$4,'4. Billing Determinants'!$B$19:$O$41,6,0)/'4. Billing Determinants'!$G$41*$D5,IF($E5="Distribution Rev.",VLOOKUP(T$4,'4. Billing Determinants'!$B$19:$O$41,8,0)/'4. Billing Determinants'!$I$41*$D5, VLOOKUP(T$4,'4. Billing Determinants'!$B$19:$O$41,3,0)/'4. Billing Determinants'!$D$41*$D5))))),0)</f>
        <v>0</v>
      </c>
      <c r="U5" s="75">
        <f>IFERROR(IF(U$4="",0,IF($E5="kWh",VLOOKUP(U$4,'4. Billing Determinants'!$B$19:$O$41,4,0)/'4. Billing Determinants'!$E$41*$D5,IF($E5="kW",VLOOKUP(U$4,'4. Billing Determinants'!$B$19:$O$41,5,0)/'4. Billing Determinants'!$F$41*$D5,IF($E5="Non-RPP kWh",VLOOKUP(U$4,'4. Billing Determinants'!$B$19:$O$41,6,0)/'4. Billing Determinants'!$G$41*$D5,IF($E5="Distribution Rev.",VLOOKUP(U$4,'4. Billing Determinants'!$B$19:$O$41,8,0)/'4. Billing Determinants'!$I$41*$D5, VLOOKUP(U$4,'4. Billing Determinants'!$B$19:$O$41,3,0)/'4. Billing Determinants'!$D$41*$D5))))),0)</f>
        <v>0</v>
      </c>
      <c r="V5" s="75">
        <f>IFERROR(IF(V$4="",0,IF($E5="kWh",VLOOKUP(V$4,'4. Billing Determinants'!$B$19:$O$41,4,0)/'4. Billing Determinants'!$E$41*$D5,IF($E5="kW",VLOOKUP(V$4,'4. Billing Determinants'!$B$19:$O$41,5,0)/'4. Billing Determinants'!$F$41*$D5,IF($E5="Non-RPP kWh",VLOOKUP(V$4,'4. Billing Determinants'!$B$19:$O$41,6,0)/'4. Billing Determinants'!$G$41*$D5,IF($E5="Distribution Rev.",VLOOKUP(V$4,'4. Billing Determinants'!$B$19:$O$41,8,0)/'4. Billing Determinants'!$I$41*$D5, VLOOKUP(V$4,'4. Billing Determinants'!$B$19:$O$41,3,0)/'4. Billing Determinants'!$D$41*$D5))))),0)</f>
        <v>0</v>
      </c>
      <c r="W5" s="75">
        <f>IFERROR(IF(W$4="",0,IF($E5="kWh",VLOOKUP(W$4,'4. Billing Determinants'!$B$19:$O$41,4,0)/'4. Billing Determinants'!$E$41*$D5,IF($E5="kW",VLOOKUP(W$4,'4. Billing Determinants'!$B$19:$O$41,5,0)/'4. Billing Determinants'!$F$41*$D5,IF($E5="Non-RPP kWh",VLOOKUP(W$4,'4. Billing Determinants'!$B$19:$O$41,6,0)/'4. Billing Determinants'!$G$41*$D5,IF($E5="Distribution Rev.",VLOOKUP(W$4,'4. Billing Determinants'!$B$19:$O$41,8,0)/'4. Billing Determinants'!$I$41*$D5, VLOOKUP(W$4,'4. Billing Determinants'!$B$19:$O$41,3,0)/'4. Billing Determinants'!$D$41*$D5))))),0)</f>
        <v>0</v>
      </c>
      <c r="X5" s="75">
        <f>IFERROR(IF(X$4="",0,IF($E5="kWh",VLOOKUP(X$4,'4. Billing Determinants'!$B$19:$O$41,4,0)/'4. Billing Determinants'!$E$41*$D5,IF($E5="kW",VLOOKUP(X$4,'4. Billing Determinants'!$B$19:$O$41,5,0)/'4. Billing Determinants'!$F$41*$D5,IF($E5="Non-RPP kWh",VLOOKUP(X$4,'4. Billing Determinants'!$B$19:$O$41,6,0)/'4. Billing Determinants'!$G$41*$D5,IF($E5="Distribution Rev.",VLOOKUP(X$4,'4. Billing Determinants'!$B$19:$O$41,8,0)/'4. Billing Determinants'!$I$41*$D5, VLOOKUP(X$4,'4. Billing Determinants'!$B$19:$O$41,3,0)/'4. Billing Determinants'!$D$41*$D5))))),0)</f>
        <v>0</v>
      </c>
      <c r="Y5" s="75">
        <f>IFERROR(IF(Y$4="",0,IF($E5="kWh",VLOOKUP(Y$4,'4. Billing Determinants'!$B$19:$O$41,4,0)/'4. Billing Determinants'!$E$41*$D5,IF($E5="kW",VLOOKUP(Y$4,'4. Billing Determinants'!$B$19:$O$41,5,0)/'4. Billing Determinants'!$F$41*$D5,IF($E5="Non-RPP kWh",VLOOKUP(Y$4,'4. Billing Determinants'!$B$19:$O$41,6,0)/'4. Billing Determinants'!$G$41*$D5,IF($E5="Distribution Rev.",VLOOKUP(Y$4,'4. Billing Determinants'!$B$19:$O$41,8,0)/'4. Billing Determinants'!$I$41*$D5, VLOOKUP(Y$4,'4. Billing Determinants'!$B$19:$O$41,3,0)/'4. Billing Determinants'!$D$41*$D5))))),0)</f>
        <v>0</v>
      </c>
    </row>
    <row r="6" spans="2:25" x14ac:dyDescent="0.2">
      <c r="B6" s="76" t="s">
        <v>1</v>
      </c>
      <c r="C6" s="74">
        <v>1580</v>
      </c>
      <c r="D6" s="75">
        <f>'2. 2013 Continuity Schedule'!CP25</f>
        <v>-319504.80807600013</v>
      </c>
      <c r="E6" s="208" t="s">
        <v>306</v>
      </c>
      <c r="F6" s="75">
        <f>IFERROR(IF(F$4="",0,IF($E6="kWh",VLOOKUP(F$4,'4. Billing Determinants'!$B$19:$O$41,4,0)/'4. Billing Determinants'!$E$41*$D6,IF($E6="kW",VLOOKUP(F$4,'4. Billing Determinants'!$B$19:$O$41,5,0)/'4. Billing Determinants'!$F$41*$D6,IF($E6="Non-RPP kWh",VLOOKUP(F$4,'4. Billing Determinants'!$B$19:$O$41,6,0)/'4. Billing Determinants'!$G$41*$D6,IF($E6="Distribution Rev.",VLOOKUP(F$4,'4. Billing Determinants'!$B$19:$O$41,8,0)/'4. Billing Determinants'!$I$41*$D6, VLOOKUP(F$4,'4. Billing Determinants'!$B$19:$O$41,3,0)/'4. Billing Determinants'!$D$41*$D6))))),0)</f>
        <v>-116852.07759030246</v>
      </c>
      <c r="G6" s="75">
        <f>IFERROR(IF(G$4="",0,IF($E6="kWh",VLOOKUP(G$4,'4. Billing Determinants'!$B$19:$O$41,4,0)/'4. Billing Determinants'!$E$41*$D6,IF($E6="kW",VLOOKUP(G$4,'4. Billing Determinants'!$B$19:$O$41,5,0)/'4. Billing Determinants'!$F$41*$D6,IF($E6="Non-RPP kWh",VLOOKUP(G$4,'4. Billing Determinants'!$B$19:$O$41,6,0)/'4. Billing Determinants'!$G$41*$D6,IF($E6="Distribution Rev.",VLOOKUP(G$4,'4. Billing Determinants'!$B$19:$O$41,8,0)/'4. Billing Determinants'!$I$41*$D6, VLOOKUP(G$4,'4. Billing Determinants'!$B$19:$O$41,3,0)/'4. Billing Determinants'!$D$41*$D6))))),0)</f>
        <v>-61677.433749792981</v>
      </c>
      <c r="H6" s="75">
        <f>IFERROR(IF(H$4="",0,IF($E6="kWh",VLOOKUP(H$4,'4. Billing Determinants'!$B$19:$O$41,4,0)/'4. Billing Determinants'!$E$41*$D6,IF($E6="kW",VLOOKUP(H$4,'4. Billing Determinants'!$B$19:$O$41,5,0)/'4. Billing Determinants'!$F$41*$D6,IF($E6="Non-RPP kWh",VLOOKUP(H$4,'4. Billing Determinants'!$B$19:$O$41,6,0)/'4. Billing Determinants'!$G$41*$D6,IF($E6="Distribution Rev.",VLOOKUP(H$4,'4. Billing Determinants'!$B$19:$O$41,8,0)/'4. Billing Determinants'!$I$41*$D6, VLOOKUP(H$4,'4. Billing Determinants'!$B$19:$O$41,3,0)/'4. Billing Determinants'!$D$41*$D6))))),0)</f>
        <v>-138560.30048579664</v>
      </c>
      <c r="I6" s="75">
        <f>IFERROR(IF(I$4="",0,IF($E6="kWh",VLOOKUP(I$4,'4. Billing Determinants'!$B$19:$O$41,4,0)/'4. Billing Determinants'!$E$41*$D6,IF($E6="kW",VLOOKUP(I$4,'4. Billing Determinants'!$B$19:$O$41,5,0)/'4. Billing Determinants'!$F$41*$D6,IF($E6="Non-RPP kWh",VLOOKUP(I$4,'4. Billing Determinants'!$B$19:$O$41,6,0)/'4. Billing Determinants'!$G$41*$D6,IF($E6="Distribution Rev.",VLOOKUP(I$4,'4. Billing Determinants'!$B$19:$O$41,8,0)/'4. Billing Determinants'!$I$41*$D6, VLOOKUP(I$4,'4. Billing Determinants'!$B$19:$O$41,3,0)/'4. Billing Determinants'!$D$41*$D6))))),0)</f>
        <v>-383.19802093521918</v>
      </c>
      <c r="J6" s="75">
        <f>IFERROR(IF(J$4="",0,IF($E6="kWh",VLOOKUP(J$4,'4. Billing Determinants'!$B$19:$O$41,4,0)/'4. Billing Determinants'!$E$41*$D6,IF($E6="kW",VLOOKUP(J$4,'4. Billing Determinants'!$B$19:$O$41,5,0)/'4. Billing Determinants'!$F$41*$D6,IF($E6="Non-RPP kWh",VLOOKUP(J$4,'4. Billing Determinants'!$B$19:$O$41,6,0)/'4. Billing Determinants'!$G$41*$D6,IF($E6="Distribution Rev.",VLOOKUP(J$4,'4. Billing Determinants'!$B$19:$O$41,8,0)/'4. Billing Determinants'!$I$41*$D6, VLOOKUP(J$4,'4. Billing Determinants'!$B$19:$O$41,3,0)/'4. Billing Determinants'!$D$41*$D6))))),0)</f>
        <v>-2031.7982291728331</v>
      </c>
      <c r="K6" s="75">
        <f>IFERROR(IF(K$4="",0,IF($E6="kWh",VLOOKUP(K$4,'4. Billing Determinants'!$B$19:$O$41,4,0)/'4. Billing Determinants'!$E$41*$D6,IF($E6="kW",VLOOKUP(K$4,'4. Billing Determinants'!$B$19:$O$41,5,0)/'4. Billing Determinants'!$F$41*$D6,IF($E6="Non-RPP kWh",VLOOKUP(K$4,'4. Billing Determinants'!$B$19:$O$41,6,0)/'4. Billing Determinants'!$G$41*$D6,IF($E6="Distribution Rev.",VLOOKUP(K$4,'4. Billing Determinants'!$B$19:$O$41,8,0)/'4. Billing Determinants'!$I$41*$D6, VLOOKUP(K$4,'4. Billing Determinants'!$B$19:$O$41,3,0)/'4. Billing Determinants'!$D$41*$D6))))),0)</f>
        <v>0</v>
      </c>
      <c r="L6" s="75">
        <f>IFERROR(IF(L$4="",0,IF($E6="kWh",VLOOKUP(L$4,'4. Billing Determinants'!$B$19:$O$41,4,0)/'4. Billing Determinants'!$E$41*$D6,IF($E6="kW",VLOOKUP(L$4,'4. Billing Determinants'!$B$19:$O$41,5,0)/'4. Billing Determinants'!$F$41*$D6,IF($E6="Non-RPP kWh",VLOOKUP(L$4,'4. Billing Determinants'!$B$19:$O$41,6,0)/'4. Billing Determinants'!$G$41*$D6,IF($E6="Distribution Rev.",VLOOKUP(L$4,'4. Billing Determinants'!$B$19:$O$41,8,0)/'4. Billing Determinants'!$I$41*$D6, VLOOKUP(L$4,'4. Billing Determinants'!$B$19:$O$41,3,0)/'4. Billing Determinants'!$D$41*$D6))))),0)</f>
        <v>0</v>
      </c>
      <c r="M6" s="75">
        <f>IFERROR(IF(M$4="",0,IF($E6="kWh",VLOOKUP(M$4,'4. Billing Determinants'!$B$19:$O$41,4,0)/'4. Billing Determinants'!$E$41*$D6,IF($E6="kW",VLOOKUP(M$4,'4. Billing Determinants'!$B$19:$O$41,5,0)/'4. Billing Determinants'!$F$41*$D6,IF($E6="Non-RPP kWh",VLOOKUP(M$4,'4. Billing Determinants'!$B$19:$O$41,6,0)/'4. Billing Determinants'!$G$41*$D6,IF($E6="Distribution Rev.",VLOOKUP(M$4,'4. Billing Determinants'!$B$19:$O$41,8,0)/'4. Billing Determinants'!$I$41*$D6, VLOOKUP(M$4,'4. Billing Determinants'!$B$19:$O$41,3,0)/'4. Billing Determinants'!$D$41*$D6))))),0)</f>
        <v>0</v>
      </c>
      <c r="N6" s="75">
        <f>IFERROR(IF(N$4="",0,IF($E6="kWh",VLOOKUP(N$4,'4. Billing Determinants'!$B$19:$O$41,4,0)/'4. Billing Determinants'!$E$41*$D6,IF($E6="kW",VLOOKUP(N$4,'4. Billing Determinants'!$B$19:$O$41,5,0)/'4. Billing Determinants'!$F$41*$D6,IF($E6="Non-RPP kWh",VLOOKUP(N$4,'4. Billing Determinants'!$B$19:$O$41,6,0)/'4. Billing Determinants'!$G$41*$D6,IF($E6="Distribution Rev.",VLOOKUP(N$4,'4. Billing Determinants'!$B$19:$O$41,8,0)/'4. Billing Determinants'!$I$41*$D6, VLOOKUP(N$4,'4. Billing Determinants'!$B$19:$O$41,3,0)/'4. Billing Determinants'!$D$41*$D6))))),0)</f>
        <v>0</v>
      </c>
      <c r="O6" s="75">
        <f>IFERROR(IF(O$4="",0,IF($E6="kWh",VLOOKUP(O$4,'4. Billing Determinants'!$B$19:$O$41,4,0)/'4. Billing Determinants'!$E$41*$D6,IF($E6="kW",VLOOKUP(O$4,'4. Billing Determinants'!$B$19:$O$41,5,0)/'4. Billing Determinants'!$F$41*$D6,IF($E6="Non-RPP kWh",VLOOKUP(O$4,'4. Billing Determinants'!$B$19:$O$41,6,0)/'4. Billing Determinants'!$G$41*$D6,IF($E6="Distribution Rev.",VLOOKUP(O$4,'4. Billing Determinants'!$B$19:$O$41,8,0)/'4. Billing Determinants'!$I$41*$D6, VLOOKUP(O$4,'4. Billing Determinants'!$B$19:$O$41,3,0)/'4. Billing Determinants'!$D$41*$D6))))),0)</f>
        <v>0</v>
      </c>
      <c r="P6" s="75">
        <f>IFERROR(IF(P$4="",0,IF($E6="kWh",VLOOKUP(P$4,'4. Billing Determinants'!$B$19:$O$41,4,0)/'4. Billing Determinants'!$E$41*$D6,IF($E6="kW",VLOOKUP(P$4,'4. Billing Determinants'!$B$19:$O$41,5,0)/'4. Billing Determinants'!$F$41*$D6,IF($E6="Non-RPP kWh",VLOOKUP(P$4,'4. Billing Determinants'!$B$19:$O$41,6,0)/'4. Billing Determinants'!$G$41*$D6,IF($E6="Distribution Rev.",VLOOKUP(P$4,'4. Billing Determinants'!$B$19:$O$41,8,0)/'4. Billing Determinants'!$I$41*$D6, VLOOKUP(P$4,'4. Billing Determinants'!$B$19:$O$41,3,0)/'4. Billing Determinants'!$D$41*$D6))))),0)</f>
        <v>0</v>
      </c>
      <c r="Q6" s="75">
        <f>IFERROR(IF(Q$4="",0,IF($E6="kWh",VLOOKUP(Q$4,'4. Billing Determinants'!$B$19:$O$41,4,0)/'4. Billing Determinants'!$E$41*$D6,IF($E6="kW",VLOOKUP(Q$4,'4. Billing Determinants'!$B$19:$O$41,5,0)/'4. Billing Determinants'!$F$41*$D6,IF($E6="Non-RPP kWh",VLOOKUP(Q$4,'4. Billing Determinants'!$B$19:$O$41,6,0)/'4. Billing Determinants'!$G$41*$D6,IF($E6="Distribution Rev.",VLOOKUP(Q$4,'4. Billing Determinants'!$B$19:$O$41,8,0)/'4. Billing Determinants'!$I$41*$D6, VLOOKUP(Q$4,'4. Billing Determinants'!$B$19:$O$41,3,0)/'4. Billing Determinants'!$D$41*$D6))))),0)</f>
        <v>0</v>
      </c>
      <c r="R6" s="75">
        <f>IFERROR(IF(R$4="",0,IF($E6="kWh",VLOOKUP(R$4,'4. Billing Determinants'!$B$19:$O$41,4,0)/'4. Billing Determinants'!$E$41*$D6,IF($E6="kW",VLOOKUP(R$4,'4. Billing Determinants'!$B$19:$O$41,5,0)/'4. Billing Determinants'!$F$41*$D6,IF($E6="Non-RPP kWh",VLOOKUP(R$4,'4. Billing Determinants'!$B$19:$O$41,6,0)/'4. Billing Determinants'!$G$41*$D6,IF($E6="Distribution Rev.",VLOOKUP(R$4,'4. Billing Determinants'!$B$19:$O$41,8,0)/'4. Billing Determinants'!$I$41*$D6, VLOOKUP(R$4,'4. Billing Determinants'!$B$19:$O$41,3,0)/'4. Billing Determinants'!$D$41*$D6))))),0)</f>
        <v>0</v>
      </c>
      <c r="S6" s="75">
        <f>IFERROR(IF(S$4="",0,IF($E6="kWh",VLOOKUP(S$4,'4. Billing Determinants'!$B$19:$O$41,4,0)/'4. Billing Determinants'!$E$41*$D6,IF($E6="kW",VLOOKUP(S$4,'4. Billing Determinants'!$B$19:$O$41,5,0)/'4. Billing Determinants'!$F$41*$D6,IF($E6="Non-RPP kWh",VLOOKUP(S$4,'4. Billing Determinants'!$B$19:$O$41,6,0)/'4. Billing Determinants'!$G$41*$D6,IF($E6="Distribution Rev.",VLOOKUP(S$4,'4. Billing Determinants'!$B$19:$O$41,8,0)/'4. Billing Determinants'!$I$41*$D6, VLOOKUP(S$4,'4. Billing Determinants'!$B$19:$O$41,3,0)/'4. Billing Determinants'!$D$41*$D6))))),0)</f>
        <v>0</v>
      </c>
      <c r="T6" s="75">
        <f>IFERROR(IF(T$4="",0,IF($E6="kWh",VLOOKUP(T$4,'4. Billing Determinants'!$B$19:$O$41,4,0)/'4. Billing Determinants'!$E$41*$D6,IF($E6="kW",VLOOKUP(T$4,'4. Billing Determinants'!$B$19:$O$41,5,0)/'4. Billing Determinants'!$F$41*$D6,IF($E6="Non-RPP kWh",VLOOKUP(T$4,'4. Billing Determinants'!$B$19:$O$41,6,0)/'4. Billing Determinants'!$G$41*$D6,IF($E6="Distribution Rev.",VLOOKUP(T$4,'4. Billing Determinants'!$B$19:$O$41,8,0)/'4. Billing Determinants'!$I$41*$D6, VLOOKUP(T$4,'4. Billing Determinants'!$B$19:$O$41,3,0)/'4. Billing Determinants'!$D$41*$D6))))),0)</f>
        <v>0</v>
      </c>
      <c r="U6" s="75">
        <f>IFERROR(IF(U$4="",0,IF($E6="kWh",VLOOKUP(U$4,'4. Billing Determinants'!$B$19:$O$41,4,0)/'4. Billing Determinants'!$E$41*$D6,IF($E6="kW",VLOOKUP(U$4,'4. Billing Determinants'!$B$19:$O$41,5,0)/'4. Billing Determinants'!$F$41*$D6,IF($E6="Non-RPP kWh",VLOOKUP(U$4,'4. Billing Determinants'!$B$19:$O$41,6,0)/'4. Billing Determinants'!$G$41*$D6,IF($E6="Distribution Rev.",VLOOKUP(U$4,'4. Billing Determinants'!$B$19:$O$41,8,0)/'4. Billing Determinants'!$I$41*$D6, VLOOKUP(U$4,'4. Billing Determinants'!$B$19:$O$41,3,0)/'4. Billing Determinants'!$D$41*$D6))))),0)</f>
        <v>0</v>
      </c>
      <c r="V6" s="75">
        <f>IFERROR(IF(V$4="",0,IF($E6="kWh",VLOOKUP(V$4,'4. Billing Determinants'!$B$19:$O$41,4,0)/'4. Billing Determinants'!$E$41*$D6,IF($E6="kW",VLOOKUP(V$4,'4. Billing Determinants'!$B$19:$O$41,5,0)/'4. Billing Determinants'!$F$41*$D6,IF($E6="Non-RPP kWh",VLOOKUP(V$4,'4. Billing Determinants'!$B$19:$O$41,6,0)/'4. Billing Determinants'!$G$41*$D6,IF($E6="Distribution Rev.",VLOOKUP(V$4,'4. Billing Determinants'!$B$19:$O$41,8,0)/'4. Billing Determinants'!$I$41*$D6, VLOOKUP(V$4,'4. Billing Determinants'!$B$19:$O$41,3,0)/'4. Billing Determinants'!$D$41*$D6))))),0)</f>
        <v>0</v>
      </c>
      <c r="W6" s="75">
        <f>IFERROR(IF(W$4="",0,IF($E6="kWh",VLOOKUP(W$4,'4. Billing Determinants'!$B$19:$O$41,4,0)/'4. Billing Determinants'!$E$41*$D6,IF($E6="kW",VLOOKUP(W$4,'4. Billing Determinants'!$B$19:$O$41,5,0)/'4. Billing Determinants'!$F$41*$D6,IF($E6="Non-RPP kWh",VLOOKUP(W$4,'4. Billing Determinants'!$B$19:$O$41,6,0)/'4. Billing Determinants'!$G$41*$D6,IF($E6="Distribution Rev.",VLOOKUP(W$4,'4. Billing Determinants'!$B$19:$O$41,8,0)/'4. Billing Determinants'!$I$41*$D6, VLOOKUP(W$4,'4. Billing Determinants'!$B$19:$O$41,3,0)/'4. Billing Determinants'!$D$41*$D6))))),0)</f>
        <v>0</v>
      </c>
      <c r="X6" s="75">
        <f>IFERROR(IF(X$4="",0,IF($E6="kWh",VLOOKUP(X$4,'4. Billing Determinants'!$B$19:$O$41,4,0)/'4. Billing Determinants'!$E$41*$D6,IF($E6="kW",VLOOKUP(X$4,'4. Billing Determinants'!$B$19:$O$41,5,0)/'4. Billing Determinants'!$F$41*$D6,IF($E6="Non-RPP kWh",VLOOKUP(X$4,'4. Billing Determinants'!$B$19:$O$41,6,0)/'4. Billing Determinants'!$G$41*$D6,IF($E6="Distribution Rev.",VLOOKUP(X$4,'4. Billing Determinants'!$B$19:$O$41,8,0)/'4. Billing Determinants'!$I$41*$D6, VLOOKUP(X$4,'4. Billing Determinants'!$B$19:$O$41,3,0)/'4. Billing Determinants'!$D$41*$D6))))),0)</f>
        <v>0</v>
      </c>
      <c r="Y6" s="75">
        <f>IFERROR(IF(Y$4="",0,IF($E6="kWh",VLOOKUP(Y$4,'4. Billing Determinants'!$B$19:$O$41,4,0)/'4. Billing Determinants'!$E$41*$D6,IF($E6="kW",VLOOKUP(Y$4,'4. Billing Determinants'!$B$19:$O$41,5,0)/'4. Billing Determinants'!$F$41*$D6,IF($E6="Non-RPP kWh",VLOOKUP(Y$4,'4. Billing Determinants'!$B$19:$O$41,6,0)/'4. Billing Determinants'!$G$41*$D6,IF($E6="Distribution Rev.",VLOOKUP(Y$4,'4. Billing Determinants'!$B$19:$O$41,8,0)/'4. Billing Determinants'!$I$41*$D6, VLOOKUP(Y$4,'4. Billing Determinants'!$B$19:$O$41,3,0)/'4. Billing Determinants'!$D$41*$D6))))),0)</f>
        <v>0</v>
      </c>
    </row>
    <row r="7" spans="2:25" x14ac:dyDescent="0.2">
      <c r="B7" s="76" t="s">
        <v>2</v>
      </c>
      <c r="C7" s="74">
        <v>1584</v>
      </c>
      <c r="D7" s="75">
        <f>'2. 2013 Continuity Schedule'!CP26</f>
        <v>95348.456827999966</v>
      </c>
      <c r="E7" s="208" t="s">
        <v>306</v>
      </c>
      <c r="F7" s="75">
        <f>IFERROR(IF(F$4="",0,IF($E7="kWh",VLOOKUP(F$4,'4. Billing Determinants'!$B$19:$O$41,4,0)/'4. Billing Determinants'!$E$41*$D7,IF($E7="kW",VLOOKUP(F$4,'4. Billing Determinants'!$B$19:$O$41,5,0)/'4. Billing Determinants'!$F$41*$D7,IF($E7="Non-RPP kWh",VLOOKUP(F$4,'4. Billing Determinants'!$B$19:$O$41,6,0)/'4. Billing Determinants'!$G$41*$D7,IF($E7="Distribution Rev.",VLOOKUP(F$4,'4. Billing Determinants'!$B$19:$O$41,8,0)/'4. Billing Determinants'!$I$41*$D7, VLOOKUP(F$4,'4. Billing Determinants'!$B$19:$O$41,3,0)/'4. Billing Determinants'!$D$41*$D7))))),0)</f>
        <v>34871.667010190358</v>
      </c>
      <c r="G7" s="75">
        <f>IFERROR(IF(G$4="",0,IF($E7="kWh",VLOOKUP(G$4,'4. Billing Determinants'!$B$19:$O$41,4,0)/'4. Billing Determinants'!$E$41*$D7,IF($E7="kW",VLOOKUP(G$4,'4. Billing Determinants'!$B$19:$O$41,5,0)/'4. Billing Determinants'!$F$41*$D7,IF($E7="Non-RPP kWh",VLOOKUP(G$4,'4. Billing Determinants'!$B$19:$O$41,6,0)/'4. Billing Determinants'!$G$41*$D7,IF($E7="Distribution Rev.",VLOOKUP(G$4,'4. Billing Determinants'!$B$19:$O$41,8,0)/'4. Billing Determinants'!$I$41*$D7, VLOOKUP(G$4,'4. Billing Determinants'!$B$19:$O$41,3,0)/'4. Billing Determinants'!$D$41*$D7))))),0)</f>
        <v>18406.133430565136</v>
      </c>
      <c r="H7" s="75">
        <f>IFERROR(IF(H$4="",0,IF($E7="kWh",VLOOKUP(H$4,'4. Billing Determinants'!$B$19:$O$41,4,0)/'4. Billing Determinants'!$E$41*$D7,IF($E7="kW",VLOOKUP(H$4,'4. Billing Determinants'!$B$19:$O$41,5,0)/'4. Billing Determinants'!$F$41*$D7,IF($E7="Non-RPP kWh",VLOOKUP(H$4,'4. Billing Determinants'!$B$19:$O$41,6,0)/'4. Billing Determinants'!$G$41*$D7,IF($E7="Distribution Rev.",VLOOKUP(H$4,'4. Billing Determinants'!$B$19:$O$41,8,0)/'4. Billing Determinants'!$I$41*$D7, VLOOKUP(H$4,'4. Billing Determinants'!$B$19:$O$41,3,0)/'4. Billing Determinants'!$D$41*$D7))))),0)</f>
        <v>41349.959358990556</v>
      </c>
      <c r="I7" s="75">
        <f>IFERROR(IF(I$4="",0,IF($E7="kWh",VLOOKUP(I$4,'4. Billing Determinants'!$B$19:$O$41,4,0)/'4. Billing Determinants'!$E$41*$D7,IF($E7="kW",VLOOKUP(I$4,'4. Billing Determinants'!$B$19:$O$41,5,0)/'4. Billing Determinants'!$F$41*$D7,IF($E7="Non-RPP kWh",VLOOKUP(I$4,'4. Billing Determinants'!$B$19:$O$41,6,0)/'4. Billing Determinants'!$G$41*$D7,IF($E7="Distribution Rev.",VLOOKUP(I$4,'4. Billing Determinants'!$B$19:$O$41,8,0)/'4. Billing Determinants'!$I$41*$D7, VLOOKUP(I$4,'4. Billing Determinants'!$B$19:$O$41,3,0)/'4. Billing Determinants'!$D$41*$D7))))),0)</f>
        <v>114.35615061863385</v>
      </c>
      <c r="J7" s="75">
        <f>IFERROR(IF(J$4="",0,IF($E7="kWh",VLOOKUP(J$4,'4. Billing Determinants'!$B$19:$O$41,4,0)/'4. Billing Determinants'!$E$41*$D7,IF($E7="kW",VLOOKUP(J$4,'4. Billing Determinants'!$B$19:$O$41,5,0)/'4. Billing Determinants'!$F$41*$D7,IF($E7="Non-RPP kWh",VLOOKUP(J$4,'4. Billing Determinants'!$B$19:$O$41,6,0)/'4. Billing Determinants'!$G$41*$D7,IF($E7="Distribution Rev.",VLOOKUP(J$4,'4. Billing Determinants'!$B$19:$O$41,8,0)/'4. Billing Determinants'!$I$41*$D7, VLOOKUP(J$4,'4. Billing Determinants'!$B$19:$O$41,3,0)/'4. Billing Determinants'!$D$41*$D7))))),0)</f>
        <v>606.34087763527691</v>
      </c>
      <c r="K7" s="75">
        <f>IFERROR(IF(K$4="",0,IF($E7="kWh",VLOOKUP(K$4,'4. Billing Determinants'!$B$19:$O$41,4,0)/'4. Billing Determinants'!$E$41*$D7,IF($E7="kW",VLOOKUP(K$4,'4. Billing Determinants'!$B$19:$O$41,5,0)/'4. Billing Determinants'!$F$41*$D7,IF($E7="Non-RPP kWh",VLOOKUP(K$4,'4. Billing Determinants'!$B$19:$O$41,6,0)/'4. Billing Determinants'!$G$41*$D7,IF($E7="Distribution Rev.",VLOOKUP(K$4,'4. Billing Determinants'!$B$19:$O$41,8,0)/'4. Billing Determinants'!$I$41*$D7, VLOOKUP(K$4,'4. Billing Determinants'!$B$19:$O$41,3,0)/'4. Billing Determinants'!$D$41*$D7))))),0)</f>
        <v>0</v>
      </c>
      <c r="L7" s="75">
        <f>IFERROR(IF(L$4="",0,IF($E7="kWh",VLOOKUP(L$4,'4. Billing Determinants'!$B$19:$O$41,4,0)/'4. Billing Determinants'!$E$41*$D7,IF($E7="kW",VLOOKUP(L$4,'4. Billing Determinants'!$B$19:$O$41,5,0)/'4. Billing Determinants'!$F$41*$D7,IF($E7="Non-RPP kWh",VLOOKUP(L$4,'4. Billing Determinants'!$B$19:$O$41,6,0)/'4. Billing Determinants'!$G$41*$D7,IF($E7="Distribution Rev.",VLOOKUP(L$4,'4. Billing Determinants'!$B$19:$O$41,8,0)/'4. Billing Determinants'!$I$41*$D7, VLOOKUP(L$4,'4. Billing Determinants'!$B$19:$O$41,3,0)/'4. Billing Determinants'!$D$41*$D7))))),0)</f>
        <v>0</v>
      </c>
      <c r="M7" s="75">
        <f>IFERROR(IF(M$4="",0,IF($E7="kWh",VLOOKUP(M$4,'4. Billing Determinants'!$B$19:$O$41,4,0)/'4. Billing Determinants'!$E$41*$D7,IF($E7="kW",VLOOKUP(M$4,'4. Billing Determinants'!$B$19:$O$41,5,0)/'4. Billing Determinants'!$F$41*$D7,IF($E7="Non-RPP kWh",VLOOKUP(M$4,'4. Billing Determinants'!$B$19:$O$41,6,0)/'4. Billing Determinants'!$G$41*$D7,IF($E7="Distribution Rev.",VLOOKUP(M$4,'4. Billing Determinants'!$B$19:$O$41,8,0)/'4. Billing Determinants'!$I$41*$D7, VLOOKUP(M$4,'4. Billing Determinants'!$B$19:$O$41,3,0)/'4. Billing Determinants'!$D$41*$D7))))),0)</f>
        <v>0</v>
      </c>
      <c r="N7" s="75">
        <f>IFERROR(IF(N$4="",0,IF($E7="kWh",VLOOKUP(N$4,'4. Billing Determinants'!$B$19:$O$41,4,0)/'4. Billing Determinants'!$E$41*$D7,IF($E7="kW",VLOOKUP(N$4,'4. Billing Determinants'!$B$19:$O$41,5,0)/'4. Billing Determinants'!$F$41*$D7,IF($E7="Non-RPP kWh",VLOOKUP(N$4,'4. Billing Determinants'!$B$19:$O$41,6,0)/'4. Billing Determinants'!$G$41*$D7,IF($E7="Distribution Rev.",VLOOKUP(N$4,'4. Billing Determinants'!$B$19:$O$41,8,0)/'4. Billing Determinants'!$I$41*$D7, VLOOKUP(N$4,'4. Billing Determinants'!$B$19:$O$41,3,0)/'4. Billing Determinants'!$D$41*$D7))))),0)</f>
        <v>0</v>
      </c>
      <c r="O7" s="75">
        <f>IFERROR(IF(O$4="",0,IF($E7="kWh",VLOOKUP(O$4,'4. Billing Determinants'!$B$19:$O$41,4,0)/'4. Billing Determinants'!$E$41*$D7,IF($E7="kW",VLOOKUP(O$4,'4. Billing Determinants'!$B$19:$O$41,5,0)/'4. Billing Determinants'!$F$41*$D7,IF($E7="Non-RPP kWh",VLOOKUP(O$4,'4. Billing Determinants'!$B$19:$O$41,6,0)/'4. Billing Determinants'!$G$41*$D7,IF($E7="Distribution Rev.",VLOOKUP(O$4,'4. Billing Determinants'!$B$19:$O$41,8,0)/'4. Billing Determinants'!$I$41*$D7, VLOOKUP(O$4,'4. Billing Determinants'!$B$19:$O$41,3,0)/'4. Billing Determinants'!$D$41*$D7))))),0)</f>
        <v>0</v>
      </c>
      <c r="P7" s="75">
        <f>IFERROR(IF(P$4="",0,IF($E7="kWh",VLOOKUP(P$4,'4. Billing Determinants'!$B$19:$O$41,4,0)/'4. Billing Determinants'!$E$41*$D7,IF($E7="kW",VLOOKUP(P$4,'4. Billing Determinants'!$B$19:$O$41,5,0)/'4. Billing Determinants'!$F$41*$D7,IF($E7="Non-RPP kWh",VLOOKUP(P$4,'4. Billing Determinants'!$B$19:$O$41,6,0)/'4. Billing Determinants'!$G$41*$D7,IF($E7="Distribution Rev.",VLOOKUP(P$4,'4. Billing Determinants'!$B$19:$O$41,8,0)/'4. Billing Determinants'!$I$41*$D7, VLOOKUP(P$4,'4. Billing Determinants'!$B$19:$O$41,3,0)/'4. Billing Determinants'!$D$41*$D7))))),0)</f>
        <v>0</v>
      </c>
      <c r="Q7" s="75">
        <f>IFERROR(IF(Q$4="",0,IF($E7="kWh",VLOOKUP(Q$4,'4. Billing Determinants'!$B$19:$O$41,4,0)/'4. Billing Determinants'!$E$41*$D7,IF($E7="kW",VLOOKUP(Q$4,'4. Billing Determinants'!$B$19:$O$41,5,0)/'4. Billing Determinants'!$F$41*$D7,IF($E7="Non-RPP kWh",VLOOKUP(Q$4,'4. Billing Determinants'!$B$19:$O$41,6,0)/'4. Billing Determinants'!$G$41*$D7,IF($E7="Distribution Rev.",VLOOKUP(Q$4,'4. Billing Determinants'!$B$19:$O$41,8,0)/'4. Billing Determinants'!$I$41*$D7, VLOOKUP(Q$4,'4. Billing Determinants'!$B$19:$O$41,3,0)/'4. Billing Determinants'!$D$41*$D7))))),0)</f>
        <v>0</v>
      </c>
      <c r="R7" s="75">
        <f>IFERROR(IF(R$4="",0,IF($E7="kWh",VLOOKUP(R$4,'4. Billing Determinants'!$B$19:$O$41,4,0)/'4. Billing Determinants'!$E$41*$D7,IF($E7="kW",VLOOKUP(R$4,'4. Billing Determinants'!$B$19:$O$41,5,0)/'4. Billing Determinants'!$F$41*$D7,IF($E7="Non-RPP kWh",VLOOKUP(R$4,'4. Billing Determinants'!$B$19:$O$41,6,0)/'4. Billing Determinants'!$G$41*$D7,IF($E7="Distribution Rev.",VLOOKUP(R$4,'4. Billing Determinants'!$B$19:$O$41,8,0)/'4. Billing Determinants'!$I$41*$D7, VLOOKUP(R$4,'4. Billing Determinants'!$B$19:$O$41,3,0)/'4. Billing Determinants'!$D$41*$D7))))),0)</f>
        <v>0</v>
      </c>
      <c r="S7" s="75">
        <f>IFERROR(IF(S$4="",0,IF($E7="kWh",VLOOKUP(S$4,'4. Billing Determinants'!$B$19:$O$41,4,0)/'4. Billing Determinants'!$E$41*$D7,IF($E7="kW",VLOOKUP(S$4,'4. Billing Determinants'!$B$19:$O$41,5,0)/'4. Billing Determinants'!$F$41*$D7,IF($E7="Non-RPP kWh",VLOOKUP(S$4,'4. Billing Determinants'!$B$19:$O$41,6,0)/'4. Billing Determinants'!$G$41*$D7,IF($E7="Distribution Rev.",VLOOKUP(S$4,'4. Billing Determinants'!$B$19:$O$41,8,0)/'4. Billing Determinants'!$I$41*$D7, VLOOKUP(S$4,'4. Billing Determinants'!$B$19:$O$41,3,0)/'4. Billing Determinants'!$D$41*$D7))))),0)</f>
        <v>0</v>
      </c>
      <c r="T7" s="75">
        <f>IFERROR(IF(T$4="",0,IF($E7="kWh",VLOOKUP(T$4,'4. Billing Determinants'!$B$19:$O$41,4,0)/'4. Billing Determinants'!$E$41*$D7,IF($E7="kW",VLOOKUP(T$4,'4. Billing Determinants'!$B$19:$O$41,5,0)/'4. Billing Determinants'!$F$41*$D7,IF($E7="Non-RPP kWh",VLOOKUP(T$4,'4. Billing Determinants'!$B$19:$O$41,6,0)/'4. Billing Determinants'!$G$41*$D7,IF($E7="Distribution Rev.",VLOOKUP(T$4,'4. Billing Determinants'!$B$19:$O$41,8,0)/'4. Billing Determinants'!$I$41*$D7, VLOOKUP(T$4,'4. Billing Determinants'!$B$19:$O$41,3,0)/'4. Billing Determinants'!$D$41*$D7))))),0)</f>
        <v>0</v>
      </c>
      <c r="U7" s="75">
        <f>IFERROR(IF(U$4="",0,IF($E7="kWh",VLOOKUP(U$4,'4. Billing Determinants'!$B$19:$O$41,4,0)/'4. Billing Determinants'!$E$41*$D7,IF($E7="kW",VLOOKUP(U$4,'4. Billing Determinants'!$B$19:$O$41,5,0)/'4. Billing Determinants'!$F$41*$D7,IF($E7="Non-RPP kWh",VLOOKUP(U$4,'4. Billing Determinants'!$B$19:$O$41,6,0)/'4. Billing Determinants'!$G$41*$D7,IF($E7="Distribution Rev.",VLOOKUP(U$4,'4. Billing Determinants'!$B$19:$O$41,8,0)/'4. Billing Determinants'!$I$41*$D7, VLOOKUP(U$4,'4. Billing Determinants'!$B$19:$O$41,3,0)/'4. Billing Determinants'!$D$41*$D7))))),0)</f>
        <v>0</v>
      </c>
      <c r="V7" s="75">
        <f>IFERROR(IF(V$4="",0,IF($E7="kWh",VLOOKUP(V$4,'4. Billing Determinants'!$B$19:$O$41,4,0)/'4. Billing Determinants'!$E$41*$D7,IF($E7="kW",VLOOKUP(V$4,'4. Billing Determinants'!$B$19:$O$41,5,0)/'4. Billing Determinants'!$F$41*$D7,IF($E7="Non-RPP kWh",VLOOKUP(V$4,'4. Billing Determinants'!$B$19:$O$41,6,0)/'4. Billing Determinants'!$G$41*$D7,IF($E7="Distribution Rev.",VLOOKUP(V$4,'4. Billing Determinants'!$B$19:$O$41,8,0)/'4. Billing Determinants'!$I$41*$D7, VLOOKUP(V$4,'4. Billing Determinants'!$B$19:$O$41,3,0)/'4. Billing Determinants'!$D$41*$D7))))),0)</f>
        <v>0</v>
      </c>
      <c r="W7" s="75">
        <f>IFERROR(IF(W$4="",0,IF($E7="kWh",VLOOKUP(W$4,'4. Billing Determinants'!$B$19:$O$41,4,0)/'4. Billing Determinants'!$E$41*$D7,IF($E7="kW",VLOOKUP(W$4,'4. Billing Determinants'!$B$19:$O$41,5,0)/'4. Billing Determinants'!$F$41*$D7,IF($E7="Non-RPP kWh",VLOOKUP(W$4,'4. Billing Determinants'!$B$19:$O$41,6,0)/'4. Billing Determinants'!$G$41*$D7,IF($E7="Distribution Rev.",VLOOKUP(W$4,'4. Billing Determinants'!$B$19:$O$41,8,0)/'4. Billing Determinants'!$I$41*$D7, VLOOKUP(W$4,'4. Billing Determinants'!$B$19:$O$41,3,0)/'4. Billing Determinants'!$D$41*$D7))))),0)</f>
        <v>0</v>
      </c>
      <c r="X7" s="75">
        <f>IFERROR(IF(X$4="",0,IF($E7="kWh",VLOOKUP(X$4,'4. Billing Determinants'!$B$19:$O$41,4,0)/'4. Billing Determinants'!$E$41*$D7,IF($E7="kW",VLOOKUP(X$4,'4. Billing Determinants'!$B$19:$O$41,5,0)/'4. Billing Determinants'!$F$41*$D7,IF($E7="Non-RPP kWh",VLOOKUP(X$4,'4. Billing Determinants'!$B$19:$O$41,6,0)/'4. Billing Determinants'!$G$41*$D7,IF($E7="Distribution Rev.",VLOOKUP(X$4,'4. Billing Determinants'!$B$19:$O$41,8,0)/'4. Billing Determinants'!$I$41*$D7, VLOOKUP(X$4,'4. Billing Determinants'!$B$19:$O$41,3,0)/'4. Billing Determinants'!$D$41*$D7))))),0)</f>
        <v>0</v>
      </c>
      <c r="Y7" s="75">
        <f>IFERROR(IF(Y$4="",0,IF($E7="kWh",VLOOKUP(Y$4,'4. Billing Determinants'!$B$19:$O$41,4,0)/'4. Billing Determinants'!$E$41*$D7,IF($E7="kW",VLOOKUP(Y$4,'4. Billing Determinants'!$B$19:$O$41,5,0)/'4. Billing Determinants'!$F$41*$D7,IF($E7="Non-RPP kWh",VLOOKUP(Y$4,'4. Billing Determinants'!$B$19:$O$41,6,0)/'4. Billing Determinants'!$G$41*$D7,IF($E7="Distribution Rev.",VLOOKUP(Y$4,'4. Billing Determinants'!$B$19:$O$41,8,0)/'4. Billing Determinants'!$I$41*$D7, VLOOKUP(Y$4,'4. Billing Determinants'!$B$19:$O$41,3,0)/'4. Billing Determinants'!$D$41*$D7))))),0)</f>
        <v>0</v>
      </c>
    </row>
    <row r="8" spans="2:25" x14ac:dyDescent="0.2">
      <c r="B8" s="76" t="s">
        <v>3</v>
      </c>
      <c r="C8" s="74">
        <v>1586</v>
      </c>
      <c r="D8" s="75">
        <f>'2. 2013 Continuity Schedule'!CP27</f>
        <v>4675.1032599999908</v>
      </c>
      <c r="E8" s="208" t="s">
        <v>306</v>
      </c>
      <c r="F8" s="75">
        <f>IFERROR(IF(F$4="",0,IF($E8="kWh",VLOOKUP(F$4,'4. Billing Determinants'!$B$19:$O$41,4,0)/'4. Billing Determinants'!$E$41*$D8,IF($E8="kW",VLOOKUP(F$4,'4. Billing Determinants'!$B$19:$O$41,5,0)/'4. Billing Determinants'!$F$41*$D8,IF($E8="Non-RPP kWh",VLOOKUP(F$4,'4. Billing Determinants'!$B$19:$O$41,6,0)/'4. Billing Determinants'!$G$41*$D8,IF($E8="Distribution Rev.",VLOOKUP(F$4,'4. Billing Determinants'!$B$19:$O$41,8,0)/'4. Billing Determinants'!$I$41*$D8, VLOOKUP(F$4,'4. Billing Determinants'!$B$19:$O$41,3,0)/'4. Billing Determinants'!$D$41*$D8))))),0)</f>
        <v>1709.8194301672243</v>
      </c>
      <c r="G8" s="75">
        <f>IFERROR(IF(G$4="",0,IF($E8="kWh",VLOOKUP(G$4,'4. Billing Determinants'!$B$19:$O$41,4,0)/'4. Billing Determinants'!$E$41*$D8,IF($E8="kW",VLOOKUP(G$4,'4. Billing Determinants'!$B$19:$O$41,5,0)/'4. Billing Determinants'!$F$41*$D8,IF($E8="Non-RPP kWh",VLOOKUP(G$4,'4. Billing Determinants'!$B$19:$O$41,6,0)/'4. Billing Determinants'!$G$41*$D8,IF($E8="Distribution Rev.",VLOOKUP(G$4,'4. Billing Determinants'!$B$19:$O$41,8,0)/'4. Billing Determinants'!$I$41*$D8, VLOOKUP(G$4,'4. Billing Determinants'!$B$19:$O$41,3,0)/'4. Billing Determinants'!$D$41*$D8))))),0)</f>
        <v>902.48523434896674</v>
      </c>
      <c r="H8" s="75">
        <f>IFERROR(IF(H$4="",0,IF($E8="kWh",VLOOKUP(H$4,'4. Billing Determinants'!$B$19:$O$41,4,0)/'4. Billing Determinants'!$E$41*$D8,IF($E8="kW",VLOOKUP(H$4,'4. Billing Determinants'!$B$19:$O$41,5,0)/'4. Billing Determinants'!$F$41*$D8,IF($E8="Non-RPP kWh",VLOOKUP(H$4,'4. Billing Determinants'!$B$19:$O$41,6,0)/'4. Billing Determinants'!$G$41*$D8,IF($E8="Distribution Rev.",VLOOKUP(H$4,'4. Billing Determinants'!$B$19:$O$41,8,0)/'4. Billing Determinants'!$I$41*$D8, VLOOKUP(H$4,'4. Billing Determinants'!$B$19:$O$41,3,0)/'4. Billing Determinants'!$D$41*$D8))))),0)</f>
        <v>2027.4615471628169</v>
      </c>
      <c r="I8" s="75">
        <f>IFERROR(IF(I$4="",0,IF($E8="kWh",VLOOKUP(I$4,'4. Billing Determinants'!$B$19:$O$41,4,0)/'4. Billing Determinants'!$E$41*$D8,IF($E8="kW",VLOOKUP(I$4,'4. Billing Determinants'!$B$19:$O$41,5,0)/'4. Billing Determinants'!$F$41*$D8,IF($E8="Non-RPP kWh",VLOOKUP(I$4,'4. Billing Determinants'!$B$19:$O$41,6,0)/'4. Billing Determinants'!$G$41*$D8,IF($E8="Distribution Rev.",VLOOKUP(I$4,'4. Billing Determinants'!$B$19:$O$41,8,0)/'4. Billing Determinants'!$I$41*$D8, VLOOKUP(I$4,'4. Billing Determinants'!$B$19:$O$41,3,0)/'4. Billing Determinants'!$D$41*$D8))))),0)</f>
        <v>5.6070840613880488</v>
      </c>
      <c r="J8" s="75">
        <f>IFERROR(IF(J$4="",0,IF($E8="kWh",VLOOKUP(J$4,'4. Billing Determinants'!$B$19:$O$41,4,0)/'4. Billing Determinants'!$E$41*$D8,IF($E8="kW",VLOOKUP(J$4,'4. Billing Determinants'!$B$19:$O$41,5,0)/'4. Billing Determinants'!$F$41*$D8,IF($E8="Non-RPP kWh",VLOOKUP(J$4,'4. Billing Determinants'!$B$19:$O$41,6,0)/'4. Billing Determinants'!$G$41*$D8,IF($E8="Distribution Rev.",VLOOKUP(J$4,'4. Billing Determinants'!$B$19:$O$41,8,0)/'4. Billing Determinants'!$I$41*$D8, VLOOKUP(J$4,'4. Billing Determinants'!$B$19:$O$41,3,0)/'4. Billing Determinants'!$D$41*$D8))))),0)</f>
        <v>29.729964259594613</v>
      </c>
      <c r="K8" s="75">
        <f>IFERROR(IF(K$4="",0,IF($E8="kWh",VLOOKUP(K$4,'4. Billing Determinants'!$B$19:$O$41,4,0)/'4. Billing Determinants'!$E$41*$D8,IF($E8="kW",VLOOKUP(K$4,'4. Billing Determinants'!$B$19:$O$41,5,0)/'4. Billing Determinants'!$F$41*$D8,IF($E8="Non-RPP kWh",VLOOKUP(K$4,'4. Billing Determinants'!$B$19:$O$41,6,0)/'4. Billing Determinants'!$G$41*$D8,IF($E8="Distribution Rev.",VLOOKUP(K$4,'4. Billing Determinants'!$B$19:$O$41,8,0)/'4. Billing Determinants'!$I$41*$D8, VLOOKUP(K$4,'4. Billing Determinants'!$B$19:$O$41,3,0)/'4. Billing Determinants'!$D$41*$D8))))),0)</f>
        <v>0</v>
      </c>
      <c r="L8" s="75">
        <f>IFERROR(IF(L$4="",0,IF($E8="kWh",VLOOKUP(L$4,'4. Billing Determinants'!$B$19:$O$41,4,0)/'4. Billing Determinants'!$E$41*$D8,IF($E8="kW",VLOOKUP(L$4,'4. Billing Determinants'!$B$19:$O$41,5,0)/'4. Billing Determinants'!$F$41*$D8,IF($E8="Non-RPP kWh",VLOOKUP(L$4,'4. Billing Determinants'!$B$19:$O$41,6,0)/'4. Billing Determinants'!$G$41*$D8,IF($E8="Distribution Rev.",VLOOKUP(L$4,'4. Billing Determinants'!$B$19:$O$41,8,0)/'4. Billing Determinants'!$I$41*$D8, VLOOKUP(L$4,'4. Billing Determinants'!$B$19:$O$41,3,0)/'4. Billing Determinants'!$D$41*$D8))))),0)</f>
        <v>0</v>
      </c>
      <c r="M8" s="75">
        <f>IFERROR(IF(M$4="",0,IF($E8="kWh",VLOOKUP(M$4,'4. Billing Determinants'!$B$19:$O$41,4,0)/'4. Billing Determinants'!$E$41*$D8,IF($E8="kW",VLOOKUP(M$4,'4. Billing Determinants'!$B$19:$O$41,5,0)/'4. Billing Determinants'!$F$41*$D8,IF($E8="Non-RPP kWh",VLOOKUP(M$4,'4. Billing Determinants'!$B$19:$O$41,6,0)/'4. Billing Determinants'!$G$41*$D8,IF($E8="Distribution Rev.",VLOOKUP(M$4,'4. Billing Determinants'!$B$19:$O$41,8,0)/'4. Billing Determinants'!$I$41*$D8, VLOOKUP(M$4,'4. Billing Determinants'!$B$19:$O$41,3,0)/'4. Billing Determinants'!$D$41*$D8))))),0)</f>
        <v>0</v>
      </c>
      <c r="N8" s="75">
        <f>IFERROR(IF(N$4="",0,IF($E8="kWh",VLOOKUP(N$4,'4. Billing Determinants'!$B$19:$O$41,4,0)/'4. Billing Determinants'!$E$41*$D8,IF($E8="kW",VLOOKUP(N$4,'4. Billing Determinants'!$B$19:$O$41,5,0)/'4. Billing Determinants'!$F$41*$D8,IF($E8="Non-RPP kWh",VLOOKUP(N$4,'4. Billing Determinants'!$B$19:$O$41,6,0)/'4. Billing Determinants'!$G$41*$D8,IF($E8="Distribution Rev.",VLOOKUP(N$4,'4. Billing Determinants'!$B$19:$O$41,8,0)/'4. Billing Determinants'!$I$41*$D8, VLOOKUP(N$4,'4. Billing Determinants'!$B$19:$O$41,3,0)/'4. Billing Determinants'!$D$41*$D8))))),0)</f>
        <v>0</v>
      </c>
      <c r="O8" s="75">
        <f>IFERROR(IF(O$4="",0,IF($E8="kWh",VLOOKUP(O$4,'4. Billing Determinants'!$B$19:$O$41,4,0)/'4. Billing Determinants'!$E$41*$D8,IF($E8="kW",VLOOKUP(O$4,'4. Billing Determinants'!$B$19:$O$41,5,0)/'4. Billing Determinants'!$F$41*$D8,IF($E8="Non-RPP kWh",VLOOKUP(O$4,'4. Billing Determinants'!$B$19:$O$41,6,0)/'4. Billing Determinants'!$G$41*$D8,IF($E8="Distribution Rev.",VLOOKUP(O$4,'4. Billing Determinants'!$B$19:$O$41,8,0)/'4. Billing Determinants'!$I$41*$D8, VLOOKUP(O$4,'4. Billing Determinants'!$B$19:$O$41,3,0)/'4. Billing Determinants'!$D$41*$D8))))),0)</f>
        <v>0</v>
      </c>
      <c r="P8" s="75">
        <f>IFERROR(IF(P$4="",0,IF($E8="kWh",VLOOKUP(P$4,'4. Billing Determinants'!$B$19:$O$41,4,0)/'4. Billing Determinants'!$E$41*$D8,IF($E8="kW",VLOOKUP(P$4,'4. Billing Determinants'!$B$19:$O$41,5,0)/'4. Billing Determinants'!$F$41*$D8,IF($E8="Non-RPP kWh",VLOOKUP(P$4,'4. Billing Determinants'!$B$19:$O$41,6,0)/'4. Billing Determinants'!$G$41*$D8,IF($E8="Distribution Rev.",VLOOKUP(P$4,'4. Billing Determinants'!$B$19:$O$41,8,0)/'4. Billing Determinants'!$I$41*$D8, VLOOKUP(P$4,'4. Billing Determinants'!$B$19:$O$41,3,0)/'4. Billing Determinants'!$D$41*$D8))))),0)</f>
        <v>0</v>
      </c>
      <c r="Q8" s="75">
        <f>IFERROR(IF(Q$4="",0,IF($E8="kWh",VLOOKUP(Q$4,'4. Billing Determinants'!$B$19:$O$41,4,0)/'4. Billing Determinants'!$E$41*$D8,IF($E8="kW",VLOOKUP(Q$4,'4. Billing Determinants'!$B$19:$O$41,5,0)/'4. Billing Determinants'!$F$41*$D8,IF($E8="Non-RPP kWh",VLOOKUP(Q$4,'4. Billing Determinants'!$B$19:$O$41,6,0)/'4. Billing Determinants'!$G$41*$D8,IF($E8="Distribution Rev.",VLOOKUP(Q$4,'4. Billing Determinants'!$B$19:$O$41,8,0)/'4. Billing Determinants'!$I$41*$D8, VLOOKUP(Q$4,'4. Billing Determinants'!$B$19:$O$41,3,0)/'4. Billing Determinants'!$D$41*$D8))))),0)</f>
        <v>0</v>
      </c>
      <c r="R8" s="75">
        <f>IFERROR(IF(R$4="",0,IF($E8="kWh",VLOOKUP(R$4,'4. Billing Determinants'!$B$19:$O$41,4,0)/'4. Billing Determinants'!$E$41*$D8,IF($E8="kW",VLOOKUP(R$4,'4. Billing Determinants'!$B$19:$O$41,5,0)/'4. Billing Determinants'!$F$41*$D8,IF($E8="Non-RPP kWh",VLOOKUP(R$4,'4. Billing Determinants'!$B$19:$O$41,6,0)/'4. Billing Determinants'!$G$41*$D8,IF($E8="Distribution Rev.",VLOOKUP(R$4,'4. Billing Determinants'!$B$19:$O$41,8,0)/'4. Billing Determinants'!$I$41*$D8, VLOOKUP(R$4,'4. Billing Determinants'!$B$19:$O$41,3,0)/'4. Billing Determinants'!$D$41*$D8))))),0)</f>
        <v>0</v>
      </c>
      <c r="S8" s="75">
        <f>IFERROR(IF(S$4="",0,IF($E8="kWh",VLOOKUP(S$4,'4. Billing Determinants'!$B$19:$O$41,4,0)/'4. Billing Determinants'!$E$41*$D8,IF($E8="kW",VLOOKUP(S$4,'4. Billing Determinants'!$B$19:$O$41,5,0)/'4. Billing Determinants'!$F$41*$D8,IF($E8="Non-RPP kWh",VLOOKUP(S$4,'4. Billing Determinants'!$B$19:$O$41,6,0)/'4. Billing Determinants'!$G$41*$D8,IF($E8="Distribution Rev.",VLOOKUP(S$4,'4. Billing Determinants'!$B$19:$O$41,8,0)/'4. Billing Determinants'!$I$41*$D8, VLOOKUP(S$4,'4. Billing Determinants'!$B$19:$O$41,3,0)/'4. Billing Determinants'!$D$41*$D8))))),0)</f>
        <v>0</v>
      </c>
      <c r="T8" s="75">
        <f>IFERROR(IF(T$4="",0,IF($E8="kWh",VLOOKUP(T$4,'4. Billing Determinants'!$B$19:$O$41,4,0)/'4. Billing Determinants'!$E$41*$D8,IF($E8="kW",VLOOKUP(T$4,'4. Billing Determinants'!$B$19:$O$41,5,0)/'4. Billing Determinants'!$F$41*$D8,IF($E8="Non-RPP kWh",VLOOKUP(T$4,'4. Billing Determinants'!$B$19:$O$41,6,0)/'4. Billing Determinants'!$G$41*$D8,IF($E8="Distribution Rev.",VLOOKUP(T$4,'4. Billing Determinants'!$B$19:$O$41,8,0)/'4. Billing Determinants'!$I$41*$D8, VLOOKUP(T$4,'4. Billing Determinants'!$B$19:$O$41,3,0)/'4. Billing Determinants'!$D$41*$D8))))),0)</f>
        <v>0</v>
      </c>
      <c r="U8" s="75">
        <f>IFERROR(IF(U$4="",0,IF($E8="kWh",VLOOKUP(U$4,'4. Billing Determinants'!$B$19:$O$41,4,0)/'4. Billing Determinants'!$E$41*$D8,IF($E8="kW",VLOOKUP(U$4,'4. Billing Determinants'!$B$19:$O$41,5,0)/'4. Billing Determinants'!$F$41*$D8,IF($E8="Non-RPP kWh",VLOOKUP(U$4,'4. Billing Determinants'!$B$19:$O$41,6,0)/'4. Billing Determinants'!$G$41*$D8,IF($E8="Distribution Rev.",VLOOKUP(U$4,'4. Billing Determinants'!$B$19:$O$41,8,0)/'4. Billing Determinants'!$I$41*$D8, VLOOKUP(U$4,'4. Billing Determinants'!$B$19:$O$41,3,0)/'4. Billing Determinants'!$D$41*$D8))))),0)</f>
        <v>0</v>
      </c>
      <c r="V8" s="75">
        <f>IFERROR(IF(V$4="",0,IF($E8="kWh",VLOOKUP(V$4,'4. Billing Determinants'!$B$19:$O$41,4,0)/'4. Billing Determinants'!$E$41*$D8,IF($E8="kW",VLOOKUP(V$4,'4. Billing Determinants'!$B$19:$O$41,5,0)/'4. Billing Determinants'!$F$41*$D8,IF($E8="Non-RPP kWh",VLOOKUP(V$4,'4. Billing Determinants'!$B$19:$O$41,6,0)/'4. Billing Determinants'!$G$41*$D8,IF($E8="Distribution Rev.",VLOOKUP(V$4,'4. Billing Determinants'!$B$19:$O$41,8,0)/'4. Billing Determinants'!$I$41*$D8, VLOOKUP(V$4,'4. Billing Determinants'!$B$19:$O$41,3,0)/'4. Billing Determinants'!$D$41*$D8))))),0)</f>
        <v>0</v>
      </c>
      <c r="W8" s="75">
        <f>IFERROR(IF(W$4="",0,IF($E8="kWh",VLOOKUP(W$4,'4. Billing Determinants'!$B$19:$O$41,4,0)/'4. Billing Determinants'!$E$41*$D8,IF($E8="kW",VLOOKUP(W$4,'4. Billing Determinants'!$B$19:$O$41,5,0)/'4. Billing Determinants'!$F$41*$D8,IF($E8="Non-RPP kWh",VLOOKUP(W$4,'4. Billing Determinants'!$B$19:$O$41,6,0)/'4. Billing Determinants'!$G$41*$D8,IF($E8="Distribution Rev.",VLOOKUP(W$4,'4. Billing Determinants'!$B$19:$O$41,8,0)/'4. Billing Determinants'!$I$41*$D8, VLOOKUP(W$4,'4. Billing Determinants'!$B$19:$O$41,3,0)/'4. Billing Determinants'!$D$41*$D8))))),0)</f>
        <v>0</v>
      </c>
      <c r="X8" s="75">
        <f>IFERROR(IF(X$4="",0,IF($E8="kWh",VLOOKUP(X$4,'4. Billing Determinants'!$B$19:$O$41,4,0)/'4. Billing Determinants'!$E$41*$D8,IF($E8="kW",VLOOKUP(X$4,'4. Billing Determinants'!$B$19:$O$41,5,0)/'4. Billing Determinants'!$F$41*$D8,IF($E8="Non-RPP kWh",VLOOKUP(X$4,'4. Billing Determinants'!$B$19:$O$41,6,0)/'4. Billing Determinants'!$G$41*$D8,IF($E8="Distribution Rev.",VLOOKUP(X$4,'4. Billing Determinants'!$B$19:$O$41,8,0)/'4. Billing Determinants'!$I$41*$D8, VLOOKUP(X$4,'4. Billing Determinants'!$B$19:$O$41,3,0)/'4. Billing Determinants'!$D$41*$D8))))),0)</f>
        <v>0</v>
      </c>
      <c r="Y8" s="75">
        <f>IFERROR(IF(Y$4="",0,IF($E8="kWh",VLOOKUP(Y$4,'4. Billing Determinants'!$B$19:$O$41,4,0)/'4. Billing Determinants'!$E$41*$D8,IF($E8="kW",VLOOKUP(Y$4,'4. Billing Determinants'!$B$19:$O$41,5,0)/'4. Billing Determinants'!$F$41*$D8,IF($E8="Non-RPP kWh",VLOOKUP(Y$4,'4. Billing Determinants'!$B$19:$O$41,6,0)/'4. Billing Determinants'!$G$41*$D8,IF($E8="Distribution Rev.",VLOOKUP(Y$4,'4. Billing Determinants'!$B$19:$O$41,8,0)/'4. Billing Determinants'!$I$41*$D8, VLOOKUP(Y$4,'4. Billing Determinants'!$B$19:$O$41,3,0)/'4. Billing Determinants'!$D$41*$D8))))),0)</f>
        <v>0</v>
      </c>
    </row>
    <row r="9" spans="2:25" x14ac:dyDescent="0.2">
      <c r="B9" s="76" t="s">
        <v>114</v>
      </c>
      <c r="C9" s="74">
        <v>1588</v>
      </c>
      <c r="D9" s="75">
        <f>'2. 2013 Continuity Schedule'!CP28</f>
        <v>-616034.81304400053</v>
      </c>
      <c r="E9" s="208" t="s">
        <v>306</v>
      </c>
      <c r="F9" s="75">
        <f>IFERROR(IF(F$4="",0,IF($E9="kWh",VLOOKUP(F$4,'4. Billing Determinants'!$B$19:$O$41,4,0)/'4. Billing Determinants'!$E$41*$D9,IF($E9="kW",VLOOKUP(F$4,'4. Billing Determinants'!$B$19:$O$41,5,0)/'4. Billing Determinants'!$F$41*$D9,IF($E9="Non-RPP kWh",VLOOKUP(F$4,'4. Billing Determinants'!$B$19:$O$41,6,0)/'4. Billing Determinants'!$G$41*$D9,IF($E9="Distribution Rev.",VLOOKUP(F$4,'4. Billing Determinants'!$B$19:$O$41,8,0)/'4. Billing Determinants'!$I$41*$D9, VLOOKUP(F$4,'4. Billing Determinants'!$B$19:$O$41,3,0)/'4. Billing Determinants'!$D$41*$D9))))),0)</f>
        <v>-225301.6103439109</v>
      </c>
      <c r="G9" s="75">
        <f>IFERROR(IF(G$4="",0,IF($E9="kWh",VLOOKUP(G$4,'4. Billing Determinants'!$B$19:$O$41,4,0)/'4. Billing Determinants'!$E$41*$D9,IF($E9="kW",VLOOKUP(G$4,'4. Billing Determinants'!$B$19:$O$41,5,0)/'4. Billing Determinants'!$F$41*$D9,IF($E9="Non-RPP kWh",VLOOKUP(G$4,'4. Billing Determinants'!$B$19:$O$41,6,0)/'4. Billing Determinants'!$G$41*$D9,IF($E9="Distribution Rev.",VLOOKUP(G$4,'4. Billing Determinants'!$B$19:$O$41,8,0)/'4. Billing Determinants'!$I$41*$D9, VLOOKUP(G$4,'4. Billing Determinants'!$B$19:$O$41,3,0)/'4. Billing Determinants'!$D$41*$D9))))),0)</f>
        <v>-118919.79528536399</v>
      </c>
      <c r="H9" s="75">
        <f>IFERROR(IF(H$4="",0,IF($E9="kWh",VLOOKUP(H$4,'4. Billing Determinants'!$B$19:$O$41,4,0)/'4. Billing Determinants'!$E$41*$D9,IF($E9="kW",VLOOKUP(H$4,'4. Billing Determinants'!$B$19:$O$41,5,0)/'4. Billing Determinants'!$F$41*$D9,IF($E9="Non-RPP kWh",VLOOKUP(H$4,'4. Billing Determinants'!$B$19:$O$41,6,0)/'4. Billing Determinants'!$G$41*$D9,IF($E9="Distribution Rev.",VLOOKUP(H$4,'4. Billing Determinants'!$B$19:$O$41,8,0)/'4. Billing Determinants'!$I$41*$D9, VLOOKUP(H$4,'4. Billing Determinants'!$B$19:$O$41,3,0)/'4. Billing Determinants'!$D$41*$D9))))),0)</f>
        <v>-267157.07134142501</v>
      </c>
      <c r="I9" s="75">
        <f>IFERROR(IF(I$4="",0,IF($E9="kWh",VLOOKUP(I$4,'4. Billing Determinants'!$B$19:$O$41,4,0)/'4. Billing Determinants'!$E$41*$D9,IF($E9="kW",VLOOKUP(I$4,'4. Billing Determinants'!$B$19:$O$41,5,0)/'4. Billing Determinants'!$F$41*$D9,IF($E9="Non-RPP kWh",VLOOKUP(I$4,'4. Billing Determinants'!$B$19:$O$41,6,0)/'4. Billing Determinants'!$G$41*$D9,IF($E9="Distribution Rev.",VLOOKUP(I$4,'4. Billing Determinants'!$B$19:$O$41,8,0)/'4. Billing Determinants'!$I$41*$D9, VLOOKUP(I$4,'4. Billing Determinants'!$B$19:$O$41,3,0)/'4. Billing Determinants'!$D$41*$D9))))),0)</f>
        <v>-738.84121684174067</v>
      </c>
      <c r="J9" s="75">
        <f>IFERROR(IF(J$4="",0,IF($E9="kWh",VLOOKUP(J$4,'4. Billing Determinants'!$B$19:$O$41,4,0)/'4. Billing Determinants'!$E$41*$D9,IF($E9="kW",VLOOKUP(J$4,'4. Billing Determinants'!$B$19:$O$41,5,0)/'4. Billing Determinants'!$F$41*$D9,IF($E9="Non-RPP kWh",VLOOKUP(J$4,'4. Billing Determinants'!$B$19:$O$41,6,0)/'4. Billing Determinants'!$G$41*$D9,IF($E9="Distribution Rev.",VLOOKUP(J$4,'4. Billing Determinants'!$B$19:$O$41,8,0)/'4. Billing Determinants'!$I$41*$D9, VLOOKUP(J$4,'4. Billing Determinants'!$B$19:$O$41,3,0)/'4. Billing Determinants'!$D$41*$D9))))),0)</f>
        <v>-3917.4948564588967</v>
      </c>
      <c r="K9" s="75">
        <f>IFERROR(IF(K$4="",0,IF($E9="kWh",VLOOKUP(K$4,'4. Billing Determinants'!$B$19:$O$41,4,0)/'4. Billing Determinants'!$E$41*$D9,IF($E9="kW",VLOOKUP(K$4,'4. Billing Determinants'!$B$19:$O$41,5,0)/'4. Billing Determinants'!$F$41*$D9,IF($E9="Non-RPP kWh",VLOOKUP(K$4,'4. Billing Determinants'!$B$19:$O$41,6,0)/'4. Billing Determinants'!$G$41*$D9,IF($E9="Distribution Rev.",VLOOKUP(K$4,'4. Billing Determinants'!$B$19:$O$41,8,0)/'4. Billing Determinants'!$I$41*$D9, VLOOKUP(K$4,'4. Billing Determinants'!$B$19:$O$41,3,0)/'4. Billing Determinants'!$D$41*$D9))))),0)</f>
        <v>0</v>
      </c>
      <c r="L9" s="75">
        <f>IFERROR(IF(L$4="",0,IF($E9="kWh",VLOOKUP(L$4,'4. Billing Determinants'!$B$19:$O$41,4,0)/'4. Billing Determinants'!$E$41*$D9,IF($E9="kW",VLOOKUP(L$4,'4. Billing Determinants'!$B$19:$O$41,5,0)/'4. Billing Determinants'!$F$41*$D9,IF($E9="Non-RPP kWh",VLOOKUP(L$4,'4. Billing Determinants'!$B$19:$O$41,6,0)/'4. Billing Determinants'!$G$41*$D9,IF($E9="Distribution Rev.",VLOOKUP(L$4,'4. Billing Determinants'!$B$19:$O$41,8,0)/'4. Billing Determinants'!$I$41*$D9, VLOOKUP(L$4,'4. Billing Determinants'!$B$19:$O$41,3,0)/'4. Billing Determinants'!$D$41*$D9))))),0)</f>
        <v>0</v>
      </c>
      <c r="M9" s="75">
        <f>IFERROR(IF(M$4="",0,IF($E9="kWh",VLOOKUP(M$4,'4. Billing Determinants'!$B$19:$O$41,4,0)/'4. Billing Determinants'!$E$41*$D9,IF($E9="kW",VLOOKUP(M$4,'4. Billing Determinants'!$B$19:$O$41,5,0)/'4. Billing Determinants'!$F$41*$D9,IF($E9="Non-RPP kWh",VLOOKUP(M$4,'4. Billing Determinants'!$B$19:$O$41,6,0)/'4. Billing Determinants'!$G$41*$D9,IF($E9="Distribution Rev.",VLOOKUP(M$4,'4. Billing Determinants'!$B$19:$O$41,8,0)/'4. Billing Determinants'!$I$41*$D9, VLOOKUP(M$4,'4. Billing Determinants'!$B$19:$O$41,3,0)/'4. Billing Determinants'!$D$41*$D9))))),0)</f>
        <v>0</v>
      </c>
      <c r="N9" s="75">
        <f>IFERROR(IF(N$4="",0,IF($E9="kWh",VLOOKUP(N$4,'4. Billing Determinants'!$B$19:$O$41,4,0)/'4. Billing Determinants'!$E$41*$D9,IF($E9="kW",VLOOKUP(N$4,'4. Billing Determinants'!$B$19:$O$41,5,0)/'4. Billing Determinants'!$F$41*$D9,IF($E9="Non-RPP kWh",VLOOKUP(N$4,'4. Billing Determinants'!$B$19:$O$41,6,0)/'4. Billing Determinants'!$G$41*$D9,IF($E9="Distribution Rev.",VLOOKUP(N$4,'4. Billing Determinants'!$B$19:$O$41,8,0)/'4. Billing Determinants'!$I$41*$D9, VLOOKUP(N$4,'4. Billing Determinants'!$B$19:$O$41,3,0)/'4. Billing Determinants'!$D$41*$D9))))),0)</f>
        <v>0</v>
      </c>
      <c r="O9" s="75">
        <f>IFERROR(IF(O$4="",0,IF($E9="kWh",VLOOKUP(O$4,'4. Billing Determinants'!$B$19:$O$41,4,0)/'4. Billing Determinants'!$E$41*$D9,IF($E9="kW",VLOOKUP(O$4,'4. Billing Determinants'!$B$19:$O$41,5,0)/'4. Billing Determinants'!$F$41*$D9,IF($E9="Non-RPP kWh",VLOOKUP(O$4,'4. Billing Determinants'!$B$19:$O$41,6,0)/'4. Billing Determinants'!$G$41*$D9,IF($E9="Distribution Rev.",VLOOKUP(O$4,'4. Billing Determinants'!$B$19:$O$41,8,0)/'4. Billing Determinants'!$I$41*$D9, VLOOKUP(O$4,'4. Billing Determinants'!$B$19:$O$41,3,0)/'4. Billing Determinants'!$D$41*$D9))))),0)</f>
        <v>0</v>
      </c>
      <c r="P9" s="75">
        <f>IFERROR(IF(P$4="",0,IF($E9="kWh",VLOOKUP(P$4,'4. Billing Determinants'!$B$19:$O$41,4,0)/'4. Billing Determinants'!$E$41*$D9,IF($E9="kW",VLOOKUP(P$4,'4. Billing Determinants'!$B$19:$O$41,5,0)/'4. Billing Determinants'!$F$41*$D9,IF($E9="Non-RPP kWh",VLOOKUP(P$4,'4. Billing Determinants'!$B$19:$O$41,6,0)/'4. Billing Determinants'!$G$41*$D9,IF($E9="Distribution Rev.",VLOOKUP(P$4,'4. Billing Determinants'!$B$19:$O$41,8,0)/'4. Billing Determinants'!$I$41*$D9, VLOOKUP(P$4,'4. Billing Determinants'!$B$19:$O$41,3,0)/'4. Billing Determinants'!$D$41*$D9))))),0)</f>
        <v>0</v>
      </c>
      <c r="Q9" s="75">
        <f>IFERROR(IF(Q$4="",0,IF($E9="kWh",VLOOKUP(Q$4,'4. Billing Determinants'!$B$19:$O$41,4,0)/'4. Billing Determinants'!$E$41*$D9,IF($E9="kW",VLOOKUP(Q$4,'4. Billing Determinants'!$B$19:$O$41,5,0)/'4. Billing Determinants'!$F$41*$D9,IF($E9="Non-RPP kWh",VLOOKUP(Q$4,'4. Billing Determinants'!$B$19:$O$41,6,0)/'4. Billing Determinants'!$G$41*$D9,IF($E9="Distribution Rev.",VLOOKUP(Q$4,'4. Billing Determinants'!$B$19:$O$41,8,0)/'4. Billing Determinants'!$I$41*$D9, VLOOKUP(Q$4,'4. Billing Determinants'!$B$19:$O$41,3,0)/'4. Billing Determinants'!$D$41*$D9))))),0)</f>
        <v>0</v>
      </c>
      <c r="R9" s="75">
        <f>IFERROR(IF(R$4="",0,IF($E9="kWh",VLOOKUP(R$4,'4. Billing Determinants'!$B$19:$O$41,4,0)/'4. Billing Determinants'!$E$41*$D9,IF($E9="kW",VLOOKUP(R$4,'4. Billing Determinants'!$B$19:$O$41,5,0)/'4. Billing Determinants'!$F$41*$D9,IF($E9="Non-RPP kWh",VLOOKUP(R$4,'4. Billing Determinants'!$B$19:$O$41,6,0)/'4. Billing Determinants'!$G$41*$D9,IF($E9="Distribution Rev.",VLOOKUP(R$4,'4. Billing Determinants'!$B$19:$O$41,8,0)/'4. Billing Determinants'!$I$41*$D9, VLOOKUP(R$4,'4. Billing Determinants'!$B$19:$O$41,3,0)/'4. Billing Determinants'!$D$41*$D9))))),0)</f>
        <v>0</v>
      </c>
      <c r="S9" s="75">
        <f>IFERROR(IF(S$4="",0,IF($E9="kWh",VLOOKUP(S$4,'4. Billing Determinants'!$B$19:$O$41,4,0)/'4. Billing Determinants'!$E$41*$D9,IF($E9="kW",VLOOKUP(S$4,'4. Billing Determinants'!$B$19:$O$41,5,0)/'4. Billing Determinants'!$F$41*$D9,IF($E9="Non-RPP kWh",VLOOKUP(S$4,'4. Billing Determinants'!$B$19:$O$41,6,0)/'4. Billing Determinants'!$G$41*$D9,IF($E9="Distribution Rev.",VLOOKUP(S$4,'4. Billing Determinants'!$B$19:$O$41,8,0)/'4. Billing Determinants'!$I$41*$D9, VLOOKUP(S$4,'4. Billing Determinants'!$B$19:$O$41,3,0)/'4. Billing Determinants'!$D$41*$D9))))),0)</f>
        <v>0</v>
      </c>
      <c r="T9" s="75">
        <f>IFERROR(IF(T$4="",0,IF($E9="kWh",VLOOKUP(T$4,'4. Billing Determinants'!$B$19:$O$41,4,0)/'4. Billing Determinants'!$E$41*$D9,IF($E9="kW",VLOOKUP(T$4,'4. Billing Determinants'!$B$19:$O$41,5,0)/'4. Billing Determinants'!$F$41*$D9,IF($E9="Non-RPP kWh",VLOOKUP(T$4,'4. Billing Determinants'!$B$19:$O$41,6,0)/'4. Billing Determinants'!$G$41*$D9,IF($E9="Distribution Rev.",VLOOKUP(T$4,'4. Billing Determinants'!$B$19:$O$41,8,0)/'4. Billing Determinants'!$I$41*$D9, VLOOKUP(T$4,'4. Billing Determinants'!$B$19:$O$41,3,0)/'4. Billing Determinants'!$D$41*$D9))))),0)</f>
        <v>0</v>
      </c>
      <c r="U9" s="75">
        <f>IFERROR(IF(U$4="",0,IF($E9="kWh",VLOOKUP(U$4,'4. Billing Determinants'!$B$19:$O$41,4,0)/'4. Billing Determinants'!$E$41*$D9,IF($E9="kW",VLOOKUP(U$4,'4. Billing Determinants'!$B$19:$O$41,5,0)/'4. Billing Determinants'!$F$41*$D9,IF($E9="Non-RPP kWh",VLOOKUP(U$4,'4. Billing Determinants'!$B$19:$O$41,6,0)/'4. Billing Determinants'!$G$41*$D9,IF($E9="Distribution Rev.",VLOOKUP(U$4,'4. Billing Determinants'!$B$19:$O$41,8,0)/'4. Billing Determinants'!$I$41*$D9, VLOOKUP(U$4,'4. Billing Determinants'!$B$19:$O$41,3,0)/'4. Billing Determinants'!$D$41*$D9))))),0)</f>
        <v>0</v>
      </c>
      <c r="V9" s="75">
        <f>IFERROR(IF(V$4="",0,IF($E9="kWh",VLOOKUP(V$4,'4. Billing Determinants'!$B$19:$O$41,4,0)/'4. Billing Determinants'!$E$41*$D9,IF($E9="kW",VLOOKUP(V$4,'4. Billing Determinants'!$B$19:$O$41,5,0)/'4. Billing Determinants'!$F$41*$D9,IF($E9="Non-RPP kWh",VLOOKUP(V$4,'4. Billing Determinants'!$B$19:$O$41,6,0)/'4. Billing Determinants'!$G$41*$D9,IF($E9="Distribution Rev.",VLOOKUP(V$4,'4. Billing Determinants'!$B$19:$O$41,8,0)/'4. Billing Determinants'!$I$41*$D9, VLOOKUP(V$4,'4. Billing Determinants'!$B$19:$O$41,3,0)/'4. Billing Determinants'!$D$41*$D9))))),0)</f>
        <v>0</v>
      </c>
      <c r="W9" s="75">
        <f>IFERROR(IF(W$4="",0,IF($E9="kWh",VLOOKUP(W$4,'4. Billing Determinants'!$B$19:$O$41,4,0)/'4. Billing Determinants'!$E$41*$D9,IF($E9="kW",VLOOKUP(W$4,'4. Billing Determinants'!$B$19:$O$41,5,0)/'4. Billing Determinants'!$F$41*$D9,IF($E9="Non-RPP kWh",VLOOKUP(W$4,'4. Billing Determinants'!$B$19:$O$41,6,0)/'4. Billing Determinants'!$G$41*$D9,IF($E9="Distribution Rev.",VLOOKUP(W$4,'4. Billing Determinants'!$B$19:$O$41,8,0)/'4. Billing Determinants'!$I$41*$D9, VLOOKUP(W$4,'4. Billing Determinants'!$B$19:$O$41,3,0)/'4. Billing Determinants'!$D$41*$D9))))),0)</f>
        <v>0</v>
      </c>
      <c r="X9" s="75">
        <f>IFERROR(IF(X$4="",0,IF($E9="kWh",VLOOKUP(X$4,'4. Billing Determinants'!$B$19:$O$41,4,0)/'4. Billing Determinants'!$E$41*$D9,IF($E9="kW",VLOOKUP(X$4,'4. Billing Determinants'!$B$19:$O$41,5,0)/'4. Billing Determinants'!$F$41*$D9,IF($E9="Non-RPP kWh",VLOOKUP(X$4,'4. Billing Determinants'!$B$19:$O$41,6,0)/'4. Billing Determinants'!$G$41*$D9,IF($E9="Distribution Rev.",VLOOKUP(X$4,'4. Billing Determinants'!$B$19:$O$41,8,0)/'4. Billing Determinants'!$I$41*$D9, VLOOKUP(X$4,'4. Billing Determinants'!$B$19:$O$41,3,0)/'4. Billing Determinants'!$D$41*$D9))))),0)</f>
        <v>0</v>
      </c>
      <c r="Y9" s="75">
        <f>IFERROR(IF(Y$4="",0,IF($E9="kWh",VLOOKUP(Y$4,'4. Billing Determinants'!$B$19:$O$41,4,0)/'4. Billing Determinants'!$E$41*$D9,IF($E9="kW",VLOOKUP(Y$4,'4. Billing Determinants'!$B$19:$O$41,5,0)/'4. Billing Determinants'!$F$41*$D9,IF($E9="Non-RPP kWh",VLOOKUP(Y$4,'4. Billing Determinants'!$B$19:$O$41,6,0)/'4. Billing Determinants'!$G$41*$D9,IF($E9="Distribution Rev.",VLOOKUP(Y$4,'4. Billing Determinants'!$B$19:$O$41,8,0)/'4. Billing Determinants'!$I$41*$D9, VLOOKUP(Y$4,'4. Billing Determinants'!$B$19:$O$41,3,0)/'4. Billing Determinants'!$D$41*$D9))))),0)</f>
        <v>0</v>
      </c>
    </row>
    <row r="10" spans="2:25" x14ac:dyDescent="0.2">
      <c r="B10" s="76" t="s">
        <v>168</v>
      </c>
      <c r="C10" s="74">
        <v>1589</v>
      </c>
      <c r="D10" s="75">
        <f>'2. 2013 Continuity Schedule'!CP29</f>
        <v>-170380.86580400023</v>
      </c>
      <c r="E10" s="208" t="s">
        <v>313</v>
      </c>
      <c r="F10" s="75">
        <f>IFERROR(IF(F$4="",0,IF($E10="kWh",VLOOKUP(F$4,'4. Billing Determinants'!$B$19:$O$41,4,0)/'4. Billing Determinants'!$E$41*$D10,IF($E10="kW",VLOOKUP(F$4,'4. Billing Determinants'!$B$19:$O$41,5,0)/'4. Billing Determinants'!$F$41*$D10,IF($E10="Non-RPP kWh",VLOOKUP(F$4,'4. Billing Determinants'!$B$19:$O$41,6,0)/'4. Billing Determinants'!$G$41*$D10,IF($E10="Distribution Rev.",VLOOKUP(F$4,'4. Billing Determinants'!$B$19:$O$41,8,0)/'4. Billing Determinants'!$I$41*$D10, VLOOKUP(F$4,'4. Billing Determinants'!$B$19:$O$41,3,0)/'4. Billing Determinants'!$D$41*$D10))))),0)</f>
        <v>-4934.097105312776</v>
      </c>
      <c r="G10" s="75">
        <f>IFERROR(IF(G$4="",0,IF($E10="kWh",VLOOKUP(G$4,'4. Billing Determinants'!$B$19:$O$41,4,0)/'4. Billing Determinants'!$E$41*$D10,IF($E10="kW",VLOOKUP(G$4,'4. Billing Determinants'!$B$19:$O$41,5,0)/'4. Billing Determinants'!$F$41*$D10,IF($E10="Non-RPP kWh",VLOOKUP(G$4,'4. Billing Determinants'!$B$19:$O$41,6,0)/'4. Billing Determinants'!$G$41*$D10,IF($E10="Distribution Rev.",VLOOKUP(G$4,'4. Billing Determinants'!$B$19:$O$41,8,0)/'4. Billing Determinants'!$I$41*$D10, VLOOKUP(G$4,'4. Billing Determinants'!$B$19:$O$41,3,0)/'4. Billing Determinants'!$D$41*$D10))))),0)</f>
        <v>-6637.1872275940668</v>
      </c>
      <c r="H10" s="75">
        <f>IFERROR(IF(H$4="",0,IF($E10="kWh",VLOOKUP(H$4,'4. Billing Determinants'!$B$19:$O$41,4,0)/'4. Billing Determinants'!$E$41*$D10,IF($E10="kW",VLOOKUP(H$4,'4. Billing Determinants'!$B$19:$O$41,5,0)/'4. Billing Determinants'!$F$41*$D10,IF($E10="Non-RPP kWh",VLOOKUP(H$4,'4. Billing Determinants'!$B$19:$O$41,6,0)/'4. Billing Determinants'!$G$41*$D10,IF($E10="Distribution Rev.",VLOOKUP(H$4,'4. Billing Determinants'!$B$19:$O$41,8,0)/'4. Billing Determinants'!$I$41*$D10, VLOOKUP(H$4,'4. Billing Determinants'!$B$19:$O$41,3,0)/'4. Billing Determinants'!$D$41*$D10))))),0)</f>
        <v>-156557.86561104283</v>
      </c>
      <c r="I10" s="75">
        <f>IFERROR(IF(I$4="",0,IF($E10="kWh",VLOOKUP(I$4,'4. Billing Determinants'!$B$19:$O$41,4,0)/'4. Billing Determinants'!$E$41*$D10,IF($E10="kW",VLOOKUP(I$4,'4. Billing Determinants'!$B$19:$O$41,5,0)/'4. Billing Determinants'!$F$41*$D10,IF($E10="Non-RPP kWh",VLOOKUP(I$4,'4. Billing Determinants'!$B$19:$O$41,6,0)/'4. Billing Determinants'!$G$41*$D10,IF($E10="Distribution Rev.",VLOOKUP(I$4,'4. Billing Determinants'!$B$19:$O$41,8,0)/'4. Billing Determinants'!$I$41*$D10, VLOOKUP(I$4,'4. Billing Determinants'!$B$19:$O$41,3,0)/'4. Billing Determinants'!$D$41*$D10))))),0)</f>
        <v>0</v>
      </c>
      <c r="J10" s="75">
        <f>IFERROR(IF(J$4="",0,IF($E10="kWh",VLOOKUP(J$4,'4. Billing Determinants'!$B$19:$O$41,4,0)/'4. Billing Determinants'!$E$41*$D10,IF($E10="kW",VLOOKUP(J$4,'4. Billing Determinants'!$B$19:$O$41,5,0)/'4. Billing Determinants'!$F$41*$D10,IF($E10="Non-RPP kWh",VLOOKUP(J$4,'4. Billing Determinants'!$B$19:$O$41,6,0)/'4. Billing Determinants'!$G$41*$D10,IF($E10="Distribution Rev.",VLOOKUP(J$4,'4. Billing Determinants'!$B$19:$O$41,8,0)/'4. Billing Determinants'!$I$41*$D10, VLOOKUP(J$4,'4. Billing Determinants'!$B$19:$O$41,3,0)/'4. Billing Determinants'!$D$41*$D10))))),0)</f>
        <v>-2251.7158600505422</v>
      </c>
      <c r="K10" s="75">
        <f>IFERROR(IF(K$4="",0,IF($E10="kWh",VLOOKUP(K$4,'4. Billing Determinants'!$B$19:$O$41,4,0)/'4. Billing Determinants'!$E$41*$D10,IF($E10="kW",VLOOKUP(K$4,'4. Billing Determinants'!$B$19:$O$41,5,0)/'4. Billing Determinants'!$F$41*$D10,IF($E10="Non-RPP kWh",VLOOKUP(K$4,'4. Billing Determinants'!$B$19:$O$41,6,0)/'4. Billing Determinants'!$G$41*$D10,IF($E10="Distribution Rev.",VLOOKUP(K$4,'4. Billing Determinants'!$B$19:$O$41,8,0)/'4. Billing Determinants'!$I$41*$D10, VLOOKUP(K$4,'4. Billing Determinants'!$B$19:$O$41,3,0)/'4. Billing Determinants'!$D$41*$D10))))),0)</f>
        <v>0</v>
      </c>
      <c r="L10" s="75">
        <f>IFERROR(IF(L$4="",0,IF($E10="kWh",VLOOKUP(L$4,'4. Billing Determinants'!$B$19:$O$41,4,0)/'4. Billing Determinants'!$E$41*$D10,IF($E10="kW",VLOOKUP(L$4,'4. Billing Determinants'!$B$19:$O$41,5,0)/'4. Billing Determinants'!$F$41*$D10,IF($E10="Non-RPP kWh",VLOOKUP(L$4,'4. Billing Determinants'!$B$19:$O$41,6,0)/'4. Billing Determinants'!$G$41*$D10,IF($E10="Distribution Rev.",VLOOKUP(L$4,'4. Billing Determinants'!$B$19:$O$41,8,0)/'4. Billing Determinants'!$I$41*$D10, VLOOKUP(L$4,'4. Billing Determinants'!$B$19:$O$41,3,0)/'4. Billing Determinants'!$D$41*$D10))))),0)</f>
        <v>0</v>
      </c>
      <c r="M10" s="75">
        <f>IFERROR(IF(M$4="",0,IF($E10="kWh",VLOOKUP(M$4,'4. Billing Determinants'!$B$19:$O$41,4,0)/'4. Billing Determinants'!$E$41*$D10,IF($E10="kW",VLOOKUP(M$4,'4. Billing Determinants'!$B$19:$O$41,5,0)/'4. Billing Determinants'!$F$41*$D10,IF($E10="Non-RPP kWh",VLOOKUP(M$4,'4. Billing Determinants'!$B$19:$O$41,6,0)/'4. Billing Determinants'!$G$41*$D10,IF($E10="Distribution Rev.",VLOOKUP(M$4,'4. Billing Determinants'!$B$19:$O$41,8,0)/'4. Billing Determinants'!$I$41*$D10, VLOOKUP(M$4,'4. Billing Determinants'!$B$19:$O$41,3,0)/'4. Billing Determinants'!$D$41*$D10))))),0)</f>
        <v>0</v>
      </c>
      <c r="N10" s="75">
        <f>IFERROR(IF(N$4="",0,IF($E10="kWh",VLOOKUP(N$4,'4. Billing Determinants'!$B$19:$O$41,4,0)/'4. Billing Determinants'!$E$41*$D10,IF($E10="kW",VLOOKUP(N$4,'4. Billing Determinants'!$B$19:$O$41,5,0)/'4. Billing Determinants'!$F$41*$D10,IF($E10="Non-RPP kWh",VLOOKUP(N$4,'4. Billing Determinants'!$B$19:$O$41,6,0)/'4. Billing Determinants'!$G$41*$D10,IF($E10="Distribution Rev.",VLOOKUP(N$4,'4. Billing Determinants'!$B$19:$O$41,8,0)/'4. Billing Determinants'!$I$41*$D10, VLOOKUP(N$4,'4. Billing Determinants'!$B$19:$O$41,3,0)/'4. Billing Determinants'!$D$41*$D10))))),0)</f>
        <v>0</v>
      </c>
      <c r="O10" s="75">
        <f>IFERROR(IF(O$4="",0,IF($E10="kWh",VLOOKUP(O$4,'4. Billing Determinants'!$B$19:$O$41,4,0)/'4. Billing Determinants'!$E$41*$D10,IF($E10="kW",VLOOKUP(O$4,'4. Billing Determinants'!$B$19:$O$41,5,0)/'4. Billing Determinants'!$F$41*$D10,IF($E10="Non-RPP kWh",VLOOKUP(O$4,'4. Billing Determinants'!$B$19:$O$41,6,0)/'4. Billing Determinants'!$G$41*$D10,IF($E10="Distribution Rev.",VLOOKUP(O$4,'4. Billing Determinants'!$B$19:$O$41,8,0)/'4. Billing Determinants'!$I$41*$D10, VLOOKUP(O$4,'4. Billing Determinants'!$B$19:$O$41,3,0)/'4. Billing Determinants'!$D$41*$D10))))),0)</f>
        <v>0</v>
      </c>
      <c r="P10" s="75">
        <f>IFERROR(IF(P$4="",0,IF($E10="kWh",VLOOKUP(P$4,'4. Billing Determinants'!$B$19:$O$41,4,0)/'4. Billing Determinants'!$E$41*$D10,IF($E10="kW",VLOOKUP(P$4,'4. Billing Determinants'!$B$19:$O$41,5,0)/'4. Billing Determinants'!$F$41*$D10,IF($E10="Non-RPP kWh",VLOOKUP(P$4,'4. Billing Determinants'!$B$19:$O$41,6,0)/'4. Billing Determinants'!$G$41*$D10,IF($E10="Distribution Rev.",VLOOKUP(P$4,'4. Billing Determinants'!$B$19:$O$41,8,0)/'4. Billing Determinants'!$I$41*$D10, VLOOKUP(P$4,'4. Billing Determinants'!$B$19:$O$41,3,0)/'4. Billing Determinants'!$D$41*$D10))))),0)</f>
        <v>0</v>
      </c>
      <c r="Q10" s="75">
        <f>IFERROR(IF(Q$4="",0,IF($E10="kWh",VLOOKUP(Q$4,'4. Billing Determinants'!$B$19:$O$41,4,0)/'4. Billing Determinants'!$E$41*$D10,IF($E10="kW",VLOOKUP(Q$4,'4. Billing Determinants'!$B$19:$O$41,5,0)/'4. Billing Determinants'!$F$41*$D10,IF($E10="Non-RPP kWh",VLOOKUP(Q$4,'4. Billing Determinants'!$B$19:$O$41,6,0)/'4. Billing Determinants'!$G$41*$D10,IF($E10="Distribution Rev.",VLOOKUP(Q$4,'4. Billing Determinants'!$B$19:$O$41,8,0)/'4. Billing Determinants'!$I$41*$D10, VLOOKUP(Q$4,'4. Billing Determinants'!$B$19:$O$41,3,0)/'4. Billing Determinants'!$D$41*$D10))))),0)</f>
        <v>0</v>
      </c>
      <c r="R10" s="75">
        <f>IFERROR(IF(R$4="",0,IF($E10="kWh",VLOOKUP(R$4,'4. Billing Determinants'!$B$19:$O$41,4,0)/'4. Billing Determinants'!$E$41*$D10,IF($E10="kW",VLOOKUP(R$4,'4. Billing Determinants'!$B$19:$O$41,5,0)/'4. Billing Determinants'!$F$41*$D10,IF($E10="Non-RPP kWh",VLOOKUP(R$4,'4. Billing Determinants'!$B$19:$O$41,6,0)/'4. Billing Determinants'!$G$41*$D10,IF($E10="Distribution Rev.",VLOOKUP(R$4,'4. Billing Determinants'!$B$19:$O$41,8,0)/'4. Billing Determinants'!$I$41*$D10, VLOOKUP(R$4,'4. Billing Determinants'!$B$19:$O$41,3,0)/'4. Billing Determinants'!$D$41*$D10))))),0)</f>
        <v>0</v>
      </c>
      <c r="S10" s="75">
        <f>IFERROR(IF(S$4="",0,IF($E10="kWh",VLOOKUP(S$4,'4. Billing Determinants'!$B$19:$O$41,4,0)/'4. Billing Determinants'!$E$41*$D10,IF($E10="kW",VLOOKUP(S$4,'4. Billing Determinants'!$B$19:$O$41,5,0)/'4. Billing Determinants'!$F$41*$D10,IF($E10="Non-RPP kWh",VLOOKUP(S$4,'4. Billing Determinants'!$B$19:$O$41,6,0)/'4. Billing Determinants'!$G$41*$D10,IF($E10="Distribution Rev.",VLOOKUP(S$4,'4. Billing Determinants'!$B$19:$O$41,8,0)/'4. Billing Determinants'!$I$41*$D10, VLOOKUP(S$4,'4. Billing Determinants'!$B$19:$O$41,3,0)/'4. Billing Determinants'!$D$41*$D10))))),0)</f>
        <v>0</v>
      </c>
      <c r="T10" s="75">
        <f>IFERROR(IF(T$4="",0,IF($E10="kWh",VLOOKUP(T$4,'4. Billing Determinants'!$B$19:$O$41,4,0)/'4. Billing Determinants'!$E$41*$D10,IF($E10="kW",VLOOKUP(T$4,'4. Billing Determinants'!$B$19:$O$41,5,0)/'4. Billing Determinants'!$F$41*$D10,IF($E10="Non-RPP kWh",VLOOKUP(T$4,'4. Billing Determinants'!$B$19:$O$41,6,0)/'4. Billing Determinants'!$G$41*$D10,IF($E10="Distribution Rev.",VLOOKUP(T$4,'4. Billing Determinants'!$B$19:$O$41,8,0)/'4. Billing Determinants'!$I$41*$D10, VLOOKUP(T$4,'4. Billing Determinants'!$B$19:$O$41,3,0)/'4. Billing Determinants'!$D$41*$D10))))),0)</f>
        <v>0</v>
      </c>
      <c r="U10" s="75">
        <f>IFERROR(IF(U$4="",0,IF($E10="kWh",VLOOKUP(U$4,'4. Billing Determinants'!$B$19:$O$41,4,0)/'4. Billing Determinants'!$E$41*$D10,IF($E10="kW",VLOOKUP(U$4,'4. Billing Determinants'!$B$19:$O$41,5,0)/'4. Billing Determinants'!$F$41*$D10,IF($E10="Non-RPP kWh",VLOOKUP(U$4,'4. Billing Determinants'!$B$19:$O$41,6,0)/'4. Billing Determinants'!$G$41*$D10,IF($E10="Distribution Rev.",VLOOKUP(U$4,'4. Billing Determinants'!$B$19:$O$41,8,0)/'4. Billing Determinants'!$I$41*$D10, VLOOKUP(U$4,'4. Billing Determinants'!$B$19:$O$41,3,0)/'4. Billing Determinants'!$D$41*$D10))))),0)</f>
        <v>0</v>
      </c>
      <c r="V10" s="75">
        <f>IFERROR(IF(V$4="",0,IF($E10="kWh",VLOOKUP(V$4,'4. Billing Determinants'!$B$19:$O$41,4,0)/'4. Billing Determinants'!$E$41*$D10,IF($E10="kW",VLOOKUP(V$4,'4. Billing Determinants'!$B$19:$O$41,5,0)/'4. Billing Determinants'!$F$41*$D10,IF($E10="Non-RPP kWh",VLOOKUP(V$4,'4. Billing Determinants'!$B$19:$O$41,6,0)/'4. Billing Determinants'!$G$41*$D10,IF($E10="Distribution Rev.",VLOOKUP(V$4,'4. Billing Determinants'!$B$19:$O$41,8,0)/'4. Billing Determinants'!$I$41*$D10, VLOOKUP(V$4,'4. Billing Determinants'!$B$19:$O$41,3,0)/'4. Billing Determinants'!$D$41*$D10))))),0)</f>
        <v>0</v>
      </c>
      <c r="W10" s="75">
        <f>IFERROR(IF(W$4="",0,IF($E10="kWh",VLOOKUP(W$4,'4. Billing Determinants'!$B$19:$O$41,4,0)/'4. Billing Determinants'!$E$41*$D10,IF($E10="kW",VLOOKUP(W$4,'4. Billing Determinants'!$B$19:$O$41,5,0)/'4. Billing Determinants'!$F$41*$D10,IF($E10="Non-RPP kWh",VLOOKUP(W$4,'4. Billing Determinants'!$B$19:$O$41,6,0)/'4. Billing Determinants'!$G$41*$D10,IF($E10="Distribution Rev.",VLOOKUP(W$4,'4. Billing Determinants'!$B$19:$O$41,8,0)/'4. Billing Determinants'!$I$41*$D10, VLOOKUP(W$4,'4. Billing Determinants'!$B$19:$O$41,3,0)/'4. Billing Determinants'!$D$41*$D10))))),0)</f>
        <v>0</v>
      </c>
      <c r="X10" s="75">
        <f>IFERROR(IF(X$4="",0,IF($E10="kWh",VLOOKUP(X$4,'4. Billing Determinants'!$B$19:$O$41,4,0)/'4. Billing Determinants'!$E$41*$D10,IF($E10="kW",VLOOKUP(X$4,'4. Billing Determinants'!$B$19:$O$41,5,0)/'4. Billing Determinants'!$F$41*$D10,IF($E10="Non-RPP kWh",VLOOKUP(X$4,'4. Billing Determinants'!$B$19:$O$41,6,0)/'4. Billing Determinants'!$G$41*$D10,IF($E10="Distribution Rev.",VLOOKUP(X$4,'4. Billing Determinants'!$B$19:$O$41,8,0)/'4. Billing Determinants'!$I$41*$D10, VLOOKUP(X$4,'4. Billing Determinants'!$B$19:$O$41,3,0)/'4. Billing Determinants'!$D$41*$D10))))),0)</f>
        <v>0</v>
      </c>
      <c r="Y10" s="75">
        <f>IFERROR(IF(Y$4="",0,IF($E10="kWh",VLOOKUP(Y$4,'4. Billing Determinants'!$B$19:$O$41,4,0)/'4. Billing Determinants'!$E$41*$D10,IF($E10="kW",VLOOKUP(Y$4,'4. Billing Determinants'!$B$19:$O$41,5,0)/'4. Billing Determinants'!$F$41*$D10,IF($E10="Non-RPP kWh",VLOOKUP(Y$4,'4. Billing Determinants'!$B$19:$O$41,6,0)/'4. Billing Determinants'!$G$41*$D10,IF($E10="Distribution Rev.",VLOOKUP(Y$4,'4. Billing Determinants'!$B$19:$O$41,8,0)/'4. Billing Determinants'!$I$41*$D10, VLOOKUP(Y$4,'4. Billing Determinants'!$B$19:$O$41,3,0)/'4. Billing Determinants'!$D$41*$D10))))),0)</f>
        <v>0</v>
      </c>
    </row>
    <row r="11" spans="2:25" x14ac:dyDescent="0.2">
      <c r="B11" s="73" t="s">
        <v>19</v>
      </c>
      <c r="C11" s="74">
        <v>1590</v>
      </c>
      <c r="D11" s="75">
        <f>'2. 2013 Continuity Schedule'!CP30</f>
        <v>0</v>
      </c>
      <c r="E11" s="208"/>
      <c r="F11" s="75">
        <f>IFERROR(IF(F$4="",0,IF($E11="kWh",VLOOKUP(F$4,'4. Billing Determinants'!$B$19:$O$41,4,0)/'4. Billing Determinants'!$E$41*$D11,IF($E11="kW",VLOOKUP(F$4,'4. Billing Determinants'!$B$19:$O$41,5,0)/'4. Billing Determinants'!$F$41*$D11,IF($E11="Non-RPP kWh",VLOOKUP(F$4,'4. Billing Determinants'!$B$19:$O$41,6,0)/'4. Billing Determinants'!$G$41*$D11,IF($E11="Distribution Rev.",VLOOKUP(F$4,'4. Billing Determinants'!$B$19:$O$41,8,0)/'4. Billing Determinants'!$I$41*$D11, VLOOKUP(F$4,'4. Billing Determinants'!$B$19:$O$41,3,0)/'4. Billing Determinants'!$D$41*$D11))))),0)</f>
        <v>0</v>
      </c>
      <c r="G11" s="75">
        <f>IFERROR(IF(G$4="",0,IF($E11="kWh",VLOOKUP(G$4,'4. Billing Determinants'!$B$19:$O$41,4,0)/'4. Billing Determinants'!$E$41*$D11,IF($E11="kW",VLOOKUP(G$4,'4. Billing Determinants'!$B$19:$O$41,5,0)/'4. Billing Determinants'!$F$41*$D11,IF($E11="Non-RPP kWh",VLOOKUP(G$4,'4. Billing Determinants'!$B$19:$O$41,6,0)/'4. Billing Determinants'!$G$41*$D11,IF($E11="Distribution Rev.",VLOOKUP(G$4,'4. Billing Determinants'!$B$19:$O$41,8,0)/'4. Billing Determinants'!$I$41*$D11, VLOOKUP(G$4,'4. Billing Determinants'!$B$19:$O$41,3,0)/'4. Billing Determinants'!$D$41*$D11))))),0)</f>
        <v>0</v>
      </c>
      <c r="H11" s="75">
        <f>IFERROR(IF(H$4="",0,IF($E11="kWh",VLOOKUP(H$4,'4. Billing Determinants'!$B$19:$O$41,4,0)/'4. Billing Determinants'!$E$41*$D11,IF($E11="kW",VLOOKUP(H$4,'4. Billing Determinants'!$B$19:$O$41,5,0)/'4. Billing Determinants'!$F$41*$D11,IF($E11="Non-RPP kWh",VLOOKUP(H$4,'4. Billing Determinants'!$B$19:$O$41,6,0)/'4. Billing Determinants'!$G$41*$D11,IF($E11="Distribution Rev.",VLOOKUP(H$4,'4. Billing Determinants'!$B$19:$O$41,8,0)/'4. Billing Determinants'!$I$41*$D11, VLOOKUP(H$4,'4. Billing Determinants'!$B$19:$O$41,3,0)/'4. Billing Determinants'!$D$41*$D11))))),0)</f>
        <v>0</v>
      </c>
      <c r="I11" s="75">
        <f>IFERROR(IF(I$4="",0,IF($E11="kWh",VLOOKUP(I$4,'4. Billing Determinants'!$B$19:$O$41,4,0)/'4. Billing Determinants'!$E$41*$D11,IF($E11="kW",VLOOKUP(I$4,'4. Billing Determinants'!$B$19:$O$41,5,0)/'4. Billing Determinants'!$F$41*$D11,IF($E11="Non-RPP kWh",VLOOKUP(I$4,'4. Billing Determinants'!$B$19:$O$41,6,0)/'4. Billing Determinants'!$G$41*$D11,IF($E11="Distribution Rev.",VLOOKUP(I$4,'4. Billing Determinants'!$B$19:$O$41,8,0)/'4. Billing Determinants'!$I$41*$D11, VLOOKUP(I$4,'4. Billing Determinants'!$B$19:$O$41,3,0)/'4. Billing Determinants'!$D$41*$D11))))),0)</f>
        <v>0</v>
      </c>
      <c r="J11" s="75">
        <f>IFERROR(IF(J$4="",0,IF($E11="kWh",VLOOKUP(J$4,'4. Billing Determinants'!$B$19:$O$41,4,0)/'4. Billing Determinants'!$E$41*$D11,IF($E11="kW",VLOOKUP(J$4,'4. Billing Determinants'!$B$19:$O$41,5,0)/'4. Billing Determinants'!$F$41*$D11,IF($E11="Non-RPP kWh",VLOOKUP(J$4,'4. Billing Determinants'!$B$19:$O$41,6,0)/'4. Billing Determinants'!$G$41*$D11,IF($E11="Distribution Rev.",VLOOKUP(J$4,'4. Billing Determinants'!$B$19:$O$41,8,0)/'4. Billing Determinants'!$I$41*$D11, VLOOKUP(J$4,'4. Billing Determinants'!$B$19:$O$41,3,0)/'4. Billing Determinants'!$D$41*$D11))))),0)</f>
        <v>0</v>
      </c>
      <c r="K11" s="75">
        <f>IFERROR(IF(K$4="",0,IF($E11="kWh",VLOOKUP(K$4,'4. Billing Determinants'!$B$19:$O$41,4,0)/'4. Billing Determinants'!$E$41*$D11,IF($E11="kW",VLOOKUP(K$4,'4. Billing Determinants'!$B$19:$O$41,5,0)/'4. Billing Determinants'!$F$41*$D11,IF($E11="Non-RPP kWh",VLOOKUP(K$4,'4. Billing Determinants'!$B$19:$O$41,6,0)/'4. Billing Determinants'!$G$41*$D11,IF($E11="Distribution Rev.",VLOOKUP(K$4,'4. Billing Determinants'!$B$19:$O$41,8,0)/'4. Billing Determinants'!$I$41*$D11, VLOOKUP(K$4,'4. Billing Determinants'!$B$19:$O$41,3,0)/'4. Billing Determinants'!$D$41*$D11))))),0)</f>
        <v>0</v>
      </c>
      <c r="L11" s="75">
        <f>IFERROR(IF(L$4="",0,IF($E11="kWh",VLOOKUP(L$4,'4. Billing Determinants'!$B$19:$O$41,4,0)/'4. Billing Determinants'!$E$41*$D11,IF($E11="kW",VLOOKUP(L$4,'4. Billing Determinants'!$B$19:$O$41,5,0)/'4. Billing Determinants'!$F$41*$D11,IF($E11="Non-RPP kWh",VLOOKUP(L$4,'4. Billing Determinants'!$B$19:$O$41,6,0)/'4. Billing Determinants'!$G$41*$D11,IF($E11="Distribution Rev.",VLOOKUP(L$4,'4. Billing Determinants'!$B$19:$O$41,8,0)/'4. Billing Determinants'!$I$41*$D11, VLOOKUP(L$4,'4. Billing Determinants'!$B$19:$O$41,3,0)/'4. Billing Determinants'!$D$41*$D11))))),0)</f>
        <v>0</v>
      </c>
      <c r="M11" s="75">
        <f>IFERROR(IF(M$4="",0,IF($E11="kWh",VLOOKUP(M$4,'4. Billing Determinants'!$B$19:$O$41,4,0)/'4. Billing Determinants'!$E$41*$D11,IF($E11="kW",VLOOKUP(M$4,'4. Billing Determinants'!$B$19:$O$41,5,0)/'4. Billing Determinants'!$F$41*$D11,IF($E11="Non-RPP kWh",VLOOKUP(M$4,'4. Billing Determinants'!$B$19:$O$41,6,0)/'4. Billing Determinants'!$G$41*$D11,IF($E11="Distribution Rev.",VLOOKUP(M$4,'4. Billing Determinants'!$B$19:$O$41,8,0)/'4. Billing Determinants'!$I$41*$D11, VLOOKUP(M$4,'4. Billing Determinants'!$B$19:$O$41,3,0)/'4. Billing Determinants'!$D$41*$D11))))),0)</f>
        <v>0</v>
      </c>
      <c r="N11" s="75">
        <f>IFERROR(IF(N$4="",0,IF($E11="kWh",VLOOKUP(N$4,'4. Billing Determinants'!$B$19:$O$41,4,0)/'4. Billing Determinants'!$E$41*$D11,IF($E11="kW",VLOOKUP(N$4,'4. Billing Determinants'!$B$19:$O$41,5,0)/'4. Billing Determinants'!$F$41*$D11,IF($E11="Non-RPP kWh",VLOOKUP(N$4,'4. Billing Determinants'!$B$19:$O$41,6,0)/'4. Billing Determinants'!$G$41*$D11,IF($E11="Distribution Rev.",VLOOKUP(N$4,'4. Billing Determinants'!$B$19:$O$41,8,0)/'4. Billing Determinants'!$I$41*$D11, VLOOKUP(N$4,'4. Billing Determinants'!$B$19:$O$41,3,0)/'4. Billing Determinants'!$D$41*$D11))))),0)</f>
        <v>0</v>
      </c>
      <c r="O11" s="75">
        <f>IFERROR(IF(O$4="",0,IF($E11="kWh",VLOOKUP(O$4,'4. Billing Determinants'!$B$19:$O$41,4,0)/'4. Billing Determinants'!$E$41*$D11,IF($E11="kW",VLOOKUP(O$4,'4. Billing Determinants'!$B$19:$O$41,5,0)/'4. Billing Determinants'!$F$41*$D11,IF($E11="Non-RPP kWh",VLOOKUP(O$4,'4. Billing Determinants'!$B$19:$O$41,6,0)/'4. Billing Determinants'!$G$41*$D11,IF($E11="Distribution Rev.",VLOOKUP(O$4,'4. Billing Determinants'!$B$19:$O$41,8,0)/'4. Billing Determinants'!$I$41*$D11, VLOOKUP(O$4,'4. Billing Determinants'!$B$19:$O$41,3,0)/'4. Billing Determinants'!$D$41*$D11))))),0)</f>
        <v>0</v>
      </c>
      <c r="P11" s="75">
        <f>IFERROR(IF(P$4="",0,IF($E11="kWh",VLOOKUP(P$4,'4. Billing Determinants'!$B$19:$O$41,4,0)/'4. Billing Determinants'!$E$41*$D11,IF($E11="kW",VLOOKUP(P$4,'4. Billing Determinants'!$B$19:$O$41,5,0)/'4. Billing Determinants'!$F$41*$D11,IF($E11="Non-RPP kWh",VLOOKUP(P$4,'4. Billing Determinants'!$B$19:$O$41,6,0)/'4. Billing Determinants'!$G$41*$D11,IF($E11="Distribution Rev.",VLOOKUP(P$4,'4. Billing Determinants'!$B$19:$O$41,8,0)/'4. Billing Determinants'!$I$41*$D11, VLOOKUP(P$4,'4. Billing Determinants'!$B$19:$O$41,3,0)/'4. Billing Determinants'!$D$41*$D11))))),0)</f>
        <v>0</v>
      </c>
      <c r="Q11" s="75">
        <f>IFERROR(IF(Q$4="",0,IF($E11="kWh",VLOOKUP(Q$4,'4. Billing Determinants'!$B$19:$O$41,4,0)/'4. Billing Determinants'!$E$41*$D11,IF($E11="kW",VLOOKUP(Q$4,'4. Billing Determinants'!$B$19:$O$41,5,0)/'4. Billing Determinants'!$F$41*$D11,IF($E11="Non-RPP kWh",VLOOKUP(Q$4,'4. Billing Determinants'!$B$19:$O$41,6,0)/'4. Billing Determinants'!$G$41*$D11,IF($E11="Distribution Rev.",VLOOKUP(Q$4,'4. Billing Determinants'!$B$19:$O$41,8,0)/'4. Billing Determinants'!$I$41*$D11, VLOOKUP(Q$4,'4. Billing Determinants'!$B$19:$O$41,3,0)/'4. Billing Determinants'!$D$41*$D11))))),0)</f>
        <v>0</v>
      </c>
      <c r="R11" s="75">
        <f>IFERROR(IF(R$4="",0,IF($E11="kWh",VLOOKUP(R$4,'4. Billing Determinants'!$B$19:$O$41,4,0)/'4. Billing Determinants'!$E$41*$D11,IF($E11="kW",VLOOKUP(R$4,'4. Billing Determinants'!$B$19:$O$41,5,0)/'4. Billing Determinants'!$F$41*$D11,IF($E11="Non-RPP kWh",VLOOKUP(R$4,'4. Billing Determinants'!$B$19:$O$41,6,0)/'4. Billing Determinants'!$G$41*$D11,IF($E11="Distribution Rev.",VLOOKUP(R$4,'4. Billing Determinants'!$B$19:$O$41,8,0)/'4. Billing Determinants'!$I$41*$D11, VLOOKUP(R$4,'4. Billing Determinants'!$B$19:$O$41,3,0)/'4. Billing Determinants'!$D$41*$D11))))),0)</f>
        <v>0</v>
      </c>
      <c r="S11" s="75">
        <f>IFERROR(IF(S$4="",0,IF($E11="kWh",VLOOKUP(S$4,'4. Billing Determinants'!$B$19:$O$41,4,0)/'4. Billing Determinants'!$E$41*$D11,IF($E11="kW",VLOOKUP(S$4,'4. Billing Determinants'!$B$19:$O$41,5,0)/'4. Billing Determinants'!$F$41*$D11,IF($E11="Non-RPP kWh",VLOOKUP(S$4,'4. Billing Determinants'!$B$19:$O$41,6,0)/'4. Billing Determinants'!$G$41*$D11,IF($E11="Distribution Rev.",VLOOKUP(S$4,'4. Billing Determinants'!$B$19:$O$41,8,0)/'4. Billing Determinants'!$I$41*$D11, VLOOKUP(S$4,'4. Billing Determinants'!$B$19:$O$41,3,0)/'4. Billing Determinants'!$D$41*$D11))))),0)</f>
        <v>0</v>
      </c>
      <c r="T11" s="75">
        <f>IFERROR(IF(T$4="",0,IF($E11="kWh",VLOOKUP(T$4,'4. Billing Determinants'!$B$19:$O$41,4,0)/'4. Billing Determinants'!$E$41*$D11,IF($E11="kW",VLOOKUP(T$4,'4. Billing Determinants'!$B$19:$O$41,5,0)/'4. Billing Determinants'!$F$41*$D11,IF($E11="Non-RPP kWh",VLOOKUP(T$4,'4. Billing Determinants'!$B$19:$O$41,6,0)/'4. Billing Determinants'!$G$41*$D11,IF($E11="Distribution Rev.",VLOOKUP(T$4,'4. Billing Determinants'!$B$19:$O$41,8,0)/'4. Billing Determinants'!$I$41*$D11, VLOOKUP(T$4,'4. Billing Determinants'!$B$19:$O$41,3,0)/'4. Billing Determinants'!$D$41*$D11))))),0)</f>
        <v>0</v>
      </c>
      <c r="U11" s="75">
        <f>IFERROR(IF(U$4="",0,IF($E11="kWh",VLOOKUP(U$4,'4. Billing Determinants'!$B$19:$O$41,4,0)/'4. Billing Determinants'!$E$41*$D11,IF($E11="kW",VLOOKUP(U$4,'4. Billing Determinants'!$B$19:$O$41,5,0)/'4. Billing Determinants'!$F$41*$D11,IF($E11="Non-RPP kWh",VLOOKUP(U$4,'4. Billing Determinants'!$B$19:$O$41,6,0)/'4. Billing Determinants'!$G$41*$D11,IF($E11="Distribution Rev.",VLOOKUP(U$4,'4. Billing Determinants'!$B$19:$O$41,8,0)/'4. Billing Determinants'!$I$41*$D11, VLOOKUP(U$4,'4. Billing Determinants'!$B$19:$O$41,3,0)/'4. Billing Determinants'!$D$41*$D11))))),0)</f>
        <v>0</v>
      </c>
      <c r="V11" s="75">
        <f>IFERROR(IF(V$4="",0,IF($E11="kWh",VLOOKUP(V$4,'4. Billing Determinants'!$B$19:$O$41,4,0)/'4. Billing Determinants'!$E$41*$D11,IF($E11="kW",VLOOKUP(V$4,'4. Billing Determinants'!$B$19:$O$41,5,0)/'4. Billing Determinants'!$F$41*$D11,IF($E11="Non-RPP kWh",VLOOKUP(V$4,'4. Billing Determinants'!$B$19:$O$41,6,0)/'4. Billing Determinants'!$G$41*$D11,IF($E11="Distribution Rev.",VLOOKUP(V$4,'4. Billing Determinants'!$B$19:$O$41,8,0)/'4. Billing Determinants'!$I$41*$D11, VLOOKUP(V$4,'4. Billing Determinants'!$B$19:$O$41,3,0)/'4. Billing Determinants'!$D$41*$D11))))),0)</f>
        <v>0</v>
      </c>
      <c r="W11" s="75">
        <f>IFERROR(IF(W$4="",0,IF($E11="kWh",VLOOKUP(W$4,'4. Billing Determinants'!$B$19:$O$41,4,0)/'4. Billing Determinants'!$E$41*$D11,IF($E11="kW",VLOOKUP(W$4,'4. Billing Determinants'!$B$19:$O$41,5,0)/'4. Billing Determinants'!$F$41*$D11,IF($E11="Non-RPP kWh",VLOOKUP(W$4,'4. Billing Determinants'!$B$19:$O$41,6,0)/'4. Billing Determinants'!$G$41*$D11,IF($E11="Distribution Rev.",VLOOKUP(W$4,'4. Billing Determinants'!$B$19:$O$41,8,0)/'4. Billing Determinants'!$I$41*$D11, VLOOKUP(W$4,'4. Billing Determinants'!$B$19:$O$41,3,0)/'4. Billing Determinants'!$D$41*$D11))))),0)</f>
        <v>0</v>
      </c>
      <c r="X11" s="75">
        <f>IFERROR(IF(X$4="",0,IF($E11="kWh",VLOOKUP(X$4,'4. Billing Determinants'!$B$19:$O$41,4,0)/'4. Billing Determinants'!$E$41*$D11,IF($E11="kW",VLOOKUP(X$4,'4. Billing Determinants'!$B$19:$O$41,5,0)/'4. Billing Determinants'!$F$41*$D11,IF($E11="Non-RPP kWh",VLOOKUP(X$4,'4. Billing Determinants'!$B$19:$O$41,6,0)/'4. Billing Determinants'!$G$41*$D11,IF($E11="Distribution Rev.",VLOOKUP(X$4,'4. Billing Determinants'!$B$19:$O$41,8,0)/'4. Billing Determinants'!$I$41*$D11, VLOOKUP(X$4,'4. Billing Determinants'!$B$19:$O$41,3,0)/'4. Billing Determinants'!$D$41*$D11))))),0)</f>
        <v>0</v>
      </c>
      <c r="Y11" s="75">
        <f>IFERROR(IF(Y$4="",0,IF($E11="kWh",VLOOKUP(Y$4,'4. Billing Determinants'!$B$19:$O$41,4,0)/'4. Billing Determinants'!$E$41*$D11,IF($E11="kW",VLOOKUP(Y$4,'4. Billing Determinants'!$B$19:$O$41,5,0)/'4. Billing Determinants'!$F$41*$D11,IF($E11="Non-RPP kWh",VLOOKUP(Y$4,'4. Billing Determinants'!$B$19:$O$41,6,0)/'4. Billing Determinants'!$G$41*$D11,IF($E11="Distribution Rev.",VLOOKUP(Y$4,'4. Billing Determinants'!$B$19:$O$41,8,0)/'4. Billing Determinants'!$I$41*$D11, VLOOKUP(Y$4,'4. Billing Determinants'!$B$19:$O$41,3,0)/'4. Billing Determinants'!$D$41*$D11))))),0)</f>
        <v>0</v>
      </c>
    </row>
    <row r="12" spans="2:25" x14ac:dyDescent="0.2">
      <c r="B12" s="77" t="s">
        <v>148</v>
      </c>
      <c r="C12" s="74">
        <v>1595</v>
      </c>
      <c r="D12" s="75">
        <f>'2. 2013 Continuity Schedule'!CP31</f>
        <v>0</v>
      </c>
      <c r="E12" s="208"/>
      <c r="F12" s="75">
        <f>IF(ISERROR(VLOOKUP(F$4, '4. Billing Determinants'!$B$19:$O$41, 10, FALSE)*'2. 2013 Continuity Schedule'!$CP$31), 0, VLOOKUP(F$4, '4. Billing Determinants'!$B$19:$O$41, 10, FALSE)*'2. 2013 Continuity Schedule'!$CP$31)</f>
        <v>0</v>
      </c>
      <c r="G12" s="75">
        <f>IF(ISERROR(VLOOKUP(G$4, '4. Billing Determinants'!$B$19:$O$41, 10, FALSE)*'2. 2013 Continuity Schedule'!$CP$31), 0, VLOOKUP(G$4, '4. Billing Determinants'!$B$19:$O$41, 10, FALSE)*'2. 2013 Continuity Schedule'!$CP$31)</f>
        <v>0</v>
      </c>
      <c r="H12" s="75">
        <f>IF(ISERROR(VLOOKUP(H$4, '4. Billing Determinants'!$B$19:$O$41, 10, FALSE)*'2. 2013 Continuity Schedule'!$CP$31), 0, VLOOKUP(H$4, '4. Billing Determinants'!$B$19:$O$41, 10, FALSE)*'2. 2013 Continuity Schedule'!$CP$31)</f>
        <v>0</v>
      </c>
      <c r="I12" s="75">
        <f>IF(ISERROR(VLOOKUP(I$4, '4. Billing Determinants'!$B$19:$O$41, 10, FALSE)*'2. 2013 Continuity Schedule'!$CP$31), 0, VLOOKUP(I$4, '4. Billing Determinants'!$B$19:$O$41, 10, FALSE)*'2. 2013 Continuity Schedule'!$CP$31)</f>
        <v>0</v>
      </c>
      <c r="J12" s="75">
        <f>IF(ISERROR(VLOOKUP(J$4, '4. Billing Determinants'!$B$19:$O$41, 10, FALSE)*'2. 2013 Continuity Schedule'!$CP$31), 0, VLOOKUP(J$4, '4. Billing Determinants'!$B$19:$O$41, 10, FALSE)*'2. 2013 Continuity Schedule'!$CP$31)</f>
        <v>0</v>
      </c>
      <c r="K12" s="75">
        <f>IF(ISERROR(VLOOKUP(K$4, '4. Billing Determinants'!$B$19:$O$41, 10, FALSE)*'2. 2013 Continuity Schedule'!$CP$31), 0, VLOOKUP(K$4, '4. Billing Determinants'!$B$19:$O$41, 10, FALSE)*'2. 2013 Continuity Schedule'!$CP$31)</f>
        <v>0</v>
      </c>
      <c r="L12" s="75">
        <f>IF(ISERROR(VLOOKUP(L$4, '4. Billing Determinants'!$B$19:$O$41, 10, FALSE)*'2. 2013 Continuity Schedule'!$CP$31), 0, VLOOKUP(L$4, '4. Billing Determinants'!$B$19:$O$41, 10, FALSE)*'2. 2013 Continuity Schedule'!$CP$31)</f>
        <v>0</v>
      </c>
      <c r="M12" s="75">
        <f>IF(ISERROR(VLOOKUP(M$4, '4. Billing Determinants'!$B$19:$O$41, 10, FALSE)*'2. 2013 Continuity Schedule'!$CP$31), 0, VLOOKUP(M$4, '4. Billing Determinants'!$B$19:$O$41, 10, FALSE)*'2. 2013 Continuity Schedule'!$CP$31)</f>
        <v>0</v>
      </c>
      <c r="N12" s="75">
        <f>IF(ISERROR(VLOOKUP(N$4, '4. Billing Determinants'!$B$19:$O$41, 10, FALSE)*'2. 2013 Continuity Schedule'!$CP$31), 0, VLOOKUP(N$4, '4. Billing Determinants'!$B$19:$O$41, 10, FALSE)*'2. 2013 Continuity Schedule'!$CP$31)</f>
        <v>0</v>
      </c>
      <c r="O12" s="75">
        <f>IF(ISERROR(VLOOKUP(O$4, '4. Billing Determinants'!$B$19:$O$41, 10, FALSE)*'2. 2013 Continuity Schedule'!$CP$31), 0, VLOOKUP(O$4, '4. Billing Determinants'!$B$19:$O$41, 10, FALSE)*'2. 2013 Continuity Schedule'!$CP$31)</f>
        <v>0</v>
      </c>
      <c r="P12" s="75">
        <f>IF(ISERROR(VLOOKUP(P$4, '4. Billing Determinants'!$B$19:$O$41, 10, FALSE)*'2. 2013 Continuity Schedule'!$CP$31), 0, VLOOKUP(P$4, '4. Billing Determinants'!$B$19:$O$41, 10, FALSE)*'2. 2013 Continuity Schedule'!$CP$31)</f>
        <v>0</v>
      </c>
      <c r="Q12" s="75">
        <f>IF(ISERROR(VLOOKUP(Q$4, '4. Billing Determinants'!$B$19:$O$41, 10, FALSE)*'2. 2013 Continuity Schedule'!$CP$31), 0, VLOOKUP(Q$4, '4. Billing Determinants'!$B$19:$O$41, 10, FALSE)*'2. 2013 Continuity Schedule'!$CP$31)</f>
        <v>0</v>
      </c>
      <c r="R12" s="75">
        <f>IF(ISERROR(VLOOKUP(R$4, '4. Billing Determinants'!$B$19:$O$41, 10, FALSE)*'2. 2013 Continuity Schedule'!$CP$31), 0, VLOOKUP(R$4, '4. Billing Determinants'!$B$19:$O$41, 10, FALSE)*'2. 2013 Continuity Schedule'!$CP$31)</f>
        <v>0</v>
      </c>
      <c r="S12" s="75">
        <f>IF(ISERROR(VLOOKUP(S$4, '4. Billing Determinants'!$B$19:$O$41, 10, FALSE)*'2. 2013 Continuity Schedule'!$CP$31), 0, VLOOKUP(S$4, '4. Billing Determinants'!$B$19:$O$41, 10, FALSE)*'2. 2013 Continuity Schedule'!$CP$31)</f>
        <v>0</v>
      </c>
      <c r="T12" s="75">
        <f>IF(ISERROR(VLOOKUP(T$4, '4. Billing Determinants'!$B$19:$O$41, 10, FALSE)*'2. 2013 Continuity Schedule'!$CP$31), 0, VLOOKUP(T$4, '4. Billing Determinants'!$B$19:$O$41, 10, FALSE)*'2. 2013 Continuity Schedule'!$CP$31)</f>
        <v>0</v>
      </c>
      <c r="U12" s="75">
        <f>IF(ISERROR(VLOOKUP(U$4, '4. Billing Determinants'!$B$19:$O$41, 10, FALSE)*'2. 2013 Continuity Schedule'!$CP$31), 0, VLOOKUP(U$4, '4. Billing Determinants'!$B$19:$O$41, 10, FALSE)*'2. 2013 Continuity Schedule'!$CP$31)</f>
        <v>0</v>
      </c>
      <c r="V12" s="75">
        <f>IF(ISERROR(VLOOKUP(V$4, '4. Billing Determinants'!$B$19:$O$41, 10, FALSE)*'2. 2013 Continuity Schedule'!$CP$31), 0, VLOOKUP(V$4, '4. Billing Determinants'!$B$19:$O$41, 10, FALSE)*'2. 2013 Continuity Schedule'!$CP$31)</f>
        <v>0</v>
      </c>
      <c r="W12" s="75">
        <f>IF(ISERROR(VLOOKUP(W$4, '4. Billing Determinants'!$B$19:$O$41, 10, FALSE)*'2. 2013 Continuity Schedule'!$CP$31), 0, VLOOKUP(W$4, '4. Billing Determinants'!$B$19:$O$41, 10, FALSE)*'2. 2013 Continuity Schedule'!$CP$31)</f>
        <v>0</v>
      </c>
      <c r="X12" s="75">
        <f>IF(ISERROR(VLOOKUP(X$4, '4. Billing Determinants'!$B$19:$O$41, 10, FALSE)*'2. 2013 Continuity Schedule'!$CP$31), 0, VLOOKUP(X$4, '4. Billing Determinants'!$B$19:$O$41, 10, FALSE)*'2. 2013 Continuity Schedule'!$CP$31)</f>
        <v>0</v>
      </c>
      <c r="Y12" s="75">
        <f>IF(ISERROR(VLOOKUP(Y$4, '4. Billing Determinants'!$B$19:$O$41, 10, FALSE)*'2. 2013 Continuity Schedule'!$CP$31), 0, VLOOKUP(Y$4, '4. Billing Determinants'!$B$19:$O$41, 10, FALSE)*'2. 2013 Continuity Schedule'!$CP$31)</f>
        <v>0</v>
      </c>
    </row>
    <row r="13" spans="2:25" x14ac:dyDescent="0.2">
      <c r="B13" s="77" t="s">
        <v>149</v>
      </c>
      <c r="C13" s="74">
        <v>1595</v>
      </c>
      <c r="D13" s="75">
        <f>'2. 2013 Continuity Schedule'!CP32</f>
        <v>0</v>
      </c>
      <c r="E13" s="208"/>
      <c r="F13" s="75">
        <f>IF(ISERROR(VLOOKUP(F$4, '4. Billing Determinants'!$B$19:$O$41, 11, FALSE)*'2. 2013 Continuity Schedule'!$CP$32), 0, VLOOKUP(F$4, '4. Billing Determinants'!$B$19:$O$41, 11, FALSE)*'2. 2013 Continuity Schedule'!$CP$32)</f>
        <v>0</v>
      </c>
      <c r="G13" s="75">
        <f>IF(ISERROR(VLOOKUP(G$4, '4. Billing Determinants'!$B$19:$O$41, 11, FALSE)*'2. 2013 Continuity Schedule'!$CP$32), 0, VLOOKUP(G$4, '4. Billing Determinants'!$B$19:$O$41, 11, FALSE)*'2. 2013 Continuity Schedule'!$CP$32)</f>
        <v>0</v>
      </c>
      <c r="H13" s="75">
        <f>IF(ISERROR(VLOOKUP(H$4, '4. Billing Determinants'!$B$19:$O$41, 11, FALSE)*'2. 2013 Continuity Schedule'!$CP$32), 0, VLOOKUP(H$4, '4. Billing Determinants'!$B$19:$O$41, 11, FALSE)*'2. 2013 Continuity Schedule'!$CP$32)</f>
        <v>0</v>
      </c>
      <c r="I13" s="75">
        <f>IF(ISERROR(VLOOKUP(I$4, '4. Billing Determinants'!$B$19:$O$41, 11, FALSE)*'2. 2013 Continuity Schedule'!$CP$32), 0, VLOOKUP(I$4, '4. Billing Determinants'!$B$19:$O$41, 11, FALSE)*'2. 2013 Continuity Schedule'!$CP$32)</f>
        <v>0</v>
      </c>
      <c r="J13" s="75">
        <f>IF(ISERROR(VLOOKUP(J$4, '4. Billing Determinants'!$B$19:$O$41, 11, FALSE)*'2. 2013 Continuity Schedule'!$CP$32), 0, VLOOKUP(J$4, '4. Billing Determinants'!$B$19:$O$41, 11, FALSE)*'2. 2013 Continuity Schedule'!$CP$32)</f>
        <v>0</v>
      </c>
      <c r="K13" s="75">
        <f>IF(ISERROR(VLOOKUP(K$4, '4. Billing Determinants'!$B$19:$O$41, 11, FALSE)*'2. 2013 Continuity Schedule'!$CP$32), 0, VLOOKUP(K$4, '4. Billing Determinants'!$B$19:$O$41, 11, FALSE)*'2. 2013 Continuity Schedule'!$CP$32)</f>
        <v>0</v>
      </c>
      <c r="L13" s="75">
        <f>IF(ISERROR(VLOOKUP(L$4, '4. Billing Determinants'!$B$19:$O$41, 11, FALSE)*'2. 2013 Continuity Schedule'!$CP$32), 0, VLOOKUP(L$4, '4. Billing Determinants'!$B$19:$O$41, 11, FALSE)*'2. 2013 Continuity Schedule'!$CP$32)</f>
        <v>0</v>
      </c>
      <c r="M13" s="75">
        <f>IF(ISERROR(VLOOKUP(M$4, '4. Billing Determinants'!$B$19:$O$41, 11, FALSE)*'2. 2013 Continuity Schedule'!$CP$32), 0, VLOOKUP(M$4, '4. Billing Determinants'!$B$19:$O$41, 11, FALSE)*'2. 2013 Continuity Schedule'!$CP$32)</f>
        <v>0</v>
      </c>
      <c r="N13" s="75">
        <f>IF(ISERROR(VLOOKUP(N$4, '4. Billing Determinants'!$B$19:$O$41, 11, FALSE)*'2. 2013 Continuity Schedule'!$CP$32), 0, VLOOKUP(N$4, '4. Billing Determinants'!$B$19:$O$41, 11, FALSE)*'2. 2013 Continuity Schedule'!$CP$32)</f>
        <v>0</v>
      </c>
      <c r="O13" s="75">
        <f>IF(ISERROR(VLOOKUP(O$4, '4. Billing Determinants'!$B$19:$O$41, 11, FALSE)*'2. 2013 Continuity Schedule'!$CP$32), 0, VLOOKUP(O$4, '4. Billing Determinants'!$B$19:$O$41, 11, FALSE)*'2. 2013 Continuity Schedule'!$CP$32)</f>
        <v>0</v>
      </c>
      <c r="P13" s="75">
        <f>IF(ISERROR(VLOOKUP(P$4, '4. Billing Determinants'!$B$19:$O$41, 11, FALSE)*'2. 2013 Continuity Schedule'!$CP$32), 0, VLOOKUP(P$4, '4. Billing Determinants'!$B$19:$O$41, 11, FALSE)*'2. 2013 Continuity Schedule'!$CP$32)</f>
        <v>0</v>
      </c>
      <c r="Q13" s="75">
        <f>IF(ISERROR(VLOOKUP(Q$4, '4. Billing Determinants'!$B$19:$O$41, 11, FALSE)*'2. 2013 Continuity Schedule'!$CP$32), 0, VLOOKUP(Q$4, '4. Billing Determinants'!$B$19:$O$41, 11, FALSE)*'2. 2013 Continuity Schedule'!$CP$32)</f>
        <v>0</v>
      </c>
      <c r="R13" s="75">
        <f>IF(ISERROR(VLOOKUP(R$4, '4. Billing Determinants'!$B$19:$O$41, 11, FALSE)*'2. 2013 Continuity Schedule'!$CP$32), 0, VLOOKUP(R$4, '4. Billing Determinants'!$B$19:$O$41, 11, FALSE)*'2. 2013 Continuity Schedule'!$CP$32)</f>
        <v>0</v>
      </c>
      <c r="S13" s="75">
        <f>IF(ISERROR(VLOOKUP(S$4, '4. Billing Determinants'!$B$19:$O$41, 11, FALSE)*'2. 2013 Continuity Schedule'!$CP$32), 0, VLOOKUP(S$4, '4. Billing Determinants'!$B$19:$O$41, 11, FALSE)*'2. 2013 Continuity Schedule'!$CP$32)</f>
        <v>0</v>
      </c>
      <c r="T13" s="75">
        <f>IF(ISERROR(VLOOKUP(T$4, '4. Billing Determinants'!$B$19:$O$41, 11, FALSE)*'2. 2013 Continuity Schedule'!$CP$32), 0, VLOOKUP(T$4, '4. Billing Determinants'!$B$19:$O$41, 11, FALSE)*'2. 2013 Continuity Schedule'!$CP$32)</f>
        <v>0</v>
      </c>
      <c r="U13" s="75">
        <f>IF(ISERROR(VLOOKUP(U$4, '4. Billing Determinants'!$B$19:$O$41, 11, FALSE)*'2. 2013 Continuity Schedule'!$CP$32), 0, VLOOKUP(U$4, '4. Billing Determinants'!$B$19:$O$41, 11, FALSE)*'2. 2013 Continuity Schedule'!$CP$32)</f>
        <v>0</v>
      </c>
      <c r="V13" s="75">
        <f>IF(ISERROR(VLOOKUP(V$4, '4. Billing Determinants'!$B$19:$O$41, 11, FALSE)*'2. 2013 Continuity Schedule'!$CP$32), 0, VLOOKUP(V$4, '4. Billing Determinants'!$B$19:$O$41, 11, FALSE)*'2. 2013 Continuity Schedule'!$CP$32)</f>
        <v>0</v>
      </c>
      <c r="W13" s="75">
        <f>IF(ISERROR(VLOOKUP(W$4, '4. Billing Determinants'!$B$19:$O$41, 11, FALSE)*'2. 2013 Continuity Schedule'!$CP$32), 0, VLOOKUP(W$4, '4. Billing Determinants'!$B$19:$O$41, 11, FALSE)*'2. 2013 Continuity Schedule'!$CP$32)</f>
        <v>0</v>
      </c>
      <c r="X13" s="75">
        <f>IF(ISERROR(VLOOKUP(X$4, '4. Billing Determinants'!$B$19:$O$41, 11, FALSE)*'2. 2013 Continuity Schedule'!$CP$32), 0, VLOOKUP(X$4, '4. Billing Determinants'!$B$19:$O$41, 11, FALSE)*'2. 2013 Continuity Schedule'!$CP$32)</f>
        <v>0</v>
      </c>
      <c r="Y13" s="75">
        <f>IF(ISERROR(VLOOKUP(Y$4, '4. Billing Determinants'!$B$19:$O$41, 11, FALSE)*'2. 2013 Continuity Schedule'!$CP$32), 0, VLOOKUP(Y$4, '4. Billing Determinants'!$B$19:$O$41, 11, FALSE)*'2. 2013 Continuity Schedule'!$CP$32)</f>
        <v>0</v>
      </c>
    </row>
    <row r="14" spans="2:25" x14ac:dyDescent="0.2">
      <c r="B14" s="77" t="s">
        <v>150</v>
      </c>
      <c r="C14" s="74">
        <v>1595</v>
      </c>
      <c r="D14" s="75">
        <f>'2. 2013 Continuity Schedule'!CP33</f>
        <v>0</v>
      </c>
      <c r="E14" s="208" t="s">
        <v>306</v>
      </c>
      <c r="F14" s="75">
        <f>IF(ISERROR(VLOOKUP(F$4, '4. Billing Determinants'!$B$19:$O$41, 12, FALSE)*'2. 2013 Continuity Schedule'!$CP$33), 0, VLOOKUP(F$4, '4. Billing Determinants'!$B$19:$O$41, 12, FALSE)*'2. 2013 Continuity Schedule'!$CP$33)</f>
        <v>0</v>
      </c>
      <c r="G14" s="75">
        <f>IF(ISERROR(VLOOKUP(G$4, '4. Billing Determinants'!$B$19:$O$41, 12, FALSE)*'2. 2013 Continuity Schedule'!$CP$33), 0, VLOOKUP(G$4, '4. Billing Determinants'!$B$19:$O$41, 12, FALSE)*'2. 2013 Continuity Schedule'!$CP$33)</f>
        <v>0</v>
      </c>
      <c r="H14" s="75">
        <f>IF(ISERROR(VLOOKUP(H$4, '4. Billing Determinants'!$B$19:$O$41, 12, FALSE)*'2. 2013 Continuity Schedule'!$CP$33), 0, VLOOKUP(H$4, '4. Billing Determinants'!$B$19:$O$41, 12, FALSE)*'2. 2013 Continuity Schedule'!$CP$33)</f>
        <v>0</v>
      </c>
      <c r="I14" s="75">
        <f>IF(ISERROR(VLOOKUP(I$4, '4. Billing Determinants'!$B$19:$O$41, 12, FALSE)*'2. 2013 Continuity Schedule'!$CP$33), 0, VLOOKUP(I$4, '4. Billing Determinants'!$B$19:$O$41, 12, FALSE)*'2. 2013 Continuity Schedule'!$CP$33)</f>
        <v>0</v>
      </c>
      <c r="J14" s="75">
        <f>IF(ISERROR(VLOOKUP(J$4, '4. Billing Determinants'!$B$19:$O$41, 12, FALSE)*'2. 2013 Continuity Schedule'!$CP$33), 0, VLOOKUP(J$4, '4. Billing Determinants'!$B$19:$O$41, 12, FALSE)*'2. 2013 Continuity Schedule'!$CP$33)</f>
        <v>0</v>
      </c>
      <c r="K14" s="75">
        <f>IF(ISERROR(VLOOKUP(K$4, '4. Billing Determinants'!$B$19:$O$41, 12, FALSE)*'2. 2013 Continuity Schedule'!$CP$33), 0, VLOOKUP(K$4, '4. Billing Determinants'!$B$19:$O$41, 12, FALSE)*'2. 2013 Continuity Schedule'!$CP$33)</f>
        <v>0</v>
      </c>
      <c r="L14" s="75">
        <f>IF(ISERROR(VLOOKUP(L$4, '4. Billing Determinants'!$B$19:$O$41, 12, FALSE)*'2. 2013 Continuity Schedule'!$CP$33), 0, VLOOKUP(L$4, '4. Billing Determinants'!$B$19:$O$41, 12, FALSE)*'2. 2013 Continuity Schedule'!$CP$33)</f>
        <v>0</v>
      </c>
      <c r="M14" s="75">
        <f>IF(ISERROR(VLOOKUP(M$4, '4. Billing Determinants'!$B$19:$O$41, 12, FALSE)*'2. 2013 Continuity Schedule'!$CP$33), 0, VLOOKUP(M$4, '4. Billing Determinants'!$B$19:$O$41, 12, FALSE)*'2. 2013 Continuity Schedule'!$CP$33)</f>
        <v>0</v>
      </c>
      <c r="N14" s="75">
        <f>IF(ISERROR(VLOOKUP(N$4, '4. Billing Determinants'!$B$19:$O$41, 12, FALSE)*'2. 2013 Continuity Schedule'!$CP$33), 0, VLOOKUP(N$4, '4. Billing Determinants'!$B$19:$O$41, 12, FALSE)*'2. 2013 Continuity Schedule'!$CP$33)</f>
        <v>0</v>
      </c>
      <c r="O14" s="75">
        <f>IF(ISERROR(VLOOKUP(O$4, '4. Billing Determinants'!$B$19:$O$41, 12, FALSE)*'2. 2013 Continuity Schedule'!$CP$33), 0, VLOOKUP(O$4, '4. Billing Determinants'!$B$19:$O$41, 12, FALSE)*'2. 2013 Continuity Schedule'!$CP$33)</f>
        <v>0</v>
      </c>
      <c r="P14" s="75">
        <f>IF(ISERROR(VLOOKUP(P$4, '4. Billing Determinants'!$B$19:$O$41, 12, FALSE)*'2. 2013 Continuity Schedule'!$CP$33), 0, VLOOKUP(P$4, '4. Billing Determinants'!$B$19:$O$41, 12, FALSE)*'2. 2013 Continuity Schedule'!$CP$33)</f>
        <v>0</v>
      </c>
      <c r="Q14" s="75">
        <f>IF(ISERROR(VLOOKUP(Q$4, '4. Billing Determinants'!$B$19:$O$41, 12, FALSE)*'2. 2013 Continuity Schedule'!$CP$33), 0, VLOOKUP(Q$4, '4. Billing Determinants'!$B$19:$O$41, 12, FALSE)*'2. 2013 Continuity Schedule'!$CP$33)</f>
        <v>0</v>
      </c>
      <c r="R14" s="75">
        <f>IF(ISERROR(VLOOKUP(R$4, '4. Billing Determinants'!$B$19:$O$41, 12, FALSE)*'2. 2013 Continuity Schedule'!$CP$33), 0, VLOOKUP(R$4, '4. Billing Determinants'!$B$19:$O$41, 12, FALSE)*'2. 2013 Continuity Schedule'!$CP$33)</f>
        <v>0</v>
      </c>
      <c r="S14" s="75">
        <f>IF(ISERROR(VLOOKUP(S$4, '4. Billing Determinants'!$B$19:$O$41, 12, FALSE)*'2. 2013 Continuity Schedule'!$CP$33), 0, VLOOKUP(S$4, '4. Billing Determinants'!$B$19:$O$41, 12, FALSE)*'2. 2013 Continuity Schedule'!$CP$33)</f>
        <v>0</v>
      </c>
      <c r="T14" s="75">
        <f>IF(ISERROR(VLOOKUP(T$4, '4. Billing Determinants'!$B$19:$O$41, 12, FALSE)*'2. 2013 Continuity Schedule'!$CP$33), 0, VLOOKUP(T$4, '4. Billing Determinants'!$B$19:$O$41, 12, FALSE)*'2. 2013 Continuity Schedule'!$CP$33)</f>
        <v>0</v>
      </c>
      <c r="U14" s="75">
        <f>IF(ISERROR(VLOOKUP(U$4, '4. Billing Determinants'!$B$19:$O$41, 12, FALSE)*'2. 2013 Continuity Schedule'!$CP$33), 0, VLOOKUP(U$4, '4. Billing Determinants'!$B$19:$O$41, 12, FALSE)*'2. 2013 Continuity Schedule'!$CP$33)</f>
        <v>0</v>
      </c>
      <c r="V14" s="75">
        <f>IF(ISERROR(VLOOKUP(V$4, '4. Billing Determinants'!$B$19:$O$41, 12, FALSE)*'2. 2013 Continuity Schedule'!$CP$33), 0, VLOOKUP(V$4, '4. Billing Determinants'!$B$19:$O$41, 12, FALSE)*'2. 2013 Continuity Schedule'!$CP$33)</f>
        <v>0</v>
      </c>
      <c r="W14" s="75">
        <f>IF(ISERROR(VLOOKUP(W$4, '4. Billing Determinants'!$B$19:$O$41, 12, FALSE)*'2. 2013 Continuity Schedule'!$CP$33), 0, VLOOKUP(W$4, '4. Billing Determinants'!$B$19:$O$41, 12, FALSE)*'2. 2013 Continuity Schedule'!$CP$33)</f>
        <v>0</v>
      </c>
      <c r="X14" s="75">
        <f>IF(ISERROR(VLOOKUP(X$4, '4. Billing Determinants'!$B$19:$O$41, 12, FALSE)*'2. 2013 Continuity Schedule'!$CP$33), 0, VLOOKUP(X$4, '4. Billing Determinants'!$B$19:$O$41, 12, FALSE)*'2. 2013 Continuity Schedule'!$CP$33)</f>
        <v>0</v>
      </c>
      <c r="Y14" s="75">
        <f>IF(ISERROR(VLOOKUP(Y$4, '4. Billing Determinants'!$B$19:$O$41, 12, FALSE)*'2. 2013 Continuity Schedule'!$CP$33), 0, VLOOKUP(Y$4, '4. Billing Determinants'!$B$19:$O$41, 12, FALSE)*'2. 2013 Continuity Schedule'!$CP$33)</f>
        <v>0</v>
      </c>
    </row>
    <row r="15" spans="2:25" x14ac:dyDescent="0.2">
      <c r="B15" s="77" t="s">
        <v>287</v>
      </c>
      <c r="C15" s="74">
        <v>1595</v>
      </c>
      <c r="D15" s="75">
        <f>'2. 2013 Continuity Schedule'!CP34</f>
        <v>21116.490835999975</v>
      </c>
      <c r="E15" s="208" t="s">
        <v>306</v>
      </c>
      <c r="F15" s="75">
        <f>IF(ISERROR(VLOOKUP(F$4, '4. Billing Determinants'!$B$19:$O$41, 13, FALSE)*'2. 2013 Continuity Schedule'!$CP$34), 0, VLOOKUP(F$4, '4. Billing Determinants'!$B$19:$O$41, 13, FALSE)*'2. 2013 Continuity Schedule'!$CP$34)</f>
        <v>7665.2861734679909</v>
      </c>
      <c r="G15" s="75">
        <f>IF(ISERROR(VLOOKUP(G$4, '4. Billing Determinants'!$B$19:$O$41, 13, FALSE)*'2. 2013 Continuity Schedule'!$CP$34), 0, VLOOKUP(G$4, '4. Billing Determinants'!$B$19:$O$41, 13, FALSE)*'2. 2013 Continuity Schedule'!$CP$34)</f>
        <v>4096.5992221839952</v>
      </c>
      <c r="H15" s="75">
        <f>IF(ISERROR(VLOOKUP(H$4, '4. Billing Determinants'!$B$19:$O$41, 13, FALSE)*'2. 2013 Continuity Schedule'!$CP$34), 0, VLOOKUP(H$4, '4. Billing Determinants'!$B$19:$O$41, 13, FALSE)*'2. 2013 Continuity Schedule'!$CP$34)</f>
        <v>9185.6735136599891</v>
      </c>
      <c r="I15" s="75">
        <f>IF(ISERROR(VLOOKUP(I$4, '4. Billing Determinants'!$B$19:$O$41, 13, FALSE)*'2. 2013 Continuity Schedule'!$CP$34), 0, VLOOKUP(I$4, '4. Billing Determinants'!$B$19:$O$41, 13, FALSE)*'2. 2013 Continuity Schedule'!$CP$34)</f>
        <v>21.116490835999976</v>
      </c>
      <c r="J15" s="75">
        <f>IF(ISERROR(VLOOKUP(J$4, '4. Billing Determinants'!$B$19:$O$41, 13, FALSE)*'2. 2013 Continuity Schedule'!$CP$34), 0, VLOOKUP(J$4, '4. Billing Determinants'!$B$19:$O$41, 13, FALSE)*'2. 2013 Continuity Schedule'!$CP$34)</f>
        <v>147.81543585199984</v>
      </c>
      <c r="K15" s="75">
        <f>IF(ISERROR(VLOOKUP(K$4, '4. Billing Determinants'!$B$19:$O$41, 13, FALSE)*'2. 2013 Continuity Schedule'!$CP$34), 0, VLOOKUP(K$4, '4. Billing Determinants'!$B$19:$O$41, 13, FALSE)*'2. 2013 Continuity Schedule'!$CP$34)</f>
        <v>0</v>
      </c>
      <c r="L15" s="75">
        <f>IF(ISERROR(VLOOKUP(L$4, '4. Billing Determinants'!$B$19:$O$41, 13, FALSE)*'2. 2013 Continuity Schedule'!$CP$34), 0, VLOOKUP(L$4, '4. Billing Determinants'!$B$19:$O$41, 13, FALSE)*'2. 2013 Continuity Schedule'!$CP$34)</f>
        <v>0</v>
      </c>
      <c r="M15" s="75">
        <f>IF(ISERROR(VLOOKUP(M$4, '4. Billing Determinants'!$B$19:$O$41, 13, FALSE)*'2. 2013 Continuity Schedule'!$CP$34), 0, VLOOKUP(M$4, '4. Billing Determinants'!$B$19:$O$41, 13, FALSE)*'2. 2013 Continuity Schedule'!$CP$34)</f>
        <v>0</v>
      </c>
      <c r="N15" s="75">
        <f>IF(ISERROR(VLOOKUP(N$4, '4. Billing Determinants'!$B$19:$O$41, 13, FALSE)*'2. 2013 Continuity Schedule'!$CP$34), 0, VLOOKUP(N$4, '4. Billing Determinants'!$B$19:$O$41, 13, FALSE)*'2. 2013 Continuity Schedule'!$CP$34)</f>
        <v>0</v>
      </c>
      <c r="O15" s="75">
        <f>IF(ISERROR(VLOOKUP(O$4, '4. Billing Determinants'!$B$19:$O$41, 13, FALSE)*'2. 2013 Continuity Schedule'!$CP$34), 0, VLOOKUP(O$4, '4. Billing Determinants'!$B$19:$O$41, 13, FALSE)*'2. 2013 Continuity Schedule'!$CP$34)</f>
        <v>0</v>
      </c>
      <c r="P15" s="75">
        <f>IF(ISERROR(VLOOKUP(P$4, '4. Billing Determinants'!$B$19:$O$41, 13, FALSE)*'2. 2013 Continuity Schedule'!$CP$34), 0, VLOOKUP(P$4, '4. Billing Determinants'!$B$19:$O$41, 13, FALSE)*'2. 2013 Continuity Schedule'!$CP$34)</f>
        <v>0</v>
      </c>
      <c r="Q15" s="75">
        <f>IF(ISERROR(VLOOKUP(Q$4, '4. Billing Determinants'!$B$19:$O$41, 13, FALSE)*'2. 2013 Continuity Schedule'!$CP$34), 0, VLOOKUP(Q$4, '4. Billing Determinants'!$B$19:$O$41, 13, FALSE)*'2. 2013 Continuity Schedule'!$CP$34)</f>
        <v>0</v>
      </c>
      <c r="R15" s="75">
        <f>IF(ISERROR(VLOOKUP(R$4, '4. Billing Determinants'!$B$19:$O$41, 13, FALSE)*'2. 2013 Continuity Schedule'!$CP$34), 0, VLOOKUP(R$4, '4. Billing Determinants'!$B$19:$O$41, 13, FALSE)*'2. 2013 Continuity Schedule'!$CP$34)</f>
        <v>0</v>
      </c>
      <c r="S15" s="75">
        <f>IF(ISERROR(VLOOKUP(S$4, '4. Billing Determinants'!$B$19:$O$41, 13, FALSE)*'2. 2013 Continuity Schedule'!$CP$34), 0, VLOOKUP(S$4, '4. Billing Determinants'!$B$19:$O$41, 13, FALSE)*'2. 2013 Continuity Schedule'!$CP$34)</f>
        <v>0</v>
      </c>
      <c r="T15" s="75">
        <f>IF(ISERROR(VLOOKUP(T$4, '4. Billing Determinants'!$B$19:$O$41, 13, FALSE)*'2. 2013 Continuity Schedule'!$CP$34), 0, VLOOKUP(T$4, '4. Billing Determinants'!$B$19:$O$41, 13, FALSE)*'2. 2013 Continuity Schedule'!$CP$34)</f>
        <v>0</v>
      </c>
      <c r="U15" s="75">
        <f>IF(ISERROR(VLOOKUP(U$4, '4. Billing Determinants'!$B$19:$O$41, 13, FALSE)*'2. 2013 Continuity Schedule'!$CP$34), 0, VLOOKUP(U$4, '4. Billing Determinants'!$B$19:$O$41, 13, FALSE)*'2. 2013 Continuity Schedule'!$CP$34)</f>
        <v>0</v>
      </c>
      <c r="V15" s="75">
        <f>IF(ISERROR(VLOOKUP(V$4, '4. Billing Determinants'!$B$19:$O$41, 13, FALSE)*'2. 2013 Continuity Schedule'!$CP$34), 0, VLOOKUP(V$4, '4. Billing Determinants'!$B$19:$O$41, 13, FALSE)*'2. 2013 Continuity Schedule'!$CP$34)</f>
        <v>0</v>
      </c>
      <c r="W15" s="75">
        <f>IF(ISERROR(VLOOKUP(W$4, '4. Billing Determinants'!$B$19:$O$41, 13, FALSE)*'2. 2013 Continuity Schedule'!$CP$34), 0, VLOOKUP(W$4, '4. Billing Determinants'!$B$19:$O$41, 13, FALSE)*'2. 2013 Continuity Schedule'!$CP$34)</f>
        <v>0</v>
      </c>
      <c r="X15" s="75">
        <f>IF(ISERROR(VLOOKUP(X$4, '4. Billing Determinants'!$B$19:$O$41, 13, FALSE)*'2. 2013 Continuity Schedule'!$CP$34), 0, VLOOKUP(X$4, '4. Billing Determinants'!$B$19:$O$41, 13, FALSE)*'2. 2013 Continuity Schedule'!$CP$34)</f>
        <v>0</v>
      </c>
      <c r="Y15" s="75">
        <f>IF(ISERROR(VLOOKUP(Y$4, '4. Billing Determinants'!$B$19:$O$41, 13, FALSE)*'2. 2013 Continuity Schedule'!$CP$34), 0, VLOOKUP(Y$4, '4. Billing Determinants'!$B$19:$O$41, 13, FALSE)*'2. 2013 Continuity Schedule'!$CP$34)</f>
        <v>0</v>
      </c>
    </row>
    <row r="16" spans="2:25" s="61" customFormat="1" x14ac:dyDescent="0.2">
      <c r="B16" s="93" t="s">
        <v>201</v>
      </c>
      <c r="C16" s="93"/>
      <c r="D16" s="94">
        <f>SUM(D5:D15)-D10</f>
        <v>-814399.57019600086</v>
      </c>
      <c r="E16" s="106"/>
      <c r="F16" s="94">
        <f>SUM(F5:F15)-F10</f>
        <v>-297906.91532038781</v>
      </c>
      <c r="G16" s="94">
        <f t="shared" ref="G16:Y16" si="0">SUM(G5:G15)-G10</f>
        <v>-157192.01114805887</v>
      </c>
      <c r="H16" s="94">
        <f t="shared" si="0"/>
        <v>-353154.27740740828</v>
      </c>
      <c r="I16" s="94">
        <f t="shared" si="0"/>
        <v>-980.95951226093791</v>
      </c>
      <c r="J16" s="94">
        <f t="shared" si="0"/>
        <v>-5165.4068078848595</v>
      </c>
      <c r="K16" s="94">
        <f t="shared" si="0"/>
        <v>0</v>
      </c>
      <c r="L16" s="94">
        <f t="shared" si="0"/>
        <v>0</v>
      </c>
      <c r="M16" s="94">
        <f t="shared" si="0"/>
        <v>0</v>
      </c>
      <c r="N16" s="94">
        <f t="shared" si="0"/>
        <v>0</v>
      </c>
      <c r="O16" s="94">
        <f t="shared" si="0"/>
        <v>0</v>
      </c>
      <c r="P16" s="94">
        <f t="shared" si="0"/>
        <v>0</v>
      </c>
      <c r="Q16" s="94">
        <f t="shared" si="0"/>
        <v>0</v>
      </c>
      <c r="R16" s="94">
        <f t="shared" si="0"/>
        <v>0</v>
      </c>
      <c r="S16" s="94">
        <f t="shared" si="0"/>
        <v>0</v>
      </c>
      <c r="T16" s="94">
        <f t="shared" si="0"/>
        <v>0</v>
      </c>
      <c r="U16" s="94">
        <f t="shared" si="0"/>
        <v>0</v>
      </c>
      <c r="V16" s="94">
        <f t="shared" si="0"/>
        <v>0</v>
      </c>
      <c r="W16" s="94">
        <f t="shared" si="0"/>
        <v>0</v>
      </c>
      <c r="X16" s="94">
        <f t="shared" si="0"/>
        <v>0</v>
      </c>
      <c r="Y16" s="94">
        <f t="shared" si="0"/>
        <v>0</v>
      </c>
    </row>
    <row r="17" spans="2:25" ht="8.25" customHeight="1" x14ac:dyDescent="0.2">
      <c r="B17" s="78"/>
      <c r="C17" s="78"/>
      <c r="D17" s="79"/>
      <c r="E17" s="92"/>
    </row>
    <row r="18" spans="2:25" x14ac:dyDescent="0.2">
      <c r="B18" s="73" t="s">
        <v>14</v>
      </c>
      <c r="C18" s="74">
        <v>1508</v>
      </c>
      <c r="D18" s="75">
        <f>'2. 2013 Continuity Schedule'!CP41</f>
        <v>0</v>
      </c>
      <c r="E18" s="208"/>
      <c r="F18" s="75">
        <f>IFERROR(IF(F$4="",0,IF($E18="kWh",VLOOKUP(F$4,'4. Billing Determinants'!$B$19:$O$41,4,0)/'4. Billing Determinants'!$E$41*$D18,IF($E18="kW",VLOOKUP(F$4,'4. Billing Determinants'!$B$19:$O$41,5,0)/'4. Billing Determinants'!$F$41*$D18,IF($E18="Non-RPP kWh",VLOOKUP(F$4,'4. Billing Determinants'!$B$19:$O$41,6,0)/'4. Billing Determinants'!$G$41*$D18,IF($E18="Distribution Rev.",VLOOKUP(F$4,'4. Billing Determinants'!$B$19:$O$41,8,0)/'4. Billing Determinants'!$I$41*$D18, VLOOKUP(F$4,'4. Billing Determinants'!$B$19:$O$41,3,0)/'4. Billing Determinants'!$D$41*$D18))))),0)</f>
        <v>0</v>
      </c>
      <c r="G18" s="75">
        <f>IFERROR(IF(G$4="",0,IF($E18="kWh",VLOOKUP(G$4,'4. Billing Determinants'!$B$19:$O$41,4,0)/'4. Billing Determinants'!$E$41*$D18,IF($E18="kW",VLOOKUP(G$4,'4. Billing Determinants'!$B$19:$O$41,5,0)/'4. Billing Determinants'!$F$41*$D18,IF($E18="Non-RPP kWh",VLOOKUP(G$4,'4. Billing Determinants'!$B$19:$O$41,6,0)/'4. Billing Determinants'!$G$41*$D18,IF($E18="Distribution Rev.",VLOOKUP(G$4,'4. Billing Determinants'!$B$19:$O$41,8,0)/'4. Billing Determinants'!$I$41*$D18, VLOOKUP(G$4,'4. Billing Determinants'!$B$19:$O$41,3,0)/'4. Billing Determinants'!$D$41*$D18))))),0)</f>
        <v>0</v>
      </c>
      <c r="H18" s="75">
        <f>IFERROR(IF(H$4="",0,IF($E18="kWh",VLOOKUP(H$4,'4. Billing Determinants'!$B$19:$O$41,4,0)/'4. Billing Determinants'!$E$41*$D18,IF($E18="kW",VLOOKUP(H$4,'4. Billing Determinants'!$B$19:$O$41,5,0)/'4. Billing Determinants'!$F$41*$D18,IF($E18="Non-RPP kWh",VLOOKUP(H$4,'4. Billing Determinants'!$B$19:$O$41,6,0)/'4. Billing Determinants'!$G$41*$D18,IF($E18="Distribution Rev.",VLOOKUP(H$4,'4. Billing Determinants'!$B$19:$O$41,8,0)/'4. Billing Determinants'!$I$41*$D18, VLOOKUP(H$4,'4. Billing Determinants'!$B$19:$O$41,3,0)/'4. Billing Determinants'!$D$41*$D18))))),0)</f>
        <v>0</v>
      </c>
      <c r="I18" s="75">
        <f>IFERROR(IF(I$4="",0,IF($E18="kWh",VLOOKUP(I$4,'4. Billing Determinants'!$B$19:$O$41,4,0)/'4. Billing Determinants'!$E$41*$D18,IF($E18="kW",VLOOKUP(I$4,'4. Billing Determinants'!$B$19:$O$41,5,0)/'4. Billing Determinants'!$F$41*$D18,IF($E18="Non-RPP kWh",VLOOKUP(I$4,'4. Billing Determinants'!$B$19:$O$41,6,0)/'4. Billing Determinants'!$G$41*$D18,IF($E18="Distribution Rev.",VLOOKUP(I$4,'4. Billing Determinants'!$B$19:$O$41,8,0)/'4. Billing Determinants'!$I$41*$D18, VLOOKUP(I$4,'4. Billing Determinants'!$B$19:$O$41,3,0)/'4. Billing Determinants'!$D$41*$D18))))),0)</f>
        <v>0</v>
      </c>
      <c r="J18" s="75">
        <f>IFERROR(IF(J$4="",0,IF($E18="kWh",VLOOKUP(J$4,'4. Billing Determinants'!$B$19:$O$41,4,0)/'4. Billing Determinants'!$E$41*$D18,IF($E18="kW",VLOOKUP(J$4,'4. Billing Determinants'!$B$19:$O$41,5,0)/'4. Billing Determinants'!$F$41*$D18,IF($E18="Non-RPP kWh",VLOOKUP(J$4,'4. Billing Determinants'!$B$19:$O$41,6,0)/'4. Billing Determinants'!$G$41*$D18,IF($E18="Distribution Rev.",VLOOKUP(J$4,'4. Billing Determinants'!$B$19:$O$41,8,0)/'4. Billing Determinants'!$I$41*$D18, VLOOKUP(J$4,'4. Billing Determinants'!$B$19:$O$41,3,0)/'4. Billing Determinants'!$D$41*$D18))))),0)</f>
        <v>0</v>
      </c>
      <c r="K18" s="75">
        <f>IFERROR(IF(K$4="",0,IF($E18="kWh",VLOOKUP(K$4,'4. Billing Determinants'!$B$19:$O$41,4,0)/'4. Billing Determinants'!$E$41*$D18,IF($E18="kW",VLOOKUP(K$4,'4. Billing Determinants'!$B$19:$O$41,5,0)/'4. Billing Determinants'!$F$41*$D18,IF($E18="Non-RPP kWh",VLOOKUP(K$4,'4. Billing Determinants'!$B$19:$O$41,6,0)/'4. Billing Determinants'!$G$41*$D18,IF($E18="Distribution Rev.",VLOOKUP(K$4,'4. Billing Determinants'!$B$19:$O$41,8,0)/'4. Billing Determinants'!$I$41*$D18, VLOOKUP(K$4,'4. Billing Determinants'!$B$19:$O$41,3,0)/'4. Billing Determinants'!$D$41*$D18))))),0)</f>
        <v>0</v>
      </c>
      <c r="L18" s="75">
        <f>IFERROR(IF(L$4="",0,IF($E18="kWh",VLOOKUP(L$4,'4. Billing Determinants'!$B$19:$O$41,4,0)/'4. Billing Determinants'!$E$41*$D18,IF($E18="kW",VLOOKUP(L$4,'4. Billing Determinants'!$B$19:$O$41,5,0)/'4. Billing Determinants'!$F$41*$D18,IF($E18="Non-RPP kWh",VLOOKUP(L$4,'4. Billing Determinants'!$B$19:$O$41,6,0)/'4. Billing Determinants'!$G$41*$D18,IF($E18="Distribution Rev.",VLOOKUP(L$4,'4. Billing Determinants'!$B$19:$O$41,8,0)/'4. Billing Determinants'!$I$41*$D18, VLOOKUP(L$4,'4. Billing Determinants'!$B$19:$O$41,3,0)/'4. Billing Determinants'!$D$41*$D18))))),0)</f>
        <v>0</v>
      </c>
      <c r="M18" s="75">
        <f>IFERROR(IF(M$4="",0,IF($E18="kWh",VLOOKUP(M$4,'4. Billing Determinants'!$B$19:$O$41,4,0)/'4. Billing Determinants'!$E$41*$D18,IF($E18="kW",VLOOKUP(M$4,'4. Billing Determinants'!$B$19:$O$41,5,0)/'4. Billing Determinants'!$F$41*$D18,IF($E18="Non-RPP kWh",VLOOKUP(M$4,'4. Billing Determinants'!$B$19:$O$41,6,0)/'4. Billing Determinants'!$G$41*$D18,IF($E18="Distribution Rev.",VLOOKUP(M$4,'4. Billing Determinants'!$B$19:$O$41,8,0)/'4. Billing Determinants'!$I$41*$D18, VLOOKUP(M$4,'4. Billing Determinants'!$B$19:$O$41,3,0)/'4. Billing Determinants'!$D$41*$D18))))),0)</f>
        <v>0</v>
      </c>
      <c r="N18" s="75">
        <f>IFERROR(IF(N$4="",0,IF($E18="kWh",VLOOKUP(N$4,'4. Billing Determinants'!$B$19:$O$41,4,0)/'4. Billing Determinants'!$E$41*$D18,IF($E18="kW",VLOOKUP(N$4,'4. Billing Determinants'!$B$19:$O$41,5,0)/'4. Billing Determinants'!$F$41*$D18,IF($E18="Non-RPP kWh",VLOOKUP(N$4,'4. Billing Determinants'!$B$19:$O$41,6,0)/'4. Billing Determinants'!$G$41*$D18,IF($E18="Distribution Rev.",VLOOKUP(N$4,'4. Billing Determinants'!$B$19:$O$41,8,0)/'4. Billing Determinants'!$I$41*$D18, VLOOKUP(N$4,'4. Billing Determinants'!$B$19:$O$41,3,0)/'4. Billing Determinants'!$D$41*$D18))))),0)</f>
        <v>0</v>
      </c>
      <c r="O18" s="75">
        <f>IFERROR(IF(O$4="",0,IF($E18="kWh",VLOOKUP(O$4,'4. Billing Determinants'!$B$19:$O$41,4,0)/'4. Billing Determinants'!$E$41*$D18,IF($E18="kW",VLOOKUP(O$4,'4. Billing Determinants'!$B$19:$O$41,5,0)/'4. Billing Determinants'!$F$41*$D18,IF($E18="Non-RPP kWh",VLOOKUP(O$4,'4. Billing Determinants'!$B$19:$O$41,6,0)/'4. Billing Determinants'!$G$41*$D18,IF($E18="Distribution Rev.",VLOOKUP(O$4,'4. Billing Determinants'!$B$19:$O$41,8,0)/'4. Billing Determinants'!$I$41*$D18, VLOOKUP(O$4,'4. Billing Determinants'!$B$19:$O$41,3,0)/'4. Billing Determinants'!$D$41*$D18))))),0)</f>
        <v>0</v>
      </c>
      <c r="P18" s="75">
        <f>IFERROR(IF(P$4="",0,IF($E18="kWh",VLOOKUP(P$4,'4. Billing Determinants'!$B$19:$O$41,4,0)/'4. Billing Determinants'!$E$41*$D18,IF($E18="kW",VLOOKUP(P$4,'4. Billing Determinants'!$B$19:$O$41,5,0)/'4. Billing Determinants'!$F$41*$D18,IF($E18="Non-RPP kWh",VLOOKUP(P$4,'4. Billing Determinants'!$B$19:$O$41,6,0)/'4. Billing Determinants'!$G$41*$D18,IF($E18="Distribution Rev.",VLOOKUP(P$4,'4. Billing Determinants'!$B$19:$O$41,8,0)/'4. Billing Determinants'!$I$41*$D18, VLOOKUP(P$4,'4. Billing Determinants'!$B$19:$O$41,3,0)/'4. Billing Determinants'!$D$41*$D18))))),0)</f>
        <v>0</v>
      </c>
      <c r="Q18" s="75">
        <f>IFERROR(IF(Q$4="",0,IF($E18="kWh",VLOOKUP(Q$4,'4. Billing Determinants'!$B$19:$O$41,4,0)/'4. Billing Determinants'!$E$41*$D18,IF($E18="kW",VLOOKUP(Q$4,'4. Billing Determinants'!$B$19:$O$41,5,0)/'4. Billing Determinants'!$F$41*$D18,IF($E18="Non-RPP kWh",VLOOKUP(Q$4,'4. Billing Determinants'!$B$19:$O$41,6,0)/'4. Billing Determinants'!$G$41*$D18,IF($E18="Distribution Rev.",VLOOKUP(Q$4,'4. Billing Determinants'!$B$19:$O$41,8,0)/'4. Billing Determinants'!$I$41*$D18, VLOOKUP(Q$4,'4. Billing Determinants'!$B$19:$O$41,3,0)/'4. Billing Determinants'!$D$41*$D18))))),0)</f>
        <v>0</v>
      </c>
      <c r="R18" s="75">
        <f>IFERROR(IF(R$4="",0,IF($E18="kWh",VLOOKUP(R$4,'4. Billing Determinants'!$B$19:$O$41,4,0)/'4. Billing Determinants'!$E$41*$D18,IF($E18="kW",VLOOKUP(R$4,'4. Billing Determinants'!$B$19:$O$41,5,0)/'4. Billing Determinants'!$F$41*$D18,IF($E18="Non-RPP kWh",VLOOKUP(R$4,'4. Billing Determinants'!$B$19:$O$41,6,0)/'4. Billing Determinants'!$G$41*$D18,IF($E18="Distribution Rev.",VLOOKUP(R$4,'4. Billing Determinants'!$B$19:$O$41,8,0)/'4. Billing Determinants'!$I$41*$D18, VLOOKUP(R$4,'4. Billing Determinants'!$B$19:$O$41,3,0)/'4. Billing Determinants'!$D$41*$D18))))),0)</f>
        <v>0</v>
      </c>
      <c r="S18" s="75">
        <f>IFERROR(IF(S$4="",0,IF($E18="kWh",VLOOKUP(S$4,'4. Billing Determinants'!$B$19:$O$41,4,0)/'4. Billing Determinants'!$E$41*$D18,IF($E18="kW",VLOOKUP(S$4,'4. Billing Determinants'!$B$19:$O$41,5,0)/'4. Billing Determinants'!$F$41*$D18,IF($E18="Non-RPP kWh",VLOOKUP(S$4,'4. Billing Determinants'!$B$19:$O$41,6,0)/'4. Billing Determinants'!$G$41*$D18,IF($E18="Distribution Rev.",VLOOKUP(S$4,'4. Billing Determinants'!$B$19:$O$41,8,0)/'4. Billing Determinants'!$I$41*$D18, VLOOKUP(S$4,'4. Billing Determinants'!$B$19:$O$41,3,0)/'4. Billing Determinants'!$D$41*$D18))))),0)</f>
        <v>0</v>
      </c>
      <c r="T18" s="75">
        <f>IFERROR(IF(T$4="",0,IF($E18="kWh",VLOOKUP(T$4,'4. Billing Determinants'!$B$19:$O$41,4,0)/'4. Billing Determinants'!$E$41*$D18,IF($E18="kW",VLOOKUP(T$4,'4. Billing Determinants'!$B$19:$O$41,5,0)/'4. Billing Determinants'!$F$41*$D18,IF($E18="Non-RPP kWh",VLOOKUP(T$4,'4. Billing Determinants'!$B$19:$O$41,6,0)/'4. Billing Determinants'!$G$41*$D18,IF($E18="Distribution Rev.",VLOOKUP(T$4,'4. Billing Determinants'!$B$19:$O$41,8,0)/'4. Billing Determinants'!$I$41*$D18, VLOOKUP(T$4,'4. Billing Determinants'!$B$19:$O$41,3,0)/'4. Billing Determinants'!$D$41*$D18))))),0)</f>
        <v>0</v>
      </c>
      <c r="U18" s="75">
        <f>IFERROR(IF(U$4="",0,IF($E18="kWh",VLOOKUP(U$4,'4. Billing Determinants'!$B$19:$O$41,4,0)/'4. Billing Determinants'!$E$41*$D18,IF($E18="kW",VLOOKUP(U$4,'4. Billing Determinants'!$B$19:$O$41,5,0)/'4. Billing Determinants'!$F$41*$D18,IF($E18="Non-RPP kWh",VLOOKUP(U$4,'4. Billing Determinants'!$B$19:$O$41,6,0)/'4. Billing Determinants'!$G$41*$D18,IF($E18="Distribution Rev.",VLOOKUP(U$4,'4. Billing Determinants'!$B$19:$O$41,8,0)/'4. Billing Determinants'!$I$41*$D18, VLOOKUP(U$4,'4. Billing Determinants'!$B$19:$O$41,3,0)/'4. Billing Determinants'!$D$41*$D18))))),0)</f>
        <v>0</v>
      </c>
      <c r="V18" s="75">
        <f>IFERROR(IF(V$4="",0,IF($E18="kWh",VLOOKUP(V$4,'4. Billing Determinants'!$B$19:$O$41,4,0)/'4. Billing Determinants'!$E$41*$D18,IF($E18="kW",VLOOKUP(V$4,'4. Billing Determinants'!$B$19:$O$41,5,0)/'4. Billing Determinants'!$F$41*$D18,IF($E18="Non-RPP kWh",VLOOKUP(V$4,'4. Billing Determinants'!$B$19:$O$41,6,0)/'4. Billing Determinants'!$G$41*$D18,IF($E18="Distribution Rev.",VLOOKUP(V$4,'4. Billing Determinants'!$B$19:$O$41,8,0)/'4. Billing Determinants'!$I$41*$D18, VLOOKUP(V$4,'4. Billing Determinants'!$B$19:$O$41,3,0)/'4. Billing Determinants'!$D$41*$D18))))),0)</f>
        <v>0</v>
      </c>
      <c r="W18" s="75">
        <f>IFERROR(IF(W$4="",0,IF($E18="kWh",VLOOKUP(W$4,'4. Billing Determinants'!$B$19:$O$41,4,0)/'4. Billing Determinants'!$E$41*$D18,IF($E18="kW",VLOOKUP(W$4,'4. Billing Determinants'!$B$19:$O$41,5,0)/'4. Billing Determinants'!$F$41*$D18,IF($E18="Non-RPP kWh",VLOOKUP(W$4,'4. Billing Determinants'!$B$19:$O$41,6,0)/'4. Billing Determinants'!$G$41*$D18,IF($E18="Distribution Rev.",VLOOKUP(W$4,'4. Billing Determinants'!$B$19:$O$41,8,0)/'4. Billing Determinants'!$I$41*$D18, VLOOKUP(W$4,'4. Billing Determinants'!$B$19:$O$41,3,0)/'4. Billing Determinants'!$D$41*$D18))))),0)</f>
        <v>0</v>
      </c>
      <c r="X18" s="75">
        <f>IFERROR(IF(X$4="",0,IF($E18="kWh",VLOOKUP(X$4,'4. Billing Determinants'!$B$19:$O$41,4,0)/'4. Billing Determinants'!$E$41*$D18,IF($E18="kW",VLOOKUP(X$4,'4. Billing Determinants'!$B$19:$O$41,5,0)/'4. Billing Determinants'!$F$41*$D18,IF($E18="Non-RPP kWh",VLOOKUP(X$4,'4. Billing Determinants'!$B$19:$O$41,6,0)/'4. Billing Determinants'!$G$41*$D18,IF($E18="Distribution Rev.",VLOOKUP(X$4,'4. Billing Determinants'!$B$19:$O$41,8,0)/'4. Billing Determinants'!$I$41*$D18, VLOOKUP(X$4,'4. Billing Determinants'!$B$19:$O$41,3,0)/'4. Billing Determinants'!$D$41*$D18))))),0)</f>
        <v>0</v>
      </c>
      <c r="Y18" s="75">
        <f>IFERROR(IF(Y$4="",0,IF($E18="kWh",VLOOKUP(Y$4,'4. Billing Determinants'!$B$19:$O$41,4,0)/'4. Billing Determinants'!$E$41*$D18,IF($E18="kW",VLOOKUP(Y$4,'4. Billing Determinants'!$B$19:$O$41,5,0)/'4. Billing Determinants'!$F$41*$D18,IF($E18="Non-RPP kWh",VLOOKUP(Y$4,'4. Billing Determinants'!$B$19:$O$41,6,0)/'4. Billing Determinants'!$G$41*$D18,IF($E18="Distribution Rev.",VLOOKUP(Y$4,'4. Billing Determinants'!$B$19:$O$41,8,0)/'4. Billing Determinants'!$I$41*$D18, VLOOKUP(Y$4,'4. Billing Determinants'!$B$19:$O$41,3,0)/'4. Billing Determinants'!$D$41*$D18))))),0)</f>
        <v>0</v>
      </c>
    </row>
    <row r="19" spans="2:25" x14ac:dyDescent="0.2">
      <c r="B19" s="73" t="s">
        <v>15</v>
      </c>
      <c r="C19" s="74">
        <v>1508</v>
      </c>
      <c r="D19" s="75">
        <f>'2. 2013 Continuity Schedule'!CP42</f>
        <v>0</v>
      </c>
      <c r="E19" s="208"/>
      <c r="F19" s="75">
        <f>IFERROR(IF(F$4="",0,IF($E19="kWh",VLOOKUP(F$4,'4. Billing Determinants'!$B$19:$O$41,4,0)/'4. Billing Determinants'!$E$41*$D19,IF($E19="kW",VLOOKUP(F$4,'4. Billing Determinants'!$B$19:$O$41,5,0)/'4. Billing Determinants'!$F$41*$D19,IF($E19="Non-RPP kWh",VLOOKUP(F$4,'4. Billing Determinants'!$B$19:$O$41,6,0)/'4. Billing Determinants'!$G$41*$D19,IF($E19="Distribution Rev.",VLOOKUP(F$4,'4. Billing Determinants'!$B$19:$O$41,8,0)/'4. Billing Determinants'!$I$41*$D19, VLOOKUP(F$4,'4. Billing Determinants'!$B$19:$O$41,3,0)/'4. Billing Determinants'!$D$41*$D19))))),0)</f>
        <v>0</v>
      </c>
      <c r="G19" s="75">
        <f>IFERROR(IF(G$4="",0,IF($E19="kWh",VLOOKUP(G$4,'4. Billing Determinants'!$B$19:$O$41,4,0)/'4. Billing Determinants'!$E$41*$D19,IF($E19="kW",VLOOKUP(G$4,'4. Billing Determinants'!$B$19:$O$41,5,0)/'4. Billing Determinants'!$F$41*$D19,IF($E19="Non-RPP kWh",VLOOKUP(G$4,'4. Billing Determinants'!$B$19:$O$41,6,0)/'4. Billing Determinants'!$G$41*$D19,IF($E19="Distribution Rev.",VLOOKUP(G$4,'4. Billing Determinants'!$B$19:$O$41,8,0)/'4. Billing Determinants'!$I$41*$D19, VLOOKUP(G$4,'4. Billing Determinants'!$B$19:$O$41,3,0)/'4. Billing Determinants'!$D$41*$D19))))),0)</f>
        <v>0</v>
      </c>
      <c r="H19" s="75">
        <f>IFERROR(IF(H$4="",0,IF($E19="kWh",VLOOKUP(H$4,'4. Billing Determinants'!$B$19:$O$41,4,0)/'4. Billing Determinants'!$E$41*$D19,IF($E19="kW",VLOOKUP(H$4,'4. Billing Determinants'!$B$19:$O$41,5,0)/'4. Billing Determinants'!$F$41*$D19,IF($E19="Non-RPP kWh",VLOOKUP(H$4,'4. Billing Determinants'!$B$19:$O$41,6,0)/'4. Billing Determinants'!$G$41*$D19,IF($E19="Distribution Rev.",VLOOKUP(H$4,'4. Billing Determinants'!$B$19:$O$41,8,0)/'4. Billing Determinants'!$I$41*$D19, VLOOKUP(H$4,'4. Billing Determinants'!$B$19:$O$41,3,0)/'4. Billing Determinants'!$D$41*$D19))))),0)</f>
        <v>0</v>
      </c>
      <c r="I19" s="75">
        <f>IFERROR(IF(I$4="",0,IF($E19="kWh",VLOOKUP(I$4,'4. Billing Determinants'!$B$19:$O$41,4,0)/'4. Billing Determinants'!$E$41*$D19,IF($E19="kW",VLOOKUP(I$4,'4. Billing Determinants'!$B$19:$O$41,5,0)/'4. Billing Determinants'!$F$41*$D19,IF($E19="Non-RPP kWh",VLOOKUP(I$4,'4. Billing Determinants'!$B$19:$O$41,6,0)/'4. Billing Determinants'!$G$41*$D19,IF($E19="Distribution Rev.",VLOOKUP(I$4,'4. Billing Determinants'!$B$19:$O$41,8,0)/'4. Billing Determinants'!$I$41*$D19, VLOOKUP(I$4,'4. Billing Determinants'!$B$19:$O$41,3,0)/'4. Billing Determinants'!$D$41*$D19))))),0)</f>
        <v>0</v>
      </c>
      <c r="J19" s="75">
        <f>IFERROR(IF(J$4="",0,IF($E19="kWh",VLOOKUP(J$4,'4. Billing Determinants'!$B$19:$O$41,4,0)/'4. Billing Determinants'!$E$41*$D19,IF($E19="kW",VLOOKUP(J$4,'4. Billing Determinants'!$B$19:$O$41,5,0)/'4. Billing Determinants'!$F$41*$D19,IF($E19="Non-RPP kWh",VLOOKUP(J$4,'4. Billing Determinants'!$B$19:$O$41,6,0)/'4. Billing Determinants'!$G$41*$D19,IF($E19="Distribution Rev.",VLOOKUP(J$4,'4. Billing Determinants'!$B$19:$O$41,8,0)/'4. Billing Determinants'!$I$41*$D19, VLOOKUP(J$4,'4. Billing Determinants'!$B$19:$O$41,3,0)/'4. Billing Determinants'!$D$41*$D19))))),0)</f>
        <v>0</v>
      </c>
      <c r="K19" s="75">
        <f>IFERROR(IF(K$4="",0,IF($E19="kWh",VLOOKUP(K$4,'4. Billing Determinants'!$B$19:$O$41,4,0)/'4. Billing Determinants'!$E$41*$D19,IF($E19="kW",VLOOKUP(K$4,'4. Billing Determinants'!$B$19:$O$41,5,0)/'4. Billing Determinants'!$F$41*$D19,IF($E19="Non-RPP kWh",VLOOKUP(K$4,'4. Billing Determinants'!$B$19:$O$41,6,0)/'4. Billing Determinants'!$G$41*$D19,IF($E19="Distribution Rev.",VLOOKUP(K$4,'4. Billing Determinants'!$B$19:$O$41,8,0)/'4. Billing Determinants'!$I$41*$D19, VLOOKUP(K$4,'4. Billing Determinants'!$B$19:$O$41,3,0)/'4. Billing Determinants'!$D$41*$D19))))),0)</f>
        <v>0</v>
      </c>
      <c r="L19" s="75">
        <f>IFERROR(IF(L$4="",0,IF($E19="kWh",VLOOKUP(L$4,'4. Billing Determinants'!$B$19:$O$41,4,0)/'4. Billing Determinants'!$E$41*$D19,IF($E19="kW",VLOOKUP(L$4,'4. Billing Determinants'!$B$19:$O$41,5,0)/'4. Billing Determinants'!$F$41*$D19,IF($E19="Non-RPP kWh",VLOOKUP(L$4,'4. Billing Determinants'!$B$19:$O$41,6,0)/'4. Billing Determinants'!$G$41*$D19,IF($E19="Distribution Rev.",VLOOKUP(L$4,'4. Billing Determinants'!$B$19:$O$41,8,0)/'4. Billing Determinants'!$I$41*$D19, VLOOKUP(L$4,'4. Billing Determinants'!$B$19:$O$41,3,0)/'4. Billing Determinants'!$D$41*$D19))))),0)</f>
        <v>0</v>
      </c>
      <c r="M19" s="75">
        <f>IFERROR(IF(M$4="",0,IF($E19="kWh",VLOOKUP(M$4,'4. Billing Determinants'!$B$19:$O$41,4,0)/'4. Billing Determinants'!$E$41*$D19,IF($E19="kW",VLOOKUP(M$4,'4. Billing Determinants'!$B$19:$O$41,5,0)/'4. Billing Determinants'!$F$41*$D19,IF($E19="Non-RPP kWh",VLOOKUP(M$4,'4. Billing Determinants'!$B$19:$O$41,6,0)/'4. Billing Determinants'!$G$41*$D19,IF($E19="Distribution Rev.",VLOOKUP(M$4,'4. Billing Determinants'!$B$19:$O$41,8,0)/'4. Billing Determinants'!$I$41*$D19, VLOOKUP(M$4,'4. Billing Determinants'!$B$19:$O$41,3,0)/'4. Billing Determinants'!$D$41*$D19))))),0)</f>
        <v>0</v>
      </c>
      <c r="N19" s="75">
        <f>IFERROR(IF(N$4="",0,IF($E19="kWh",VLOOKUP(N$4,'4. Billing Determinants'!$B$19:$O$41,4,0)/'4. Billing Determinants'!$E$41*$D19,IF($E19="kW",VLOOKUP(N$4,'4. Billing Determinants'!$B$19:$O$41,5,0)/'4. Billing Determinants'!$F$41*$D19,IF($E19="Non-RPP kWh",VLOOKUP(N$4,'4. Billing Determinants'!$B$19:$O$41,6,0)/'4. Billing Determinants'!$G$41*$D19,IF($E19="Distribution Rev.",VLOOKUP(N$4,'4. Billing Determinants'!$B$19:$O$41,8,0)/'4. Billing Determinants'!$I$41*$D19, VLOOKUP(N$4,'4. Billing Determinants'!$B$19:$O$41,3,0)/'4. Billing Determinants'!$D$41*$D19))))),0)</f>
        <v>0</v>
      </c>
      <c r="O19" s="75">
        <f>IFERROR(IF(O$4="",0,IF($E19="kWh",VLOOKUP(O$4,'4. Billing Determinants'!$B$19:$O$41,4,0)/'4. Billing Determinants'!$E$41*$D19,IF($E19="kW",VLOOKUP(O$4,'4. Billing Determinants'!$B$19:$O$41,5,0)/'4. Billing Determinants'!$F$41*$D19,IF($E19="Non-RPP kWh",VLOOKUP(O$4,'4. Billing Determinants'!$B$19:$O$41,6,0)/'4. Billing Determinants'!$G$41*$D19,IF($E19="Distribution Rev.",VLOOKUP(O$4,'4. Billing Determinants'!$B$19:$O$41,8,0)/'4. Billing Determinants'!$I$41*$D19, VLOOKUP(O$4,'4. Billing Determinants'!$B$19:$O$41,3,0)/'4. Billing Determinants'!$D$41*$D19))))),0)</f>
        <v>0</v>
      </c>
      <c r="P19" s="75">
        <f>IFERROR(IF(P$4="",0,IF($E19="kWh",VLOOKUP(P$4,'4. Billing Determinants'!$B$19:$O$41,4,0)/'4. Billing Determinants'!$E$41*$D19,IF($E19="kW",VLOOKUP(P$4,'4. Billing Determinants'!$B$19:$O$41,5,0)/'4. Billing Determinants'!$F$41*$D19,IF($E19="Non-RPP kWh",VLOOKUP(P$4,'4. Billing Determinants'!$B$19:$O$41,6,0)/'4. Billing Determinants'!$G$41*$D19,IF($E19="Distribution Rev.",VLOOKUP(P$4,'4. Billing Determinants'!$B$19:$O$41,8,0)/'4. Billing Determinants'!$I$41*$D19, VLOOKUP(P$4,'4. Billing Determinants'!$B$19:$O$41,3,0)/'4. Billing Determinants'!$D$41*$D19))))),0)</f>
        <v>0</v>
      </c>
      <c r="Q19" s="75">
        <f>IFERROR(IF(Q$4="",0,IF($E19="kWh",VLOOKUP(Q$4,'4. Billing Determinants'!$B$19:$O$41,4,0)/'4. Billing Determinants'!$E$41*$D19,IF($E19="kW",VLOOKUP(Q$4,'4. Billing Determinants'!$B$19:$O$41,5,0)/'4. Billing Determinants'!$F$41*$D19,IF($E19="Non-RPP kWh",VLOOKUP(Q$4,'4. Billing Determinants'!$B$19:$O$41,6,0)/'4. Billing Determinants'!$G$41*$D19,IF($E19="Distribution Rev.",VLOOKUP(Q$4,'4. Billing Determinants'!$B$19:$O$41,8,0)/'4. Billing Determinants'!$I$41*$D19, VLOOKUP(Q$4,'4. Billing Determinants'!$B$19:$O$41,3,0)/'4. Billing Determinants'!$D$41*$D19))))),0)</f>
        <v>0</v>
      </c>
      <c r="R19" s="75">
        <f>IFERROR(IF(R$4="",0,IF($E19="kWh",VLOOKUP(R$4,'4. Billing Determinants'!$B$19:$O$41,4,0)/'4. Billing Determinants'!$E$41*$D19,IF($E19="kW",VLOOKUP(R$4,'4. Billing Determinants'!$B$19:$O$41,5,0)/'4. Billing Determinants'!$F$41*$D19,IF($E19="Non-RPP kWh",VLOOKUP(R$4,'4. Billing Determinants'!$B$19:$O$41,6,0)/'4. Billing Determinants'!$G$41*$D19,IF($E19="Distribution Rev.",VLOOKUP(R$4,'4. Billing Determinants'!$B$19:$O$41,8,0)/'4. Billing Determinants'!$I$41*$D19, VLOOKUP(R$4,'4. Billing Determinants'!$B$19:$O$41,3,0)/'4. Billing Determinants'!$D$41*$D19))))),0)</f>
        <v>0</v>
      </c>
      <c r="S19" s="75">
        <f>IFERROR(IF(S$4="",0,IF($E19="kWh",VLOOKUP(S$4,'4. Billing Determinants'!$B$19:$O$41,4,0)/'4. Billing Determinants'!$E$41*$D19,IF($E19="kW",VLOOKUP(S$4,'4. Billing Determinants'!$B$19:$O$41,5,0)/'4. Billing Determinants'!$F$41*$D19,IF($E19="Non-RPP kWh",VLOOKUP(S$4,'4. Billing Determinants'!$B$19:$O$41,6,0)/'4. Billing Determinants'!$G$41*$D19,IF($E19="Distribution Rev.",VLOOKUP(S$4,'4. Billing Determinants'!$B$19:$O$41,8,0)/'4. Billing Determinants'!$I$41*$D19, VLOOKUP(S$4,'4. Billing Determinants'!$B$19:$O$41,3,0)/'4. Billing Determinants'!$D$41*$D19))))),0)</f>
        <v>0</v>
      </c>
      <c r="T19" s="75">
        <f>IFERROR(IF(T$4="",0,IF($E19="kWh",VLOOKUP(T$4,'4. Billing Determinants'!$B$19:$O$41,4,0)/'4. Billing Determinants'!$E$41*$D19,IF($E19="kW",VLOOKUP(T$4,'4. Billing Determinants'!$B$19:$O$41,5,0)/'4. Billing Determinants'!$F$41*$D19,IF($E19="Non-RPP kWh",VLOOKUP(T$4,'4. Billing Determinants'!$B$19:$O$41,6,0)/'4. Billing Determinants'!$G$41*$D19,IF($E19="Distribution Rev.",VLOOKUP(T$4,'4. Billing Determinants'!$B$19:$O$41,8,0)/'4. Billing Determinants'!$I$41*$D19, VLOOKUP(T$4,'4. Billing Determinants'!$B$19:$O$41,3,0)/'4. Billing Determinants'!$D$41*$D19))))),0)</f>
        <v>0</v>
      </c>
      <c r="U19" s="75">
        <f>IFERROR(IF(U$4="",0,IF($E19="kWh",VLOOKUP(U$4,'4. Billing Determinants'!$B$19:$O$41,4,0)/'4. Billing Determinants'!$E$41*$D19,IF($E19="kW",VLOOKUP(U$4,'4. Billing Determinants'!$B$19:$O$41,5,0)/'4. Billing Determinants'!$F$41*$D19,IF($E19="Non-RPP kWh",VLOOKUP(U$4,'4. Billing Determinants'!$B$19:$O$41,6,0)/'4. Billing Determinants'!$G$41*$D19,IF($E19="Distribution Rev.",VLOOKUP(U$4,'4. Billing Determinants'!$B$19:$O$41,8,0)/'4. Billing Determinants'!$I$41*$D19, VLOOKUP(U$4,'4. Billing Determinants'!$B$19:$O$41,3,0)/'4. Billing Determinants'!$D$41*$D19))))),0)</f>
        <v>0</v>
      </c>
      <c r="V19" s="75">
        <f>IFERROR(IF(V$4="",0,IF($E19="kWh",VLOOKUP(V$4,'4. Billing Determinants'!$B$19:$O$41,4,0)/'4. Billing Determinants'!$E$41*$D19,IF($E19="kW",VLOOKUP(V$4,'4. Billing Determinants'!$B$19:$O$41,5,0)/'4. Billing Determinants'!$F$41*$D19,IF($E19="Non-RPP kWh",VLOOKUP(V$4,'4. Billing Determinants'!$B$19:$O$41,6,0)/'4. Billing Determinants'!$G$41*$D19,IF($E19="Distribution Rev.",VLOOKUP(V$4,'4. Billing Determinants'!$B$19:$O$41,8,0)/'4. Billing Determinants'!$I$41*$D19, VLOOKUP(V$4,'4. Billing Determinants'!$B$19:$O$41,3,0)/'4. Billing Determinants'!$D$41*$D19))))),0)</f>
        <v>0</v>
      </c>
      <c r="W19" s="75">
        <f>IFERROR(IF(W$4="",0,IF($E19="kWh",VLOOKUP(W$4,'4. Billing Determinants'!$B$19:$O$41,4,0)/'4. Billing Determinants'!$E$41*$D19,IF($E19="kW",VLOOKUP(W$4,'4. Billing Determinants'!$B$19:$O$41,5,0)/'4. Billing Determinants'!$F$41*$D19,IF($E19="Non-RPP kWh",VLOOKUP(W$4,'4. Billing Determinants'!$B$19:$O$41,6,0)/'4. Billing Determinants'!$G$41*$D19,IF($E19="Distribution Rev.",VLOOKUP(W$4,'4. Billing Determinants'!$B$19:$O$41,8,0)/'4. Billing Determinants'!$I$41*$D19, VLOOKUP(W$4,'4. Billing Determinants'!$B$19:$O$41,3,0)/'4. Billing Determinants'!$D$41*$D19))))),0)</f>
        <v>0</v>
      </c>
      <c r="X19" s="75">
        <f>IFERROR(IF(X$4="",0,IF($E19="kWh",VLOOKUP(X$4,'4. Billing Determinants'!$B$19:$O$41,4,0)/'4. Billing Determinants'!$E$41*$D19,IF($E19="kW",VLOOKUP(X$4,'4. Billing Determinants'!$B$19:$O$41,5,0)/'4. Billing Determinants'!$F$41*$D19,IF($E19="Non-RPP kWh",VLOOKUP(X$4,'4. Billing Determinants'!$B$19:$O$41,6,0)/'4. Billing Determinants'!$G$41*$D19,IF($E19="Distribution Rev.",VLOOKUP(X$4,'4. Billing Determinants'!$B$19:$O$41,8,0)/'4. Billing Determinants'!$I$41*$D19, VLOOKUP(X$4,'4. Billing Determinants'!$B$19:$O$41,3,0)/'4. Billing Determinants'!$D$41*$D19))))),0)</f>
        <v>0</v>
      </c>
      <c r="Y19" s="75">
        <f>IFERROR(IF(Y$4="",0,IF($E19="kWh",VLOOKUP(Y$4,'4. Billing Determinants'!$B$19:$O$41,4,0)/'4. Billing Determinants'!$E$41*$D19,IF($E19="kW",VLOOKUP(Y$4,'4. Billing Determinants'!$B$19:$O$41,5,0)/'4. Billing Determinants'!$F$41*$D19,IF($E19="Non-RPP kWh",VLOOKUP(Y$4,'4. Billing Determinants'!$B$19:$O$41,6,0)/'4. Billing Determinants'!$G$41*$D19,IF($E19="Distribution Rev.",VLOOKUP(Y$4,'4. Billing Determinants'!$B$19:$O$41,8,0)/'4. Billing Determinants'!$I$41*$D19, VLOOKUP(Y$4,'4. Billing Determinants'!$B$19:$O$41,3,0)/'4. Billing Determinants'!$D$41*$D19))))),0)</f>
        <v>0</v>
      </c>
    </row>
    <row r="20" spans="2:25" x14ac:dyDescent="0.2">
      <c r="B20" s="73" t="s">
        <v>67</v>
      </c>
      <c r="C20" s="74">
        <v>1508</v>
      </c>
      <c r="D20" s="75">
        <f>'2. 2013 Continuity Schedule'!CP43</f>
        <v>0</v>
      </c>
      <c r="E20" s="208"/>
      <c r="F20" s="75">
        <f>IFERROR(IF(F$4="",0,IF($E20="kWh",VLOOKUP(F$4,'4. Billing Determinants'!$B$19:$O$41,4,0)/'4. Billing Determinants'!$E$41*$D20,IF($E20="kW",VLOOKUP(F$4,'4. Billing Determinants'!$B$19:$O$41,5,0)/'4. Billing Determinants'!$F$41*$D20,IF($E20="Non-RPP kWh",VLOOKUP(F$4,'4. Billing Determinants'!$B$19:$O$41,6,0)/'4. Billing Determinants'!$G$41*$D20,IF($E20="Distribution Rev.",VLOOKUP(F$4,'4. Billing Determinants'!$B$19:$O$41,8,0)/'4. Billing Determinants'!$I$41*$D20, VLOOKUP(F$4,'4. Billing Determinants'!$B$19:$O$41,3,0)/'4. Billing Determinants'!$D$41*$D20))))),0)</f>
        <v>0</v>
      </c>
      <c r="G20" s="75">
        <f>IFERROR(IF(G$4="",0,IF($E20="kWh",VLOOKUP(G$4,'4. Billing Determinants'!$B$19:$O$41,4,0)/'4. Billing Determinants'!$E$41*$D20,IF($E20="kW",VLOOKUP(G$4,'4. Billing Determinants'!$B$19:$O$41,5,0)/'4. Billing Determinants'!$F$41*$D20,IF($E20="Non-RPP kWh",VLOOKUP(G$4,'4. Billing Determinants'!$B$19:$O$41,6,0)/'4. Billing Determinants'!$G$41*$D20,IF($E20="Distribution Rev.",VLOOKUP(G$4,'4. Billing Determinants'!$B$19:$O$41,8,0)/'4. Billing Determinants'!$I$41*$D20, VLOOKUP(G$4,'4. Billing Determinants'!$B$19:$O$41,3,0)/'4. Billing Determinants'!$D$41*$D20))))),0)</f>
        <v>0</v>
      </c>
      <c r="H20" s="75">
        <f>IFERROR(IF(H$4="",0,IF($E20="kWh",VLOOKUP(H$4,'4. Billing Determinants'!$B$19:$O$41,4,0)/'4. Billing Determinants'!$E$41*$D20,IF($E20="kW",VLOOKUP(H$4,'4. Billing Determinants'!$B$19:$O$41,5,0)/'4. Billing Determinants'!$F$41*$D20,IF($E20="Non-RPP kWh",VLOOKUP(H$4,'4. Billing Determinants'!$B$19:$O$41,6,0)/'4. Billing Determinants'!$G$41*$D20,IF($E20="Distribution Rev.",VLOOKUP(H$4,'4. Billing Determinants'!$B$19:$O$41,8,0)/'4. Billing Determinants'!$I$41*$D20, VLOOKUP(H$4,'4. Billing Determinants'!$B$19:$O$41,3,0)/'4. Billing Determinants'!$D$41*$D20))))),0)</f>
        <v>0</v>
      </c>
      <c r="I20" s="75">
        <f>IFERROR(IF(I$4="",0,IF($E20="kWh",VLOOKUP(I$4,'4. Billing Determinants'!$B$19:$O$41,4,0)/'4. Billing Determinants'!$E$41*$D20,IF($E20="kW",VLOOKUP(I$4,'4. Billing Determinants'!$B$19:$O$41,5,0)/'4. Billing Determinants'!$F$41*$D20,IF($E20="Non-RPP kWh",VLOOKUP(I$4,'4. Billing Determinants'!$B$19:$O$41,6,0)/'4. Billing Determinants'!$G$41*$D20,IF($E20="Distribution Rev.",VLOOKUP(I$4,'4. Billing Determinants'!$B$19:$O$41,8,0)/'4. Billing Determinants'!$I$41*$D20, VLOOKUP(I$4,'4. Billing Determinants'!$B$19:$O$41,3,0)/'4. Billing Determinants'!$D$41*$D20))))),0)</f>
        <v>0</v>
      </c>
      <c r="J20" s="75">
        <f>IFERROR(IF(J$4="",0,IF($E20="kWh",VLOOKUP(J$4,'4. Billing Determinants'!$B$19:$O$41,4,0)/'4. Billing Determinants'!$E$41*$D20,IF($E20="kW",VLOOKUP(J$4,'4. Billing Determinants'!$B$19:$O$41,5,0)/'4. Billing Determinants'!$F$41*$D20,IF($E20="Non-RPP kWh",VLOOKUP(J$4,'4. Billing Determinants'!$B$19:$O$41,6,0)/'4. Billing Determinants'!$G$41*$D20,IF($E20="Distribution Rev.",VLOOKUP(J$4,'4. Billing Determinants'!$B$19:$O$41,8,0)/'4. Billing Determinants'!$I$41*$D20, VLOOKUP(J$4,'4. Billing Determinants'!$B$19:$O$41,3,0)/'4. Billing Determinants'!$D$41*$D20))))),0)</f>
        <v>0</v>
      </c>
      <c r="K20" s="75">
        <f>IFERROR(IF(K$4="",0,IF($E20="kWh",VLOOKUP(K$4,'4. Billing Determinants'!$B$19:$O$41,4,0)/'4. Billing Determinants'!$E$41*$D20,IF($E20="kW",VLOOKUP(K$4,'4. Billing Determinants'!$B$19:$O$41,5,0)/'4. Billing Determinants'!$F$41*$D20,IF($E20="Non-RPP kWh",VLOOKUP(K$4,'4. Billing Determinants'!$B$19:$O$41,6,0)/'4. Billing Determinants'!$G$41*$D20,IF($E20="Distribution Rev.",VLOOKUP(K$4,'4. Billing Determinants'!$B$19:$O$41,8,0)/'4. Billing Determinants'!$I$41*$D20, VLOOKUP(K$4,'4. Billing Determinants'!$B$19:$O$41,3,0)/'4. Billing Determinants'!$D$41*$D20))))),0)</f>
        <v>0</v>
      </c>
      <c r="L20" s="75">
        <f>IFERROR(IF(L$4="",0,IF($E20="kWh",VLOOKUP(L$4,'4. Billing Determinants'!$B$19:$O$41,4,0)/'4. Billing Determinants'!$E$41*$D20,IF($E20="kW",VLOOKUP(L$4,'4. Billing Determinants'!$B$19:$O$41,5,0)/'4. Billing Determinants'!$F$41*$D20,IF($E20="Non-RPP kWh",VLOOKUP(L$4,'4. Billing Determinants'!$B$19:$O$41,6,0)/'4. Billing Determinants'!$G$41*$D20,IF($E20="Distribution Rev.",VLOOKUP(L$4,'4. Billing Determinants'!$B$19:$O$41,8,0)/'4. Billing Determinants'!$I$41*$D20, VLOOKUP(L$4,'4. Billing Determinants'!$B$19:$O$41,3,0)/'4. Billing Determinants'!$D$41*$D20))))),0)</f>
        <v>0</v>
      </c>
      <c r="M20" s="75">
        <f>IFERROR(IF(M$4="",0,IF($E20="kWh",VLOOKUP(M$4,'4. Billing Determinants'!$B$19:$O$41,4,0)/'4. Billing Determinants'!$E$41*$D20,IF($E20="kW",VLOOKUP(M$4,'4. Billing Determinants'!$B$19:$O$41,5,0)/'4. Billing Determinants'!$F$41*$D20,IF($E20="Non-RPP kWh",VLOOKUP(M$4,'4. Billing Determinants'!$B$19:$O$41,6,0)/'4. Billing Determinants'!$G$41*$D20,IF($E20="Distribution Rev.",VLOOKUP(M$4,'4. Billing Determinants'!$B$19:$O$41,8,0)/'4. Billing Determinants'!$I$41*$D20, VLOOKUP(M$4,'4. Billing Determinants'!$B$19:$O$41,3,0)/'4. Billing Determinants'!$D$41*$D20))))),0)</f>
        <v>0</v>
      </c>
      <c r="N20" s="75">
        <f>IFERROR(IF(N$4="",0,IF($E20="kWh",VLOOKUP(N$4,'4. Billing Determinants'!$B$19:$O$41,4,0)/'4. Billing Determinants'!$E$41*$D20,IF($E20="kW",VLOOKUP(N$4,'4. Billing Determinants'!$B$19:$O$41,5,0)/'4. Billing Determinants'!$F$41*$D20,IF($E20="Non-RPP kWh",VLOOKUP(N$4,'4. Billing Determinants'!$B$19:$O$41,6,0)/'4. Billing Determinants'!$G$41*$D20,IF($E20="Distribution Rev.",VLOOKUP(N$4,'4. Billing Determinants'!$B$19:$O$41,8,0)/'4. Billing Determinants'!$I$41*$D20, VLOOKUP(N$4,'4. Billing Determinants'!$B$19:$O$41,3,0)/'4. Billing Determinants'!$D$41*$D20))))),0)</f>
        <v>0</v>
      </c>
      <c r="O20" s="75">
        <f>IFERROR(IF(O$4="",0,IF($E20="kWh",VLOOKUP(O$4,'4. Billing Determinants'!$B$19:$O$41,4,0)/'4. Billing Determinants'!$E$41*$D20,IF($E20="kW",VLOOKUP(O$4,'4. Billing Determinants'!$B$19:$O$41,5,0)/'4. Billing Determinants'!$F$41*$D20,IF($E20="Non-RPP kWh",VLOOKUP(O$4,'4. Billing Determinants'!$B$19:$O$41,6,0)/'4. Billing Determinants'!$G$41*$D20,IF($E20="Distribution Rev.",VLOOKUP(O$4,'4. Billing Determinants'!$B$19:$O$41,8,0)/'4. Billing Determinants'!$I$41*$D20, VLOOKUP(O$4,'4. Billing Determinants'!$B$19:$O$41,3,0)/'4. Billing Determinants'!$D$41*$D20))))),0)</f>
        <v>0</v>
      </c>
      <c r="P20" s="75">
        <f>IFERROR(IF(P$4="",0,IF($E20="kWh",VLOOKUP(P$4,'4. Billing Determinants'!$B$19:$O$41,4,0)/'4. Billing Determinants'!$E$41*$D20,IF($E20="kW",VLOOKUP(P$4,'4. Billing Determinants'!$B$19:$O$41,5,0)/'4. Billing Determinants'!$F$41*$D20,IF($E20="Non-RPP kWh",VLOOKUP(P$4,'4. Billing Determinants'!$B$19:$O$41,6,0)/'4. Billing Determinants'!$G$41*$D20,IF($E20="Distribution Rev.",VLOOKUP(P$4,'4. Billing Determinants'!$B$19:$O$41,8,0)/'4. Billing Determinants'!$I$41*$D20, VLOOKUP(P$4,'4. Billing Determinants'!$B$19:$O$41,3,0)/'4. Billing Determinants'!$D$41*$D20))))),0)</f>
        <v>0</v>
      </c>
      <c r="Q20" s="75">
        <f>IFERROR(IF(Q$4="",0,IF($E20="kWh",VLOOKUP(Q$4,'4. Billing Determinants'!$B$19:$O$41,4,0)/'4. Billing Determinants'!$E$41*$D20,IF($E20="kW",VLOOKUP(Q$4,'4. Billing Determinants'!$B$19:$O$41,5,0)/'4. Billing Determinants'!$F$41*$D20,IF($E20="Non-RPP kWh",VLOOKUP(Q$4,'4. Billing Determinants'!$B$19:$O$41,6,0)/'4. Billing Determinants'!$G$41*$D20,IF($E20="Distribution Rev.",VLOOKUP(Q$4,'4. Billing Determinants'!$B$19:$O$41,8,0)/'4. Billing Determinants'!$I$41*$D20, VLOOKUP(Q$4,'4. Billing Determinants'!$B$19:$O$41,3,0)/'4. Billing Determinants'!$D$41*$D20))))),0)</f>
        <v>0</v>
      </c>
      <c r="R20" s="75">
        <f>IFERROR(IF(R$4="",0,IF($E20="kWh",VLOOKUP(R$4,'4. Billing Determinants'!$B$19:$O$41,4,0)/'4. Billing Determinants'!$E$41*$D20,IF($E20="kW",VLOOKUP(R$4,'4. Billing Determinants'!$B$19:$O$41,5,0)/'4. Billing Determinants'!$F$41*$D20,IF($E20="Non-RPP kWh",VLOOKUP(R$4,'4. Billing Determinants'!$B$19:$O$41,6,0)/'4. Billing Determinants'!$G$41*$D20,IF($E20="Distribution Rev.",VLOOKUP(R$4,'4. Billing Determinants'!$B$19:$O$41,8,0)/'4. Billing Determinants'!$I$41*$D20, VLOOKUP(R$4,'4. Billing Determinants'!$B$19:$O$41,3,0)/'4. Billing Determinants'!$D$41*$D20))))),0)</f>
        <v>0</v>
      </c>
      <c r="S20" s="75">
        <f>IFERROR(IF(S$4="",0,IF($E20="kWh",VLOOKUP(S$4,'4. Billing Determinants'!$B$19:$O$41,4,0)/'4. Billing Determinants'!$E$41*$D20,IF($E20="kW",VLOOKUP(S$4,'4. Billing Determinants'!$B$19:$O$41,5,0)/'4. Billing Determinants'!$F$41*$D20,IF($E20="Non-RPP kWh",VLOOKUP(S$4,'4. Billing Determinants'!$B$19:$O$41,6,0)/'4. Billing Determinants'!$G$41*$D20,IF($E20="Distribution Rev.",VLOOKUP(S$4,'4. Billing Determinants'!$B$19:$O$41,8,0)/'4. Billing Determinants'!$I$41*$D20, VLOOKUP(S$4,'4. Billing Determinants'!$B$19:$O$41,3,0)/'4. Billing Determinants'!$D$41*$D20))))),0)</f>
        <v>0</v>
      </c>
      <c r="T20" s="75">
        <f>IFERROR(IF(T$4="",0,IF($E20="kWh",VLOOKUP(T$4,'4. Billing Determinants'!$B$19:$O$41,4,0)/'4. Billing Determinants'!$E$41*$D20,IF($E20="kW",VLOOKUP(T$4,'4. Billing Determinants'!$B$19:$O$41,5,0)/'4. Billing Determinants'!$F$41*$D20,IF($E20="Non-RPP kWh",VLOOKUP(T$4,'4. Billing Determinants'!$B$19:$O$41,6,0)/'4. Billing Determinants'!$G$41*$D20,IF($E20="Distribution Rev.",VLOOKUP(T$4,'4. Billing Determinants'!$B$19:$O$41,8,0)/'4. Billing Determinants'!$I$41*$D20, VLOOKUP(T$4,'4. Billing Determinants'!$B$19:$O$41,3,0)/'4. Billing Determinants'!$D$41*$D20))))),0)</f>
        <v>0</v>
      </c>
      <c r="U20" s="75">
        <f>IFERROR(IF(U$4="",0,IF($E20="kWh",VLOOKUP(U$4,'4. Billing Determinants'!$B$19:$O$41,4,0)/'4. Billing Determinants'!$E$41*$D20,IF($E20="kW",VLOOKUP(U$4,'4. Billing Determinants'!$B$19:$O$41,5,0)/'4. Billing Determinants'!$F$41*$D20,IF($E20="Non-RPP kWh",VLOOKUP(U$4,'4. Billing Determinants'!$B$19:$O$41,6,0)/'4. Billing Determinants'!$G$41*$D20,IF($E20="Distribution Rev.",VLOOKUP(U$4,'4. Billing Determinants'!$B$19:$O$41,8,0)/'4. Billing Determinants'!$I$41*$D20, VLOOKUP(U$4,'4. Billing Determinants'!$B$19:$O$41,3,0)/'4. Billing Determinants'!$D$41*$D20))))),0)</f>
        <v>0</v>
      </c>
      <c r="V20" s="75">
        <f>IFERROR(IF(V$4="",0,IF($E20="kWh",VLOOKUP(V$4,'4. Billing Determinants'!$B$19:$O$41,4,0)/'4. Billing Determinants'!$E$41*$D20,IF($E20="kW",VLOOKUP(V$4,'4. Billing Determinants'!$B$19:$O$41,5,0)/'4. Billing Determinants'!$F$41*$D20,IF($E20="Non-RPP kWh",VLOOKUP(V$4,'4. Billing Determinants'!$B$19:$O$41,6,0)/'4. Billing Determinants'!$G$41*$D20,IF($E20="Distribution Rev.",VLOOKUP(V$4,'4. Billing Determinants'!$B$19:$O$41,8,0)/'4. Billing Determinants'!$I$41*$D20, VLOOKUP(V$4,'4. Billing Determinants'!$B$19:$O$41,3,0)/'4. Billing Determinants'!$D$41*$D20))))),0)</f>
        <v>0</v>
      </c>
      <c r="W20" s="75">
        <f>IFERROR(IF(W$4="",0,IF($E20="kWh",VLOOKUP(W$4,'4. Billing Determinants'!$B$19:$O$41,4,0)/'4. Billing Determinants'!$E$41*$D20,IF($E20="kW",VLOOKUP(W$4,'4. Billing Determinants'!$B$19:$O$41,5,0)/'4. Billing Determinants'!$F$41*$D20,IF($E20="Non-RPP kWh",VLOOKUP(W$4,'4. Billing Determinants'!$B$19:$O$41,6,0)/'4. Billing Determinants'!$G$41*$D20,IF($E20="Distribution Rev.",VLOOKUP(W$4,'4. Billing Determinants'!$B$19:$O$41,8,0)/'4. Billing Determinants'!$I$41*$D20, VLOOKUP(W$4,'4. Billing Determinants'!$B$19:$O$41,3,0)/'4. Billing Determinants'!$D$41*$D20))))),0)</f>
        <v>0</v>
      </c>
      <c r="X20" s="75">
        <f>IFERROR(IF(X$4="",0,IF($E20="kWh",VLOOKUP(X$4,'4. Billing Determinants'!$B$19:$O$41,4,0)/'4. Billing Determinants'!$E$41*$D20,IF($E20="kW",VLOOKUP(X$4,'4. Billing Determinants'!$B$19:$O$41,5,0)/'4. Billing Determinants'!$F$41*$D20,IF($E20="Non-RPP kWh",VLOOKUP(X$4,'4. Billing Determinants'!$B$19:$O$41,6,0)/'4. Billing Determinants'!$G$41*$D20,IF($E20="Distribution Rev.",VLOOKUP(X$4,'4. Billing Determinants'!$B$19:$O$41,8,0)/'4. Billing Determinants'!$I$41*$D20, VLOOKUP(X$4,'4. Billing Determinants'!$B$19:$O$41,3,0)/'4. Billing Determinants'!$D$41*$D20))))),0)</f>
        <v>0</v>
      </c>
      <c r="Y20" s="75">
        <f>IFERROR(IF(Y$4="",0,IF($E20="kWh",VLOOKUP(Y$4,'4. Billing Determinants'!$B$19:$O$41,4,0)/'4. Billing Determinants'!$E$41*$D20,IF($E20="kW",VLOOKUP(Y$4,'4. Billing Determinants'!$B$19:$O$41,5,0)/'4. Billing Determinants'!$F$41*$D20,IF($E20="Non-RPP kWh",VLOOKUP(Y$4,'4. Billing Determinants'!$B$19:$O$41,6,0)/'4. Billing Determinants'!$G$41*$D20,IF($E20="Distribution Rev.",VLOOKUP(Y$4,'4. Billing Determinants'!$B$19:$O$41,8,0)/'4. Billing Determinants'!$I$41*$D20, VLOOKUP(Y$4,'4. Billing Determinants'!$B$19:$O$41,3,0)/'4. Billing Determinants'!$D$41*$D20))))),0)</f>
        <v>0</v>
      </c>
    </row>
    <row r="21" spans="2:25" x14ac:dyDescent="0.2">
      <c r="B21" s="73" t="s">
        <v>68</v>
      </c>
      <c r="C21" s="74">
        <v>1508</v>
      </c>
      <c r="D21" s="75">
        <f>'2. 2013 Continuity Schedule'!CP44</f>
        <v>0</v>
      </c>
      <c r="E21" s="208"/>
      <c r="F21" s="75">
        <f>IFERROR(IF(F$4="",0,IF($E21="kWh",VLOOKUP(F$4,'4. Billing Determinants'!$B$19:$O$41,4,0)/'4. Billing Determinants'!$E$41*$D21,IF($E21="kW",VLOOKUP(F$4,'4. Billing Determinants'!$B$19:$O$41,5,0)/'4. Billing Determinants'!$F$41*$D21,IF($E21="Non-RPP kWh",VLOOKUP(F$4,'4. Billing Determinants'!$B$19:$O$41,6,0)/'4. Billing Determinants'!$G$41*$D21,IF($E21="Distribution Rev.",VLOOKUP(F$4,'4. Billing Determinants'!$B$19:$O$41,8,0)/'4. Billing Determinants'!$I$41*$D21, VLOOKUP(F$4,'4. Billing Determinants'!$B$19:$O$41,3,0)/'4. Billing Determinants'!$D$41*$D21))))),0)</f>
        <v>0</v>
      </c>
      <c r="G21" s="75">
        <f>IFERROR(IF(G$4="",0,IF($E21="kWh",VLOOKUP(G$4,'4. Billing Determinants'!$B$19:$O$41,4,0)/'4. Billing Determinants'!$E$41*$D21,IF($E21="kW",VLOOKUP(G$4,'4. Billing Determinants'!$B$19:$O$41,5,0)/'4. Billing Determinants'!$F$41*$D21,IF($E21="Non-RPP kWh",VLOOKUP(G$4,'4. Billing Determinants'!$B$19:$O$41,6,0)/'4. Billing Determinants'!$G$41*$D21,IF($E21="Distribution Rev.",VLOOKUP(G$4,'4. Billing Determinants'!$B$19:$O$41,8,0)/'4. Billing Determinants'!$I$41*$D21, VLOOKUP(G$4,'4. Billing Determinants'!$B$19:$O$41,3,0)/'4. Billing Determinants'!$D$41*$D21))))),0)</f>
        <v>0</v>
      </c>
      <c r="H21" s="75">
        <f>IFERROR(IF(H$4="",0,IF($E21="kWh",VLOOKUP(H$4,'4. Billing Determinants'!$B$19:$O$41,4,0)/'4. Billing Determinants'!$E$41*$D21,IF($E21="kW",VLOOKUP(H$4,'4. Billing Determinants'!$B$19:$O$41,5,0)/'4. Billing Determinants'!$F$41*$D21,IF($E21="Non-RPP kWh",VLOOKUP(H$4,'4. Billing Determinants'!$B$19:$O$41,6,0)/'4. Billing Determinants'!$G$41*$D21,IF($E21="Distribution Rev.",VLOOKUP(H$4,'4. Billing Determinants'!$B$19:$O$41,8,0)/'4. Billing Determinants'!$I$41*$D21, VLOOKUP(H$4,'4. Billing Determinants'!$B$19:$O$41,3,0)/'4. Billing Determinants'!$D$41*$D21))))),0)</f>
        <v>0</v>
      </c>
      <c r="I21" s="75">
        <f>IFERROR(IF(I$4="",0,IF($E21="kWh",VLOOKUP(I$4,'4. Billing Determinants'!$B$19:$O$41,4,0)/'4. Billing Determinants'!$E$41*$D21,IF($E21="kW",VLOOKUP(I$4,'4. Billing Determinants'!$B$19:$O$41,5,0)/'4. Billing Determinants'!$F$41*$D21,IF($E21="Non-RPP kWh",VLOOKUP(I$4,'4. Billing Determinants'!$B$19:$O$41,6,0)/'4. Billing Determinants'!$G$41*$D21,IF($E21="Distribution Rev.",VLOOKUP(I$4,'4. Billing Determinants'!$B$19:$O$41,8,0)/'4. Billing Determinants'!$I$41*$D21, VLOOKUP(I$4,'4. Billing Determinants'!$B$19:$O$41,3,0)/'4. Billing Determinants'!$D$41*$D21))))),0)</f>
        <v>0</v>
      </c>
      <c r="J21" s="75">
        <f>IFERROR(IF(J$4="",0,IF($E21="kWh",VLOOKUP(J$4,'4. Billing Determinants'!$B$19:$O$41,4,0)/'4. Billing Determinants'!$E$41*$D21,IF($E21="kW",VLOOKUP(J$4,'4. Billing Determinants'!$B$19:$O$41,5,0)/'4. Billing Determinants'!$F$41*$D21,IF($E21="Non-RPP kWh",VLOOKUP(J$4,'4. Billing Determinants'!$B$19:$O$41,6,0)/'4. Billing Determinants'!$G$41*$D21,IF($E21="Distribution Rev.",VLOOKUP(J$4,'4. Billing Determinants'!$B$19:$O$41,8,0)/'4. Billing Determinants'!$I$41*$D21, VLOOKUP(J$4,'4. Billing Determinants'!$B$19:$O$41,3,0)/'4. Billing Determinants'!$D$41*$D21))))),0)</f>
        <v>0</v>
      </c>
      <c r="K21" s="75">
        <f>IFERROR(IF(K$4="",0,IF($E21="kWh",VLOOKUP(K$4,'4. Billing Determinants'!$B$19:$O$41,4,0)/'4. Billing Determinants'!$E$41*$D21,IF($E21="kW",VLOOKUP(K$4,'4. Billing Determinants'!$B$19:$O$41,5,0)/'4. Billing Determinants'!$F$41*$D21,IF($E21="Non-RPP kWh",VLOOKUP(K$4,'4. Billing Determinants'!$B$19:$O$41,6,0)/'4. Billing Determinants'!$G$41*$D21,IF($E21="Distribution Rev.",VLOOKUP(K$4,'4. Billing Determinants'!$B$19:$O$41,8,0)/'4. Billing Determinants'!$I$41*$D21, VLOOKUP(K$4,'4. Billing Determinants'!$B$19:$O$41,3,0)/'4. Billing Determinants'!$D$41*$D21))))),0)</f>
        <v>0</v>
      </c>
      <c r="L21" s="75">
        <f>IFERROR(IF(L$4="",0,IF($E21="kWh",VLOOKUP(L$4,'4. Billing Determinants'!$B$19:$O$41,4,0)/'4. Billing Determinants'!$E$41*$D21,IF($E21="kW",VLOOKUP(L$4,'4. Billing Determinants'!$B$19:$O$41,5,0)/'4. Billing Determinants'!$F$41*$D21,IF($E21="Non-RPP kWh",VLOOKUP(L$4,'4. Billing Determinants'!$B$19:$O$41,6,0)/'4. Billing Determinants'!$G$41*$D21,IF($E21="Distribution Rev.",VLOOKUP(L$4,'4. Billing Determinants'!$B$19:$O$41,8,0)/'4. Billing Determinants'!$I$41*$D21, VLOOKUP(L$4,'4. Billing Determinants'!$B$19:$O$41,3,0)/'4. Billing Determinants'!$D$41*$D21))))),0)</f>
        <v>0</v>
      </c>
      <c r="M21" s="75">
        <f>IFERROR(IF(M$4="",0,IF($E21="kWh",VLOOKUP(M$4,'4. Billing Determinants'!$B$19:$O$41,4,0)/'4. Billing Determinants'!$E$41*$D21,IF($E21="kW",VLOOKUP(M$4,'4. Billing Determinants'!$B$19:$O$41,5,0)/'4. Billing Determinants'!$F$41*$D21,IF($E21="Non-RPP kWh",VLOOKUP(M$4,'4. Billing Determinants'!$B$19:$O$41,6,0)/'4. Billing Determinants'!$G$41*$D21,IF($E21="Distribution Rev.",VLOOKUP(M$4,'4. Billing Determinants'!$B$19:$O$41,8,0)/'4. Billing Determinants'!$I$41*$D21, VLOOKUP(M$4,'4. Billing Determinants'!$B$19:$O$41,3,0)/'4. Billing Determinants'!$D$41*$D21))))),0)</f>
        <v>0</v>
      </c>
      <c r="N21" s="75">
        <f>IFERROR(IF(N$4="",0,IF($E21="kWh",VLOOKUP(N$4,'4. Billing Determinants'!$B$19:$O$41,4,0)/'4. Billing Determinants'!$E$41*$D21,IF($E21="kW",VLOOKUP(N$4,'4. Billing Determinants'!$B$19:$O$41,5,0)/'4. Billing Determinants'!$F$41*$D21,IF($E21="Non-RPP kWh",VLOOKUP(N$4,'4. Billing Determinants'!$B$19:$O$41,6,0)/'4. Billing Determinants'!$G$41*$D21,IF($E21="Distribution Rev.",VLOOKUP(N$4,'4. Billing Determinants'!$B$19:$O$41,8,0)/'4. Billing Determinants'!$I$41*$D21, VLOOKUP(N$4,'4. Billing Determinants'!$B$19:$O$41,3,0)/'4. Billing Determinants'!$D$41*$D21))))),0)</f>
        <v>0</v>
      </c>
      <c r="O21" s="75">
        <f>IFERROR(IF(O$4="",0,IF($E21="kWh",VLOOKUP(O$4,'4. Billing Determinants'!$B$19:$O$41,4,0)/'4. Billing Determinants'!$E$41*$D21,IF($E21="kW",VLOOKUP(O$4,'4. Billing Determinants'!$B$19:$O$41,5,0)/'4. Billing Determinants'!$F$41*$D21,IF($E21="Non-RPP kWh",VLOOKUP(O$4,'4. Billing Determinants'!$B$19:$O$41,6,0)/'4. Billing Determinants'!$G$41*$D21,IF($E21="Distribution Rev.",VLOOKUP(O$4,'4. Billing Determinants'!$B$19:$O$41,8,0)/'4. Billing Determinants'!$I$41*$D21, VLOOKUP(O$4,'4. Billing Determinants'!$B$19:$O$41,3,0)/'4. Billing Determinants'!$D$41*$D21))))),0)</f>
        <v>0</v>
      </c>
      <c r="P21" s="75">
        <f>IFERROR(IF(P$4="",0,IF($E21="kWh",VLOOKUP(P$4,'4. Billing Determinants'!$B$19:$O$41,4,0)/'4. Billing Determinants'!$E$41*$D21,IF($E21="kW",VLOOKUP(P$4,'4. Billing Determinants'!$B$19:$O$41,5,0)/'4. Billing Determinants'!$F$41*$D21,IF($E21="Non-RPP kWh",VLOOKUP(P$4,'4. Billing Determinants'!$B$19:$O$41,6,0)/'4. Billing Determinants'!$G$41*$D21,IF($E21="Distribution Rev.",VLOOKUP(P$4,'4. Billing Determinants'!$B$19:$O$41,8,0)/'4. Billing Determinants'!$I$41*$D21, VLOOKUP(P$4,'4. Billing Determinants'!$B$19:$O$41,3,0)/'4. Billing Determinants'!$D$41*$D21))))),0)</f>
        <v>0</v>
      </c>
      <c r="Q21" s="75">
        <f>IFERROR(IF(Q$4="",0,IF($E21="kWh",VLOOKUP(Q$4,'4. Billing Determinants'!$B$19:$O$41,4,0)/'4. Billing Determinants'!$E$41*$D21,IF($E21="kW",VLOOKUP(Q$4,'4. Billing Determinants'!$B$19:$O$41,5,0)/'4. Billing Determinants'!$F$41*$D21,IF($E21="Non-RPP kWh",VLOOKUP(Q$4,'4. Billing Determinants'!$B$19:$O$41,6,0)/'4. Billing Determinants'!$G$41*$D21,IF($E21="Distribution Rev.",VLOOKUP(Q$4,'4. Billing Determinants'!$B$19:$O$41,8,0)/'4. Billing Determinants'!$I$41*$D21, VLOOKUP(Q$4,'4. Billing Determinants'!$B$19:$O$41,3,0)/'4. Billing Determinants'!$D$41*$D21))))),0)</f>
        <v>0</v>
      </c>
      <c r="R21" s="75">
        <f>IFERROR(IF(R$4="",0,IF($E21="kWh",VLOOKUP(R$4,'4. Billing Determinants'!$B$19:$O$41,4,0)/'4. Billing Determinants'!$E$41*$D21,IF($E21="kW",VLOOKUP(R$4,'4. Billing Determinants'!$B$19:$O$41,5,0)/'4. Billing Determinants'!$F$41*$D21,IF($E21="Non-RPP kWh",VLOOKUP(R$4,'4. Billing Determinants'!$B$19:$O$41,6,0)/'4. Billing Determinants'!$G$41*$D21,IF($E21="Distribution Rev.",VLOOKUP(R$4,'4. Billing Determinants'!$B$19:$O$41,8,0)/'4. Billing Determinants'!$I$41*$D21, VLOOKUP(R$4,'4. Billing Determinants'!$B$19:$O$41,3,0)/'4. Billing Determinants'!$D$41*$D21))))),0)</f>
        <v>0</v>
      </c>
      <c r="S21" s="75">
        <f>IFERROR(IF(S$4="",0,IF($E21="kWh",VLOOKUP(S$4,'4. Billing Determinants'!$B$19:$O$41,4,0)/'4. Billing Determinants'!$E$41*$D21,IF($E21="kW",VLOOKUP(S$4,'4. Billing Determinants'!$B$19:$O$41,5,0)/'4. Billing Determinants'!$F$41*$D21,IF($E21="Non-RPP kWh",VLOOKUP(S$4,'4. Billing Determinants'!$B$19:$O$41,6,0)/'4. Billing Determinants'!$G$41*$D21,IF($E21="Distribution Rev.",VLOOKUP(S$4,'4. Billing Determinants'!$B$19:$O$41,8,0)/'4. Billing Determinants'!$I$41*$D21, VLOOKUP(S$4,'4. Billing Determinants'!$B$19:$O$41,3,0)/'4. Billing Determinants'!$D$41*$D21))))),0)</f>
        <v>0</v>
      </c>
      <c r="T21" s="75">
        <f>IFERROR(IF(T$4="",0,IF($E21="kWh",VLOOKUP(T$4,'4. Billing Determinants'!$B$19:$O$41,4,0)/'4. Billing Determinants'!$E$41*$D21,IF($E21="kW",VLOOKUP(T$4,'4. Billing Determinants'!$B$19:$O$41,5,0)/'4. Billing Determinants'!$F$41*$D21,IF($E21="Non-RPP kWh",VLOOKUP(T$4,'4. Billing Determinants'!$B$19:$O$41,6,0)/'4. Billing Determinants'!$G$41*$D21,IF($E21="Distribution Rev.",VLOOKUP(T$4,'4. Billing Determinants'!$B$19:$O$41,8,0)/'4. Billing Determinants'!$I$41*$D21, VLOOKUP(T$4,'4. Billing Determinants'!$B$19:$O$41,3,0)/'4. Billing Determinants'!$D$41*$D21))))),0)</f>
        <v>0</v>
      </c>
      <c r="U21" s="75">
        <f>IFERROR(IF(U$4="",0,IF($E21="kWh",VLOOKUP(U$4,'4. Billing Determinants'!$B$19:$O$41,4,0)/'4. Billing Determinants'!$E$41*$D21,IF($E21="kW",VLOOKUP(U$4,'4. Billing Determinants'!$B$19:$O$41,5,0)/'4. Billing Determinants'!$F$41*$D21,IF($E21="Non-RPP kWh",VLOOKUP(U$4,'4. Billing Determinants'!$B$19:$O$41,6,0)/'4. Billing Determinants'!$G$41*$D21,IF($E21="Distribution Rev.",VLOOKUP(U$4,'4. Billing Determinants'!$B$19:$O$41,8,0)/'4. Billing Determinants'!$I$41*$D21, VLOOKUP(U$4,'4. Billing Determinants'!$B$19:$O$41,3,0)/'4. Billing Determinants'!$D$41*$D21))))),0)</f>
        <v>0</v>
      </c>
      <c r="V21" s="75">
        <f>IFERROR(IF(V$4="",0,IF($E21="kWh",VLOOKUP(V$4,'4. Billing Determinants'!$B$19:$O$41,4,0)/'4. Billing Determinants'!$E$41*$D21,IF($E21="kW",VLOOKUP(V$4,'4. Billing Determinants'!$B$19:$O$41,5,0)/'4. Billing Determinants'!$F$41*$D21,IF($E21="Non-RPP kWh",VLOOKUP(V$4,'4. Billing Determinants'!$B$19:$O$41,6,0)/'4. Billing Determinants'!$G$41*$D21,IF($E21="Distribution Rev.",VLOOKUP(V$4,'4. Billing Determinants'!$B$19:$O$41,8,0)/'4. Billing Determinants'!$I$41*$D21, VLOOKUP(V$4,'4. Billing Determinants'!$B$19:$O$41,3,0)/'4. Billing Determinants'!$D$41*$D21))))),0)</f>
        <v>0</v>
      </c>
      <c r="W21" s="75">
        <f>IFERROR(IF(W$4="",0,IF($E21="kWh",VLOOKUP(W$4,'4. Billing Determinants'!$B$19:$O$41,4,0)/'4. Billing Determinants'!$E$41*$D21,IF($E21="kW",VLOOKUP(W$4,'4. Billing Determinants'!$B$19:$O$41,5,0)/'4. Billing Determinants'!$F$41*$D21,IF($E21="Non-RPP kWh",VLOOKUP(W$4,'4. Billing Determinants'!$B$19:$O$41,6,0)/'4. Billing Determinants'!$G$41*$D21,IF($E21="Distribution Rev.",VLOOKUP(W$4,'4. Billing Determinants'!$B$19:$O$41,8,0)/'4. Billing Determinants'!$I$41*$D21, VLOOKUP(W$4,'4. Billing Determinants'!$B$19:$O$41,3,0)/'4. Billing Determinants'!$D$41*$D21))))),0)</f>
        <v>0</v>
      </c>
      <c r="X21" s="75">
        <f>IFERROR(IF(X$4="",0,IF($E21="kWh",VLOOKUP(X$4,'4. Billing Determinants'!$B$19:$O$41,4,0)/'4. Billing Determinants'!$E$41*$D21,IF($E21="kW",VLOOKUP(X$4,'4. Billing Determinants'!$B$19:$O$41,5,0)/'4. Billing Determinants'!$F$41*$D21,IF($E21="Non-RPP kWh",VLOOKUP(X$4,'4. Billing Determinants'!$B$19:$O$41,6,0)/'4. Billing Determinants'!$G$41*$D21,IF($E21="Distribution Rev.",VLOOKUP(X$4,'4. Billing Determinants'!$B$19:$O$41,8,0)/'4. Billing Determinants'!$I$41*$D21, VLOOKUP(X$4,'4. Billing Determinants'!$B$19:$O$41,3,0)/'4. Billing Determinants'!$D$41*$D21))))),0)</f>
        <v>0</v>
      </c>
      <c r="Y21" s="75">
        <f>IFERROR(IF(Y$4="",0,IF($E21="kWh",VLOOKUP(Y$4,'4. Billing Determinants'!$B$19:$O$41,4,0)/'4. Billing Determinants'!$E$41*$D21,IF($E21="kW",VLOOKUP(Y$4,'4. Billing Determinants'!$B$19:$O$41,5,0)/'4. Billing Determinants'!$F$41*$D21,IF($E21="Non-RPP kWh",VLOOKUP(Y$4,'4. Billing Determinants'!$B$19:$O$41,6,0)/'4. Billing Determinants'!$G$41*$D21,IF($E21="Distribution Rev.",VLOOKUP(Y$4,'4. Billing Determinants'!$B$19:$O$41,8,0)/'4. Billing Determinants'!$I$41*$D21, VLOOKUP(Y$4,'4. Billing Determinants'!$B$19:$O$41,3,0)/'4. Billing Determinants'!$D$41*$D21))))),0)</f>
        <v>0</v>
      </c>
    </row>
    <row r="22" spans="2:25" ht="25.5" x14ac:dyDescent="0.2">
      <c r="B22" s="80" t="s">
        <v>151</v>
      </c>
      <c r="C22" s="74">
        <v>1508</v>
      </c>
      <c r="D22" s="75">
        <f>'2. 2013 Continuity Schedule'!CP45</f>
        <v>143.77510000000001</v>
      </c>
      <c r="E22" s="208" t="s">
        <v>314</v>
      </c>
      <c r="F22" s="75">
        <f>IFERROR(IF(F$4="",0,IF($E22="kWh",VLOOKUP(F$4,'4. Billing Determinants'!$B$19:$O$41,4,0)/'4. Billing Determinants'!$E$41*$D22,IF($E22="kW",VLOOKUP(F$4,'4. Billing Determinants'!$B$19:$O$41,5,0)/'4. Billing Determinants'!$F$41*$D22,IF($E22="Non-RPP kWh",VLOOKUP(F$4,'4. Billing Determinants'!$B$19:$O$41,6,0)/'4. Billing Determinants'!$G$41*$D22,IF($E22="Distribution Rev.",VLOOKUP(F$4,'4. Billing Determinants'!$B$19:$O$41,8,0)/'4. Billing Determinants'!$I$41*$D22, VLOOKUP(F$4,'4. Billing Determinants'!$B$19:$O$41,3,0)/'4. Billing Determinants'!$D$41*$D22))))),0)</f>
        <v>71.295301481906009</v>
      </c>
      <c r="G22" s="75">
        <f>IFERROR(IF(G$4="",0,IF($E22="kWh",VLOOKUP(G$4,'4. Billing Determinants'!$B$19:$O$41,4,0)/'4. Billing Determinants'!$E$41*$D22,IF($E22="kW",VLOOKUP(G$4,'4. Billing Determinants'!$B$19:$O$41,5,0)/'4. Billing Determinants'!$F$41*$D22,IF($E22="Non-RPP kWh",VLOOKUP(G$4,'4. Billing Determinants'!$B$19:$O$41,6,0)/'4. Billing Determinants'!$G$41*$D22,IF($E22="Distribution Rev.",VLOOKUP(G$4,'4. Billing Determinants'!$B$19:$O$41,8,0)/'4. Billing Determinants'!$I$41*$D22, VLOOKUP(G$4,'4. Billing Determinants'!$B$19:$O$41,3,0)/'4. Billing Determinants'!$D$41*$D22))))),0)</f>
        <v>36.541813770658749</v>
      </c>
      <c r="H22" s="75">
        <f>IFERROR(IF(H$4="",0,IF($E22="kWh",VLOOKUP(H$4,'4. Billing Determinants'!$B$19:$O$41,4,0)/'4. Billing Determinants'!$E$41*$D22,IF($E22="kW",VLOOKUP(H$4,'4. Billing Determinants'!$B$19:$O$41,5,0)/'4. Billing Determinants'!$F$41*$D22,IF($E22="Non-RPP kWh",VLOOKUP(H$4,'4. Billing Determinants'!$B$19:$O$41,6,0)/'4. Billing Determinants'!$G$41*$D22,IF($E22="Distribution Rev.",VLOOKUP(H$4,'4. Billing Determinants'!$B$19:$O$41,8,0)/'4. Billing Determinants'!$I$41*$D22, VLOOKUP(H$4,'4. Billing Determinants'!$B$19:$O$41,3,0)/'4. Billing Determinants'!$D$41*$D22))))),0)</f>
        <v>29.526082499940866</v>
      </c>
      <c r="I22" s="75">
        <f>IFERROR(IF(I$4="",0,IF($E22="kWh",VLOOKUP(I$4,'4. Billing Determinants'!$B$19:$O$41,4,0)/'4. Billing Determinants'!$E$41*$D22,IF($E22="kW",VLOOKUP(I$4,'4. Billing Determinants'!$B$19:$O$41,5,0)/'4. Billing Determinants'!$F$41*$D22,IF($E22="Non-RPP kWh",VLOOKUP(I$4,'4. Billing Determinants'!$B$19:$O$41,6,0)/'4. Billing Determinants'!$G$41*$D22,IF($E22="Distribution Rev.",VLOOKUP(I$4,'4. Billing Determinants'!$B$19:$O$41,8,0)/'4. Billing Determinants'!$I$41*$D22, VLOOKUP(I$4,'4. Billing Determinants'!$B$19:$O$41,3,0)/'4. Billing Determinants'!$D$41*$D22))))),0)</f>
        <v>0.49179705255494838</v>
      </c>
      <c r="J22" s="75">
        <f>IFERROR(IF(J$4="",0,IF($E22="kWh",VLOOKUP(J$4,'4. Billing Determinants'!$B$19:$O$41,4,0)/'4. Billing Determinants'!$E$41*$D22,IF($E22="kW",VLOOKUP(J$4,'4. Billing Determinants'!$B$19:$O$41,5,0)/'4. Billing Determinants'!$F$41*$D22,IF($E22="Non-RPP kWh",VLOOKUP(J$4,'4. Billing Determinants'!$B$19:$O$41,6,0)/'4. Billing Determinants'!$G$41*$D22,IF($E22="Distribution Rev.",VLOOKUP(J$4,'4. Billing Determinants'!$B$19:$O$41,8,0)/'4. Billing Determinants'!$I$41*$D22, VLOOKUP(J$4,'4. Billing Determinants'!$B$19:$O$41,3,0)/'4. Billing Determinants'!$D$41*$D22))))),0)</f>
        <v>5.9201051949394223</v>
      </c>
      <c r="K22" s="75">
        <f>IFERROR(IF(K$4="",0,IF($E22="kWh",VLOOKUP(K$4,'4. Billing Determinants'!$B$19:$O$41,4,0)/'4. Billing Determinants'!$E$41*$D22,IF($E22="kW",VLOOKUP(K$4,'4. Billing Determinants'!$B$19:$O$41,5,0)/'4. Billing Determinants'!$F$41*$D22,IF($E22="Non-RPP kWh",VLOOKUP(K$4,'4. Billing Determinants'!$B$19:$O$41,6,0)/'4. Billing Determinants'!$G$41*$D22,IF($E22="Distribution Rev.",VLOOKUP(K$4,'4. Billing Determinants'!$B$19:$O$41,8,0)/'4. Billing Determinants'!$I$41*$D22, VLOOKUP(K$4,'4. Billing Determinants'!$B$19:$O$41,3,0)/'4. Billing Determinants'!$D$41*$D22))))),0)</f>
        <v>0</v>
      </c>
      <c r="L22" s="75">
        <f>IFERROR(IF(L$4="",0,IF($E22="kWh",VLOOKUP(L$4,'4. Billing Determinants'!$B$19:$O$41,4,0)/'4. Billing Determinants'!$E$41*$D22,IF($E22="kW",VLOOKUP(L$4,'4. Billing Determinants'!$B$19:$O$41,5,0)/'4. Billing Determinants'!$F$41*$D22,IF($E22="Non-RPP kWh",VLOOKUP(L$4,'4. Billing Determinants'!$B$19:$O$41,6,0)/'4. Billing Determinants'!$G$41*$D22,IF($E22="Distribution Rev.",VLOOKUP(L$4,'4. Billing Determinants'!$B$19:$O$41,8,0)/'4. Billing Determinants'!$I$41*$D22, VLOOKUP(L$4,'4. Billing Determinants'!$B$19:$O$41,3,0)/'4. Billing Determinants'!$D$41*$D22))))),0)</f>
        <v>0</v>
      </c>
      <c r="M22" s="75">
        <f>IFERROR(IF(M$4="",0,IF($E22="kWh",VLOOKUP(M$4,'4. Billing Determinants'!$B$19:$O$41,4,0)/'4. Billing Determinants'!$E$41*$D22,IF($E22="kW",VLOOKUP(M$4,'4. Billing Determinants'!$B$19:$O$41,5,0)/'4. Billing Determinants'!$F$41*$D22,IF($E22="Non-RPP kWh",VLOOKUP(M$4,'4. Billing Determinants'!$B$19:$O$41,6,0)/'4. Billing Determinants'!$G$41*$D22,IF($E22="Distribution Rev.",VLOOKUP(M$4,'4. Billing Determinants'!$B$19:$O$41,8,0)/'4. Billing Determinants'!$I$41*$D22, VLOOKUP(M$4,'4. Billing Determinants'!$B$19:$O$41,3,0)/'4. Billing Determinants'!$D$41*$D22))))),0)</f>
        <v>0</v>
      </c>
      <c r="N22" s="75">
        <f>IFERROR(IF(N$4="",0,IF($E22="kWh",VLOOKUP(N$4,'4. Billing Determinants'!$B$19:$O$41,4,0)/'4. Billing Determinants'!$E$41*$D22,IF($E22="kW",VLOOKUP(N$4,'4. Billing Determinants'!$B$19:$O$41,5,0)/'4. Billing Determinants'!$F$41*$D22,IF($E22="Non-RPP kWh",VLOOKUP(N$4,'4. Billing Determinants'!$B$19:$O$41,6,0)/'4. Billing Determinants'!$G$41*$D22,IF($E22="Distribution Rev.",VLOOKUP(N$4,'4. Billing Determinants'!$B$19:$O$41,8,0)/'4. Billing Determinants'!$I$41*$D22, VLOOKUP(N$4,'4. Billing Determinants'!$B$19:$O$41,3,0)/'4. Billing Determinants'!$D$41*$D22))))),0)</f>
        <v>0</v>
      </c>
      <c r="O22" s="75">
        <f>IFERROR(IF(O$4="",0,IF($E22="kWh",VLOOKUP(O$4,'4. Billing Determinants'!$B$19:$O$41,4,0)/'4. Billing Determinants'!$E$41*$D22,IF($E22="kW",VLOOKUP(O$4,'4. Billing Determinants'!$B$19:$O$41,5,0)/'4. Billing Determinants'!$F$41*$D22,IF($E22="Non-RPP kWh",VLOOKUP(O$4,'4. Billing Determinants'!$B$19:$O$41,6,0)/'4. Billing Determinants'!$G$41*$D22,IF($E22="Distribution Rev.",VLOOKUP(O$4,'4. Billing Determinants'!$B$19:$O$41,8,0)/'4. Billing Determinants'!$I$41*$D22, VLOOKUP(O$4,'4. Billing Determinants'!$B$19:$O$41,3,0)/'4. Billing Determinants'!$D$41*$D22))))),0)</f>
        <v>0</v>
      </c>
      <c r="P22" s="75">
        <f>IFERROR(IF(P$4="",0,IF($E22="kWh",VLOOKUP(P$4,'4. Billing Determinants'!$B$19:$O$41,4,0)/'4. Billing Determinants'!$E$41*$D22,IF($E22="kW",VLOOKUP(P$4,'4. Billing Determinants'!$B$19:$O$41,5,0)/'4. Billing Determinants'!$F$41*$D22,IF($E22="Non-RPP kWh",VLOOKUP(P$4,'4. Billing Determinants'!$B$19:$O$41,6,0)/'4. Billing Determinants'!$G$41*$D22,IF($E22="Distribution Rev.",VLOOKUP(P$4,'4. Billing Determinants'!$B$19:$O$41,8,0)/'4. Billing Determinants'!$I$41*$D22, VLOOKUP(P$4,'4. Billing Determinants'!$B$19:$O$41,3,0)/'4. Billing Determinants'!$D$41*$D22))))),0)</f>
        <v>0</v>
      </c>
      <c r="Q22" s="75">
        <f>IFERROR(IF(Q$4="",0,IF($E22="kWh",VLOOKUP(Q$4,'4. Billing Determinants'!$B$19:$O$41,4,0)/'4. Billing Determinants'!$E$41*$D22,IF($E22="kW",VLOOKUP(Q$4,'4. Billing Determinants'!$B$19:$O$41,5,0)/'4. Billing Determinants'!$F$41*$D22,IF($E22="Non-RPP kWh",VLOOKUP(Q$4,'4. Billing Determinants'!$B$19:$O$41,6,0)/'4. Billing Determinants'!$G$41*$D22,IF($E22="Distribution Rev.",VLOOKUP(Q$4,'4. Billing Determinants'!$B$19:$O$41,8,0)/'4. Billing Determinants'!$I$41*$D22, VLOOKUP(Q$4,'4. Billing Determinants'!$B$19:$O$41,3,0)/'4. Billing Determinants'!$D$41*$D22))))),0)</f>
        <v>0</v>
      </c>
      <c r="R22" s="75">
        <f>IFERROR(IF(R$4="",0,IF($E22="kWh",VLOOKUP(R$4,'4. Billing Determinants'!$B$19:$O$41,4,0)/'4. Billing Determinants'!$E$41*$D22,IF($E22="kW",VLOOKUP(R$4,'4. Billing Determinants'!$B$19:$O$41,5,0)/'4. Billing Determinants'!$F$41*$D22,IF($E22="Non-RPP kWh",VLOOKUP(R$4,'4. Billing Determinants'!$B$19:$O$41,6,0)/'4. Billing Determinants'!$G$41*$D22,IF($E22="Distribution Rev.",VLOOKUP(R$4,'4. Billing Determinants'!$B$19:$O$41,8,0)/'4. Billing Determinants'!$I$41*$D22, VLOOKUP(R$4,'4. Billing Determinants'!$B$19:$O$41,3,0)/'4. Billing Determinants'!$D$41*$D22))))),0)</f>
        <v>0</v>
      </c>
      <c r="S22" s="75">
        <f>IFERROR(IF(S$4="",0,IF($E22="kWh",VLOOKUP(S$4,'4. Billing Determinants'!$B$19:$O$41,4,0)/'4. Billing Determinants'!$E$41*$D22,IF($E22="kW",VLOOKUP(S$4,'4. Billing Determinants'!$B$19:$O$41,5,0)/'4. Billing Determinants'!$F$41*$D22,IF($E22="Non-RPP kWh",VLOOKUP(S$4,'4. Billing Determinants'!$B$19:$O$41,6,0)/'4. Billing Determinants'!$G$41*$D22,IF($E22="Distribution Rev.",VLOOKUP(S$4,'4. Billing Determinants'!$B$19:$O$41,8,0)/'4. Billing Determinants'!$I$41*$D22, VLOOKUP(S$4,'4. Billing Determinants'!$B$19:$O$41,3,0)/'4. Billing Determinants'!$D$41*$D22))))),0)</f>
        <v>0</v>
      </c>
      <c r="T22" s="75">
        <f>IFERROR(IF(T$4="",0,IF($E22="kWh",VLOOKUP(T$4,'4. Billing Determinants'!$B$19:$O$41,4,0)/'4. Billing Determinants'!$E$41*$D22,IF($E22="kW",VLOOKUP(T$4,'4. Billing Determinants'!$B$19:$O$41,5,0)/'4. Billing Determinants'!$F$41*$D22,IF($E22="Non-RPP kWh",VLOOKUP(T$4,'4. Billing Determinants'!$B$19:$O$41,6,0)/'4. Billing Determinants'!$G$41*$D22,IF($E22="Distribution Rev.",VLOOKUP(T$4,'4. Billing Determinants'!$B$19:$O$41,8,0)/'4. Billing Determinants'!$I$41*$D22, VLOOKUP(T$4,'4. Billing Determinants'!$B$19:$O$41,3,0)/'4. Billing Determinants'!$D$41*$D22))))),0)</f>
        <v>0</v>
      </c>
      <c r="U22" s="75">
        <f>IFERROR(IF(U$4="",0,IF($E22="kWh",VLOOKUP(U$4,'4. Billing Determinants'!$B$19:$O$41,4,0)/'4. Billing Determinants'!$E$41*$D22,IF($E22="kW",VLOOKUP(U$4,'4. Billing Determinants'!$B$19:$O$41,5,0)/'4. Billing Determinants'!$F$41*$D22,IF($E22="Non-RPP kWh",VLOOKUP(U$4,'4. Billing Determinants'!$B$19:$O$41,6,0)/'4. Billing Determinants'!$G$41*$D22,IF($E22="Distribution Rev.",VLOOKUP(U$4,'4. Billing Determinants'!$B$19:$O$41,8,0)/'4. Billing Determinants'!$I$41*$D22, VLOOKUP(U$4,'4. Billing Determinants'!$B$19:$O$41,3,0)/'4. Billing Determinants'!$D$41*$D22))))),0)</f>
        <v>0</v>
      </c>
      <c r="V22" s="75">
        <f>IFERROR(IF(V$4="",0,IF($E22="kWh",VLOOKUP(V$4,'4. Billing Determinants'!$B$19:$O$41,4,0)/'4. Billing Determinants'!$E$41*$D22,IF($E22="kW",VLOOKUP(V$4,'4. Billing Determinants'!$B$19:$O$41,5,0)/'4. Billing Determinants'!$F$41*$D22,IF($E22="Non-RPP kWh",VLOOKUP(V$4,'4. Billing Determinants'!$B$19:$O$41,6,0)/'4. Billing Determinants'!$G$41*$D22,IF($E22="Distribution Rev.",VLOOKUP(V$4,'4. Billing Determinants'!$B$19:$O$41,8,0)/'4. Billing Determinants'!$I$41*$D22, VLOOKUP(V$4,'4. Billing Determinants'!$B$19:$O$41,3,0)/'4. Billing Determinants'!$D$41*$D22))))),0)</f>
        <v>0</v>
      </c>
      <c r="W22" s="75">
        <f>IFERROR(IF(W$4="",0,IF($E22="kWh",VLOOKUP(W$4,'4. Billing Determinants'!$B$19:$O$41,4,0)/'4. Billing Determinants'!$E$41*$D22,IF($E22="kW",VLOOKUP(W$4,'4. Billing Determinants'!$B$19:$O$41,5,0)/'4. Billing Determinants'!$F$41*$D22,IF($E22="Non-RPP kWh",VLOOKUP(W$4,'4. Billing Determinants'!$B$19:$O$41,6,0)/'4. Billing Determinants'!$G$41*$D22,IF($E22="Distribution Rev.",VLOOKUP(W$4,'4. Billing Determinants'!$B$19:$O$41,8,0)/'4. Billing Determinants'!$I$41*$D22, VLOOKUP(W$4,'4. Billing Determinants'!$B$19:$O$41,3,0)/'4. Billing Determinants'!$D$41*$D22))))),0)</f>
        <v>0</v>
      </c>
      <c r="X22" s="75">
        <f>IFERROR(IF(X$4="",0,IF($E22="kWh",VLOOKUP(X$4,'4. Billing Determinants'!$B$19:$O$41,4,0)/'4. Billing Determinants'!$E$41*$D22,IF($E22="kW",VLOOKUP(X$4,'4. Billing Determinants'!$B$19:$O$41,5,0)/'4. Billing Determinants'!$F$41*$D22,IF($E22="Non-RPP kWh",VLOOKUP(X$4,'4. Billing Determinants'!$B$19:$O$41,6,0)/'4. Billing Determinants'!$G$41*$D22,IF($E22="Distribution Rev.",VLOOKUP(X$4,'4. Billing Determinants'!$B$19:$O$41,8,0)/'4. Billing Determinants'!$I$41*$D22, VLOOKUP(X$4,'4. Billing Determinants'!$B$19:$O$41,3,0)/'4. Billing Determinants'!$D$41*$D22))))),0)</f>
        <v>0</v>
      </c>
      <c r="Y22" s="75">
        <f>IFERROR(IF(Y$4="",0,IF($E22="kWh",VLOOKUP(Y$4,'4. Billing Determinants'!$B$19:$O$41,4,0)/'4. Billing Determinants'!$E$41*$D22,IF($E22="kW",VLOOKUP(Y$4,'4. Billing Determinants'!$B$19:$O$41,5,0)/'4. Billing Determinants'!$F$41*$D22,IF($E22="Non-RPP kWh",VLOOKUP(Y$4,'4. Billing Determinants'!$B$19:$O$41,6,0)/'4. Billing Determinants'!$G$41*$D22,IF($E22="Distribution Rev.",VLOOKUP(Y$4,'4. Billing Determinants'!$B$19:$O$41,8,0)/'4. Billing Determinants'!$I$41*$D22, VLOOKUP(Y$4,'4. Billing Determinants'!$B$19:$O$41,3,0)/'4. Billing Determinants'!$D$41*$D22))))),0)</f>
        <v>0</v>
      </c>
    </row>
    <row r="23" spans="2:25" ht="25.5" x14ac:dyDescent="0.2">
      <c r="B23" s="80" t="s">
        <v>86</v>
      </c>
      <c r="C23" s="74">
        <v>1508</v>
      </c>
      <c r="D23" s="75">
        <f>'2. 2013 Continuity Schedule'!CP46</f>
        <v>0</v>
      </c>
      <c r="E23" s="208"/>
      <c r="F23" s="75">
        <f>IFERROR(IF(F$4="",0,IF($E23="kWh",VLOOKUP(F$4,'4. Billing Determinants'!$B$19:$O$41,4,0)/'4. Billing Determinants'!$E$41*$D23,IF($E23="kW",VLOOKUP(F$4,'4. Billing Determinants'!$B$19:$O$41,5,0)/'4. Billing Determinants'!$F$41*$D23,IF($E23="Non-RPP kWh",VLOOKUP(F$4,'4. Billing Determinants'!$B$19:$O$41,6,0)/'4. Billing Determinants'!$G$41*$D23,IF($E23="Distribution Rev.",VLOOKUP(F$4,'4. Billing Determinants'!$B$19:$O$41,8,0)/'4. Billing Determinants'!$I$41*$D23, VLOOKUP(F$4,'4. Billing Determinants'!$B$19:$O$41,3,0)/'4. Billing Determinants'!$D$41*$D23))))),0)</f>
        <v>0</v>
      </c>
      <c r="G23" s="75">
        <f>IFERROR(IF(G$4="",0,IF($E23="kWh",VLOOKUP(G$4,'4. Billing Determinants'!$B$19:$O$41,4,0)/'4. Billing Determinants'!$E$41*$D23,IF($E23="kW",VLOOKUP(G$4,'4. Billing Determinants'!$B$19:$O$41,5,0)/'4. Billing Determinants'!$F$41*$D23,IF($E23="Non-RPP kWh",VLOOKUP(G$4,'4. Billing Determinants'!$B$19:$O$41,6,0)/'4. Billing Determinants'!$G$41*$D23,IF($E23="Distribution Rev.",VLOOKUP(G$4,'4. Billing Determinants'!$B$19:$O$41,8,0)/'4. Billing Determinants'!$I$41*$D23, VLOOKUP(G$4,'4. Billing Determinants'!$B$19:$O$41,3,0)/'4. Billing Determinants'!$D$41*$D23))))),0)</f>
        <v>0</v>
      </c>
      <c r="H23" s="75">
        <f>IFERROR(IF(H$4="",0,IF($E23="kWh",VLOOKUP(H$4,'4. Billing Determinants'!$B$19:$O$41,4,0)/'4. Billing Determinants'!$E$41*$D23,IF($E23="kW",VLOOKUP(H$4,'4. Billing Determinants'!$B$19:$O$41,5,0)/'4. Billing Determinants'!$F$41*$D23,IF($E23="Non-RPP kWh",VLOOKUP(H$4,'4. Billing Determinants'!$B$19:$O$41,6,0)/'4. Billing Determinants'!$G$41*$D23,IF($E23="Distribution Rev.",VLOOKUP(H$4,'4. Billing Determinants'!$B$19:$O$41,8,0)/'4. Billing Determinants'!$I$41*$D23, VLOOKUP(H$4,'4. Billing Determinants'!$B$19:$O$41,3,0)/'4. Billing Determinants'!$D$41*$D23))))),0)</f>
        <v>0</v>
      </c>
      <c r="I23" s="75">
        <f>IFERROR(IF(I$4="",0,IF($E23="kWh",VLOOKUP(I$4,'4. Billing Determinants'!$B$19:$O$41,4,0)/'4. Billing Determinants'!$E$41*$D23,IF($E23="kW",VLOOKUP(I$4,'4. Billing Determinants'!$B$19:$O$41,5,0)/'4. Billing Determinants'!$F$41*$D23,IF($E23="Non-RPP kWh",VLOOKUP(I$4,'4. Billing Determinants'!$B$19:$O$41,6,0)/'4. Billing Determinants'!$G$41*$D23,IF($E23="Distribution Rev.",VLOOKUP(I$4,'4. Billing Determinants'!$B$19:$O$41,8,0)/'4. Billing Determinants'!$I$41*$D23, VLOOKUP(I$4,'4. Billing Determinants'!$B$19:$O$41,3,0)/'4. Billing Determinants'!$D$41*$D23))))),0)</f>
        <v>0</v>
      </c>
      <c r="J23" s="75">
        <f>IFERROR(IF(J$4="",0,IF($E23="kWh",VLOOKUP(J$4,'4. Billing Determinants'!$B$19:$O$41,4,0)/'4. Billing Determinants'!$E$41*$D23,IF($E23="kW",VLOOKUP(J$4,'4. Billing Determinants'!$B$19:$O$41,5,0)/'4. Billing Determinants'!$F$41*$D23,IF($E23="Non-RPP kWh",VLOOKUP(J$4,'4. Billing Determinants'!$B$19:$O$41,6,0)/'4. Billing Determinants'!$G$41*$D23,IF($E23="Distribution Rev.",VLOOKUP(J$4,'4. Billing Determinants'!$B$19:$O$41,8,0)/'4. Billing Determinants'!$I$41*$D23, VLOOKUP(J$4,'4. Billing Determinants'!$B$19:$O$41,3,0)/'4. Billing Determinants'!$D$41*$D23))))),0)</f>
        <v>0</v>
      </c>
      <c r="K23" s="75">
        <f>IFERROR(IF(K$4="",0,IF($E23="kWh",VLOOKUP(K$4,'4. Billing Determinants'!$B$19:$O$41,4,0)/'4. Billing Determinants'!$E$41*$D23,IF($E23="kW",VLOOKUP(K$4,'4. Billing Determinants'!$B$19:$O$41,5,0)/'4. Billing Determinants'!$F$41*$D23,IF($E23="Non-RPP kWh",VLOOKUP(K$4,'4. Billing Determinants'!$B$19:$O$41,6,0)/'4. Billing Determinants'!$G$41*$D23,IF($E23="Distribution Rev.",VLOOKUP(K$4,'4. Billing Determinants'!$B$19:$O$41,8,0)/'4. Billing Determinants'!$I$41*$D23, VLOOKUP(K$4,'4. Billing Determinants'!$B$19:$O$41,3,0)/'4. Billing Determinants'!$D$41*$D23))))),0)</f>
        <v>0</v>
      </c>
      <c r="L23" s="75">
        <f>IFERROR(IF(L$4="",0,IF($E23="kWh",VLOOKUP(L$4,'4. Billing Determinants'!$B$19:$O$41,4,0)/'4. Billing Determinants'!$E$41*$D23,IF($E23="kW",VLOOKUP(L$4,'4. Billing Determinants'!$B$19:$O$41,5,0)/'4. Billing Determinants'!$F$41*$D23,IF($E23="Non-RPP kWh",VLOOKUP(L$4,'4. Billing Determinants'!$B$19:$O$41,6,0)/'4. Billing Determinants'!$G$41*$D23,IF($E23="Distribution Rev.",VLOOKUP(L$4,'4. Billing Determinants'!$B$19:$O$41,8,0)/'4. Billing Determinants'!$I$41*$D23, VLOOKUP(L$4,'4. Billing Determinants'!$B$19:$O$41,3,0)/'4. Billing Determinants'!$D$41*$D23))))),0)</f>
        <v>0</v>
      </c>
      <c r="M23" s="75">
        <f>IFERROR(IF(M$4="",0,IF($E23="kWh",VLOOKUP(M$4,'4. Billing Determinants'!$B$19:$O$41,4,0)/'4. Billing Determinants'!$E$41*$D23,IF($E23="kW",VLOOKUP(M$4,'4. Billing Determinants'!$B$19:$O$41,5,0)/'4. Billing Determinants'!$F$41*$D23,IF($E23="Non-RPP kWh",VLOOKUP(M$4,'4. Billing Determinants'!$B$19:$O$41,6,0)/'4. Billing Determinants'!$G$41*$D23,IF($E23="Distribution Rev.",VLOOKUP(M$4,'4. Billing Determinants'!$B$19:$O$41,8,0)/'4. Billing Determinants'!$I$41*$D23, VLOOKUP(M$4,'4. Billing Determinants'!$B$19:$O$41,3,0)/'4. Billing Determinants'!$D$41*$D23))))),0)</f>
        <v>0</v>
      </c>
      <c r="N23" s="75">
        <f>IFERROR(IF(N$4="",0,IF($E23="kWh",VLOOKUP(N$4,'4. Billing Determinants'!$B$19:$O$41,4,0)/'4. Billing Determinants'!$E$41*$D23,IF($E23="kW",VLOOKUP(N$4,'4. Billing Determinants'!$B$19:$O$41,5,0)/'4. Billing Determinants'!$F$41*$D23,IF($E23="Non-RPP kWh",VLOOKUP(N$4,'4. Billing Determinants'!$B$19:$O$41,6,0)/'4. Billing Determinants'!$G$41*$D23,IF($E23="Distribution Rev.",VLOOKUP(N$4,'4. Billing Determinants'!$B$19:$O$41,8,0)/'4. Billing Determinants'!$I$41*$D23, VLOOKUP(N$4,'4. Billing Determinants'!$B$19:$O$41,3,0)/'4. Billing Determinants'!$D$41*$D23))))),0)</f>
        <v>0</v>
      </c>
      <c r="O23" s="75">
        <f>IFERROR(IF(O$4="",0,IF($E23="kWh",VLOOKUP(O$4,'4. Billing Determinants'!$B$19:$O$41,4,0)/'4. Billing Determinants'!$E$41*$D23,IF($E23="kW",VLOOKUP(O$4,'4. Billing Determinants'!$B$19:$O$41,5,0)/'4. Billing Determinants'!$F$41*$D23,IF($E23="Non-RPP kWh",VLOOKUP(O$4,'4. Billing Determinants'!$B$19:$O$41,6,0)/'4. Billing Determinants'!$G$41*$D23,IF($E23="Distribution Rev.",VLOOKUP(O$4,'4. Billing Determinants'!$B$19:$O$41,8,0)/'4. Billing Determinants'!$I$41*$D23, VLOOKUP(O$4,'4. Billing Determinants'!$B$19:$O$41,3,0)/'4. Billing Determinants'!$D$41*$D23))))),0)</f>
        <v>0</v>
      </c>
      <c r="P23" s="75">
        <f>IFERROR(IF(P$4="",0,IF($E23="kWh",VLOOKUP(P$4,'4. Billing Determinants'!$B$19:$O$41,4,0)/'4. Billing Determinants'!$E$41*$D23,IF($E23="kW",VLOOKUP(P$4,'4. Billing Determinants'!$B$19:$O$41,5,0)/'4. Billing Determinants'!$F$41*$D23,IF($E23="Non-RPP kWh",VLOOKUP(P$4,'4. Billing Determinants'!$B$19:$O$41,6,0)/'4. Billing Determinants'!$G$41*$D23,IF($E23="Distribution Rev.",VLOOKUP(P$4,'4. Billing Determinants'!$B$19:$O$41,8,0)/'4. Billing Determinants'!$I$41*$D23, VLOOKUP(P$4,'4. Billing Determinants'!$B$19:$O$41,3,0)/'4. Billing Determinants'!$D$41*$D23))))),0)</f>
        <v>0</v>
      </c>
      <c r="Q23" s="75">
        <f>IFERROR(IF(Q$4="",0,IF($E23="kWh",VLOOKUP(Q$4,'4. Billing Determinants'!$B$19:$O$41,4,0)/'4. Billing Determinants'!$E$41*$D23,IF($E23="kW",VLOOKUP(Q$4,'4. Billing Determinants'!$B$19:$O$41,5,0)/'4. Billing Determinants'!$F$41*$D23,IF($E23="Non-RPP kWh",VLOOKUP(Q$4,'4. Billing Determinants'!$B$19:$O$41,6,0)/'4. Billing Determinants'!$G$41*$D23,IF($E23="Distribution Rev.",VLOOKUP(Q$4,'4. Billing Determinants'!$B$19:$O$41,8,0)/'4. Billing Determinants'!$I$41*$D23, VLOOKUP(Q$4,'4. Billing Determinants'!$B$19:$O$41,3,0)/'4. Billing Determinants'!$D$41*$D23))))),0)</f>
        <v>0</v>
      </c>
      <c r="R23" s="75">
        <f>IFERROR(IF(R$4="",0,IF($E23="kWh",VLOOKUP(R$4,'4. Billing Determinants'!$B$19:$O$41,4,0)/'4. Billing Determinants'!$E$41*$D23,IF($E23="kW",VLOOKUP(R$4,'4. Billing Determinants'!$B$19:$O$41,5,0)/'4. Billing Determinants'!$F$41*$D23,IF($E23="Non-RPP kWh",VLOOKUP(R$4,'4. Billing Determinants'!$B$19:$O$41,6,0)/'4. Billing Determinants'!$G$41*$D23,IF($E23="Distribution Rev.",VLOOKUP(R$4,'4. Billing Determinants'!$B$19:$O$41,8,0)/'4. Billing Determinants'!$I$41*$D23, VLOOKUP(R$4,'4. Billing Determinants'!$B$19:$O$41,3,0)/'4. Billing Determinants'!$D$41*$D23))))),0)</f>
        <v>0</v>
      </c>
      <c r="S23" s="75">
        <f>IFERROR(IF(S$4="",0,IF($E23="kWh",VLOOKUP(S$4,'4. Billing Determinants'!$B$19:$O$41,4,0)/'4. Billing Determinants'!$E$41*$D23,IF($E23="kW",VLOOKUP(S$4,'4. Billing Determinants'!$B$19:$O$41,5,0)/'4. Billing Determinants'!$F$41*$D23,IF($E23="Non-RPP kWh",VLOOKUP(S$4,'4. Billing Determinants'!$B$19:$O$41,6,0)/'4. Billing Determinants'!$G$41*$D23,IF($E23="Distribution Rev.",VLOOKUP(S$4,'4. Billing Determinants'!$B$19:$O$41,8,0)/'4. Billing Determinants'!$I$41*$D23, VLOOKUP(S$4,'4. Billing Determinants'!$B$19:$O$41,3,0)/'4. Billing Determinants'!$D$41*$D23))))),0)</f>
        <v>0</v>
      </c>
      <c r="T23" s="75">
        <f>IFERROR(IF(T$4="",0,IF($E23="kWh",VLOOKUP(T$4,'4. Billing Determinants'!$B$19:$O$41,4,0)/'4. Billing Determinants'!$E$41*$D23,IF($E23="kW",VLOOKUP(T$4,'4. Billing Determinants'!$B$19:$O$41,5,0)/'4. Billing Determinants'!$F$41*$D23,IF($E23="Non-RPP kWh",VLOOKUP(T$4,'4. Billing Determinants'!$B$19:$O$41,6,0)/'4. Billing Determinants'!$G$41*$D23,IF($E23="Distribution Rev.",VLOOKUP(T$4,'4. Billing Determinants'!$B$19:$O$41,8,0)/'4. Billing Determinants'!$I$41*$D23, VLOOKUP(T$4,'4. Billing Determinants'!$B$19:$O$41,3,0)/'4. Billing Determinants'!$D$41*$D23))))),0)</f>
        <v>0</v>
      </c>
      <c r="U23" s="75">
        <f>IFERROR(IF(U$4="",0,IF($E23="kWh",VLOOKUP(U$4,'4. Billing Determinants'!$B$19:$O$41,4,0)/'4. Billing Determinants'!$E$41*$D23,IF($E23="kW",VLOOKUP(U$4,'4. Billing Determinants'!$B$19:$O$41,5,0)/'4. Billing Determinants'!$F$41*$D23,IF($E23="Non-RPP kWh",VLOOKUP(U$4,'4. Billing Determinants'!$B$19:$O$41,6,0)/'4. Billing Determinants'!$G$41*$D23,IF($E23="Distribution Rev.",VLOOKUP(U$4,'4. Billing Determinants'!$B$19:$O$41,8,0)/'4. Billing Determinants'!$I$41*$D23, VLOOKUP(U$4,'4. Billing Determinants'!$B$19:$O$41,3,0)/'4. Billing Determinants'!$D$41*$D23))))),0)</f>
        <v>0</v>
      </c>
      <c r="V23" s="75">
        <f>IFERROR(IF(V$4="",0,IF($E23="kWh",VLOOKUP(V$4,'4. Billing Determinants'!$B$19:$O$41,4,0)/'4. Billing Determinants'!$E$41*$D23,IF($E23="kW",VLOOKUP(V$4,'4. Billing Determinants'!$B$19:$O$41,5,0)/'4. Billing Determinants'!$F$41*$D23,IF($E23="Non-RPP kWh",VLOOKUP(V$4,'4. Billing Determinants'!$B$19:$O$41,6,0)/'4. Billing Determinants'!$G$41*$D23,IF($E23="Distribution Rev.",VLOOKUP(V$4,'4. Billing Determinants'!$B$19:$O$41,8,0)/'4. Billing Determinants'!$I$41*$D23, VLOOKUP(V$4,'4. Billing Determinants'!$B$19:$O$41,3,0)/'4. Billing Determinants'!$D$41*$D23))))),0)</f>
        <v>0</v>
      </c>
      <c r="W23" s="75">
        <f>IFERROR(IF(W$4="",0,IF($E23="kWh",VLOOKUP(W$4,'4. Billing Determinants'!$B$19:$O$41,4,0)/'4. Billing Determinants'!$E$41*$D23,IF($E23="kW",VLOOKUP(W$4,'4. Billing Determinants'!$B$19:$O$41,5,0)/'4. Billing Determinants'!$F$41*$D23,IF($E23="Non-RPP kWh",VLOOKUP(W$4,'4. Billing Determinants'!$B$19:$O$41,6,0)/'4. Billing Determinants'!$G$41*$D23,IF($E23="Distribution Rev.",VLOOKUP(W$4,'4. Billing Determinants'!$B$19:$O$41,8,0)/'4. Billing Determinants'!$I$41*$D23, VLOOKUP(W$4,'4. Billing Determinants'!$B$19:$O$41,3,0)/'4. Billing Determinants'!$D$41*$D23))))),0)</f>
        <v>0</v>
      </c>
      <c r="X23" s="75">
        <f>IFERROR(IF(X$4="",0,IF($E23="kWh",VLOOKUP(X$4,'4. Billing Determinants'!$B$19:$O$41,4,0)/'4. Billing Determinants'!$E$41*$D23,IF($E23="kW",VLOOKUP(X$4,'4. Billing Determinants'!$B$19:$O$41,5,0)/'4. Billing Determinants'!$F$41*$D23,IF($E23="Non-RPP kWh",VLOOKUP(X$4,'4. Billing Determinants'!$B$19:$O$41,6,0)/'4. Billing Determinants'!$G$41*$D23,IF($E23="Distribution Rev.",VLOOKUP(X$4,'4. Billing Determinants'!$B$19:$O$41,8,0)/'4. Billing Determinants'!$I$41*$D23, VLOOKUP(X$4,'4. Billing Determinants'!$B$19:$O$41,3,0)/'4. Billing Determinants'!$D$41*$D23))))),0)</f>
        <v>0</v>
      </c>
      <c r="Y23" s="75">
        <f>IFERROR(IF(Y$4="",0,IF($E23="kWh",VLOOKUP(Y$4,'4. Billing Determinants'!$B$19:$O$41,4,0)/'4. Billing Determinants'!$E$41*$D23,IF($E23="kW",VLOOKUP(Y$4,'4. Billing Determinants'!$B$19:$O$41,5,0)/'4. Billing Determinants'!$F$41*$D23,IF($E23="Non-RPP kWh",VLOOKUP(Y$4,'4. Billing Determinants'!$B$19:$O$41,6,0)/'4. Billing Determinants'!$G$41*$D23,IF($E23="Distribution Rev.",VLOOKUP(Y$4,'4. Billing Determinants'!$B$19:$O$41,8,0)/'4. Billing Determinants'!$I$41*$D23, VLOOKUP(Y$4,'4. Billing Determinants'!$B$19:$O$41,3,0)/'4. Billing Determinants'!$D$41*$D23))))),0)</f>
        <v>0</v>
      </c>
    </row>
    <row r="24" spans="2:25" x14ac:dyDescent="0.2">
      <c r="B24" s="73" t="s">
        <v>152</v>
      </c>
      <c r="C24" s="74">
        <v>1508</v>
      </c>
      <c r="D24" s="75">
        <f>'2. 2013 Continuity Schedule'!CP47</f>
        <v>0</v>
      </c>
      <c r="E24" s="208"/>
      <c r="F24" s="75">
        <f>IFERROR(IF(F$4="",0,IF($E24="kWh",VLOOKUP(F$4,'4. Billing Determinants'!$B$19:$O$41,4,0)/'4. Billing Determinants'!$E$41*$D24,IF($E24="kW",VLOOKUP(F$4,'4. Billing Determinants'!$B$19:$O$41,5,0)/'4. Billing Determinants'!$F$41*$D24,IF($E24="Non-RPP kWh",VLOOKUP(F$4,'4. Billing Determinants'!$B$19:$O$41,6,0)/'4. Billing Determinants'!$G$41*$D24,IF($E24="Distribution Rev.",VLOOKUP(F$4,'4. Billing Determinants'!$B$19:$O$41,8,0)/'4. Billing Determinants'!$I$41*$D24, VLOOKUP(F$4,'4. Billing Determinants'!$B$19:$O$41,3,0)/'4. Billing Determinants'!$D$41*$D24))))),0)</f>
        <v>0</v>
      </c>
      <c r="G24" s="75">
        <f>IFERROR(IF(G$4="",0,IF($E24="kWh",VLOOKUP(G$4,'4. Billing Determinants'!$B$19:$O$41,4,0)/'4. Billing Determinants'!$E$41*$D24,IF($E24="kW",VLOOKUP(G$4,'4. Billing Determinants'!$B$19:$O$41,5,0)/'4. Billing Determinants'!$F$41*$D24,IF($E24="Non-RPP kWh",VLOOKUP(G$4,'4. Billing Determinants'!$B$19:$O$41,6,0)/'4. Billing Determinants'!$G$41*$D24,IF($E24="Distribution Rev.",VLOOKUP(G$4,'4. Billing Determinants'!$B$19:$O$41,8,0)/'4. Billing Determinants'!$I$41*$D24, VLOOKUP(G$4,'4. Billing Determinants'!$B$19:$O$41,3,0)/'4. Billing Determinants'!$D$41*$D24))))),0)</f>
        <v>0</v>
      </c>
      <c r="H24" s="75">
        <f>IFERROR(IF(H$4="",0,IF($E24="kWh",VLOOKUP(H$4,'4. Billing Determinants'!$B$19:$O$41,4,0)/'4. Billing Determinants'!$E$41*$D24,IF($E24="kW",VLOOKUP(H$4,'4. Billing Determinants'!$B$19:$O$41,5,0)/'4. Billing Determinants'!$F$41*$D24,IF($E24="Non-RPP kWh",VLOOKUP(H$4,'4. Billing Determinants'!$B$19:$O$41,6,0)/'4. Billing Determinants'!$G$41*$D24,IF($E24="Distribution Rev.",VLOOKUP(H$4,'4. Billing Determinants'!$B$19:$O$41,8,0)/'4. Billing Determinants'!$I$41*$D24, VLOOKUP(H$4,'4. Billing Determinants'!$B$19:$O$41,3,0)/'4. Billing Determinants'!$D$41*$D24))))),0)</f>
        <v>0</v>
      </c>
      <c r="I24" s="75">
        <f>IFERROR(IF(I$4="",0,IF($E24="kWh",VLOOKUP(I$4,'4. Billing Determinants'!$B$19:$O$41,4,0)/'4. Billing Determinants'!$E$41*$D24,IF($E24="kW",VLOOKUP(I$4,'4. Billing Determinants'!$B$19:$O$41,5,0)/'4. Billing Determinants'!$F$41*$D24,IF($E24="Non-RPP kWh",VLOOKUP(I$4,'4. Billing Determinants'!$B$19:$O$41,6,0)/'4. Billing Determinants'!$G$41*$D24,IF($E24="Distribution Rev.",VLOOKUP(I$4,'4. Billing Determinants'!$B$19:$O$41,8,0)/'4. Billing Determinants'!$I$41*$D24, VLOOKUP(I$4,'4. Billing Determinants'!$B$19:$O$41,3,0)/'4. Billing Determinants'!$D$41*$D24))))),0)</f>
        <v>0</v>
      </c>
      <c r="J24" s="75">
        <f>IFERROR(IF(J$4="",0,IF($E24="kWh",VLOOKUP(J$4,'4. Billing Determinants'!$B$19:$O$41,4,0)/'4. Billing Determinants'!$E$41*$D24,IF($E24="kW",VLOOKUP(J$4,'4. Billing Determinants'!$B$19:$O$41,5,0)/'4. Billing Determinants'!$F$41*$D24,IF($E24="Non-RPP kWh",VLOOKUP(J$4,'4. Billing Determinants'!$B$19:$O$41,6,0)/'4. Billing Determinants'!$G$41*$D24,IF($E24="Distribution Rev.",VLOOKUP(J$4,'4. Billing Determinants'!$B$19:$O$41,8,0)/'4. Billing Determinants'!$I$41*$D24, VLOOKUP(J$4,'4. Billing Determinants'!$B$19:$O$41,3,0)/'4. Billing Determinants'!$D$41*$D24))))),0)</f>
        <v>0</v>
      </c>
      <c r="K24" s="75">
        <f>IFERROR(IF(K$4="",0,IF($E24="kWh",VLOOKUP(K$4,'4. Billing Determinants'!$B$19:$O$41,4,0)/'4. Billing Determinants'!$E$41*$D24,IF($E24="kW",VLOOKUP(K$4,'4. Billing Determinants'!$B$19:$O$41,5,0)/'4. Billing Determinants'!$F$41*$D24,IF($E24="Non-RPP kWh",VLOOKUP(K$4,'4. Billing Determinants'!$B$19:$O$41,6,0)/'4. Billing Determinants'!$G$41*$D24,IF($E24="Distribution Rev.",VLOOKUP(K$4,'4. Billing Determinants'!$B$19:$O$41,8,0)/'4. Billing Determinants'!$I$41*$D24, VLOOKUP(K$4,'4. Billing Determinants'!$B$19:$O$41,3,0)/'4. Billing Determinants'!$D$41*$D24))))),0)</f>
        <v>0</v>
      </c>
      <c r="L24" s="75">
        <f>IFERROR(IF(L$4="",0,IF($E24="kWh",VLOOKUP(L$4,'4. Billing Determinants'!$B$19:$O$41,4,0)/'4. Billing Determinants'!$E$41*$D24,IF($E24="kW",VLOOKUP(L$4,'4. Billing Determinants'!$B$19:$O$41,5,0)/'4. Billing Determinants'!$F$41*$D24,IF($E24="Non-RPP kWh",VLOOKUP(L$4,'4. Billing Determinants'!$B$19:$O$41,6,0)/'4. Billing Determinants'!$G$41*$D24,IF($E24="Distribution Rev.",VLOOKUP(L$4,'4. Billing Determinants'!$B$19:$O$41,8,0)/'4. Billing Determinants'!$I$41*$D24, VLOOKUP(L$4,'4. Billing Determinants'!$B$19:$O$41,3,0)/'4. Billing Determinants'!$D$41*$D24))))),0)</f>
        <v>0</v>
      </c>
      <c r="M24" s="75">
        <f>IFERROR(IF(M$4="",0,IF($E24="kWh",VLOOKUP(M$4,'4. Billing Determinants'!$B$19:$O$41,4,0)/'4. Billing Determinants'!$E$41*$D24,IF($E24="kW",VLOOKUP(M$4,'4. Billing Determinants'!$B$19:$O$41,5,0)/'4. Billing Determinants'!$F$41*$D24,IF($E24="Non-RPP kWh",VLOOKUP(M$4,'4. Billing Determinants'!$B$19:$O$41,6,0)/'4. Billing Determinants'!$G$41*$D24,IF($E24="Distribution Rev.",VLOOKUP(M$4,'4. Billing Determinants'!$B$19:$O$41,8,0)/'4. Billing Determinants'!$I$41*$D24, VLOOKUP(M$4,'4. Billing Determinants'!$B$19:$O$41,3,0)/'4. Billing Determinants'!$D$41*$D24))))),0)</f>
        <v>0</v>
      </c>
      <c r="N24" s="75">
        <f>IFERROR(IF(N$4="",0,IF($E24="kWh",VLOOKUP(N$4,'4. Billing Determinants'!$B$19:$O$41,4,0)/'4. Billing Determinants'!$E$41*$D24,IF($E24="kW",VLOOKUP(N$4,'4. Billing Determinants'!$B$19:$O$41,5,0)/'4. Billing Determinants'!$F$41*$D24,IF($E24="Non-RPP kWh",VLOOKUP(N$4,'4. Billing Determinants'!$B$19:$O$41,6,0)/'4. Billing Determinants'!$G$41*$D24,IF($E24="Distribution Rev.",VLOOKUP(N$4,'4. Billing Determinants'!$B$19:$O$41,8,0)/'4. Billing Determinants'!$I$41*$D24, VLOOKUP(N$4,'4. Billing Determinants'!$B$19:$O$41,3,0)/'4. Billing Determinants'!$D$41*$D24))))),0)</f>
        <v>0</v>
      </c>
      <c r="O24" s="75">
        <f>IFERROR(IF(O$4="",0,IF($E24="kWh",VLOOKUP(O$4,'4. Billing Determinants'!$B$19:$O$41,4,0)/'4. Billing Determinants'!$E$41*$D24,IF($E24="kW",VLOOKUP(O$4,'4. Billing Determinants'!$B$19:$O$41,5,0)/'4. Billing Determinants'!$F$41*$D24,IF($E24="Non-RPP kWh",VLOOKUP(O$4,'4. Billing Determinants'!$B$19:$O$41,6,0)/'4. Billing Determinants'!$G$41*$D24,IF($E24="Distribution Rev.",VLOOKUP(O$4,'4. Billing Determinants'!$B$19:$O$41,8,0)/'4. Billing Determinants'!$I$41*$D24, VLOOKUP(O$4,'4. Billing Determinants'!$B$19:$O$41,3,0)/'4. Billing Determinants'!$D$41*$D24))))),0)</f>
        <v>0</v>
      </c>
      <c r="P24" s="75">
        <f>IFERROR(IF(P$4="",0,IF($E24="kWh",VLOOKUP(P$4,'4. Billing Determinants'!$B$19:$O$41,4,0)/'4. Billing Determinants'!$E$41*$D24,IF($E24="kW",VLOOKUP(P$4,'4. Billing Determinants'!$B$19:$O$41,5,0)/'4. Billing Determinants'!$F$41*$D24,IF($E24="Non-RPP kWh",VLOOKUP(P$4,'4. Billing Determinants'!$B$19:$O$41,6,0)/'4. Billing Determinants'!$G$41*$D24,IF($E24="Distribution Rev.",VLOOKUP(P$4,'4. Billing Determinants'!$B$19:$O$41,8,0)/'4. Billing Determinants'!$I$41*$D24, VLOOKUP(P$4,'4. Billing Determinants'!$B$19:$O$41,3,0)/'4. Billing Determinants'!$D$41*$D24))))),0)</f>
        <v>0</v>
      </c>
      <c r="Q24" s="75">
        <f>IFERROR(IF(Q$4="",0,IF($E24="kWh",VLOOKUP(Q$4,'4. Billing Determinants'!$B$19:$O$41,4,0)/'4. Billing Determinants'!$E$41*$D24,IF($E24="kW",VLOOKUP(Q$4,'4. Billing Determinants'!$B$19:$O$41,5,0)/'4. Billing Determinants'!$F$41*$D24,IF($E24="Non-RPP kWh",VLOOKUP(Q$4,'4. Billing Determinants'!$B$19:$O$41,6,0)/'4. Billing Determinants'!$G$41*$D24,IF($E24="Distribution Rev.",VLOOKUP(Q$4,'4. Billing Determinants'!$B$19:$O$41,8,0)/'4. Billing Determinants'!$I$41*$D24, VLOOKUP(Q$4,'4. Billing Determinants'!$B$19:$O$41,3,0)/'4. Billing Determinants'!$D$41*$D24))))),0)</f>
        <v>0</v>
      </c>
      <c r="R24" s="75">
        <f>IFERROR(IF(R$4="",0,IF($E24="kWh",VLOOKUP(R$4,'4. Billing Determinants'!$B$19:$O$41,4,0)/'4. Billing Determinants'!$E$41*$D24,IF($E24="kW",VLOOKUP(R$4,'4. Billing Determinants'!$B$19:$O$41,5,0)/'4. Billing Determinants'!$F$41*$D24,IF($E24="Non-RPP kWh",VLOOKUP(R$4,'4. Billing Determinants'!$B$19:$O$41,6,0)/'4. Billing Determinants'!$G$41*$D24,IF($E24="Distribution Rev.",VLOOKUP(R$4,'4. Billing Determinants'!$B$19:$O$41,8,0)/'4. Billing Determinants'!$I$41*$D24, VLOOKUP(R$4,'4. Billing Determinants'!$B$19:$O$41,3,0)/'4. Billing Determinants'!$D$41*$D24))))),0)</f>
        <v>0</v>
      </c>
      <c r="S24" s="75">
        <f>IFERROR(IF(S$4="",0,IF($E24="kWh",VLOOKUP(S$4,'4. Billing Determinants'!$B$19:$O$41,4,0)/'4. Billing Determinants'!$E$41*$D24,IF($E24="kW",VLOOKUP(S$4,'4. Billing Determinants'!$B$19:$O$41,5,0)/'4. Billing Determinants'!$F$41*$D24,IF($E24="Non-RPP kWh",VLOOKUP(S$4,'4. Billing Determinants'!$B$19:$O$41,6,0)/'4. Billing Determinants'!$G$41*$D24,IF($E24="Distribution Rev.",VLOOKUP(S$4,'4. Billing Determinants'!$B$19:$O$41,8,0)/'4. Billing Determinants'!$I$41*$D24, VLOOKUP(S$4,'4. Billing Determinants'!$B$19:$O$41,3,0)/'4. Billing Determinants'!$D$41*$D24))))),0)</f>
        <v>0</v>
      </c>
      <c r="T24" s="75">
        <f>IFERROR(IF(T$4="",0,IF($E24="kWh",VLOOKUP(T$4,'4. Billing Determinants'!$B$19:$O$41,4,0)/'4. Billing Determinants'!$E$41*$D24,IF($E24="kW",VLOOKUP(T$4,'4. Billing Determinants'!$B$19:$O$41,5,0)/'4. Billing Determinants'!$F$41*$D24,IF($E24="Non-RPP kWh",VLOOKUP(T$4,'4. Billing Determinants'!$B$19:$O$41,6,0)/'4. Billing Determinants'!$G$41*$D24,IF($E24="Distribution Rev.",VLOOKUP(T$4,'4. Billing Determinants'!$B$19:$O$41,8,0)/'4. Billing Determinants'!$I$41*$D24, VLOOKUP(T$4,'4. Billing Determinants'!$B$19:$O$41,3,0)/'4. Billing Determinants'!$D$41*$D24))))),0)</f>
        <v>0</v>
      </c>
      <c r="U24" s="75">
        <f>IFERROR(IF(U$4="",0,IF($E24="kWh",VLOOKUP(U$4,'4. Billing Determinants'!$B$19:$O$41,4,0)/'4. Billing Determinants'!$E$41*$D24,IF($E24="kW",VLOOKUP(U$4,'4. Billing Determinants'!$B$19:$O$41,5,0)/'4. Billing Determinants'!$F$41*$D24,IF($E24="Non-RPP kWh",VLOOKUP(U$4,'4. Billing Determinants'!$B$19:$O$41,6,0)/'4. Billing Determinants'!$G$41*$D24,IF($E24="Distribution Rev.",VLOOKUP(U$4,'4. Billing Determinants'!$B$19:$O$41,8,0)/'4. Billing Determinants'!$I$41*$D24, VLOOKUP(U$4,'4. Billing Determinants'!$B$19:$O$41,3,0)/'4. Billing Determinants'!$D$41*$D24))))),0)</f>
        <v>0</v>
      </c>
      <c r="V24" s="75">
        <f>IFERROR(IF(V$4="",0,IF($E24="kWh",VLOOKUP(V$4,'4. Billing Determinants'!$B$19:$O$41,4,0)/'4. Billing Determinants'!$E$41*$D24,IF($E24="kW",VLOOKUP(V$4,'4. Billing Determinants'!$B$19:$O$41,5,0)/'4. Billing Determinants'!$F$41*$D24,IF($E24="Non-RPP kWh",VLOOKUP(V$4,'4. Billing Determinants'!$B$19:$O$41,6,0)/'4. Billing Determinants'!$G$41*$D24,IF($E24="Distribution Rev.",VLOOKUP(V$4,'4. Billing Determinants'!$B$19:$O$41,8,0)/'4. Billing Determinants'!$I$41*$D24, VLOOKUP(V$4,'4. Billing Determinants'!$B$19:$O$41,3,0)/'4. Billing Determinants'!$D$41*$D24))))),0)</f>
        <v>0</v>
      </c>
      <c r="W24" s="75">
        <f>IFERROR(IF(W$4="",0,IF($E24="kWh",VLOOKUP(W$4,'4. Billing Determinants'!$B$19:$O$41,4,0)/'4. Billing Determinants'!$E$41*$D24,IF($E24="kW",VLOOKUP(W$4,'4. Billing Determinants'!$B$19:$O$41,5,0)/'4. Billing Determinants'!$F$41*$D24,IF($E24="Non-RPP kWh",VLOOKUP(W$4,'4. Billing Determinants'!$B$19:$O$41,6,0)/'4. Billing Determinants'!$G$41*$D24,IF($E24="Distribution Rev.",VLOOKUP(W$4,'4. Billing Determinants'!$B$19:$O$41,8,0)/'4. Billing Determinants'!$I$41*$D24, VLOOKUP(W$4,'4. Billing Determinants'!$B$19:$O$41,3,0)/'4. Billing Determinants'!$D$41*$D24))))),0)</f>
        <v>0</v>
      </c>
      <c r="X24" s="75">
        <f>IFERROR(IF(X$4="",0,IF($E24="kWh",VLOOKUP(X$4,'4. Billing Determinants'!$B$19:$O$41,4,0)/'4. Billing Determinants'!$E$41*$D24,IF($E24="kW",VLOOKUP(X$4,'4. Billing Determinants'!$B$19:$O$41,5,0)/'4. Billing Determinants'!$F$41*$D24,IF($E24="Non-RPP kWh",VLOOKUP(X$4,'4. Billing Determinants'!$B$19:$O$41,6,0)/'4. Billing Determinants'!$G$41*$D24,IF($E24="Distribution Rev.",VLOOKUP(X$4,'4. Billing Determinants'!$B$19:$O$41,8,0)/'4. Billing Determinants'!$I$41*$D24, VLOOKUP(X$4,'4. Billing Determinants'!$B$19:$O$41,3,0)/'4. Billing Determinants'!$D$41*$D24))))),0)</f>
        <v>0</v>
      </c>
      <c r="Y24" s="75">
        <f>IFERROR(IF(Y$4="",0,IF($E24="kWh",VLOOKUP(Y$4,'4. Billing Determinants'!$B$19:$O$41,4,0)/'4. Billing Determinants'!$E$41*$D24,IF($E24="kW",VLOOKUP(Y$4,'4. Billing Determinants'!$B$19:$O$41,5,0)/'4. Billing Determinants'!$F$41*$D24,IF($E24="Non-RPP kWh",VLOOKUP(Y$4,'4. Billing Determinants'!$B$19:$O$41,6,0)/'4. Billing Determinants'!$G$41*$D24,IF($E24="Distribution Rev.",VLOOKUP(Y$4,'4. Billing Determinants'!$B$19:$O$41,8,0)/'4. Billing Determinants'!$I$41*$D24, VLOOKUP(Y$4,'4. Billing Determinants'!$B$19:$O$41,3,0)/'4. Billing Determinants'!$D$41*$D24))))),0)</f>
        <v>0</v>
      </c>
    </row>
    <row r="25" spans="2:25" x14ac:dyDescent="0.2">
      <c r="B25" s="73" t="s">
        <v>4</v>
      </c>
      <c r="C25" s="74">
        <v>1518</v>
      </c>
      <c r="D25" s="75">
        <f>'2. 2013 Continuity Schedule'!CP48</f>
        <v>83387.54239599999</v>
      </c>
      <c r="E25" s="208" t="s">
        <v>156</v>
      </c>
      <c r="F25" s="75">
        <f>IFERROR(IF(F$4="",0,IF($E25="kWh",VLOOKUP(F$4,'4. Billing Determinants'!$B$19:$O$41,4,0)/'4. Billing Determinants'!$E$41*$D25,IF($E25="kW",VLOOKUP(F$4,'4. Billing Determinants'!$B$19:$O$41,5,0)/'4. Billing Determinants'!$F$41*$D25,IF($E25="Non-RPP kWh",VLOOKUP(F$4,'4. Billing Determinants'!$B$19:$O$41,6,0)/'4. Billing Determinants'!$G$41*$D25,IF($E25="Distribution Rev.",VLOOKUP(F$4,'4. Billing Determinants'!$B$19:$O$41,8,0)/'4. Billing Determinants'!$I$41*$D25, VLOOKUP(F$4,'4. Billing Determinants'!$B$19:$O$41,3,0)/'4. Billing Determinants'!$D$41*$D25))))),0)</f>
        <v>69215.517903083513</v>
      </c>
      <c r="G25" s="75">
        <f>IFERROR(IF(G$4="",0,IF($E25="kWh",VLOOKUP(G$4,'4. Billing Determinants'!$B$19:$O$41,4,0)/'4. Billing Determinants'!$E$41*$D25,IF($E25="kW",VLOOKUP(G$4,'4. Billing Determinants'!$B$19:$O$41,5,0)/'4. Billing Determinants'!$F$41*$D25,IF($E25="Non-RPP kWh",VLOOKUP(G$4,'4. Billing Determinants'!$B$19:$O$41,6,0)/'4. Billing Determinants'!$G$41*$D25,IF($E25="Distribution Rev.",VLOOKUP(G$4,'4. Billing Determinants'!$B$19:$O$41,8,0)/'4. Billing Determinants'!$I$41*$D25, VLOOKUP(G$4,'4. Billing Determinants'!$B$19:$O$41,3,0)/'4. Billing Determinants'!$D$41*$D25))))),0)</f>
        <v>12710.153771584122</v>
      </c>
      <c r="H25" s="75">
        <f>IFERROR(IF(H$4="",0,IF($E25="kWh",VLOOKUP(H$4,'4. Billing Determinants'!$B$19:$O$41,4,0)/'4. Billing Determinants'!$E$41*$D25,IF($E25="kW",VLOOKUP(H$4,'4. Billing Determinants'!$B$19:$O$41,5,0)/'4. Billing Determinants'!$F$41*$D25,IF($E25="Non-RPP kWh",VLOOKUP(H$4,'4. Billing Determinants'!$B$19:$O$41,6,0)/'4. Billing Determinants'!$G$41*$D25,IF($E25="Distribution Rev.",VLOOKUP(H$4,'4. Billing Determinants'!$B$19:$O$41,8,0)/'4. Billing Determinants'!$I$41*$D25, VLOOKUP(H$4,'4. Billing Determinants'!$B$19:$O$41,3,0)/'4. Billing Determinants'!$D$41*$D25))))),0)</f>
        <v>1187.7699610825418</v>
      </c>
      <c r="I25" s="75">
        <f>IFERROR(IF(I$4="",0,IF($E25="kWh",VLOOKUP(I$4,'4. Billing Determinants'!$B$19:$O$41,4,0)/'4. Billing Determinants'!$E$41*$D25,IF($E25="kW",VLOOKUP(I$4,'4. Billing Determinants'!$B$19:$O$41,5,0)/'4. Billing Determinants'!$F$41*$D25,IF($E25="Non-RPP kWh",VLOOKUP(I$4,'4. Billing Determinants'!$B$19:$O$41,6,0)/'4. Billing Determinants'!$G$41*$D25,IF($E25="Distribution Rev.",VLOOKUP(I$4,'4. Billing Determinants'!$B$19:$O$41,8,0)/'4. Billing Determinants'!$I$41*$D25, VLOOKUP(I$4,'4. Billing Determinants'!$B$19:$O$41,3,0)/'4. Billing Determinants'!$D$41*$D25))))),0)</f>
        <v>223.34136020355487</v>
      </c>
      <c r="J25" s="75">
        <f>IFERROR(IF(J$4="",0,IF($E25="kWh",VLOOKUP(J$4,'4. Billing Determinants'!$B$19:$O$41,4,0)/'4. Billing Determinants'!$E$41*$D25,IF($E25="kW",VLOOKUP(J$4,'4. Billing Determinants'!$B$19:$O$41,5,0)/'4. Billing Determinants'!$F$41*$D25,IF($E25="Non-RPP kWh",VLOOKUP(J$4,'4. Billing Determinants'!$B$19:$O$41,6,0)/'4. Billing Determinants'!$G$41*$D25,IF($E25="Distribution Rev.",VLOOKUP(J$4,'4. Billing Determinants'!$B$19:$O$41,8,0)/'4. Billing Determinants'!$I$41*$D25, VLOOKUP(J$4,'4. Billing Determinants'!$B$19:$O$41,3,0)/'4. Billing Determinants'!$D$41*$D25))))),0)</f>
        <v>50.759400046262478</v>
      </c>
      <c r="K25" s="75">
        <f>IFERROR(IF(K$4="",0,IF($E25="kWh",VLOOKUP(K$4,'4. Billing Determinants'!$B$19:$O$41,4,0)/'4. Billing Determinants'!$E$41*$D25,IF($E25="kW",VLOOKUP(K$4,'4. Billing Determinants'!$B$19:$O$41,5,0)/'4. Billing Determinants'!$F$41*$D25,IF($E25="Non-RPP kWh",VLOOKUP(K$4,'4. Billing Determinants'!$B$19:$O$41,6,0)/'4. Billing Determinants'!$G$41*$D25,IF($E25="Distribution Rev.",VLOOKUP(K$4,'4. Billing Determinants'!$B$19:$O$41,8,0)/'4. Billing Determinants'!$I$41*$D25, VLOOKUP(K$4,'4. Billing Determinants'!$B$19:$O$41,3,0)/'4. Billing Determinants'!$D$41*$D25))))),0)</f>
        <v>0</v>
      </c>
      <c r="L25" s="75">
        <f>IFERROR(IF(L$4="",0,IF($E25="kWh",VLOOKUP(L$4,'4. Billing Determinants'!$B$19:$O$41,4,0)/'4. Billing Determinants'!$E$41*$D25,IF($E25="kW",VLOOKUP(L$4,'4. Billing Determinants'!$B$19:$O$41,5,0)/'4. Billing Determinants'!$F$41*$D25,IF($E25="Non-RPP kWh",VLOOKUP(L$4,'4. Billing Determinants'!$B$19:$O$41,6,0)/'4. Billing Determinants'!$G$41*$D25,IF($E25="Distribution Rev.",VLOOKUP(L$4,'4. Billing Determinants'!$B$19:$O$41,8,0)/'4. Billing Determinants'!$I$41*$D25, VLOOKUP(L$4,'4. Billing Determinants'!$B$19:$O$41,3,0)/'4. Billing Determinants'!$D$41*$D25))))),0)</f>
        <v>0</v>
      </c>
      <c r="M25" s="75">
        <f>IFERROR(IF(M$4="",0,IF($E25="kWh",VLOOKUP(M$4,'4. Billing Determinants'!$B$19:$O$41,4,0)/'4. Billing Determinants'!$E$41*$D25,IF($E25="kW",VLOOKUP(M$4,'4. Billing Determinants'!$B$19:$O$41,5,0)/'4. Billing Determinants'!$F$41*$D25,IF($E25="Non-RPP kWh",VLOOKUP(M$4,'4. Billing Determinants'!$B$19:$O$41,6,0)/'4. Billing Determinants'!$G$41*$D25,IF($E25="Distribution Rev.",VLOOKUP(M$4,'4. Billing Determinants'!$B$19:$O$41,8,0)/'4. Billing Determinants'!$I$41*$D25, VLOOKUP(M$4,'4. Billing Determinants'!$B$19:$O$41,3,0)/'4. Billing Determinants'!$D$41*$D25))))),0)</f>
        <v>0</v>
      </c>
      <c r="N25" s="75">
        <f>IFERROR(IF(N$4="",0,IF($E25="kWh",VLOOKUP(N$4,'4. Billing Determinants'!$B$19:$O$41,4,0)/'4. Billing Determinants'!$E$41*$D25,IF($E25="kW",VLOOKUP(N$4,'4. Billing Determinants'!$B$19:$O$41,5,0)/'4. Billing Determinants'!$F$41*$D25,IF($E25="Non-RPP kWh",VLOOKUP(N$4,'4. Billing Determinants'!$B$19:$O$41,6,0)/'4. Billing Determinants'!$G$41*$D25,IF($E25="Distribution Rev.",VLOOKUP(N$4,'4. Billing Determinants'!$B$19:$O$41,8,0)/'4. Billing Determinants'!$I$41*$D25, VLOOKUP(N$4,'4. Billing Determinants'!$B$19:$O$41,3,0)/'4. Billing Determinants'!$D$41*$D25))))),0)</f>
        <v>0</v>
      </c>
      <c r="O25" s="75">
        <f>IFERROR(IF(O$4="",0,IF($E25="kWh",VLOOKUP(O$4,'4. Billing Determinants'!$B$19:$O$41,4,0)/'4. Billing Determinants'!$E$41*$D25,IF($E25="kW",VLOOKUP(O$4,'4. Billing Determinants'!$B$19:$O$41,5,0)/'4. Billing Determinants'!$F$41*$D25,IF($E25="Non-RPP kWh",VLOOKUP(O$4,'4. Billing Determinants'!$B$19:$O$41,6,0)/'4. Billing Determinants'!$G$41*$D25,IF($E25="Distribution Rev.",VLOOKUP(O$4,'4. Billing Determinants'!$B$19:$O$41,8,0)/'4. Billing Determinants'!$I$41*$D25, VLOOKUP(O$4,'4. Billing Determinants'!$B$19:$O$41,3,0)/'4. Billing Determinants'!$D$41*$D25))))),0)</f>
        <v>0</v>
      </c>
      <c r="P25" s="75">
        <f>IFERROR(IF(P$4="",0,IF($E25="kWh",VLOOKUP(P$4,'4. Billing Determinants'!$B$19:$O$41,4,0)/'4. Billing Determinants'!$E$41*$D25,IF($E25="kW",VLOOKUP(P$4,'4. Billing Determinants'!$B$19:$O$41,5,0)/'4. Billing Determinants'!$F$41*$D25,IF($E25="Non-RPP kWh",VLOOKUP(P$4,'4. Billing Determinants'!$B$19:$O$41,6,0)/'4. Billing Determinants'!$G$41*$D25,IF($E25="Distribution Rev.",VLOOKUP(P$4,'4. Billing Determinants'!$B$19:$O$41,8,0)/'4. Billing Determinants'!$I$41*$D25, VLOOKUP(P$4,'4. Billing Determinants'!$B$19:$O$41,3,0)/'4. Billing Determinants'!$D$41*$D25))))),0)</f>
        <v>0</v>
      </c>
      <c r="Q25" s="75">
        <f>IFERROR(IF(Q$4="",0,IF($E25="kWh",VLOOKUP(Q$4,'4. Billing Determinants'!$B$19:$O$41,4,0)/'4. Billing Determinants'!$E$41*$D25,IF($E25="kW",VLOOKUP(Q$4,'4. Billing Determinants'!$B$19:$O$41,5,0)/'4. Billing Determinants'!$F$41*$D25,IF($E25="Non-RPP kWh",VLOOKUP(Q$4,'4. Billing Determinants'!$B$19:$O$41,6,0)/'4. Billing Determinants'!$G$41*$D25,IF($E25="Distribution Rev.",VLOOKUP(Q$4,'4. Billing Determinants'!$B$19:$O$41,8,0)/'4. Billing Determinants'!$I$41*$D25, VLOOKUP(Q$4,'4. Billing Determinants'!$B$19:$O$41,3,0)/'4. Billing Determinants'!$D$41*$D25))))),0)</f>
        <v>0</v>
      </c>
      <c r="R25" s="75">
        <f>IFERROR(IF(R$4="",0,IF($E25="kWh",VLOOKUP(R$4,'4. Billing Determinants'!$B$19:$O$41,4,0)/'4. Billing Determinants'!$E$41*$D25,IF($E25="kW",VLOOKUP(R$4,'4. Billing Determinants'!$B$19:$O$41,5,0)/'4. Billing Determinants'!$F$41*$D25,IF($E25="Non-RPP kWh",VLOOKUP(R$4,'4. Billing Determinants'!$B$19:$O$41,6,0)/'4. Billing Determinants'!$G$41*$D25,IF($E25="Distribution Rev.",VLOOKUP(R$4,'4. Billing Determinants'!$B$19:$O$41,8,0)/'4. Billing Determinants'!$I$41*$D25, VLOOKUP(R$4,'4. Billing Determinants'!$B$19:$O$41,3,0)/'4. Billing Determinants'!$D$41*$D25))))),0)</f>
        <v>0</v>
      </c>
      <c r="S25" s="75">
        <f>IFERROR(IF(S$4="",0,IF($E25="kWh",VLOOKUP(S$4,'4. Billing Determinants'!$B$19:$O$41,4,0)/'4. Billing Determinants'!$E$41*$D25,IF($E25="kW",VLOOKUP(S$4,'4. Billing Determinants'!$B$19:$O$41,5,0)/'4. Billing Determinants'!$F$41*$D25,IF($E25="Non-RPP kWh",VLOOKUP(S$4,'4. Billing Determinants'!$B$19:$O$41,6,0)/'4. Billing Determinants'!$G$41*$D25,IF($E25="Distribution Rev.",VLOOKUP(S$4,'4. Billing Determinants'!$B$19:$O$41,8,0)/'4. Billing Determinants'!$I$41*$D25, VLOOKUP(S$4,'4. Billing Determinants'!$B$19:$O$41,3,0)/'4. Billing Determinants'!$D$41*$D25))))),0)</f>
        <v>0</v>
      </c>
      <c r="T25" s="75">
        <f>IFERROR(IF(T$4="",0,IF($E25="kWh",VLOOKUP(T$4,'4. Billing Determinants'!$B$19:$O$41,4,0)/'4. Billing Determinants'!$E$41*$D25,IF($E25="kW",VLOOKUP(T$4,'4. Billing Determinants'!$B$19:$O$41,5,0)/'4. Billing Determinants'!$F$41*$D25,IF($E25="Non-RPP kWh",VLOOKUP(T$4,'4. Billing Determinants'!$B$19:$O$41,6,0)/'4. Billing Determinants'!$G$41*$D25,IF($E25="Distribution Rev.",VLOOKUP(T$4,'4. Billing Determinants'!$B$19:$O$41,8,0)/'4. Billing Determinants'!$I$41*$D25, VLOOKUP(T$4,'4. Billing Determinants'!$B$19:$O$41,3,0)/'4. Billing Determinants'!$D$41*$D25))))),0)</f>
        <v>0</v>
      </c>
      <c r="U25" s="75">
        <f>IFERROR(IF(U$4="",0,IF($E25="kWh",VLOOKUP(U$4,'4. Billing Determinants'!$B$19:$O$41,4,0)/'4. Billing Determinants'!$E$41*$D25,IF($E25="kW",VLOOKUP(U$4,'4. Billing Determinants'!$B$19:$O$41,5,0)/'4. Billing Determinants'!$F$41*$D25,IF($E25="Non-RPP kWh",VLOOKUP(U$4,'4. Billing Determinants'!$B$19:$O$41,6,0)/'4. Billing Determinants'!$G$41*$D25,IF($E25="Distribution Rev.",VLOOKUP(U$4,'4. Billing Determinants'!$B$19:$O$41,8,0)/'4. Billing Determinants'!$I$41*$D25, VLOOKUP(U$4,'4. Billing Determinants'!$B$19:$O$41,3,0)/'4. Billing Determinants'!$D$41*$D25))))),0)</f>
        <v>0</v>
      </c>
      <c r="V25" s="75">
        <f>IFERROR(IF(V$4="",0,IF($E25="kWh",VLOOKUP(V$4,'4. Billing Determinants'!$B$19:$O$41,4,0)/'4. Billing Determinants'!$E$41*$D25,IF($E25="kW",VLOOKUP(V$4,'4. Billing Determinants'!$B$19:$O$41,5,0)/'4. Billing Determinants'!$F$41*$D25,IF($E25="Non-RPP kWh",VLOOKUP(V$4,'4. Billing Determinants'!$B$19:$O$41,6,0)/'4. Billing Determinants'!$G$41*$D25,IF($E25="Distribution Rev.",VLOOKUP(V$4,'4. Billing Determinants'!$B$19:$O$41,8,0)/'4. Billing Determinants'!$I$41*$D25, VLOOKUP(V$4,'4. Billing Determinants'!$B$19:$O$41,3,0)/'4. Billing Determinants'!$D$41*$D25))))),0)</f>
        <v>0</v>
      </c>
      <c r="W25" s="75">
        <f>IFERROR(IF(W$4="",0,IF($E25="kWh",VLOOKUP(W$4,'4. Billing Determinants'!$B$19:$O$41,4,0)/'4. Billing Determinants'!$E$41*$D25,IF($E25="kW",VLOOKUP(W$4,'4. Billing Determinants'!$B$19:$O$41,5,0)/'4. Billing Determinants'!$F$41*$D25,IF($E25="Non-RPP kWh",VLOOKUP(W$4,'4. Billing Determinants'!$B$19:$O$41,6,0)/'4. Billing Determinants'!$G$41*$D25,IF($E25="Distribution Rev.",VLOOKUP(W$4,'4. Billing Determinants'!$B$19:$O$41,8,0)/'4. Billing Determinants'!$I$41*$D25, VLOOKUP(W$4,'4. Billing Determinants'!$B$19:$O$41,3,0)/'4. Billing Determinants'!$D$41*$D25))))),0)</f>
        <v>0</v>
      </c>
      <c r="X25" s="75">
        <f>IFERROR(IF(X$4="",0,IF($E25="kWh",VLOOKUP(X$4,'4. Billing Determinants'!$B$19:$O$41,4,0)/'4. Billing Determinants'!$E$41*$D25,IF($E25="kW",VLOOKUP(X$4,'4. Billing Determinants'!$B$19:$O$41,5,0)/'4. Billing Determinants'!$F$41*$D25,IF($E25="Non-RPP kWh",VLOOKUP(X$4,'4. Billing Determinants'!$B$19:$O$41,6,0)/'4. Billing Determinants'!$G$41*$D25,IF($E25="Distribution Rev.",VLOOKUP(X$4,'4. Billing Determinants'!$B$19:$O$41,8,0)/'4. Billing Determinants'!$I$41*$D25, VLOOKUP(X$4,'4. Billing Determinants'!$B$19:$O$41,3,0)/'4. Billing Determinants'!$D$41*$D25))))),0)</f>
        <v>0</v>
      </c>
      <c r="Y25" s="75">
        <f>IFERROR(IF(Y$4="",0,IF($E25="kWh",VLOOKUP(Y$4,'4. Billing Determinants'!$B$19:$O$41,4,0)/'4. Billing Determinants'!$E$41*$D25,IF($E25="kW",VLOOKUP(Y$4,'4. Billing Determinants'!$B$19:$O$41,5,0)/'4. Billing Determinants'!$F$41*$D25,IF($E25="Non-RPP kWh",VLOOKUP(Y$4,'4. Billing Determinants'!$B$19:$O$41,6,0)/'4. Billing Determinants'!$G$41*$D25,IF($E25="Distribution Rev.",VLOOKUP(Y$4,'4. Billing Determinants'!$B$19:$O$41,8,0)/'4. Billing Determinants'!$I$41*$D25, VLOOKUP(Y$4,'4. Billing Determinants'!$B$19:$O$41,3,0)/'4. Billing Determinants'!$D$41*$D25))))),0)</f>
        <v>0</v>
      </c>
    </row>
    <row r="26" spans="2:25" x14ac:dyDescent="0.2">
      <c r="B26" s="73" t="s">
        <v>17</v>
      </c>
      <c r="C26" s="74">
        <v>1525</v>
      </c>
      <c r="D26" s="75">
        <f>'2. 2013 Continuity Schedule'!CP49</f>
        <v>0</v>
      </c>
      <c r="E26" s="208"/>
      <c r="F26" s="75">
        <f>IFERROR(IF(F$4="",0,IF($E26="kWh",VLOOKUP(F$4,'4. Billing Determinants'!$B$19:$O$41,4,0)/'4. Billing Determinants'!$E$41*$D26,IF($E26="kW",VLOOKUP(F$4,'4. Billing Determinants'!$B$19:$O$41,5,0)/'4. Billing Determinants'!$F$41*$D26,IF($E26="Non-RPP kWh",VLOOKUP(F$4,'4. Billing Determinants'!$B$19:$O$41,6,0)/'4. Billing Determinants'!$G$41*$D26,IF($E26="Distribution Rev.",VLOOKUP(F$4,'4. Billing Determinants'!$B$19:$O$41,8,0)/'4. Billing Determinants'!$I$41*$D26, VLOOKUP(F$4,'4. Billing Determinants'!$B$19:$O$41,3,0)/'4. Billing Determinants'!$D$41*$D26))))),0)</f>
        <v>0</v>
      </c>
      <c r="G26" s="75">
        <f>IFERROR(IF(G$4="",0,IF($E26="kWh",VLOOKUP(G$4,'4. Billing Determinants'!$B$19:$O$41,4,0)/'4. Billing Determinants'!$E$41*$D26,IF($E26="kW",VLOOKUP(G$4,'4. Billing Determinants'!$B$19:$O$41,5,0)/'4. Billing Determinants'!$F$41*$D26,IF($E26="Non-RPP kWh",VLOOKUP(G$4,'4. Billing Determinants'!$B$19:$O$41,6,0)/'4. Billing Determinants'!$G$41*$D26,IF($E26="Distribution Rev.",VLOOKUP(G$4,'4. Billing Determinants'!$B$19:$O$41,8,0)/'4. Billing Determinants'!$I$41*$D26, VLOOKUP(G$4,'4. Billing Determinants'!$B$19:$O$41,3,0)/'4. Billing Determinants'!$D$41*$D26))))),0)</f>
        <v>0</v>
      </c>
      <c r="H26" s="75">
        <f>IFERROR(IF(H$4="",0,IF($E26="kWh",VLOOKUP(H$4,'4. Billing Determinants'!$B$19:$O$41,4,0)/'4. Billing Determinants'!$E$41*$D26,IF($E26="kW",VLOOKUP(H$4,'4. Billing Determinants'!$B$19:$O$41,5,0)/'4. Billing Determinants'!$F$41*$D26,IF($E26="Non-RPP kWh",VLOOKUP(H$4,'4. Billing Determinants'!$B$19:$O$41,6,0)/'4. Billing Determinants'!$G$41*$D26,IF($E26="Distribution Rev.",VLOOKUP(H$4,'4. Billing Determinants'!$B$19:$O$41,8,0)/'4. Billing Determinants'!$I$41*$D26, VLOOKUP(H$4,'4. Billing Determinants'!$B$19:$O$41,3,0)/'4. Billing Determinants'!$D$41*$D26))))),0)</f>
        <v>0</v>
      </c>
      <c r="I26" s="75">
        <f>IFERROR(IF(I$4="",0,IF($E26="kWh",VLOOKUP(I$4,'4. Billing Determinants'!$B$19:$O$41,4,0)/'4. Billing Determinants'!$E$41*$D26,IF($E26="kW",VLOOKUP(I$4,'4. Billing Determinants'!$B$19:$O$41,5,0)/'4. Billing Determinants'!$F$41*$D26,IF($E26="Non-RPP kWh",VLOOKUP(I$4,'4. Billing Determinants'!$B$19:$O$41,6,0)/'4. Billing Determinants'!$G$41*$D26,IF($E26="Distribution Rev.",VLOOKUP(I$4,'4. Billing Determinants'!$B$19:$O$41,8,0)/'4. Billing Determinants'!$I$41*$D26, VLOOKUP(I$4,'4. Billing Determinants'!$B$19:$O$41,3,0)/'4. Billing Determinants'!$D$41*$D26))))),0)</f>
        <v>0</v>
      </c>
      <c r="J26" s="75">
        <f>IFERROR(IF(J$4="",0,IF($E26="kWh",VLOOKUP(J$4,'4. Billing Determinants'!$B$19:$O$41,4,0)/'4. Billing Determinants'!$E$41*$D26,IF($E26="kW",VLOOKUP(J$4,'4. Billing Determinants'!$B$19:$O$41,5,0)/'4. Billing Determinants'!$F$41*$D26,IF($E26="Non-RPP kWh",VLOOKUP(J$4,'4. Billing Determinants'!$B$19:$O$41,6,0)/'4. Billing Determinants'!$G$41*$D26,IF($E26="Distribution Rev.",VLOOKUP(J$4,'4. Billing Determinants'!$B$19:$O$41,8,0)/'4. Billing Determinants'!$I$41*$D26, VLOOKUP(J$4,'4. Billing Determinants'!$B$19:$O$41,3,0)/'4. Billing Determinants'!$D$41*$D26))))),0)</f>
        <v>0</v>
      </c>
      <c r="K26" s="75">
        <f>IFERROR(IF(K$4="",0,IF($E26="kWh",VLOOKUP(K$4,'4. Billing Determinants'!$B$19:$O$41,4,0)/'4. Billing Determinants'!$E$41*$D26,IF($E26="kW",VLOOKUP(K$4,'4. Billing Determinants'!$B$19:$O$41,5,0)/'4. Billing Determinants'!$F$41*$D26,IF($E26="Non-RPP kWh",VLOOKUP(K$4,'4. Billing Determinants'!$B$19:$O$41,6,0)/'4. Billing Determinants'!$G$41*$D26,IF($E26="Distribution Rev.",VLOOKUP(K$4,'4. Billing Determinants'!$B$19:$O$41,8,0)/'4. Billing Determinants'!$I$41*$D26, VLOOKUP(K$4,'4. Billing Determinants'!$B$19:$O$41,3,0)/'4. Billing Determinants'!$D$41*$D26))))),0)</f>
        <v>0</v>
      </c>
      <c r="L26" s="75">
        <f>IFERROR(IF(L$4="",0,IF($E26="kWh",VLOOKUP(L$4,'4. Billing Determinants'!$B$19:$O$41,4,0)/'4. Billing Determinants'!$E$41*$D26,IF($E26="kW",VLOOKUP(L$4,'4. Billing Determinants'!$B$19:$O$41,5,0)/'4. Billing Determinants'!$F$41*$D26,IF($E26="Non-RPP kWh",VLOOKUP(L$4,'4. Billing Determinants'!$B$19:$O$41,6,0)/'4. Billing Determinants'!$G$41*$D26,IF($E26="Distribution Rev.",VLOOKUP(L$4,'4. Billing Determinants'!$B$19:$O$41,8,0)/'4. Billing Determinants'!$I$41*$D26, VLOOKUP(L$4,'4. Billing Determinants'!$B$19:$O$41,3,0)/'4. Billing Determinants'!$D$41*$D26))))),0)</f>
        <v>0</v>
      </c>
      <c r="M26" s="75">
        <f>IFERROR(IF(M$4="",0,IF($E26="kWh",VLOOKUP(M$4,'4. Billing Determinants'!$B$19:$O$41,4,0)/'4. Billing Determinants'!$E$41*$D26,IF($E26="kW",VLOOKUP(M$4,'4. Billing Determinants'!$B$19:$O$41,5,0)/'4. Billing Determinants'!$F$41*$D26,IF($E26="Non-RPP kWh",VLOOKUP(M$4,'4. Billing Determinants'!$B$19:$O$41,6,0)/'4. Billing Determinants'!$G$41*$D26,IF($E26="Distribution Rev.",VLOOKUP(M$4,'4. Billing Determinants'!$B$19:$O$41,8,0)/'4. Billing Determinants'!$I$41*$D26, VLOOKUP(M$4,'4. Billing Determinants'!$B$19:$O$41,3,0)/'4. Billing Determinants'!$D$41*$D26))))),0)</f>
        <v>0</v>
      </c>
      <c r="N26" s="75">
        <f>IFERROR(IF(N$4="",0,IF($E26="kWh",VLOOKUP(N$4,'4. Billing Determinants'!$B$19:$O$41,4,0)/'4. Billing Determinants'!$E$41*$D26,IF($E26="kW",VLOOKUP(N$4,'4. Billing Determinants'!$B$19:$O$41,5,0)/'4. Billing Determinants'!$F$41*$D26,IF($E26="Non-RPP kWh",VLOOKUP(N$4,'4. Billing Determinants'!$B$19:$O$41,6,0)/'4. Billing Determinants'!$G$41*$D26,IF($E26="Distribution Rev.",VLOOKUP(N$4,'4. Billing Determinants'!$B$19:$O$41,8,0)/'4. Billing Determinants'!$I$41*$D26, VLOOKUP(N$4,'4. Billing Determinants'!$B$19:$O$41,3,0)/'4. Billing Determinants'!$D$41*$D26))))),0)</f>
        <v>0</v>
      </c>
      <c r="O26" s="75">
        <f>IFERROR(IF(O$4="",0,IF($E26="kWh",VLOOKUP(O$4,'4. Billing Determinants'!$B$19:$O$41,4,0)/'4. Billing Determinants'!$E$41*$D26,IF($E26="kW",VLOOKUP(O$4,'4. Billing Determinants'!$B$19:$O$41,5,0)/'4. Billing Determinants'!$F$41*$D26,IF($E26="Non-RPP kWh",VLOOKUP(O$4,'4. Billing Determinants'!$B$19:$O$41,6,0)/'4. Billing Determinants'!$G$41*$D26,IF($E26="Distribution Rev.",VLOOKUP(O$4,'4. Billing Determinants'!$B$19:$O$41,8,0)/'4. Billing Determinants'!$I$41*$D26, VLOOKUP(O$4,'4. Billing Determinants'!$B$19:$O$41,3,0)/'4. Billing Determinants'!$D$41*$D26))))),0)</f>
        <v>0</v>
      </c>
      <c r="P26" s="75">
        <f>IFERROR(IF(P$4="",0,IF($E26="kWh",VLOOKUP(P$4,'4. Billing Determinants'!$B$19:$O$41,4,0)/'4. Billing Determinants'!$E$41*$D26,IF($E26="kW",VLOOKUP(P$4,'4. Billing Determinants'!$B$19:$O$41,5,0)/'4. Billing Determinants'!$F$41*$D26,IF($E26="Non-RPP kWh",VLOOKUP(P$4,'4. Billing Determinants'!$B$19:$O$41,6,0)/'4. Billing Determinants'!$G$41*$D26,IF($E26="Distribution Rev.",VLOOKUP(P$4,'4. Billing Determinants'!$B$19:$O$41,8,0)/'4. Billing Determinants'!$I$41*$D26, VLOOKUP(P$4,'4. Billing Determinants'!$B$19:$O$41,3,0)/'4. Billing Determinants'!$D$41*$D26))))),0)</f>
        <v>0</v>
      </c>
      <c r="Q26" s="75">
        <f>IFERROR(IF(Q$4="",0,IF($E26="kWh",VLOOKUP(Q$4,'4. Billing Determinants'!$B$19:$O$41,4,0)/'4. Billing Determinants'!$E$41*$D26,IF($E26="kW",VLOOKUP(Q$4,'4. Billing Determinants'!$B$19:$O$41,5,0)/'4. Billing Determinants'!$F$41*$D26,IF($E26="Non-RPP kWh",VLOOKUP(Q$4,'4. Billing Determinants'!$B$19:$O$41,6,0)/'4. Billing Determinants'!$G$41*$D26,IF($E26="Distribution Rev.",VLOOKUP(Q$4,'4. Billing Determinants'!$B$19:$O$41,8,0)/'4. Billing Determinants'!$I$41*$D26, VLOOKUP(Q$4,'4. Billing Determinants'!$B$19:$O$41,3,0)/'4. Billing Determinants'!$D$41*$D26))))),0)</f>
        <v>0</v>
      </c>
      <c r="R26" s="75">
        <f>IFERROR(IF(R$4="",0,IF($E26="kWh",VLOOKUP(R$4,'4. Billing Determinants'!$B$19:$O$41,4,0)/'4. Billing Determinants'!$E$41*$D26,IF($E26="kW",VLOOKUP(R$4,'4. Billing Determinants'!$B$19:$O$41,5,0)/'4. Billing Determinants'!$F$41*$D26,IF($E26="Non-RPP kWh",VLOOKUP(R$4,'4. Billing Determinants'!$B$19:$O$41,6,0)/'4. Billing Determinants'!$G$41*$D26,IF($E26="Distribution Rev.",VLOOKUP(R$4,'4. Billing Determinants'!$B$19:$O$41,8,0)/'4. Billing Determinants'!$I$41*$D26, VLOOKUP(R$4,'4. Billing Determinants'!$B$19:$O$41,3,0)/'4. Billing Determinants'!$D$41*$D26))))),0)</f>
        <v>0</v>
      </c>
      <c r="S26" s="75">
        <f>IFERROR(IF(S$4="",0,IF($E26="kWh",VLOOKUP(S$4,'4. Billing Determinants'!$B$19:$O$41,4,0)/'4. Billing Determinants'!$E$41*$D26,IF($E26="kW",VLOOKUP(S$4,'4. Billing Determinants'!$B$19:$O$41,5,0)/'4. Billing Determinants'!$F$41*$D26,IF($E26="Non-RPP kWh",VLOOKUP(S$4,'4. Billing Determinants'!$B$19:$O$41,6,0)/'4. Billing Determinants'!$G$41*$D26,IF($E26="Distribution Rev.",VLOOKUP(S$4,'4. Billing Determinants'!$B$19:$O$41,8,0)/'4. Billing Determinants'!$I$41*$D26, VLOOKUP(S$4,'4. Billing Determinants'!$B$19:$O$41,3,0)/'4. Billing Determinants'!$D$41*$D26))))),0)</f>
        <v>0</v>
      </c>
      <c r="T26" s="75">
        <f>IFERROR(IF(T$4="",0,IF($E26="kWh",VLOOKUP(T$4,'4. Billing Determinants'!$B$19:$O$41,4,0)/'4. Billing Determinants'!$E$41*$D26,IF($E26="kW",VLOOKUP(T$4,'4. Billing Determinants'!$B$19:$O$41,5,0)/'4. Billing Determinants'!$F$41*$D26,IF($E26="Non-RPP kWh",VLOOKUP(T$4,'4. Billing Determinants'!$B$19:$O$41,6,0)/'4. Billing Determinants'!$G$41*$D26,IF($E26="Distribution Rev.",VLOOKUP(T$4,'4. Billing Determinants'!$B$19:$O$41,8,0)/'4. Billing Determinants'!$I$41*$D26, VLOOKUP(T$4,'4. Billing Determinants'!$B$19:$O$41,3,0)/'4. Billing Determinants'!$D$41*$D26))))),0)</f>
        <v>0</v>
      </c>
      <c r="U26" s="75">
        <f>IFERROR(IF(U$4="",0,IF($E26="kWh",VLOOKUP(U$4,'4. Billing Determinants'!$B$19:$O$41,4,0)/'4. Billing Determinants'!$E$41*$D26,IF($E26="kW",VLOOKUP(U$4,'4. Billing Determinants'!$B$19:$O$41,5,0)/'4. Billing Determinants'!$F$41*$D26,IF($E26="Non-RPP kWh",VLOOKUP(U$4,'4. Billing Determinants'!$B$19:$O$41,6,0)/'4. Billing Determinants'!$G$41*$D26,IF($E26="Distribution Rev.",VLOOKUP(U$4,'4. Billing Determinants'!$B$19:$O$41,8,0)/'4. Billing Determinants'!$I$41*$D26, VLOOKUP(U$4,'4. Billing Determinants'!$B$19:$O$41,3,0)/'4. Billing Determinants'!$D$41*$D26))))),0)</f>
        <v>0</v>
      </c>
      <c r="V26" s="75">
        <f>IFERROR(IF(V$4="",0,IF($E26="kWh",VLOOKUP(V$4,'4. Billing Determinants'!$B$19:$O$41,4,0)/'4. Billing Determinants'!$E$41*$D26,IF($E26="kW",VLOOKUP(V$4,'4. Billing Determinants'!$B$19:$O$41,5,0)/'4. Billing Determinants'!$F$41*$D26,IF($E26="Non-RPP kWh",VLOOKUP(V$4,'4. Billing Determinants'!$B$19:$O$41,6,0)/'4. Billing Determinants'!$G$41*$D26,IF($E26="Distribution Rev.",VLOOKUP(V$4,'4. Billing Determinants'!$B$19:$O$41,8,0)/'4. Billing Determinants'!$I$41*$D26, VLOOKUP(V$4,'4. Billing Determinants'!$B$19:$O$41,3,0)/'4. Billing Determinants'!$D$41*$D26))))),0)</f>
        <v>0</v>
      </c>
      <c r="W26" s="75">
        <f>IFERROR(IF(W$4="",0,IF($E26="kWh",VLOOKUP(W$4,'4. Billing Determinants'!$B$19:$O$41,4,0)/'4. Billing Determinants'!$E$41*$D26,IF($E26="kW",VLOOKUP(W$4,'4. Billing Determinants'!$B$19:$O$41,5,0)/'4. Billing Determinants'!$F$41*$D26,IF($E26="Non-RPP kWh",VLOOKUP(W$4,'4. Billing Determinants'!$B$19:$O$41,6,0)/'4. Billing Determinants'!$G$41*$D26,IF($E26="Distribution Rev.",VLOOKUP(W$4,'4. Billing Determinants'!$B$19:$O$41,8,0)/'4. Billing Determinants'!$I$41*$D26, VLOOKUP(W$4,'4. Billing Determinants'!$B$19:$O$41,3,0)/'4. Billing Determinants'!$D$41*$D26))))),0)</f>
        <v>0</v>
      </c>
      <c r="X26" s="75">
        <f>IFERROR(IF(X$4="",0,IF($E26="kWh",VLOOKUP(X$4,'4. Billing Determinants'!$B$19:$O$41,4,0)/'4. Billing Determinants'!$E$41*$D26,IF($E26="kW",VLOOKUP(X$4,'4. Billing Determinants'!$B$19:$O$41,5,0)/'4. Billing Determinants'!$F$41*$D26,IF($E26="Non-RPP kWh",VLOOKUP(X$4,'4. Billing Determinants'!$B$19:$O$41,6,0)/'4. Billing Determinants'!$G$41*$D26,IF($E26="Distribution Rev.",VLOOKUP(X$4,'4. Billing Determinants'!$B$19:$O$41,8,0)/'4. Billing Determinants'!$I$41*$D26, VLOOKUP(X$4,'4. Billing Determinants'!$B$19:$O$41,3,0)/'4. Billing Determinants'!$D$41*$D26))))),0)</f>
        <v>0</v>
      </c>
      <c r="Y26" s="75">
        <f>IFERROR(IF(Y$4="",0,IF($E26="kWh",VLOOKUP(Y$4,'4. Billing Determinants'!$B$19:$O$41,4,0)/'4. Billing Determinants'!$E$41*$D26,IF($E26="kW",VLOOKUP(Y$4,'4. Billing Determinants'!$B$19:$O$41,5,0)/'4. Billing Determinants'!$F$41*$D26,IF($E26="Non-RPP kWh",VLOOKUP(Y$4,'4. Billing Determinants'!$B$19:$O$41,6,0)/'4. Billing Determinants'!$G$41*$D26,IF($E26="Distribution Rev.",VLOOKUP(Y$4,'4. Billing Determinants'!$B$19:$O$41,8,0)/'4. Billing Determinants'!$I$41*$D26, VLOOKUP(Y$4,'4. Billing Determinants'!$B$19:$O$41,3,0)/'4. Billing Determinants'!$D$41*$D26))))),0)</f>
        <v>0</v>
      </c>
    </row>
    <row r="27" spans="2:25" x14ac:dyDescent="0.2">
      <c r="B27" s="73" t="s">
        <v>64</v>
      </c>
      <c r="C27" s="74">
        <v>1531</v>
      </c>
      <c r="D27" s="75">
        <f>'2. 2013 Continuity Schedule'!CP50</f>
        <v>0</v>
      </c>
      <c r="E27" s="208"/>
      <c r="F27" s="75">
        <f>IFERROR(IF(F$4="",0,IF($E27="kWh",VLOOKUP(F$4,'4. Billing Determinants'!$B$19:$O$41,4,0)/'4. Billing Determinants'!$E$41*$D27,IF($E27="kW",VLOOKUP(F$4,'4. Billing Determinants'!$B$19:$O$41,5,0)/'4. Billing Determinants'!$F$41*$D27,IF($E27="Non-RPP kWh",VLOOKUP(F$4,'4. Billing Determinants'!$B$19:$O$41,6,0)/'4. Billing Determinants'!$G$41*$D27,IF($E27="Distribution Rev.",VLOOKUP(F$4,'4. Billing Determinants'!$B$19:$O$41,8,0)/'4. Billing Determinants'!$I$41*$D27, VLOOKUP(F$4,'4. Billing Determinants'!$B$19:$O$41,3,0)/'4. Billing Determinants'!$D$41*$D27))))),0)</f>
        <v>0</v>
      </c>
      <c r="G27" s="75">
        <f>IFERROR(IF(G$4="",0,IF($E27="kWh",VLOOKUP(G$4,'4. Billing Determinants'!$B$19:$O$41,4,0)/'4. Billing Determinants'!$E$41*$D27,IF($E27="kW",VLOOKUP(G$4,'4. Billing Determinants'!$B$19:$O$41,5,0)/'4. Billing Determinants'!$F$41*$D27,IF($E27="Non-RPP kWh",VLOOKUP(G$4,'4. Billing Determinants'!$B$19:$O$41,6,0)/'4. Billing Determinants'!$G$41*$D27,IF($E27="Distribution Rev.",VLOOKUP(G$4,'4. Billing Determinants'!$B$19:$O$41,8,0)/'4. Billing Determinants'!$I$41*$D27, VLOOKUP(G$4,'4. Billing Determinants'!$B$19:$O$41,3,0)/'4. Billing Determinants'!$D$41*$D27))))),0)</f>
        <v>0</v>
      </c>
      <c r="H27" s="75">
        <f>IFERROR(IF(H$4="",0,IF($E27="kWh",VLOOKUP(H$4,'4. Billing Determinants'!$B$19:$O$41,4,0)/'4. Billing Determinants'!$E$41*$D27,IF($E27="kW",VLOOKUP(H$4,'4. Billing Determinants'!$B$19:$O$41,5,0)/'4. Billing Determinants'!$F$41*$D27,IF($E27="Non-RPP kWh",VLOOKUP(H$4,'4. Billing Determinants'!$B$19:$O$41,6,0)/'4. Billing Determinants'!$G$41*$D27,IF($E27="Distribution Rev.",VLOOKUP(H$4,'4. Billing Determinants'!$B$19:$O$41,8,0)/'4. Billing Determinants'!$I$41*$D27, VLOOKUP(H$4,'4. Billing Determinants'!$B$19:$O$41,3,0)/'4. Billing Determinants'!$D$41*$D27))))),0)</f>
        <v>0</v>
      </c>
      <c r="I27" s="75">
        <f>IFERROR(IF(I$4="",0,IF($E27="kWh",VLOOKUP(I$4,'4. Billing Determinants'!$B$19:$O$41,4,0)/'4. Billing Determinants'!$E$41*$D27,IF($E27="kW",VLOOKUP(I$4,'4. Billing Determinants'!$B$19:$O$41,5,0)/'4. Billing Determinants'!$F$41*$D27,IF($E27="Non-RPP kWh",VLOOKUP(I$4,'4. Billing Determinants'!$B$19:$O$41,6,0)/'4. Billing Determinants'!$G$41*$D27,IF($E27="Distribution Rev.",VLOOKUP(I$4,'4. Billing Determinants'!$B$19:$O$41,8,0)/'4. Billing Determinants'!$I$41*$D27, VLOOKUP(I$4,'4. Billing Determinants'!$B$19:$O$41,3,0)/'4. Billing Determinants'!$D$41*$D27))))),0)</f>
        <v>0</v>
      </c>
      <c r="J27" s="75">
        <f>IFERROR(IF(J$4="",0,IF($E27="kWh",VLOOKUP(J$4,'4. Billing Determinants'!$B$19:$O$41,4,0)/'4. Billing Determinants'!$E$41*$D27,IF($E27="kW",VLOOKUP(J$4,'4. Billing Determinants'!$B$19:$O$41,5,0)/'4. Billing Determinants'!$F$41*$D27,IF($E27="Non-RPP kWh",VLOOKUP(J$4,'4. Billing Determinants'!$B$19:$O$41,6,0)/'4. Billing Determinants'!$G$41*$D27,IF($E27="Distribution Rev.",VLOOKUP(J$4,'4. Billing Determinants'!$B$19:$O$41,8,0)/'4. Billing Determinants'!$I$41*$D27, VLOOKUP(J$4,'4. Billing Determinants'!$B$19:$O$41,3,0)/'4. Billing Determinants'!$D$41*$D27))))),0)</f>
        <v>0</v>
      </c>
      <c r="K27" s="75">
        <f>IFERROR(IF(K$4="",0,IF($E27="kWh",VLOOKUP(K$4,'4. Billing Determinants'!$B$19:$O$41,4,0)/'4. Billing Determinants'!$E$41*$D27,IF($E27="kW",VLOOKUP(K$4,'4. Billing Determinants'!$B$19:$O$41,5,0)/'4. Billing Determinants'!$F$41*$D27,IF($E27="Non-RPP kWh",VLOOKUP(K$4,'4. Billing Determinants'!$B$19:$O$41,6,0)/'4. Billing Determinants'!$G$41*$D27,IF($E27="Distribution Rev.",VLOOKUP(K$4,'4. Billing Determinants'!$B$19:$O$41,8,0)/'4. Billing Determinants'!$I$41*$D27, VLOOKUP(K$4,'4. Billing Determinants'!$B$19:$O$41,3,0)/'4. Billing Determinants'!$D$41*$D27))))),0)</f>
        <v>0</v>
      </c>
      <c r="L27" s="75">
        <f>IFERROR(IF(L$4="",0,IF($E27="kWh",VLOOKUP(L$4,'4. Billing Determinants'!$B$19:$O$41,4,0)/'4. Billing Determinants'!$E$41*$D27,IF($E27="kW",VLOOKUP(L$4,'4. Billing Determinants'!$B$19:$O$41,5,0)/'4. Billing Determinants'!$F$41*$D27,IF($E27="Non-RPP kWh",VLOOKUP(L$4,'4. Billing Determinants'!$B$19:$O$41,6,0)/'4. Billing Determinants'!$G$41*$D27,IF($E27="Distribution Rev.",VLOOKUP(L$4,'4. Billing Determinants'!$B$19:$O$41,8,0)/'4. Billing Determinants'!$I$41*$D27, VLOOKUP(L$4,'4. Billing Determinants'!$B$19:$O$41,3,0)/'4. Billing Determinants'!$D$41*$D27))))),0)</f>
        <v>0</v>
      </c>
      <c r="M27" s="75">
        <f>IFERROR(IF(M$4="",0,IF($E27="kWh",VLOOKUP(M$4,'4. Billing Determinants'!$B$19:$O$41,4,0)/'4. Billing Determinants'!$E$41*$D27,IF($E27="kW",VLOOKUP(M$4,'4. Billing Determinants'!$B$19:$O$41,5,0)/'4. Billing Determinants'!$F$41*$D27,IF($E27="Non-RPP kWh",VLOOKUP(M$4,'4. Billing Determinants'!$B$19:$O$41,6,0)/'4. Billing Determinants'!$G$41*$D27,IF($E27="Distribution Rev.",VLOOKUP(M$4,'4. Billing Determinants'!$B$19:$O$41,8,0)/'4. Billing Determinants'!$I$41*$D27, VLOOKUP(M$4,'4. Billing Determinants'!$B$19:$O$41,3,0)/'4. Billing Determinants'!$D$41*$D27))))),0)</f>
        <v>0</v>
      </c>
      <c r="N27" s="75">
        <f>IFERROR(IF(N$4="",0,IF($E27="kWh",VLOOKUP(N$4,'4. Billing Determinants'!$B$19:$O$41,4,0)/'4. Billing Determinants'!$E$41*$D27,IF($E27="kW",VLOOKUP(N$4,'4. Billing Determinants'!$B$19:$O$41,5,0)/'4. Billing Determinants'!$F$41*$D27,IF($E27="Non-RPP kWh",VLOOKUP(N$4,'4. Billing Determinants'!$B$19:$O$41,6,0)/'4. Billing Determinants'!$G$41*$D27,IF($E27="Distribution Rev.",VLOOKUP(N$4,'4. Billing Determinants'!$B$19:$O$41,8,0)/'4. Billing Determinants'!$I$41*$D27, VLOOKUP(N$4,'4. Billing Determinants'!$B$19:$O$41,3,0)/'4. Billing Determinants'!$D$41*$D27))))),0)</f>
        <v>0</v>
      </c>
      <c r="O27" s="75">
        <f>IFERROR(IF(O$4="",0,IF($E27="kWh",VLOOKUP(O$4,'4. Billing Determinants'!$B$19:$O$41,4,0)/'4. Billing Determinants'!$E$41*$D27,IF($E27="kW",VLOOKUP(O$4,'4. Billing Determinants'!$B$19:$O$41,5,0)/'4. Billing Determinants'!$F$41*$D27,IF($E27="Non-RPP kWh",VLOOKUP(O$4,'4. Billing Determinants'!$B$19:$O$41,6,0)/'4. Billing Determinants'!$G$41*$D27,IF($E27="Distribution Rev.",VLOOKUP(O$4,'4. Billing Determinants'!$B$19:$O$41,8,0)/'4. Billing Determinants'!$I$41*$D27, VLOOKUP(O$4,'4. Billing Determinants'!$B$19:$O$41,3,0)/'4. Billing Determinants'!$D$41*$D27))))),0)</f>
        <v>0</v>
      </c>
      <c r="P27" s="75">
        <f>IFERROR(IF(P$4="",0,IF($E27="kWh",VLOOKUP(P$4,'4. Billing Determinants'!$B$19:$O$41,4,0)/'4. Billing Determinants'!$E$41*$D27,IF($E27="kW",VLOOKUP(P$4,'4. Billing Determinants'!$B$19:$O$41,5,0)/'4. Billing Determinants'!$F$41*$D27,IF($E27="Non-RPP kWh",VLOOKUP(P$4,'4. Billing Determinants'!$B$19:$O$41,6,0)/'4. Billing Determinants'!$G$41*$D27,IF($E27="Distribution Rev.",VLOOKUP(P$4,'4. Billing Determinants'!$B$19:$O$41,8,0)/'4. Billing Determinants'!$I$41*$D27, VLOOKUP(P$4,'4. Billing Determinants'!$B$19:$O$41,3,0)/'4. Billing Determinants'!$D$41*$D27))))),0)</f>
        <v>0</v>
      </c>
      <c r="Q27" s="75">
        <f>IFERROR(IF(Q$4="",0,IF($E27="kWh",VLOOKUP(Q$4,'4. Billing Determinants'!$B$19:$O$41,4,0)/'4. Billing Determinants'!$E$41*$D27,IF($E27="kW",VLOOKUP(Q$4,'4. Billing Determinants'!$B$19:$O$41,5,0)/'4. Billing Determinants'!$F$41*$D27,IF($E27="Non-RPP kWh",VLOOKUP(Q$4,'4. Billing Determinants'!$B$19:$O$41,6,0)/'4. Billing Determinants'!$G$41*$D27,IF($E27="Distribution Rev.",VLOOKUP(Q$4,'4. Billing Determinants'!$B$19:$O$41,8,0)/'4. Billing Determinants'!$I$41*$D27, VLOOKUP(Q$4,'4. Billing Determinants'!$B$19:$O$41,3,0)/'4. Billing Determinants'!$D$41*$D27))))),0)</f>
        <v>0</v>
      </c>
      <c r="R27" s="75">
        <f>IFERROR(IF(R$4="",0,IF($E27="kWh",VLOOKUP(R$4,'4. Billing Determinants'!$B$19:$O$41,4,0)/'4. Billing Determinants'!$E$41*$D27,IF($E27="kW",VLOOKUP(R$4,'4. Billing Determinants'!$B$19:$O$41,5,0)/'4. Billing Determinants'!$F$41*$D27,IF($E27="Non-RPP kWh",VLOOKUP(R$4,'4. Billing Determinants'!$B$19:$O$41,6,0)/'4. Billing Determinants'!$G$41*$D27,IF($E27="Distribution Rev.",VLOOKUP(R$4,'4. Billing Determinants'!$B$19:$O$41,8,0)/'4. Billing Determinants'!$I$41*$D27, VLOOKUP(R$4,'4. Billing Determinants'!$B$19:$O$41,3,0)/'4. Billing Determinants'!$D$41*$D27))))),0)</f>
        <v>0</v>
      </c>
      <c r="S27" s="75">
        <f>IFERROR(IF(S$4="",0,IF($E27="kWh",VLOOKUP(S$4,'4. Billing Determinants'!$B$19:$O$41,4,0)/'4. Billing Determinants'!$E$41*$D27,IF($E27="kW",VLOOKUP(S$4,'4. Billing Determinants'!$B$19:$O$41,5,0)/'4. Billing Determinants'!$F$41*$D27,IF($E27="Non-RPP kWh",VLOOKUP(S$4,'4. Billing Determinants'!$B$19:$O$41,6,0)/'4. Billing Determinants'!$G$41*$D27,IF($E27="Distribution Rev.",VLOOKUP(S$4,'4. Billing Determinants'!$B$19:$O$41,8,0)/'4. Billing Determinants'!$I$41*$D27, VLOOKUP(S$4,'4. Billing Determinants'!$B$19:$O$41,3,0)/'4. Billing Determinants'!$D$41*$D27))))),0)</f>
        <v>0</v>
      </c>
      <c r="T27" s="75">
        <f>IFERROR(IF(T$4="",0,IF($E27="kWh",VLOOKUP(T$4,'4. Billing Determinants'!$B$19:$O$41,4,0)/'4. Billing Determinants'!$E$41*$D27,IF($E27="kW",VLOOKUP(T$4,'4. Billing Determinants'!$B$19:$O$41,5,0)/'4. Billing Determinants'!$F$41*$D27,IF($E27="Non-RPP kWh",VLOOKUP(T$4,'4. Billing Determinants'!$B$19:$O$41,6,0)/'4. Billing Determinants'!$G$41*$D27,IF($E27="Distribution Rev.",VLOOKUP(T$4,'4. Billing Determinants'!$B$19:$O$41,8,0)/'4. Billing Determinants'!$I$41*$D27, VLOOKUP(T$4,'4. Billing Determinants'!$B$19:$O$41,3,0)/'4. Billing Determinants'!$D$41*$D27))))),0)</f>
        <v>0</v>
      </c>
      <c r="U27" s="75">
        <f>IFERROR(IF(U$4="",0,IF($E27="kWh",VLOOKUP(U$4,'4. Billing Determinants'!$B$19:$O$41,4,0)/'4. Billing Determinants'!$E$41*$D27,IF($E27="kW",VLOOKUP(U$4,'4. Billing Determinants'!$B$19:$O$41,5,0)/'4. Billing Determinants'!$F$41*$D27,IF($E27="Non-RPP kWh",VLOOKUP(U$4,'4. Billing Determinants'!$B$19:$O$41,6,0)/'4. Billing Determinants'!$G$41*$D27,IF($E27="Distribution Rev.",VLOOKUP(U$4,'4. Billing Determinants'!$B$19:$O$41,8,0)/'4. Billing Determinants'!$I$41*$D27, VLOOKUP(U$4,'4. Billing Determinants'!$B$19:$O$41,3,0)/'4. Billing Determinants'!$D$41*$D27))))),0)</f>
        <v>0</v>
      </c>
      <c r="V27" s="75">
        <f>IFERROR(IF(V$4="",0,IF($E27="kWh",VLOOKUP(V$4,'4. Billing Determinants'!$B$19:$O$41,4,0)/'4. Billing Determinants'!$E$41*$D27,IF($E27="kW",VLOOKUP(V$4,'4. Billing Determinants'!$B$19:$O$41,5,0)/'4. Billing Determinants'!$F$41*$D27,IF($E27="Non-RPP kWh",VLOOKUP(V$4,'4. Billing Determinants'!$B$19:$O$41,6,0)/'4. Billing Determinants'!$G$41*$D27,IF($E27="Distribution Rev.",VLOOKUP(V$4,'4. Billing Determinants'!$B$19:$O$41,8,0)/'4. Billing Determinants'!$I$41*$D27, VLOOKUP(V$4,'4. Billing Determinants'!$B$19:$O$41,3,0)/'4. Billing Determinants'!$D$41*$D27))))),0)</f>
        <v>0</v>
      </c>
      <c r="W27" s="75">
        <f>IFERROR(IF(W$4="",0,IF($E27="kWh",VLOOKUP(W$4,'4. Billing Determinants'!$B$19:$O$41,4,0)/'4. Billing Determinants'!$E$41*$D27,IF($E27="kW",VLOOKUP(W$4,'4. Billing Determinants'!$B$19:$O$41,5,0)/'4. Billing Determinants'!$F$41*$D27,IF($E27="Non-RPP kWh",VLOOKUP(W$4,'4. Billing Determinants'!$B$19:$O$41,6,0)/'4. Billing Determinants'!$G$41*$D27,IF($E27="Distribution Rev.",VLOOKUP(W$4,'4. Billing Determinants'!$B$19:$O$41,8,0)/'4. Billing Determinants'!$I$41*$D27, VLOOKUP(W$4,'4. Billing Determinants'!$B$19:$O$41,3,0)/'4. Billing Determinants'!$D$41*$D27))))),0)</f>
        <v>0</v>
      </c>
      <c r="X27" s="75">
        <f>IFERROR(IF(X$4="",0,IF($E27="kWh",VLOOKUP(X$4,'4. Billing Determinants'!$B$19:$O$41,4,0)/'4. Billing Determinants'!$E$41*$D27,IF($E27="kW",VLOOKUP(X$4,'4. Billing Determinants'!$B$19:$O$41,5,0)/'4. Billing Determinants'!$F$41*$D27,IF($E27="Non-RPP kWh",VLOOKUP(X$4,'4. Billing Determinants'!$B$19:$O$41,6,0)/'4. Billing Determinants'!$G$41*$D27,IF($E27="Distribution Rev.",VLOOKUP(X$4,'4. Billing Determinants'!$B$19:$O$41,8,0)/'4. Billing Determinants'!$I$41*$D27, VLOOKUP(X$4,'4. Billing Determinants'!$B$19:$O$41,3,0)/'4. Billing Determinants'!$D$41*$D27))))),0)</f>
        <v>0</v>
      </c>
      <c r="Y27" s="75">
        <f>IFERROR(IF(Y$4="",0,IF($E27="kWh",VLOOKUP(Y$4,'4. Billing Determinants'!$B$19:$O$41,4,0)/'4. Billing Determinants'!$E$41*$D27,IF($E27="kW",VLOOKUP(Y$4,'4. Billing Determinants'!$B$19:$O$41,5,0)/'4. Billing Determinants'!$F$41*$D27,IF($E27="Non-RPP kWh",VLOOKUP(Y$4,'4. Billing Determinants'!$B$19:$O$41,6,0)/'4. Billing Determinants'!$G$41*$D27,IF($E27="Distribution Rev.",VLOOKUP(Y$4,'4. Billing Determinants'!$B$19:$O$41,8,0)/'4. Billing Determinants'!$I$41*$D27, VLOOKUP(Y$4,'4. Billing Determinants'!$B$19:$O$41,3,0)/'4. Billing Determinants'!$D$41*$D27))))),0)</f>
        <v>0</v>
      </c>
    </row>
    <row r="28" spans="2:25" x14ac:dyDescent="0.2">
      <c r="B28" s="73" t="s">
        <v>65</v>
      </c>
      <c r="C28" s="74">
        <v>1532</v>
      </c>
      <c r="D28" s="75">
        <f>'2. 2013 Continuity Schedule'!CP51</f>
        <v>-1.4949999999771535E-3</v>
      </c>
      <c r="E28" s="208" t="s">
        <v>156</v>
      </c>
      <c r="F28" s="75">
        <f>IFERROR(IF(F$4="",0,IF($E28="kWh",VLOOKUP(F$4,'4. Billing Determinants'!$B$19:$O$41,4,0)/'4. Billing Determinants'!$E$41*$D28,IF($E28="kW",VLOOKUP(F$4,'4. Billing Determinants'!$B$19:$O$41,5,0)/'4. Billing Determinants'!$F$41*$D28,IF($E28="Non-RPP kWh",VLOOKUP(F$4,'4. Billing Determinants'!$B$19:$O$41,6,0)/'4. Billing Determinants'!$G$41*$D28,IF($E28="Distribution Rev.",VLOOKUP(F$4,'4. Billing Determinants'!$B$19:$O$41,8,0)/'4. Billing Determinants'!$I$41*$D28, VLOOKUP(F$4,'4. Billing Determinants'!$B$19:$O$41,3,0)/'4. Billing Determinants'!$D$41*$D28))))),0)</f>
        <v>-1.2409191623866853E-3</v>
      </c>
      <c r="G28" s="75">
        <f>IFERROR(IF(G$4="",0,IF($E28="kWh",VLOOKUP(G$4,'4. Billing Determinants'!$B$19:$O$41,4,0)/'4. Billing Determinants'!$E$41*$D28,IF($E28="kW",VLOOKUP(G$4,'4. Billing Determinants'!$B$19:$O$41,5,0)/'4. Billing Determinants'!$F$41*$D28,IF($E28="Non-RPP kWh",VLOOKUP(G$4,'4. Billing Determinants'!$B$19:$O$41,6,0)/'4. Billing Determinants'!$G$41*$D28,IF($E28="Distribution Rev.",VLOOKUP(G$4,'4. Billing Determinants'!$B$19:$O$41,8,0)/'4. Billing Determinants'!$I$41*$D28, VLOOKUP(G$4,'4. Billing Determinants'!$B$19:$O$41,3,0)/'4. Billing Determinants'!$D$41*$D28))))),0)</f>
        <v>-2.2787192597655174E-4</v>
      </c>
      <c r="H28" s="75">
        <f>IFERROR(IF(H$4="",0,IF($E28="kWh",VLOOKUP(H$4,'4. Billing Determinants'!$B$19:$O$41,4,0)/'4. Billing Determinants'!$E$41*$D28,IF($E28="kW",VLOOKUP(H$4,'4. Billing Determinants'!$B$19:$O$41,5,0)/'4. Billing Determinants'!$F$41*$D28,IF($E28="Non-RPP kWh",VLOOKUP(H$4,'4. Billing Determinants'!$B$19:$O$41,6,0)/'4. Billing Determinants'!$G$41*$D28,IF($E28="Distribution Rev.",VLOOKUP(H$4,'4. Billing Determinants'!$B$19:$O$41,8,0)/'4. Billing Determinants'!$I$41*$D28, VLOOKUP(H$4,'4. Billing Determinants'!$B$19:$O$41,3,0)/'4. Billing Determinants'!$D$41*$D28))))),0)</f>
        <v>-2.1294740686307152E-5</v>
      </c>
      <c r="I28" s="75">
        <f>IFERROR(IF(I$4="",0,IF($E28="kWh",VLOOKUP(I$4,'4. Billing Determinants'!$B$19:$O$41,4,0)/'4. Billing Determinants'!$E$41*$D28,IF($E28="kW",VLOOKUP(I$4,'4. Billing Determinants'!$B$19:$O$41,5,0)/'4. Billing Determinants'!$F$41*$D28,IF($E28="Non-RPP kWh",VLOOKUP(I$4,'4. Billing Determinants'!$B$19:$O$41,6,0)/'4. Billing Determinants'!$G$41*$D28,IF($E28="Distribution Rev.",VLOOKUP(I$4,'4. Billing Determinants'!$B$19:$O$41,8,0)/'4. Billing Determinants'!$I$41*$D28, VLOOKUP(I$4,'4. Billing Determinants'!$B$19:$O$41,3,0)/'4. Billing Determinants'!$D$41*$D28))))),0)</f>
        <v>-4.0041392743483536E-6</v>
      </c>
      <c r="J28" s="75">
        <f>IFERROR(IF(J$4="",0,IF($E28="kWh",VLOOKUP(J$4,'4. Billing Determinants'!$B$19:$O$41,4,0)/'4. Billing Determinants'!$E$41*$D28,IF($E28="kW",VLOOKUP(J$4,'4. Billing Determinants'!$B$19:$O$41,5,0)/'4. Billing Determinants'!$F$41*$D28,IF($E28="Non-RPP kWh",VLOOKUP(J$4,'4. Billing Determinants'!$B$19:$O$41,6,0)/'4. Billing Determinants'!$G$41*$D28,IF($E28="Distribution Rev.",VLOOKUP(J$4,'4. Billing Determinants'!$B$19:$O$41,8,0)/'4. Billing Determinants'!$I$41*$D28, VLOOKUP(J$4,'4. Billing Determinants'!$B$19:$O$41,3,0)/'4. Billing Determinants'!$D$41*$D28))))),0)</f>
        <v>-9.100316532609895E-7</v>
      </c>
      <c r="K28" s="75">
        <f>IFERROR(IF(K$4="",0,IF($E28="kWh",VLOOKUP(K$4,'4. Billing Determinants'!$B$19:$O$41,4,0)/'4. Billing Determinants'!$E$41*$D28,IF($E28="kW",VLOOKUP(K$4,'4. Billing Determinants'!$B$19:$O$41,5,0)/'4. Billing Determinants'!$F$41*$D28,IF($E28="Non-RPP kWh",VLOOKUP(K$4,'4. Billing Determinants'!$B$19:$O$41,6,0)/'4. Billing Determinants'!$G$41*$D28,IF($E28="Distribution Rev.",VLOOKUP(K$4,'4. Billing Determinants'!$B$19:$O$41,8,0)/'4. Billing Determinants'!$I$41*$D28, VLOOKUP(K$4,'4. Billing Determinants'!$B$19:$O$41,3,0)/'4. Billing Determinants'!$D$41*$D28))))),0)</f>
        <v>0</v>
      </c>
      <c r="L28" s="75">
        <f>IFERROR(IF(L$4="",0,IF($E28="kWh",VLOOKUP(L$4,'4. Billing Determinants'!$B$19:$O$41,4,0)/'4. Billing Determinants'!$E$41*$D28,IF($E28="kW",VLOOKUP(L$4,'4. Billing Determinants'!$B$19:$O$41,5,0)/'4. Billing Determinants'!$F$41*$D28,IF($E28="Non-RPP kWh",VLOOKUP(L$4,'4. Billing Determinants'!$B$19:$O$41,6,0)/'4. Billing Determinants'!$G$41*$D28,IF($E28="Distribution Rev.",VLOOKUP(L$4,'4. Billing Determinants'!$B$19:$O$41,8,0)/'4. Billing Determinants'!$I$41*$D28, VLOOKUP(L$4,'4. Billing Determinants'!$B$19:$O$41,3,0)/'4. Billing Determinants'!$D$41*$D28))))),0)</f>
        <v>0</v>
      </c>
      <c r="M28" s="75">
        <f>IFERROR(IF(M$4="",0,IF($E28="kWh",VLOOKUP(M$4,'4. Billing Determinants'!$B$19:$O$41,4,0)/'4. Billing Determinants'!$E$41*$D28,IF($E28="kW",VLOOKUP(M$4,'4. Billing Determinants'!$B$19:$O$41,5,0)/'4. Billing Determinants'!$F$41*$D28,IF($E28="Non-RPP kWh",VLOOKUP(M$4,'4. Billing Determinants'!$B$19:$O$41,6,0)/'4. Billing Determinants'!$G$41*$D28,IF($E28="Distribution Rev.",VLOOKUP(M$4,'4. Billing Determinants'!$B$19:$O$41,8,0)/'4. Billing Determinants'!$I$41*$D28, VLOOKUP(M$4,'4. Billing Determinants'!$B$19:$O$41,3,0)/'4. Billing Determinants'!$D$41*$D28))))),0)</f>
        <v>0</v>
      </c>
      <c r="N28" s="75">
        <f>IFERROR(IF(N$4="",0,IF($E28="kWh",VLOOKUP(N$4,'4. Billing Determinants'!$B$19:$O$41,4,0)/'4. Billing Determinants'!$E$41*$D28,IF($E28="kW",VLOOKUP(N$4,'4. Billing Determinants'!$B$19:$O$41,5,0)/'4. Billing Determinants'!$F$41*$D28,IF($E28="Non-RPP kWh",VLOOKUP(N$4,'4. Billing Determinants'!$B$19:$O$41,6,0)/'4. Billing Determinants'!$G$41*$D28,IF($E28="Distribution Rev.",VLOOKUP(N$4,'4. Billing Determinants'!$B$19:$O$41,8,0)/'4. Billing Determinants'!$I$41*$D28, VLOOKUP(N$4,'4. Billing Determinants'!$B$19:$O$41,3,0)/'4. Billing Determinants'!$D$41*$D28))))),0)</f>
        <v>0</v>
      </c>
      <c r="O28" s="75">
        <f>IFERROR(IF(O$4="",0,IF($E28="kWh",VLOOKUP(O$4,'4. Billing Determinants'!$B$19:$O$41,4,0)/'4. Billing Determinants'!$E$41*$D28,IF($E28="kW",VLOOKUP(O$4,'4. Billing Determinants'!$B$19:$O$41,5,0)/'4. Billing Determinants'!$F$41*$D28,IF($E28="Non-RPP kWh",VLOOKUP(O$4,'4. Billing Determinants'!$B$19:$O$41,6,0)/'4. Billing Determinants'!$G$41*$D28,IF($E28="Distribution Rev.",VLOOKUP(O$4,'4. Billing Determinants'!$B$19:$O$41,8,0)/'4. Billing Determinants'!$I$41*$D28, VLOOKUP(O$4,'4. Billing Determinants'!$B$19:$O$41,3,0)/'4. Billing Determinants'!$D$41*$D28))))),0)</f>
        <v>0</v>
      </c>
      <c r="P28" s="75">
        <f>IFERROR(IF(P$4="",0,IF($E28="kWh",VLOOKUP(P$4,'4. Billing Determinants'!$B$19:$O$41,4,0)/'4. Billing Determinants'!$E$41*$D28,IF($E28="kW",VLOOKUP(P$4,'4. Billing Determinants'!$B$19:$O$41,5,0)/'4. Billing Determinants'!$F$41*$D28,IF($E28="Non-RPP kWh",VLOOKUP(P$4,'4. Billing Determinants'!$B$19:$O$41,6,0)/'4. Billing Determinants'!$G$41*$D28,IF($E28="Distribution Rev.",VLOOKUP(P$4,'4. Billing Determinants'!$B$19:$O$41,8,0)/'4. Billing Determinants'!$I$41*$D28, VLOOKUP(P$4,'4. Billing Determinants'!$B$19:$O$41,3,0)/'4. Billing Determinants'!$D$41*$D28))))),0)</f>
        <v>0</v>
      </c>
      <c r="Q28" s="75">
        <f>IFERROR(IF(Q$4="",0,IF($E28="kWh",VLOOKUP(Q$4,'4. Billing Determinants'!$B$19:$O$41,4,0)/'4. Billing Determinants'!$E$41*$D28,IF($E28="kW",VLOOKUP(Q$4,'4. Billing Determinants'!$B$19:$O$41,5,0)/'4. Billing Determinants'!$F$41*$D28,IF($E28="Non-RPP kWh",VLOOKUP(Q$4,'4. Billing Determinants'!$B$19:$O$41,6,0)/'4. Billing Determinants'!$G$41*$D28,IF($E28="Distribution Rev.",VLOOKUP(Q$4,'4. Billing Determinants'!$B$19:$O$41,8,0)/'4. Billing Determinants'!$I$41*$D28, VLOOKUP(Q$4,'4. Billing Determinants'!$B$19:$O$41,3,0)/'4. Billing Determinants'!$D$41*$D28))))),0)</f>
        <v>0</v>
      </c>
      <c r="R28" s="75">
        <f>IFERROR(IF(R$4="",0,IF($E28="kWh",VLOOKUP(R$4,'4. Billing Determinants'!$B$19:$O$41,4,0)/'4. Billing Determinants'!$E$41*$D28,IF($E28="kW",VLOOKUP(R$4,'4. Billing Determinants'!$B$19:$O$41,5,0)/'4. Billing Determinants'!$F$41*$D28,IF($E28="Non-RPP kWh",VLOOKUP(R$4,'4. Billing Determinants'!$B$19:$O$41,6,0)/'4. Billing Determinants'!$G$41*$D28,IF($E28="Distribution Rev.",VLOOKUP(R$4,'4. Billing Determinants'!$B$19:$O$41,8,0)/'4. Billing Determinants'!$I$41*$D28, VLOOKUP(R$4,'4. Billing Determinants'!$B$19:$O$41,3,0)/'4. Billing Determinants'!$D$41*$D28))))),0)</f>
        <v>0</v>
      </c>
      <c r="S28" s="75">
        <f>IFERROR(IF(S$4="",0,IF($E28="kWh",VLOOKUP(S$4,'4. Billing Determinants'!$B$19:$O$41,4,0)/'4. Billing Determinants'!$E$41*$D28,IF($E28="kW",VLOOKUP(S$4,'4. Billing Determinants'!$B$19:$O$41,5,0)/'4. Billing Determinants'!$F$41*$D28,IF($E28="Non-RPP kWh",VLOOKUP(S$4,'4. Billing Determinants'!$B$19:$O$41,6,0)/'4. Billing Determinants'!$G$41*$D28,IF($E28="Distribution Rev.",VLOOKUP(S$4,'4. Billing Determinants'!$B$19:$O$41,8,0)/'4. Billing Determinants'!$I$41*$D28, VLOOKUP(S$4,'4. Billing Determinants'!$B$19:$O$41,3,0)/'4. Billing Determinants'!$D$41*$D28))))),0)</f>
        <v>0</v>
      </c>
      <c r="T28" s="75">
        <f>IFERROR(IF(T$4="",0,IF($E28="kWh",VLOOKUP(T$4,'4. Billing Determinants'!$B$19:$O$41,4,0)/'4. Billing Determinants'!$E$41*$D28,IF($E28="kW",VLOOKUP(T$4,'4. Billing Determinants'!$B$19:$O$41,5,0)/'4. Billing Determinants'!$F$41*$D28,IF($E28="Non-RPP kWh",VLOOKUP(T$4,'4. Billing Determinants'!$B$19:$O$41,6,0)/'4. Billing Determinants'!$G$41*$D28,IF($E28="Distribution Rev.",VLOOKUP(T$4,'4. Billing Determinants'!$B$19:$O$41,8,0)/'4. Billing Determinants'!$I$41*$D28, VLOOKUP(T$4,'4. Billing Determinants'!$B$19:$O$41,3,0)/'4. Billing Determinants'!$D$41*$D28))))),0)</f>
        <v>0</v>
      </c>
      <c r="U28" s="75">
        <f>IFERROR(IF(U$4="",0,IF($E28="kWh",VLOOKUP(U$4,'4. Billing Determinants'!$B$19:$O$41,4,0)/'4. Billing Determinants'!$E$41*$D28,IF($E28="kW",VLOOKUP(U$4,'4. Billing Determinants'!$B$19:$O$41,5,0)/'4. Billing Determinants'!$F$41*$D28,IF($E28="Non-RPP kWh",VLOOKUP(U$4,'4. Billing Determinants'!$B$19:$O$41,6,0)/'4. Billing Determinants'!$G$41*$D28,IF($E28="Distribution Rev.",VLOOKUP(U$4,'4. Billing Determinants'!$B$19:$O$41,8,0)/'4. Billing Determinants'!$I$41*$D28, VLOOKUP(U$4,'4. Billing Determinants'!$B$19:$O$41,3,0)/'4. Billing Determinants'!$D$41*$D28))))),0)</f>
        <v>0</v>
      </c>
      <c r="V28" s="75">
        <f>IFERROR(IF(V$4="",0,IF($E28="kWh",VLOOKUP(V$4,'4. Billing Determinants'!$B$19:$O$41,4,0)/'4. Billing Determinants'!$E$41*$D28,IF($E28="kW",VLOOKUP(V$4,'4. Billing Determinants'!$B$19:$O$41,5,0)/'4. Billing Determinants'!$F$41*$D28,IF($E28="Non-RPP kWh",VLOOKUP(V$4,'4. Billing Determinants'!$B$19:$O$41,6,0)/'4. Billing Determinants'!$G$41*$D28,IF($E28="Distribution Rev.",VLOOKUP(V$4,'4. Billing Determinants'!$B$19:$O$41,8,0)/'4. Billing Determinants'!$I$41*$D28, VLOOKUP(V$4,'4. Billing Determinants'!$B$19:$O$41,3,0)/'4. Billing Determinants'!$D$41*$D28))))),0)</f>
        <v>0</v>
      </c>
      <c r="W28" s="75">
        <f>IFERROR(IF(W$4="",0,IF($E28="kWh",VLOOKUP(W$4,'4. Billing Determinants'!$B$19:$O$41,4,0)/'4. Billing Determinants'!$E$41*$D28,IF($E28="kW",VLOOKUP(W$4,'4. Billing Determinants'!$B$19:$O$41,5,0)/'4. Billing Determinants'!$F$41*$D28,IF($E28="Non-RPP kWh",VLOOKUP(W$4,'4. Billing Determinants'!$B$19:$O$41,6,0)/'4. Billing Determinants'!$G$41*$D28,IF($E28="Distribution Rev.",VLOOKUP(W$4,'4. Billing Determinants'!$B$19:$O$41,8,0)/'4. Billing Determinants'!$I$41*$D28, VLOOKUP(W$4,'4. Billing Determinants'!$B$19:$O$41,3,0)/'4. Billing Determinants'!$D$41*$D28))))),0)</f>
        <v>0</v>
      </c>
      <c r="X28" s="75">
        <f>IFERROR(IF(X$4="",0,IF($E28="kWh",VLOOKUP(X$4,'4. Billing Determinants'!$B$19:$O$41,4,0)/'4. Billing Determinants'!$E$41*$D28,IF($E28="kW",VLOOKUP(X$4,'4. Billing Determinants'!$B$19:$O$41,5,0)/'4. Billing Determinants'!$F$41*$D28,IF($E28="Non-RPP kWh",VLOOKUP(X$4,'4. Billing Determinants'!$B$19:$O$41,6,0)/'4. Billing Determinants'!$G$41*$D28,IF($E28="Distribution Rev.",VLOOKUP(X$4,'4. Billing Determinants'!$B$19:$O$41,8,0)/'4. Billing Determinants'!$I$41*$D28, VLOOKUP(X$4,'4. Billing Determinants'!$B$19:$O$41,3,0)/'4. Billing Determinants'!$D$41*$D28))))),0)</f>
        <v>0</v>
      </c>
      <c r="Y28" s="75">
        <f>IFERROR(IF(Y$4="",0,IF($E28="kWh",VLOOKUP(Y$4,'4. Billing Determinants'!$B$19:$O$41,4,0)/'4. Billing Determinants'!$E$41*$D28,IF($E28="kW",VLOOKUP(Y$4,'4. Billing Determinants'!$B$19:$O$41,5,0)/'4. Billing Determinants'!$F$41*$D28,IF($E28="Non-RPP kWh",VLOOKUP(Y$4,'4. Billing Determinants'!$B$19:$O$41,6,0)/'4. Billing Determinants'!$G$41*$D28,IF($E28="Distribution Rev.",VLOOKUP(Y$4,'4. Billing Determinants'!$B$19:$O$41,8,0)/'4. Billing Determinants'!$I$41*$D28, VLOOKUP(Y$4,'4. Billing Determinants'!$B$19:$O$41,3,0)/'4. Billing Determinants'!$D$41*$D28))))),0)</f>
        <v>0</v>
      </c>
    </row>
    <row r="29" spans="2:25" x14ac:dyDescent="0.2">
      <c r="B29" s="76" t="s">
        <v>41</v>
      </c>
      <c r="C29" s="74">
        <v>1533</v>
      </c>
      <c r="D29" s="75">
        <f>'2. 2013 Continuity Schedule'!CP52</f>
        <v>0</v>
      </c>
      <c r="E29" s="208"/>
      <c r="F29" s="75">
        <f>IFERROR(IF(F$4="",0,IF($E29="kWh",VLOOKUP(F$4,'4. Billing Determinants'!$B$19:$O$41,4,0)/'4. Billing Determinants'!$E$41*$D29,IF($E29="kW",VLOOKUP(F$4,'4. Billing Determinants'!$B$19:$O$41,5,0)/'4. Billing Determinants'!$F$41*$D29,IF($E29="Non-RPP kWh",VLOOKUP(F$4,'4. Billing Determinants'!$B$19:$O$41,6,0)/'4. Billing Determinants'!$G$41*$D29,IF($E29="Distribution Rev.",VLOOKUP(F$4,'4. Billing Determinants'!$B$19:$O$41,8,0)/'4. Billing Determinants'!$I$41*$D29, VLOOKUP(F$4,'4. Billing Determinants'!$B$19:$O$41,3,0)/'4. Billing Determinants'!$D$41*$D29))))),0)</f>
        <v>0</v>
      </c>
      <c r="G29" s="75">
        <f>IFERROR(IF(G$4="",0,IF($E29="kWh",VLOOKUP(G$4,'4. Billing Determinants'!$B$19:$O$41,4,0)/'4. Billing Determinants'!$E$41*$D29,IF($E29="kW",VLOOKUP(G$4,'4. Billing Determinants'!$B$19:$O$41,5,0)/'4. Billing Determinants'!$F$41*$D29,IF($E29="Non-RPP kWh",VLOOKUP(G$4,'4. Billing Determinants'!$B$19:$O$41,6,0)/'4. Billing Determinants'!$G$41*$D29,IF($E29="Distribution Rev.",VLOOKUP(G$4,'4. Billing Determinants'!$B$19:$O$41,8,0)/'4. Billing Determinants'!$I$41*$D29, VLOOKUP(G$4,'4. Billing Determinants'!$B$19:$O$41,3,0)/'4. Billing Determinants'!$D$41*$D29))))),0)</f>
        <v>0</v>
      </c>
      <c r="H29" s="75">
        <f>IFERROR(IF(H$4="",0,IF($E29="kWh",VLOOKUP(H$4,'4. Billing Determinants'!$B$19:$O$41,4,0)/'4. Billing Determinants'!$E$41*$D29,IF($E29="kW",VLOOKUP(H$4,'4. Billing Determinants'!$B$19:$O$41,5,0)/'4. Billing Determinants'!$F$41*$D29,IF($E29="Non-RPP kWh",VLOOKUP(H$4,'4. Billing Determinants'!$B$19:$O$41,6,0)/'4. Billing Determinants'!$G$41*$D29,IF($E29="Distribution Rev.",VLOOKUP(H$4,'4. Billing Determinants'!$B$19:$O$41,8,0)/'4. Billing Determinants'!$I$41*$D29, VLOOKUP(H$4,'4. Billing Determinants'!$B$19:$O$41,3,0)/'4. Billing Determinants'!$D$41*$D29))))),0)</f>
        <v>0</v>
      </c>
      <c r="I29" s="75">
        <f>IFERROR(IF(I$4="",0,IF($E29="kWh",VLOOKUP(I$4,'4. Billing Determinants'!$B$19:$O$41,4,0)/'4. Billing Determinants'!$E$41*$D29,IF($E29="kW",VLOOKUP(I$4,'4. Billing Determinants'!$B$19:$O$41,5,0)/'4. Billing Determinants'!$F$41*$D29,IF($E29="Non-RPP kWh",VLOOKUP(I$4,'4. Billing Determinants'!$B$19:$O$41,6,0)/'4. Billing Determinants'!$G$41*$D29,IF($E29="Distribution Rev.",VLOOKUP(I$4,'4. Billing Determinants'!$B$19:$O$41,8,0)/'4. Billing Determinants'!$I$41*$D29, VLOOKUP(I$4,'4. Billing Determinants'!$B$19:$O$41,3,0)/'4. Billing Determinants'!$D$41*$D29))))),0)</f>
        <v>0</v>
      </c>
      <c r="J29" s="75">
        <f>IFERROR(IF(J$4="",0,IF($E29="kWh",VLOOKUP(J$4,'4. Billing Determinants'!$B$19:$O$41,4,0)/'4. Billing Determinants'!$E$41*$D29,IF($E29="kW",VLOOKUP(J$4,'4. Billing Determinants'!$B$19:$O$41,5,0)/'4. Billing Determinants'!$F$41*$D29,IF($E29="Non-RPP kWh",VLOOKUP(J$4,'4. Billing Determinants'!$B$19:$O$41,6,0)/'4. Billing Determinants'!$G$41*$D29,IF($E29="Distribution Rev.",VLOOKUP(J$4,'4. Billing Determinants'!$B$19:$O$41,8,0)/'4. Billing Determinants'!$I$41*$D29, VLOOKUP(J$4,'4. Billing Determinants'!$B$19:$O$41,3,0)/'4. Billing Determinants'!$D$41*$D29))))),0)</f>
        <v>0</v>
      </c>
      <c r="K29" s="75">
        <f>IFERROR(IF(K$4="",0,IF($E29="kWh",VLOOKUP(K$4,'4. Billing Determinants'!$B$19:$O$41,4,0)/'4. Billing Determinants'!$E$41*$D29,IF($E29="kW",VLOOKUP(K$4,'4. Billing Determinants'!$B$19:$O$41,5,0)/'4. Billing Determinants'!$F$41*$D29,IF($E29="Non-RPP kWh",VLOOKUP(K$4,'4. Billing Determinants'!$B$19:$O$41,6,0)/'4. Billing Determinants'!$G$41*$D29,IF($E29="Distribution Rev.",VLOOKUP(K$4,'4. Billing Determinants'!$B$19:$O$41,8,0)/'4. Billing Determinants'!$I$41*$D29, VLOOKUP(K$4,'4. Billing Determinants'!$B$19:$O$41,3,0)/'4. Billing Determinants'!$D$41*$D29))))),0)</f>
        <v>0</v>
      </c>
      <c r="L29" s="75">
        <f>IFERROR(IF(L$4="",0,IF($E29="kWh",VLOOKUP(L$4,'4. Billing Determinants'!$B$19:$O$41,4,0)/'4. Billing Determinants'!$E$41*$D29,IF($E29="kW",VLOOKUP(L$4,'4. Billing Determinants'!$B$19:$O$41,5,0)/'4. Billing Determinants'!$F$41*$D29,IF($E29="Non-RPP kWh",VLOOKUP(L$4,'4. Billing Determinants'!$B$19:$O$41,6,0)/'4. Billing Determinants'!$G$41*$D29,IF($E29="Distribution Rev.",VLOOKUP(L$4,'4. Billing Determinants'!$B$19:$O$41,8,0)/'4. Billing Determinants'!$I$41*$D29, VLOOKUP(L$4,'4. Billing Determinants'!$B$19:$O$41,3,0)/'4. Billing Determinants'!$D$41*$D29))))),0)</f>
        <v>0</v>
      </c>
      <c r="M29" s="75">
        <f>IFERROR(IF(M$4="",0,IF($E29="kWh",VLOOKUP(M$4,'4. Billing Determinants'!$B$19:$O$41,4,0)/'4. Billing Determinants'!$E$41*$D29,IF($E29="kW",VLOOKUP(M$4,'4. Billing Determinants'!$B$19:$O$41,5,0)/'4. Billing Determinants'!$F$41*$D29,IF($E29="Non-RPP kWh",VLOOKUP(M$4,'4. Billing Determinants'!$B$19:$O$41,6,0)/'4. Billing Determinants'!$G$41*$D29,IF($E29="Distribution Rev.",VLOOKUP(M$4,'4. Billing Determinants'!$B$19:$O$41,8,0)/'4. Billing Determinants'!$I$41*$D29, VLOOKUP(M$4,'4. Billing Determinants'!$B$19:$O$41,3,0)/'4. Billing Determinants'!$D$41*$D29))))),0)</f>
        <v>0</v>
      </c>
      <c r="N29" s="75">
        <f>IFERROR(IF(N$4="",0,IF($E29="kWh",VLOOKUP(N$4,'4. Billing Determinants'!$B$19:$O$41,4,0)/'4. Billing Determinants'!$E$41*$D29,IF($E29="kW",VLOOKUP(N$4,'4. Billing Determinants'!$B$19:$O$41,5,0)/'4. Billing Determinants'!$F$41*$D29,IF($E29="Non-RPP kWh",VLOOKUP(N$4,'4. Billing Determinants'!$B$19:$O$41,6,0)/'4. Billing Determinants'!$G$41*$D29,IF($E29="Distribution Rev.",VLOOKUP(N$4,'4. Billing Determinants'!$B$19:$O$41,8,0)/'4. Billing Determinants'!$I$41*$D29, VLOOKUP(N$4,'4. Billing Determinants'!$B$19:$O$41,3,0)/'4. Billing Determinants'!$D$41*$D29))))),0)</f>
        <v>0</v>
      </c>
      <c r="O29" s="75">
        <f>IFERROR(IF(O$4="",0,IF($E29="kWh",VLOOKUP(O$4,'4. Billing Determinants'!$B$19:$O$41,4,0)/'4. Billing Determinants'!$E$41*$D29,IF($E29="kW",VLOOKUP(O$4,'4. Billing Determinants'!$B$19:$O$41,5,0)/'4. Billing Determinants'!$F$41*$D29,IF($E29="Non-RPP kWh",VLOOKUP(O$4,'4. Billing Determinants'!$B$19:$O$41,6,0)/'4. Billing Determinants'!$G$41*$D29,IF($E29="Distribution Rev.",VLOOKUP(O$4,'4. Billing Determinants'!$B$19:$O$41,8,0)/'4. Billing Determinants'!$I$41*$D29, VLOOKUP(O$4,'4. Billing Determinants'!$B$19:$O$41,3,0)/'4. Billing Determinants'!$D$41*$D29))))),0)</f>
        <v>0</v>
      </c>
      <c r="P29" s="75">
        <f>IFERROR(IF(P$4="",0,IF($E29="kWh",VLOOKUP(P$4,'4. Billing Determinants'!$B$19:$O$41,4,0)/'4. Billing Determinants'!$E$41*$D29,IF($E29="kW",VLOOKUP(P$4,'4. Billing Determinants'!$B$19:$O$41,5,0)/'4. Billing Determinants'!$F$41*$D29,IF($E29="Non-RPP kWh",VLOOKUP(P$4,'4. Billing Determinants'!$B$19:$O$41,6,0)/'4. Billing Determinants'!$G$41*$D29,IF($E29="Distribution Rev.",VLOOKUP(P$4,'4. Billing Determinants'!$B$19:$O$41,8,0)/'4. Billing Determinants'!$I$41*$D29, VLOOKUP(P$4,'4. Billing Determinants'!$B$19:$O$41,3,0)/'4. Billing Determinants'!$D$41*$D29))))),0)</f>
        <v>0</v>
      </c>
      <c r="Q29" s="75">
        <f>IFERROR(IF(Q$4="",0,IF($E29="kWh",VLOOKUP(Q$4,'4. Billing Determinants'!$B$19:$O$41,4,0)/'4. Billing Determinants'!$E$41*$D29,IF($E29="kW",VLOOKUP(Q$4,'4. Billing Determinants'!$B$19:$O$41,5,0)/'4. Billing Determinants'!$F$41*$D29,IF($E29="Non-RPP kWh",VLOOKUP(Q$4,'4. Billing Determinants'!$B$19:$O$41,6,0)/'4. Billing Determinants'!$G$41*$D29,IF($E29="Distribution Rev.",VLOOKUP(Q$4,'4. Billing Determinants'!$B$19:$O$41,8,0)/'4. Billing Determinants'!$I$41*$D29, VLOOKUP(Q$4,'4. Billing Determinants'!$B$19:$O$41,3,0)/'4. Billing Determinants'!$D$41*$D29))))),0)</f>
        <v>0</v>
      </c>
      <c r="R29" s="75">
        <f>IFERROR(IF(R$4="",0,IF($E29="kWh",VLOOKUP(R$4,'4. Billing Determinants'!$B$19:$O$41,4,0)/'4. Billing Determinants'!$E$41*$D29,IF($E29="kW",VLOOKUP(R$4,'4. Billing Determinants'!$B$19:$O$41,5,0)/'4. Billing Determinants'!$F$41*$D29,IF($E29="Non-RPP kWh",VLOOKUP(R$4,'4. Billing Determinants'!$B$19:$O$41,6,0)/'4. Billing Determinants'!$G$41*$D29,IF($E29="Distribution Rev.",VLOOKUP(R$4,'4. Billing Determinants'!$B$19:$O$41,8,0)/'4. Billing Determinants'!$I$41*$D29, VLOOKUP(R$4,'4. Billing Determinants'!$B$19:$O$41,3,0)/'4. Billing Determinants'!$D$41*$D29))))),0)</f>
        <v>0</v>
      </c>
      <c r="S29" s="75">
        <f>IFERROR(IF(S$4="",0,IF($E29="kWh",VLOOKUP(S$4,'4. Billing Determinants'!$B$19:$O$41,4,0)/'4. Billing Determinants'!$E$41*$D29,IF($E29="kW",VLOOKUP(S$4,'4. Billing Determinants'!$B$19:$O$41,5,0)/'4. Billing Determinants'!$F$41*$D29,IF($E29="Non-RPP kWh",VLOOKUP(S$4,'4. Billing Determinants'!$B$19:$O$41,6,0)/'4. Billing Determinants'!$G$41*$D29,IF($E29="Distribution Rev.",VLOOKUP(S$4,'4. Billing Determinants'!$B$19:$O$41,8,0)/'4. Billing Determinants'!$I$41*$D29, VLOOKUP(S$4,'4. Billing Determinants'!$B$19:$O$41,3,0)/'4. Billing Determinants'!$D$41*$D29))))),0)</f>
        <v>0</v>
      </c>
      <c r="T29" s="75">
        <f>IFERROR(IF(T$4="",0,IF($E29="kWh",VLOOKUP(T$4,'4. Billing Determinants'!$B$19:$O$41,4,0)/'4. Billing Determinants'!$E$41*$D29,IF($E29="kW",VLOOKUP(T$4,'4. Billing Determinants'!$B$19:$O$41,5,0)/'4. Billing Determinants'!$F$41*$D29,IF($E29="Non-RPP kWh",VLOOKUP(T$4,'4. Billing Determinants'!$B$19:$O$41,6,0)/'4. Billing Determinants'!$G$41*$D29,IF($E29="Distribution Rev.",VLOOKUP(T$4,'4. Billing Determinants'!$B$19:$O$41,8,0)/'4. Billing Determinants'!$I$41*$D29, VLOOKUP(T$4,'4. Billing Determinants'!$B$19:$O$41,3,0)/'4. Billing Determinants'!$D$41*$D29))))),0)</f>
        <v>0</v>
      </c>
      <c r="U29" s="75">
        <f>IFERROR(IF(U$4="",0,IF($E29="kWh",VLOOKUP(U$4,'4. Billing Determinants'!$B$19:$O$41,4,0)/'4. Billing Determinants'!$E$41*$D29,IF($E29="kW",VLOOKUP(U$4,'4. Billing Determinants'!$B$19:$O$41,5,0)/'4. Billing Determinants'!$F$41*$D29,IF($E29="Non-RPP kWh",VLOOKUP(U$4,'4. Billing Determinants'!$B$19:$O$41,6,0)/'4. Billing Determinants'!$G$41*$D29,IF($E29="Distribution Rev.",VLOOKUP(U$4,'4. Billing Determinants'!$B$19:$O$41,8,0)/'4. Billing Determinants'!$I$41*$D29, VLOOKUP(U$4,'4. Billing Determinants'!$B$19:$O$41,3,0)/'4. Billing Determinants'!$D$41*$D29))))),0)</f>
        <v>0</v>
      </c>
      <c r="V29" s="75">
        <f>IFERROR(IF(V$4="",0,IF($E29="kWh",VLOOKUP(V$4,'4. Billing Determinants'!$B$19:$O$41,4,0)/'4. Billing Determinants'!$E$41*$D29,IF($E29="kW",VLOOKUP(V$4,'4. Billing Determinants'!$B$19:$O$41,5,0)/'4. Billing Determinants'!$F$41*$D29,IF($E29="Non-RPP kWh",VLOOKUP(V$4,'4. Billing Determinants'!$B$19:$O$41,6,0)/'4. Billing Determinants'!$G$41*$D29,IF($E29="Distribution Rev.",VLOOKUP(V$4,'4. Billing Determinants'!$B$19:$O$41,8,0)/'4. Billing Determinants'!$I$41*$D29, VLOOKUP(V$4,'4. Billing Determinants'!$B$19:$O$41,3,0)/'4. Billing Determinants'!$D$41*$D29))))),0)</f>
        <v>0</v>
      </c>
      <c r="W29" s="75">
        <f>IFERROR(IF(W$4="",0,IF($E29="kWh",VLOOKUP(W$4,'4. Billing Determinants'!$B$19:$O$41,4,0)/'4. Billing Determinants'!$E$41*$D29,IF($E29="kW",VLOOKUP(W$4,'4. Billing Determinants'!$B$19:$O$41,5,0)/'4. Billing Determinants'!$F$41*$D29,IF($E29="Non-RPP kWh",VLOOKUP(W$4,'4. Billing Determinants'!$B$19:$O$41,6,0)/'4. Billing Determinants'!$G$41*$D29,IF($E29="Distribution Rev.",VLOOKUP(W$4,'4. Billing Determinants'!$B$19:$O$41,8,0)/'4. Billing Determinants'!$I$41*$D29, VLOOKUP(W$4,'4. Billing Determinants'!$B$19:$O$41,3,0)/'4. Billing Determinants'!$D$41*$D29))))),0)</f>
        <v>0</v>
      </c>
      <c r="X29" s="75">
        <f>IFERROR(IF(X$4="",0,IF($E29="kWh",VLOOKUP(X$4,'4. Billing Determinants'!$B$19:$O$41,4,0)/'4. Billing Determinants'!$E$41*$D29,IF($E29="kW",VLOOKUP(X$4,'4. Billing Determinants'!$B$19:$O$41,5,0)/'4. Billing Determinants'!$F$41*$D29,IF($E29="Non-RPP kWh",VLOOKUP(X$4,'4. Billing Determinants'!$B$19:$O$41,6,0)/'4. Billing Determinants'!$G$41*$D29,IF($E29="Distribution Rev.",VLOOKUP(X$4,'4. Billing Determinants'!$B$19:$O$41,8,0)/'4. Billing Determinants'!$I$41*$D29, VLOOKUP(X$4,'4. Billing Determinants'!$B$19:$O$41,3,0)/'4. Billing Determinants'!$D$41*$D29))))),0)</f>
        <v>0</v>
      </c>
      <c r="Y29" s="75">
        <f>IFERROR(IF(Y$4="",0,IF($E29="kWh",VLOOKUP(Y$4,'4. Billing Determinants'!$B$19:$O$41,4,0)/'4. Billing Determinants'!$E$41*$D29,IF($E29="kW",VLOOKUP(Y$4,'4. Billing Determinants'!$B$19:$O$41,5,0)/'4. Billing Determinants'!$F$41*$D29,IF($E29="Non-RPP kWh",VLOOKUP(Y$4,'4. Billing Determinants'!$B$19:$O$41,6,0)/'4. Billing Determinants'!$G$41*$D29,IF($E29="Distribution Rev.",VLOOKUP(Y$4,'4. Billing Determinants'!$B$19:$O$41,8,0)/'4. Billing Determinants'!$I$41*$D29, VLOOKUP(Y$4,'4. Billing Determinants'!$B$19:$O$41,3,0)/'4. Billing Determinants'!$D$41*$D29))))),0)</f>
        <v>0</v>
      </c>
    </row>
    <row r="30" spans="2:25" x14ac:dyDescent="0.2">
      <c r="B30" s="73" t="s">
        <v>32</v>
      </c>
      <c r="C30" s="74">
        <v>1534</v>
      </c>
      <c r="D30" s="75">
        <f>'2. 2013 Continuity Schedule'!CP53</f>
        <v>4.0784000156680123E-3</v>
      </c>
      <c r="E30" s="208"/>
      <c r="F30" s="75">
        <f>IFERROR(IF(F$4="",0,IF($E30="kWh",VLOOKUP(F$4,'4. Billing Determinants'!$B$19:$O$41,4,0)/'4. Billing Determinants'!$E$41*$D30,IF($E30="kW",VLOOKUP(F$4,'4. Billing Determinants'!$B$19:$O$41,5,0)/'4. Billing Determinants'!$F$41*$D30,IF($E30="Non-RPP kWh",VLOOKUP(F$4,'4. Billing Determinants'!$B$19:$O$41,6,0)/'4. Billing Determinants'!$G$41*$D30,IF($E30="Distribution Rev.",VLOOKUP(F$4,'4. Billing Determinants'!$B$19:$O$41,8,0)/'4. Billing Determinants'!$I$41*$D30, VLOOKUP(F$4,'4. Billing Determinants'!$B$19:$O$41,3,0)/'4. Billing Determinants'!$D$41*$D30))))),0)</f>
        <v>3.3852606898982845E-3</v>
      </c>
      <c r="G30" s="75">
        <f>IFERROR(IF(G$4="",0,IF($E30="kWh",VLOOKUP(G$4,'4. Billing Determinants'!$B$19:$O$41,4,0)/'4. Billing Determinants'!$E$41*$D30,IF($E30="kW",VLOOKUP(G$4,'4. Billing Determinants'!$B$19:$O$41,5,0)/'4. Billing Determinants'!$F$41*$D30,IF($E30="Non-RPP kWh",VLOOKUP(G$4,'4. Billing Determinants'!$B$19:$O$41,6,0)/'4. Billing Determinants'!$G$41*$D30,IF($E30="Distribution Rev.",VLOOKUP(G$4,'4. Billing Determinants'!$B$19:$O$41,8,0)/'4. Billing Determinants'!$I$41*$D30, VLOOKUP(G$4,'4. Billing Determinants'!$B$19:$O$41,3,0)/'4. Billing Determinants'!$D$41*$D30))))),0)</f>
        <v>6.2164071336941206E-4</v>
      </c>
      <c r="H30" s="75">
        <f>IFERROR(IF(H$4="",0,IF($E30="kWh",VLOOKUP(H$4,'4. Billing Determinants'!$B$19:$O$41,4,0)/'4. Billing Determinants'!$E$41*$D30,IF($E30="kW",VLOOKUP(H$4,'4. Billing Determinants'!$B$19:$O$41,5,0)/'4. Billing Determinants'!$F$41*$D30,IF($E30="Non-RPP kWh",VLOOKUP(H$4,'4. Billing Determinants'!$B$19:$O$41,6,0)/'4. Billing Determinants'!$G$41*$D30,IF($E30="Distribution Rev.",VLOOKUP(H$4,'4. Billing Determinants'!$B$19:$O$41,8,0)/'4. Billing Determinants'!$I$41*$D30, VLOOKUP(H$4,'4. Billing Determinants'!$B$19:$O$41,3,0)/'4. Billing Determinants'!$D$41*$D30))))),0)</f>
        <v>5.8092622575256565E-5</v>
      </c>
      <c r="I30" s="75">
        <f>IFERROR(IF(I$4="",0,IF($E30="kWh",VLOOKUP(I$4,'4. Billing Determinants'!$B$19:$O$41,4,0)/'4. Billing Determinants'!$E$41*$D30,IF($E30="kW",VLOOKUP(I$4,'4. Billing Determinants'!$B$19:$O$41,5,0)/'4. Billing Determinants'!$F$41*$D30,IF($E30="Non-RPP kWh",VLOOKUP(I$4,'4. Billing Determinants'!$B$19:$O$41,6,0)/'4. Billing Determinants'!$G$41*$D30,IF($E30="Distribution Rev.",VLOOKUP(I$4,'4. Billing Determinants'!$B$19:$O$41,8,0)/'4. Billing Determinants'!$I$41*$D30, VLOOKUP(I$4,'4. Billing Determinants'!$B$19:$O$41,3,0)/'4. Billing Determinants'!$D$41*$D30))))),0)</f>
        <v>1.0923399116714909E-5</v>
      </c>
      <c r="J30" s="75">
        <f>IFERROR(IF(J$4="",0,IF($E30="kWh",VLOOKUP(J$4,'4. Billing Determinants'!$B$19:$O$41,4,0)/'4. Billing Determinants'!$E$41*$D30,IF($E30="kW",VLOOKUP(J$4,'4. Billing Determinants'!$B$19:$O$41,5,0)/'4. Billing Determinants'!$F$41*$D30,IF($E30="Non-RPP kWh",VLOOKUP(J$4,'4. Billing Determinants'!$B$19:$O$41,6,0)/'4. Billing Determinants'!$G$41*$D30,IF($E30="Distribution Rev.",VLOOKUP(J$4,'4. Billing Determinants'!$B$19:$O$41,8,0)/'4. Billing Determinants'!$I$41*$D30, VLOOKUP(J$4,'4. Billing Determinants'!$B$19:$O$41,3,0)/'4. Billing Determinants'!$D$41*$D30))))),0)</f>
        <v>2.4825907083442976E-6</v>
      </c>
      <c r="K30" s="75">
        <f>IFERROR(IF(K$4="",0,IF($E30="kWh",VLOOKUP(K$4,'4. Billing Determinants'!$B$19:$O$41,4,0)/'4. Billing Determinants'!$E$41*$D30,IF($E30="kW",VLOOKUP(K$4,'4. Billing Determinants'!$B$19:$O$41,5,0)/'4. Billing Determinants'!$F$41*$D30,IF($E30="Non-RPP kWh",VLOOKUP(K$4,'4. Billing Determinants'!$B$19:$O$41,6,0)/'4. Billing Determinants'!$G$41*$D30,IF($E30="Distribution Rev.",VLOOKUP(K$4,'4. Billing Determinants'!$B$19:$O$41,8,0)/'4. Billing Determinants'!$I$41*$D30, VLOOKUP(K$4,'4. Billing Determinants'!$B$19:$O$41,3,0)/'4. Billing Determinants'!$D$41*$D30))))),0)</f>
        <v>0</v>
      </c>
      <c r="L30" s="75">
        <f>IFERROR(IF(L$4="",0,IF($E30="kWh",VLOOKUP(L$4,'4. Billing Determinants'!$B$19:$O$41,4,0)/'4. Billing Determinants'!$E$41*$D30,IF($E30="kW",VLOOKUP(L$4,'4. Billing Determinants'!$B$19:$O$41,5,0)/'4. Billing Determinants'!$F$41*$D30,IF($E30="Non-RPP kWh",VLOOKUP(L$4,'4. Billing Determinants'!$B$19:$O$41,6,0)/'4. Billing Determinants'!$G$41*$D30,IF($E30="Distribution Rev.",VLOOKUP(L$4,'4. Billing Determinants'!$B$19:$O$41,8,0)/'4. Billing Determinants'!$I$41*$D30, VLOOKUP(L$4,'4. Billing Determinants'!$B$19:$O$41,3,0)/'4. Billing Determinants'!$D$41*$D30))))),0)</f>
        <v>0</v>
      </c>
      <c r="M30" s="75">
        <f>IFERROR(IF(M$4="",0,IF($E30="kWh",VLOOKUP(M$4,'4. Billing Determinants'!$B$19:$O$41,4,0)/'4. Billing Determinants'!$E$41*$D30,IF($E30="kW",VLOOKUP(M$4,'4. Billing Determinants'!$B$19:$O$41,5,0)/'4. Billing Determinants'!$F$41*$D30,IF($E30="Non-RPP kWh",VLOOKUP(M$4,'4. Billing Determinants'!$B$19:$O$41,6,0)/'4. Billing Determinants'!$G$41*$D30,IF($E30="Distribution Rev.",VLOOKUP(M$4,'4. Billing Determinants'!$B$19:$O$41,8,0)/'4. Billing Determinants'!$I$41*$D30, VLOOKUP(M$4,'4. Billing Determinants'!$B$19:$O$41,3,0)/'4. Billing Determinants'!$D$41*$D30))))),0)</f>
        <v>0</v>
      </c>
      <c r="N30" s="75">
        <f>IFERROR(IF(N$4="",0,IF($E30="kWh",VLOOKUP(N$4,'4. Billing Determinants'!$B$19:$O$41,4,0)/'4. Billing Determinants'!$E$41*$D30,IF($E30="kW",VLOOKUP(N$4,'4. Billing Determinants'!$B$19:$O$41,5,0)/'4. Billing Determinants'!$F$41*$D30,IF($E30="Non-RPP kWh",VLOOKUP(N$4,'4. Billing Determinants'!$B$19:$O$41,6,0)/'4. Billing Determinants'!$G$41*$D30,IF($E30="Distribution Rev.",VLOOKUP(N$4,'4. Billing Determinants'!$B$19:$O$41,8,0)/'4. Billing Determinants'!$I$41*$D30, VLOOKUP(N$4,'4. Billing Determinants'!$B$19:$O$41,3,0)/'4. Billing Determinants'!$D$41*$D30))))),0)</f>
        <v>0</v>
      </c>
      <c r="O30" s="75">
        <f>IFERROR(IF(O$4="",0,IF($E30="kWh",VLOOKUP(O$4,'4. Billing Determinants'!$B$19:$O$41,4,0)/'4. Billing Determinants'!$E$41*$D30,IF($E30="kW",VLOOKUP(O$4,'4. Billing Determinants'!$B$19:$O$41,5,0)/'4. Billing Determinants'!$F$41*$D30,IF($E30="Non-RPP kWh",VLOOKUP(O$4,'4. Billing Determinants'!$B$19:$O$41,6,0)/'4. Billing Determinants'!$G$41*$D30,IF($E30="Distribution Rev.",VLOOKUP(O$4,'4. Billing Determinants'!$B$19:$O$41,8,0)/'4. Billing Determinants'!$I$41*$D30, VLOOKUP(O$4,'4. Billing Determinants'!$B$19:$O$41,3,0)/'4. Billing Determinants'!$D$41*$D30))))),0)</f>
        <v>0</v>
      </c>
      <c r="P30" s="75">
        <f>IFERROR(IF(P$4="",0,IF($E30="kWh",VLOOKUP(P$4,'4. Billing Determinants'!$B$19:$O$41,4,0)/'4. Billing Determinants'!$E$41*$D30,IF($E30="kW",VLOOKUP(P$4,'4. Billing Determinants'!$B$19:$O$41,5,0)/'4. Billing Determinants'!$F$41*$D30,IF($E30="Non-RPP kWh",VLOOKUP(P$4,'4. Billing Determinants'!$B$19:$O$41,6,0)/'4. Billing Determinants'!$G$41*$D30,IF($E30="Distribution Rev.",VLOOKUP(P$4,'4. Billing Determinants'!$B$19:$O$41,8,0)/'4. Billing Determinants'!$I$41*$D30, VLOOKUP(P$4,'4. Billing Determinants'!$B$19:$O$41,3,0)/'4. Billing Determinants'!$D$41*$D30))))),0)</f>
        <v>0</v>
      </c>
      <c r="Q30" s="75">
        <f>IFERROR(IF(Q$4="",0,IF($E30="kWh",VLOOKUP(Q$4,'4. Billing Determinants'!$B$19:$O$41,4,0)/'4. Billing Determinants'!$E$41*$D30,IF($E30="kW",VLOOKUP(Q$4,'4. Billing Determinants'!$B$19:$O$41,5,0)/'4. Billing Determinants'!$F$41*$D30,IF($E30="Non-RPP kWh",VLOOKUP(Q$4,'4. Billing Determinants'!$B$19:$O$41,6,0)/'4. Billing Determinants'!$G$41*$D30,IF($E30="Distribution Rev.",VLOOKUP(Q$4,'4. Billing Determinants'!$B$19:$O$41,8,0)/'4. Billing Determinants'!$I$41*$D30, VLOOKUP(Q$4,'4. Billing Determinants'!$B$19:$O$41,3,0)/'4. Billing Determinants'!$D$41*$D30))))),0)</f>
        <v>0</v>
      </c>
      <c r="R30" s="75">
        <f>IFERROR(IF(R$4="",0,IF($E30="kWh",VLOOKUP(R$4,'4. Billing Determinants'!$B$19:$O$41,4,0)/'4. Billing Determinants'!$E$41*$D30,IF($E30="kW",VLOOKUP(R$4,'4. Billing Determinants'!$B$19:$O$41,5,0)/'4. Billing Determinants'!$F$41*$D30,IF($E30="Non-RPP kWh",VLOOKUP(R$4,'4. Billing Determinants'!$B$19:$O$41,6,0)/'4. Billing Determinants'!$G$41*$D30,IF($E30="Distribution Rev.",VLOOKUP(R$4,'4. Billing Determinants'!$B$19:$O$41,8,0)/'4. Billing Determinants'!$I$41*$D30, VLOOKUP(R$4,'4. Billing Determinants'!$B$19:$O$41,3,0)/'4. Billing Determinants'!$D$41*$D30))))),0)</f>
        <v>0</v>
      </c>
      <c r="S30" s="75">
        <f>IFERROR(IF(S$4="",0,IF($E30="kWh",VLOOKUP(S$4,'4. Billing Determinants'!$B$19:$O$41,4,0)/'4. Billing Determinants'!$E$41*$D30,IF($E30="kW",VLOOKUP(S$4,'4. Billing Determinants'!$B$19:$O$41,5,0)/'4. Billing Determinants'!$F$41*$D30,IF($E30="Non-RPP kWh",VLOOKUP(S$4,'4. Billing Determinants'!$B$19:$O$41,6,0)/'4. Billing Determinants'!$G$41*$D30,IF($E30="Distribution Rev.",VLOOKUP(S$4,'4. Billing Determinants'!$B$19:$O$41,8,0)/'4. Billing Determinants'!$I$41*$D30, VLOOKUP(S$4,'4. Billing Determinants'!$B$19:$O$41,3,0)/'4. Billing Determinants'!$D$41*$D30))))),0)</f>
        <v>0</v>
      </c>
      <c r="T30" s="75">
        <f>IFERROR(IF(T$4="",0,IF($E30="kWh",VLOOKUP(T$4,'4. Billing Determinants'!$B$19:$O$41,4,0)/'4. Billing Determinants'!$E$41*$D30,IF($E30="kW",VLOOKUP(T$4,'4. Billing Determinants'!$B$19:$O$41,5,0)/'4. Billing Determinants'!$F$41*$D30,IF($E30="Non-RPP kWh",VLOOKUP(T$4,'4. Billing Determinants'!$B$19:$O$41,6,0)/'4. Billing Determinants'!$G$41*$D30,IF($E30="Distribution Rev.",VLOOKUP(T$4,'4. Billing Determinants'!$B$19:$O$41,8,0)/'4. Billing Determinants'!$I$41*$D30, VLOOKUP(T$4,'4. Billing Determinants'!$B$19:$O$41,3,0)/'4. Billing Determinants'!$D$41*$D30))))),0)</f>
        <v>0</v>
      </c>
      <c r="U30" s="75">
        <f>IFERROR(IF(U$4="",0,IF($E30="kWh",VLOOKUP(U$4,'4. Billing Determinants'!$B$19:$O$41,4,0)/'4. Billing Determinants'!$E$41*$D30,IF($E30="kW",VLOOKUP(U$4,'4. Billing Determinants'!$B$19:$O$41,5,0)/'4. Billing Determinants'!$F$41*$D30,IF($E30="Non-RPP kWh",VLOOKUP(U$4,'4. Billing Determinants'!$B$19:$O$41,6,0)/'4. Billing Determinants'!$G$41*$D30,IF($E30="Distribution Rev.",VLOOKUP(U$4,'4. Billing Determinants'!$B$19:$O$41,8,0)/'4. Billing Determinants'!$I$41*$D30, VLOOKUP(U$4,'4. Billing Determinants'!$B$19:$O$41,3,0)/'4. Billing Determinants'!$D$41*$D30))))),0)</f>
        <v>0</v>
      </c>
      <c r="V30" s="75">
        <f>IFERROR(IF(V$4="",0,IF($E30="kWh",VLOOKUP(V$4,'4. Billing Determinants'!$B$19:$O$41,4,0)/'4. Billing Determinants'!$E$41*$D30,IF($E30="kW",VLOOKUP(V$4,'4. Billing Determinants'!$B$19:$O$41,5,0)/'4. Billing Determinants'!$F$41*$D30,IF($E30="Non-RPP kWh",VLOOKUP(V$4,'4. Billing Determinants'!$B$19:$O$41,6,0)/'4. Billing Determinants'!$G$41*$D30,IF($E30="Distribution Rev.",VLOOKUP(V$4,'4. Billing Determinants'!$B$19:$O$41,8,0)/'4. Billing Determinants'!$I$41*$D30, VLOOKUP(V$4,'4. Billing Determinants'!$B$19:$O$41,3,0)/'4. Billing Determinants'!$D$41*$D30))))),0)</f>
        <v>0</v>
      </c>
      <c r="W30" s="75">
        <f>IFERROR(IF(W$4="",0,IF($E30="kWh",VLOOKUP(W$4,'4. Billing Determinants'!$B$19:$O$41,4,0)/'4. Billing Determinants'!$E$41*$D30,IF($E30="kW",VLOOKUP(W$4,'4. Billing Determinants'!$B$19:$O$41,5,0)/'4. Billing Determinants'!$F$41*$D30,IF($E30="Non-RPP kWh",VLOOKUP(W$4,'4. Billing Determinants'!$B$19:$O$41,6,0)/'4. Billing Determinants'!$G$41*$D30,IF($E30="Distribution Rev.",VLOOKUP(W$4,'4. Billing Determinants'!$B$19:$O$41,8,0)/'4. Billing Determinants'!$I$41*$D30, VLOOKUP(W$4,'4. Billing Determinants'!$B$19:$O$41,3,0)/'4. Billing Determinants'!$D$41*$D30))))),0)</f>
        <v>0</v>
      </c>
      <c r="X30" s="75">
        <f>IFERROR(IF(X$4="",0,IF($E30="kWh",VLOOKUP(X$4,'4. Billing Determinants'!$B$19:$O$41,4,0)/'4. Billing Determinants'!$E$41*$D30,IF($E30="kW",VLOOKUP(X$4,'4. Billing Determinants'!$B$19:$O$41,5,0)/'4. Billing Determinants'!$F$41*$D30,IF($E30="Non-RPP kWh",VLOOKUP(X$4,'4. Billing Determinants'!$B$19:$O$41,6,0)/'4. Billing Determinants'!$G$41*$D30,IF($E30="Distribution Rev.",VLOOKUP(X$4,'4. Billing Determinants'!$B$19:$O$41,8,0)/'4. Billing Determinants'!$I$41*$D30, VLOOKUP(X$4,'4. Billing Determinants'!$B$19:$O$41,3,0)/'4. Billing Determinants'!$D$41*$D30))))),0)</f>
        <v>0</v>
      </c>
      <c r="Y30" s="75">
        <f>IFERROR(IF(Y$4="",0,IF($E30="kWh",VLOOKUP(Y$4,'4. Billing Determinants'!$B$19:$O$41,4,0)/'4. Billing Determinants'!$E$41*$D30,IF($E30="kW",VLOOKUP(Y$4,'4. Billing Determinants'!$B$19:$O$41,5,0)/'4. Billing Determinants'!$F$41*$D30,IF($E30="Non-RPP kWh",VLOOKUP(Y$4,'4. Billing Determinants'!$B$19:$O$41,6,0)/'4. Billing Determinants'!$G$41*$D30,IF($E30="Distribution Rev.",VLOOKUP(Y$4,'4. Billing Determinants'!$B$19:$O$41,8,0)/'4. Billing Determinants'!$I$41*$D30, VLOOKUP(Y$4,'4. Billing Determinants'!$B$19:$O$41,3,0)/'4. Billing Determinants'!$D$41*$D30))))),0)</f>
        <v>0</v>
      </c>
    </row>
    <row r="31" spans="2:25" x14ac:dyDescent="0.2">
      <c r="B31" s="73" t="s">
        <v>33</v>
      </c>
      <c r="C31" s="74">
        <v>1535</v>
      </c>
      <c r="D31" s="75">
        <f>'2. 2013 Continuity Schedule'!CP54</f>
        <v>133024.93217760001</v>
      </c>
      <c r="E31" s="208" t="s">
        <v>306</v>
      </c>
      <c r="F31" s="75">
        <f>IFERROR(IF(F$4="",0,IF($E31="kWh",VLOOKUP(F$4,'4. Billing Determinants'!$B$19:$O$41,4,0)/'4. Billing Determinants'!$E$41*$D31,IF($E31="kW",VLOOKUP(F$4,'4. Billing Determinants'!$B$19:$O$41,5,0)/'4. Billing Determinants'!$F$41*$D31,IF($E31="Non-RPP kWh",VLOOKUP(F$4,'4. Billing Determinants'!$B$19:$O$41,6,0)/'4. Billing Determinants'!$G$41*$D31,IF($E31="Distribution Rev.",VLOOKUP(F$4,'4. Billing Determinants'!$B$19:$O$41,8,0)/'4. Billing Determinants'!$I$41*$D31, VLOOKUP(F$4,'4. Billing Determinants'!$B$19:$O$41,3,0)/'4. Billing Determinants'!$D$41*$D31))))),0)</f>
        <v>48651.035300114025</v>
      </c>
      <c r="G31" s="75">
        <f>IFERROR(IF(G$4="",0,IF($E31="kWh",VLOOKUP(G$4,'4. Billing Determinants'!$B$19:$O$41,4,0)/'4. Billing Determinants'!$E$41*$D31,IF($E31="kW",VLOOKUP(G$4,'4. Billing Determinants'!$B$19:$O$41,5,0)/'4. Billing Determinants'!$F$41*$D31,IF($E31="Non-RPP kWh",VLOOKUP(G$4,'4. Billing Determinants'!$B$19:$O$41,6,0)/'4. Billing Determinants'!$G$41*$D31,IF($E31="Distribution Rev.",VLOOKUP(G$4,'4. Billing Determinants'!$B$19:$O$41,8,0)/'4. Billing Determinants'!$I$41*$D31, VLOOKUP(G$4,'4. Billing Determinants'!$B$19:$O$41,3,0)/'4. Billing Determinants'!$D$41*$D31))))),0)</f>
        <v>25679.226834993369</v>
      </c>
      <c r="H31" s="75">
        <f>IFERROR(IF(H$4="",0,IF($E31="kWh",VLOOKUP(H$4,'4. Billing Determinants'!$B$19:$O$41,4,0)/'4. Billing Determinants'!$E$41*$D31,IF($E31="kW",VLOOKUP(H$4,'4. Billing Determinants'!$B$19:$O$41,5,0)/'4. Billing Determinants'!$F$41*$D31,IF($E31="Non-RPP kWh",VLOOKUP(H$4,'4. Billing Determinants'!$B$19:$O$41,6,0)/'4. Billing Determinants'!$G$41*$D31,IF($E31="Distribution Rev.",VLOOKUP(H$4,'4. Billing Determinants'!$B$19:$O$41,8,0)/'4. Billing Determinants'!$I$41*$D31, VLOOKUP(H$4,'4. Billing Determinants'!$B$19:$O$41,3,0)/'4. Billing Determinants'!$D$41*$D31))))),0)</f>
        <v>57689.193116137983</v>
      </c>
      <c r="I31" s="75">
        <f>IFERROR(IF(I$4="",0,IF($E31="kWh",VLOOKUP(I$4,'4. Billing Determinants'!$B$19:$O$41,4,0)/'4. Billing Determinants'!$E$41*$D31,IF($E31="kW",VLOOKUP(I$4,'4. Billing Determinants'!$B$19:$O$41,5,0)/'4. Billing Determinants'!$F$41*$D31,IF($E31="Non-RPP kWh",VLOOKUP(I$4,'4. Billing Determinants'!$B$19:$O$41,6,0)/'4. Billing Determinants'!$G$41*$D31,IF($E31="Distribution Rev.",VLOOKUP(I$4,'4. Billing Determinants'!$B$19:$O$41,8,0)/'4. Billing Determinants'!$I$41*$D31, VLOOKUP(I$4,'4. Billing Determinants'!$B$19:$O$41,3,0)/'4. Billing Determinants'!$D$41*$D31))))),0)</f>
        <v>159.54342300029725</v>
      </c>
      <c r="J31" s="75">
        <f>IFERROR(IF(J$4="",0,IF($E31="kWh",VLOOKUP(J$4,'4. Billing Determinants'!$B$19:$O$41,4,0)/'4. Billing Determinants'!$E$41*$D31,IF($E31="kW",VLOOKUP(J$4,'4. Billing Determinants'!$B$19:$O$41,5,0)/'4. Billing Determinants'!$F$41*$D31,IF($E31="Non-RPP kWh",VLOOKUP(J$4,'4. Billing Determinants'!$B$19:$O$41,6,0)/'4. Billing Determinants'!$G$41*$D31,IF($E31="Distribution Rev.",VLOOKUP(J$4,'4. Billing Determinants'!$B$19:$O$41,8,0)/'4. Billing Determinants'!$I$41*$D31, VLOOKUP(J$4,'4. Billing Determinants'!$B$19:$O$41,3,0)/'4. Billing Determinants'!$D$41*$D31))))),0)</f>
        <v>845.93350335433092</v>
      </c>
      <c r="K31" s="75">
        <f>IFERROR(IF(K$4="",0,IF($E31="kWh",VLOOKUP(K$4,'4. Billing Determinants'!$B$19:$O$41,4,0)/'4. Billing Determinants'!$E$41*$D31,IF($E31="kW",VLOOKUP(K$4,'4. Billing Determinants'!$B$19:$O$41,5,0)/'4. Billing Determinants'!$F$41*$D31,IF($E31="Non-RPP kWh",VLOOKUP(K$4,'4. Billing Determinants'!$B$19:$O$41,6,0)/'4. Billing Determinants'!$G$41*$D31,IF($E31="Distribution Rev.",VLOOKUP(K$4,'4. Billing Determinants'!$B$19:$O$41,8,0)/'4. Billing Determinants'!$I$41*$D31, VLOOKUP(K$4,'4. Billing Determinants'!$B$19:$O$41,3,0)/'4. Billing Determinants'!$D$41*$D31))))),0)</f>
        <v>0</v>
      </c>
      <c r="L31" s="75">
        <f>IFERROR(IF(L$4="",0,IF($E31="kWh",VLOOKUP(L$4,'4. Billing Determinants'!$B$19:$O$41,4,0)/'4. Billing Determinants'!$E$41*$D31,IF($E31="kW",VLOOKUP(L$4,'4. Billing Determinants'!$B$19:$O$41,5,0)/'4. Billing Determinants'!$F$41*$D31,IF($E31="Non-RPP kWh",VLOOKUP(L$4,'4. Billing Determinants'!$B$19:$O$41,6,0)/'4. Billing Determinants'!$G$41*$D31,IF($E31="Distribution Rev.",VLOOKUP(L$4,'4. Billing Determinants'!$B$19:$O$41,8,0)/'4. Billing Determinants'!$I$41*$D31, VLOOKUP(L$4,'4. Billing Determinants'!$B$19:$O$41,3,0)/'4. Billing Determinants'!$D$41*$D31))))),0)</f>
        <v>0</v>
      </c>
      <c r="M31" s="75">
        <f>IFERROR(IF(M$4="",0,IF($E31="kWh",VLOOKUP(M$4,'4. Billing Determinants'!$B$19:$O$41,4,0)/'4. Billing Determinants'!$E$41*$D31,IF($E31="kW",VLOOKUP(M$4,'4. Billing Determinants'!$B$19:$O$41,5,0)/'4. Billing Determinants'!$F$41*$D31,IF($E31="Non-RPP kWh",VLOOKUP(M$4,'4. Billing Determinants'!$B$19:$O$41,6,0)/'4. Billing Determinants'!$G$41*$D31,IF($E31="Distribution Rev.",VLOOKUP(M$4,'4. Billing Determinants'!$B$19:$O$41,8,0)/'4. Billing Determinants'!$I$41*$D31, VLOOKUP(M$4,'4. Billing Determinants'!$B$19:$O$41,3,0)/'4. Billing Determinants'!$D$41*$D31))))),0)</f>
        <v>0</v>
      </c>
      <c r="N31" s="75">
        <f>IFERROR(IF(N$4="",0,IF($E31="kWh",VLOOKUP(N$4,'4. Billing Determinants'!$B$19:$O$41,4,0)/'4. Billing Determinants'!$E$41*$D31,IF($E31="kW",VLOOKUP(N$4,'4. Billing Determinants'!$B$19:$O$41,5,0)/'4. Billing Determinants'!$F$41*$D31,IF($E31="Non-RPP kWh",VLOOKUP(N$4,'4. Billing Determinants'!$B$19:$O$41,6,0)/'4. Billing Determinants'!$G$41*$D31,IF($E31="Distribution Rev.",VLOOKUP(N$4,'4. Billing Determinants'!$B$19:$O$41,8,0)/'4. Billing Determinants'!$I$41*$D31, VLOOKUP(N$4,'4. Billing Determinants'!$B$19:$O$41,3,0)/'4. Billing Determinants'!$D$41*$D31))))),0)</f>
        <v>0</v>
      </c>
      <c r="O31" s="75">
        <f>IFERROR(IF(O$4="",0,IF($E31="kWh",VLOOKUP(O$4,'4. Billing Determinants'!$B$19:$O$41,4,0)/'4. Billing Determinants'!$E$41*$D31,IF($E31="kW",VLOOKUP(O$4,'4. Billing Determinants'!$B$19:$O$41,5,0)/'4. Billing Determinants'!$F$41*$D31,IF($E31="Non-RPP kWh",VLOOKUP(O$4,'4. Billing Determinants'!$B$19:$O$41,6,0)/'4. Billing Determinants'!$G$41*$D31,IF($E31="Distribution Rev.",VLOOKUP(O$4,'4. Billing Determinants'!$B$19:$O$41,8,0)/'4. Billing Determinants'!$I$41*$D31, VLOOKUP(O$4,'4. Billing Determinants'!$B$19:$O$41,3,0)/'4. Billing Determinants'!$D$41*$D31))))),0)</f>
        <v>0</v>
      </c>
      <c r="P31" s="75">
        <f>IFERROR(IF(P$4="",0,IF($E31="kWh",VLOOKUP(P$4,'4. Billing Determinants'!$B$19:$O$41,4,0)/'4. Billing Determinants'!$E$41*$D31,IF($E31="kW",VLOOKUP(P$4,'4. Billing Determinants'!$B$19:$O$41,5,0)/'4. Billing Determinants'!$F$41*$D31,IF($E31="Non-RPP kWh",VLOOKUP(P$4,'4. Billing Determinants'!$B$19:$O$41,6,0)/'4. Billing Determinants'!$G$41*$D31,IF($E31="Distribution Rev.",VLOOKUP(P$4,'4. Billing Determinants'!$B$19:$O$41,8,0)/'4. Billing Determinants'!$I$41*$D31, VLOOKUP(P$4,'4. Billing Determinants'!$B$19:$O$41,3,0)/'4. Billing Determinants'!$D$41*$D31))))),0)</f>
        <v>0</v>
      </c>
      <c r="Q31" s="75">
        <f>IFERROR(IF(Q$4="",0,IF($E31="kWh",VLOOKUP(Q$4,'4. Billing Determinants'!$B$19:$O$41,4,0)/'4. Billing Determinants'!$E$41*$D31,IF($E31="kW",VLOOKUP(Q$4,'4. Billing Determinants'!$B$19:$O$41,5,0)/'4. Billing Determinants'!$F$41*$D31,IF($E31="Non-RPP kWh",VLOOKUP(Q$4,'4. Billing Determinants'!$B$19:$O$41,6,0)/'4. Billing Determinants'!$G$41*$D31,IF($E31="Distribution Rev.",VLOOKUP(Q$4,'4. Billing Determinants'!$B$19:$O$41,8,0)/'4. Billing Determinants'!$I$41*$D31, VLOOKUP(Q$4,'4. Billing Determinants'!$B$19:$O$41,3,0)/'4. Billing Determinants'!$D$41*$D31))))),0)</f>
        <v>0</v>
      </c>
      <c r="R31" s="75">
        <f>IFERROR(IF(R$4="",0,IF($E31="kWh",VLOOKUP(R$4,'4. Billing Determinants'!$B$19:$O$41,4,0)/'4. Billing Determinants'!$E$41*$D31,IF($E31="kW",VLOOKUP(R$4,'4. Billing Determinants'!$B$19:$O$41,5,0)/'4. Billing Determinants'!$F$41*$D31,IF($E31="Non-RPP kWh",VLOOKUP(R$4,'4. Billing Determinants'!$B$19:$O$41,6,0)/'4. Billing Determinants'!$G$41*$D31,IF($E31="Distribution Rev.",VLOOKUP(R$4,'4. Billing Determinants'!$B$19:$O$41,8,0)/'4. Billing Determinants'!$I$41*$D31, VLOOKUP(R$4,'4. Billing Determinants'!$B$19:$O$41,3,0)/'4. Billing Determinants'!$D$41*$D31))))),0)</f>
        <v>0</v>
      </c>
      <c r="S31" s="75">
        <f>IFERROR(IF(S$4="",0,IF($E31="kWh",VLOOKUP(S$4,'4. Billing Determinants'!$B$19:$O$41,4,0)/'4. Billing Determinants'!$E$41*$D31,IF($E31="kW",VLOOKUP(S$4,'4. Billing Determinants'!$B$19:$O$41,5,0)/'4. Billing Determinants'!$F$41*$D31,IF($E31="Non-RPP kWh",VLOOKUP(S$4,'4. Billing Determinants'!$B$19:$O$41,6,0)/'4. Billing Determinants'!$G$41*$D31,IF($E31="Distribution Rev.",VLOOKUP(S$4,'4. Billing Determinants'!$B$19:$O$41,8,0)/'4. Billing Determinants'!$I$41*$D31, VLOOKUP(S$4,'4. Billing Determinants'!$B$19:$O$41,3,0)/'4. Billing Determinants'!$D$41*$D31))))),0)</f>
        <v>0</v>
      </c>
      <c r="T31" s="75">
        <f>IFERROR(IF(T$4="",0,IF($E31="kWh",VLOOKUP(T$4,'4. Billing Determinants'!$B$19:$O$41,4,0)/'4. Billing Determinants'!$E$41*$D31,IF($E31="kW",VLOOKUP(T$4,'4. Billing Determinants'!$B$19:$O$41,5,0)/'4. Billing Determinants'!$F$41*$D31,IF($E31="Non-RPP kWh",VLOOKUP(T$4,'4. Billing Determinants'!$B$19:$O$41,6,0)/'4. Billing Determinants'!$G$41*$D31,IF($E31="Distribution Rev.",VLOOKUP(T$4,'4. Billing Determinants'!$B$19:$O$41,8,0)/'4. Billing Determinants'!$I$41*$D31, VLOOKUP(T$4,'4. Billing Determinants'!$B$19:$O$41,3,0)/'4. Billing Determinants'!$D$41*$D31))))),0)</f>
        <v>0</v>
      </c>
      <c r="U31" s="75">
        <f>IFERROR(IF(U$4="",0,IF($E31="kWh",VLOOKUP(U$4,'4. Billing Determinants'!$B$19:$O$41,4,0)/'4. Billing Determinants'!$E$41*$D31,IF($E31="kW",VLOOKUP(U$4,'4. Billing Determinants'!$B$19:$O$41,5,0)/'4. Billing Determinants'!$F$41*$D31,IF($E31="Non-RPP kWh",VLOOKUP(U$4,'4. Billing Determinants'!$B$19:$O$41,6,0)/'4. Billing Determinants'!$G$41*$D31,IF($E31="Distribution Rev.",VLOOKUP(U$4,'4. Billing Determinants'!$B$19:$O$41,8,0)/'4. Billing Determinants'!$I$41*$D31, VLOOKUP(U$4,'4. Billing Determinants'!$B$19:$O$41,3,0)/'4. Billing Determinants'!$D$41*$D31))))),0)</f>
        <v>0</v>
      </c>
      <c r="V31" s="75">
        <f>IFERROR(IF(V$4="",0,IF($E31="kWh",VLOOKUP(V$4,'4. Billing Determinants'!$B$19:$O$41,4,0)/'4. Billing Determinants'!$E$41*$D31,IF($E31="kW",VLOOKUP(V$4,'4. Billing Determinants'!$B$19:$O$41,5,0)/'4. Billing Determinants'!$F$41*$D31,IF($E31="Non-RPP kWh",VLOOKUP(V$4,'4. Billing Determinants'!$B$19:$O$41,6,0)/'4. Billing Determinants'!$G$41*$D31,IF($E31="Distribution Rev.",VLOOKUP(V$4,'4. Billing Determinants'!$B$19:$O$41,8,0)/'4. Billing Determinants'!$I$41*$D31, VLOOKUP(V$4,'4. Billing Determinants'!$B$19:$O$41,3,0)/'4. Billing Determinants'!$D$41*$D31))))),0)</f>
        <v>0</v>
      </c>
      <c r="W31" s="75">
        <f>IFERROR(IF(W$4="",0,IF($E31="kWh",VLOOKUP(W$4,'4. Billing Determinants'!$B$19:$O$41,4,0)/'4. Billing Determinants'!$E$41*$D31,IF($E31="kW",VLOOKUP(W$4,'4. Billing Determinants'!$B$19:$O$41,5,0)/'4. Billing Determinants'!$F$41*$D31,IF($E31="Non-RPP kWh",VLOOKUP(W$4,'4. Billing Determinants'!$B$19:$O$41,6,0)/'4. Billing Determinants'!$G$41*$D31,IF($E31="Distribution Rev.",VLOOKUP(W$4,'4. Billing Determinants'!$B$19:$O$41,8,0)/'4. Billing Determinants'!$I$41*$D31, VLOOKUP(W$4,'4. Billing Determinants'!$B$19:$O$41,3,0)/'4. Billing Determinants'!$D$41*$D31))))),0)</f>
        <v>0</v>
      </c>
      <c r="X31" s="75">
        <f>IFERROR(IF(X$4="",0,IF($E31="kWh",VLOOKUP(X$4,'4. Billing Determinants'!$B$19:$O$41,4,0)/'4. Billing Determinants'!$E$41*$D31,IF($E31="kW",VLOOKUP(X$4,'4. Billing Determinants'!$B$19:$O$41,5,0)/'4. Billing Determinants'!$F$41*$D31,IF($E31="Non-RPP kWh",VLOOKUP(X$4,'4. Billing Determinants'!$B$19:$O$41,6,0)/'4. Billing Determinants'!$G$41*$D31,IF($E31="Distribution Rev.",VLOOKUP(X$4,'4. Billing Determinants'!$B$19:$O$41,8,0)/'4. Billing Determinants'!$I$41*$D31, VLOOKUP(X$4,'4. Billing Determinants'!$B$19:$O$41,3,0)/'4. Billing Determinants'!$D$41*$D31))))),0)</f>
        <v>0</v>
      </c>
      <c r="Y31" s="75">
        <f>IFERROR(IF(Y$4="",0,IF($E31="kWh",VLOOKUP(Y$4,'4. Billing Determinants'!$B$19:$O$41,4,0)/'4. Billing Determinants'!$E$41*$D31,IF($E31="kW",VLOOKUP(Y$4,'4. Billing Determinants'!$B$19:$O$41,5,0)/'4. Billing Determinants'!$F$41*$D31,IF($E31="Non-RPP kWh",VLOOKUP(Y$4,'4. Billing Determinants'!$B$19:$O$41,6,0)/'4. Billing Determinants'!$G$41*$D31,IF($E31="Distribution Rev.",VLOOKUP(Y$4,'4. Billing Determinants'!$B$19:$O$41,8,0)/'4. Billing Determinants'!$I$41*$D31, VLOOKUP(Y$4,'4. Billing Determinants'!$B$19:$O$41,3,0)/'4. Billing Determinants'!$D$41*$D31))))),0)</f>
        <v>0</v>
      </c>
    </row>
    <row r="32" spans="2:25" x14ac:dyDescent="0.2">
      <c r="B32" s="73" t="s">
        <v>39</v>
      </c>
      <c r="C32" s="74">
        <v>1536</v>
      </c>
      <c r="D32" s="75">
        <f>'2. 2013 Continuity Schedule'!CP55</f>
        <v>0</v>
      </c>
      <c r="E32" s="208"/>
      <c r="F32" s="75">
        <f>IFERROR(IF(F$4="",0,IF($E32="kWh",VLOOKUP(F$4,'4. Billing Determinants'!$B$19:$O$41,4,0)/'4. Billing Determinants'!$E$41*$D32,IF($E32="kW",VLOOKUP(F$4,'4. Billing Determinants'!$B$19:$O$41,5,0)/'4. Billing Determinants'!$F$41*$D32,IF($E32="Non-RPP kWh",VLOOKUP(F$4,'4. Billing Determinants'!$B$19:$O$41,6,0)/'4. Billing Determinants'!$G$41*$D32,IF($E32="Distribution Rev.",VLOOKUP(F$4,'4. Billing Determinants'!$B$19:$O$41,8,0)/'4. Billing Determinants'!$I$41*$D32, VLOOKUP(F$4,'4. Billing Determinants'!$B$19:$O$41,3,0)/'4. Billing Determinants'!$D$41*$D32))))),0)</f>
        <v>0</v>
      </c>
      <c r="G32" s="75">
        <f>IFERROR(IF(G$4="",0,IF($E32="kWh",VLOOKUP(G$4,'4. Billing Determinants'!$B$19:$O$41,4,0)/'4. Billing Determinants'!$E$41*$D32,IF($E32="kW",VLOOKUP(G$4,'4. Billing Determinants'!$B$19:$O$41,5,0)/'4. Billing Determinants'!$F$41*$D32,IF($E32="Non-RPP kWh",VLOOKUP(G$4,'4. Billing Determinants'!$B$19:$O$41,6,0)/'4. Billing Determinants'!$G$41*$D32,IF($E32="Distribution Rev.",VLOOKUP(G$4,'4. Billing Determinants'!$B$19:$O$41,8,0)/'4. Billing Determinants'!$I$41*$D32, VLOOKUP(G$4,'4. Billing Determinants'!$B$19:$O$41,3,0)/'4. Billing Determinants'!$D$41*$D32))))),0)</f>
        <v>0</v>
      </c>
      <c r="H32" s="75">
        <f>IFERROR(IF(H$4="",0,IF($E32="kWh",VLOOKUP(H$4,'4. Billing Determinants'!$B$19:$O$41,4,0)/'4. Billing Determinants'!$E$41*$D32,IF($E32="kW",VLOOKUP(H$4,'4. Billing Determinants'!$B$19:$O$41,5,0)/'4. Billing Determinants'!$F$41*$D32,IF($E32="Non-RPP kWh",VLOOKUP(H$4,'4. Billing Determinants'!$B$19:$O$41,6,0)/'4. Billing Determinants'!$G$41*$D32,IF($E32="Distribution Rev.",VLOOKUP(H$4,'4. Billing Determinants'!$B$19:$O$41,8,0)/'4. Billing Determinants'!$I$41*$D32, VLOOKUP(H$4,'4. Billing Determinants'!$B$19:$O$41,3,0)/'4. Billing Determinants'!$D$41*$D32))))),0)</f>
        <v>0</v>
      </c>
      <c r="I32" s="75">
        <f>IFERROR(IF(I$4="",0,IF($E32="kWh",VLOOKUP(I$4,'4. Billing Determinants'!$B$19:$O$41,4,0)/'4. Billing Determinants'!$E$41*$D32,IF($E32="kW",VLOOKUP(I$4,'4. Billing Determinants'!$B$19:$O$41,5,0)/'4. Billing Determinants'!$F$41*$D32,IF($E32="Non-RPP kWh",VLOOKUP(I$4,'4. Billing Determinants'!$B$19:$O$41,6,0)/'4. Billing Determinants'!$G$41*$D32,IF($E32="Distribution Rev.",VLOOKUP(I$4,'4. Billing Determinants'!$B$19:$O$41,8,0)/'4. Billing Determinants'!$I$41*$D32, VLOOKUP(I$4,'4. Billing Determinants'!$B$19:$O$41,3,0)/'4. Billing Determinants'!$D$41*$D32))))),0)</f>
        <v>0</v>
      </c>
      <c r="J32" s="75">
        <f>IFERROR(IF(J$4="",0,IF($E32="kWh",VLOOKUP(J$4,'4. Billing Determinants'!$B$19:$O$41,4,0)/'4. Billing Determinants'!$E$41*$D32,IF($E32="kW",VLOOKUP(J$4,'4. Billing Determinants'!$B$19:$O$41,5,0)/'4. Billing Determinants'!$F$41*$D32,IF($E32="Non-RPP kWh",VLOOKUP(J$4,'4. Billing Determinants'!$B$19:$O$41,6,0)/'4. Billing Determinants'!$G$41*$D32,IF($E32="Distribution Rev.",VLOOKUP(J$4,'4. Billing Determinants'!$B$19:$O$41,8,0)/'4. Billing Determinants'!$I$41*$D32, VLOOKUP(J$4,'4. Billing Determinants'!$B$19:$O$41,3,0)/'4. Billing Determinants'!$D$41*$D32))))),0)</f>
        <v>0</v>
      </c>
      <c r="K32" s="75">
        <f>IFERROR(IF(K$4="",0,IF($E32="kWh",VLOOKUP(K$4,'4. Billing Determinants'!$B$19:$O$41,4,0)/'4. Billing Determinants'!$E$41*$D32,IF($E32="kW",VLOOKUP(K$4,'4. Billing Determinants'!$B$19:$O$41,5,0)/'4. Billing Determinants'!$F$41*$D32,IF($E32="Non-RPP kWh",VLOOKUP(K$4,'4. Billing Determinants'!$B$19:$O$41,6,0)/'4. Billing Determinants'!$G$41*$D32,IF($E32="Distribution Rev.",VLOOKUP(K$4,'4. Billing Determinants'!$B$19:$O$41,8,0)/'4. Billing Determinants'!$I$41*$D32, VLOOKUP(K$4,'4. Billing Determinants'!$B$19:$O$41,3,0)/'4. Billing Determinants'!$D$41*$D32))))),0)</f>
        <v>0</v>
      </c>
      <c r="L32" s="75">
        <f>IFERROR(IF(L$4="",0,IF($E32="kWh",VLOOKUP(L$4,'4. Billing Determinants'!$B$19:$O$41,4,0)/'4. Billing Determinants'!$E$41*$D32,IF($E32="kW",VLOOKUP(L$4,'4. Billing Determinants'!$B$19:$O$41,5,0)/'4. Billing Determinants'!$F$41*$D32,IF($E32="Non-RPP kWh",VLOOKUP(L$4,'4. Billing Determinants'!$B$19:$O$41,6,0)/'4. Billing Determinants'!$G$41*$D32,IF($E32="Distribution Rev.",VLOOKUP(L$4,'4. Billing Determinants'!$B$19:$O$41,8,0)/'4. Billing Determinants'!$I$41*$D32, VLOOKUP(L$4,'4. Billing Determinants'!$B$19:$O$41,3,0)/'4. Billing Determinants'!$D$41*$D32))))),0)</f>
        <v>0</v>
      </c>
      <c r="M32" s="75">
        <f>IFERROR(IF(M$4="",0,IF($E32="kWh",VLOOKUP(M$4,'4. Billing Determinants'!$B$19:$O$41,4,0)/'4. Billing Determinants'!$E$41*$D32,IF($E32="kW",VLOOKUP(M$4,'4. Billing Determinants'!$B$19:$O$41,5,0)/'4. Billing Determinants'!$F$41*$D32,IF($E32="Non-RPP kWh",VLOOKUP(M$4,'4. Billing Determinants'!$B$19:$O$41,6,0)/'4. Billing Determinants'!$G$41*$D32,IF($E32="Distribution Rev.",VLOOKUP(M$4,'4. Billing Determinants'!$B$19:$O$41,8,0)/'4. Billing Determinants'!$I$41*$D32, VLOOKUP(M$4,'4. Billing Determinants'!$B$19:$O$41,3,0)/'4. Billing Determinants'!$D$41*$D32))))),0)</f>
        <v>0</v>
      </c>
      <c r="N32" s="75">
        <f>IFERROR(IF(N$4="",0,IF($E32="kWh",VLOOKUP(N$4,'4. Billing Determinants'!$B$19:$O$41,4,0)/'4. Billing Determinants'!$E$41*$D32,IF($E32="kW",VLOOKUP(N$4,'4. Billing Determinants'!$B$19:$O$41,5,0)/'4. Billing Determinants'!$F$41*$D32,IF($E32="Non-RPP kWh",VLOOKUP(N$4,'4. Billing Determinants'!$B$19:$O$41,6,0)/'4. Billing Determinants'!$G$41*$D32,IF($E32="Distribution Rev.",VLOOKUP(N$4,'4. Billing Determinants'!$B$19:$O$41,8,0)/'4. Billing Determinants'!$I$41*$D32, VLOOKUP(N$4,'4. Billing Determinants'!$B$19:$O$41,3,0)/'4. Billing Determinants'!$D$41*$D32))))),0)</f>
        <v>0</v>
      </c>
      <c r="O32" s="75">
        <f>IFERROR(IF(O$4="",0,IF($E32="kWh",VLOOKUP(O$4,'4. Billing Determinants'!$B$19:$O$41,4,0)/'4. Billing Determinants'!$E$41*$D32,IF($E32="kW",VLOOKUP(O$4,'4. Billing Determinants'!$B$19:$O$41,5,0)/'4. Billing Determinants'!$F$41*$D32,IF($E32="Non-RPP kWh",VLOOKUP(O$4,'4. Billing Determinants'!$B$19:$O$41,6,0)/'4. Billing Determinants'!$G$41*$D32,IF($E32="Distribution Rev.",VLOOKUP(O$4,'4. Billing Determinants'!$B$19:$O$41,8,0)/'4. Billing Determinants'!$I$41*$D32, VLOOKUP(O$4,'4. Billing Determinants'!$B$19:$O$41,3,0)/'4. Billing Determinants'!$D$41*$D32))))),0)</f>
        <v>0</v>
      </c>
      <c r="P32" s="75">
        <f>IFERROR(IF(P$4="",0,IF($E32="kWh",VLOOKUP(P$4,'4. Billing Determinants'!$B$19:$O$41,4,0)/'4. Billing Determinants'!$E$41*$D32,IF($E32="kW",VLOOKUP(P$4,'4. Billing Determinants'!$B$19:$O$41,5,0)/'4. Billing Determinants'!$F$41*$D32,IF($E32="Non-RPP kWh",VLOOKUP(P$4,'4. Billing Determinants'!$B$19:$O$41,6,0)/'4. Billing Determinants'!$G$41*$D32,IF($E32="Distribution Rev.",VLOOKUP(P$4,'4. Billing Determinants'!$B$19:$O$41,8,0)/'4. Billing Determinants'!$I$41*$D32, VLOOKUP(P$4,'4. Billing Determinants'!$B$19:$O$41,3,0)/'4. Billing Determinants'!$D$41*$D32))))),0)</f>
        <v>0</v>
      </c>
      <c r="Q32" s="75">
        <f>IFERROR(IF(Q$4="",0,IF($E32="kWh",VLOOKUP(Q$4,'4. Billing Determinants'!$B$19:$O$41,4,0)/'4. Billing Determinants'!$E$41*$D32,IF($E32="kW",VLOOKUP(Q$4,'4. Billing Determinants'!$B$19:$O$41,5,0)/'4. Billing Determinants'!$F$41*$D32,IF($E32="Non-RPP kWh",VLOOKUP(Q$4,'4. Billing Determinants'!$B$19:$O$41,6,0)/'4. Billing Determinants'!$G$41*$D32,IF($E32="Distribution Rev.",VLOOKUP(Q$4,'4. Billing Determinants'!$B$19:$O$41,8,0)/'4. Billing Determinants'!$I$41*$D32, VLOOKUP(Q$4,'4. Billing Determinants'!$B$19:$O$41,3,0)/'4. Billing Determinants'!$D$41*$D32))))),0)</f>
        <v>0</v>
      </c>
      <c r="R32" s="75">
        <f>IFERROR(IF(R$4="",0,IF($E32="kWh",VLOOKUP(R$4,'4. Billing Determinants'!$B$19:$O$41,4,0)/'4. Billing Determinants'!$E$41*$D32,IF($E32="kW",VLOOKUP(R$4,'4. Billing Determinants'!$B$19:$O$41,5,0)/'4. Billing Determinants'!$F$41*$D32,IF($E32="Non-RPP kWh",VLOOKUP(R$4,'4. Billing Determinants'!$B$19:$O$41,6,0)/'4. Billing Determinants'!$G$41*$D32,IF($E32="Distribution Rev.",VLOOKUP(R$4,'4. Billing Determinants'!$B$19:$O$41,8,0)/'4. Billing Determinants'!$I$41*$D32, VLOOKUP(R$4,'4. Billing Determinants'!$B$19:$O$41,3,0)/'4. Billing Determinants'!$D$41*$D32))))),0)</f>
        <v>0</v>
      </c>
      <c r="S32" s="75">
        <f>IFERROR(IF(S$4="",0,IF($E32="kWh",VLOOKUP(S$4,'4. Billing Determinants'!$B$19:$O$41,4,0)/'4. Billing Determinants'!$E$41*$D32,IF($E32="kW",VLOOKUP(S$4,'4. Billing Determinants'!$B$19:$O$41,5,0)/'4. Billing Determinants'!$F$41*$D32,IF($E32="Non-RPP kWh",VLOOKUP(S$4,'4. Billing Determinants'!$B$19:$O$41,6,0)/'4. Billing Determinants'!$G$41*$D32,IF($E32="Distribution Rev.",VLOOKUP(S$4,'4. Billing Determinants'!$B$19:$O$41,8,0)/'4. Billing Determinants'!$I$41*$D32, VLOOKUP(S$4,'4. Billing Determinants'!$B$19:$O$41,3,0)/'4. Billing Determinants'!$D$41*$D32))))),0)</f>
        <v>0</v>
      </c>
      <c r="T32" s="75">
        <f>IFERROR(IF(T$4="",0,IF($E32="kWh",VLOOKUP(T$4,'4. Billing Determinants'!$B$19:$O$41,4,0)/'4. Billing Determinants'!$E$41*$D32,IF($E32="kW",VLOOKUP(T$4,'4. Billing Determinants'!$B$19:$O$41,5,0)/'4. Billing Determinants'!$F$41*$D32,IF($E32="Non-RPP kWh",VLOOKUP(T$4,'4. Billing Determinants'!$B$19:$O$41,6,0)/'4. Billing Determinants'!$G$41*$D32,IF($E32="Distribution Rev.",VLOOKUP(T$4,'4. Billing Determinants'!$B$19:$O$41,8,0)/'4. Billing Determinants'!$I$41*$D32, VLOOKUP(T$4,'4. Billing Determinants'!$B$19:$O$41,3,0)/'4. Billing Determinants'!$D$41*$D32))))),0)</f>
        <v>0</v>
      </c>
      <c r="U32" s="75">
        <f>IFERROR(IF(U$4="",0,IF($E32="kWh",VLOOKUP(U$4,'4. Billing Determinants'!$B$19:$O$41,4,0)/'4. Billing Determinants'!$E$41*$D32,IF($E32="kW",VLOOKUP(U$4,'4. Billing Determinants'!$B$19:$O$41,5,0)/'4. Billing Determinants'!$F$41*$D32,IF($E32="Non-RPP kWh",VLOOKUP(U$4,'4. Billing Determinants'!$B$19:$O$41,6,0)/'4. Billing Determinants'!$G$41*$D32,IF($E32="Distribution Rev.",VLOOKUP(U$4,'4. Billing Determinants'!$B$19:$O$41,8,0)/'4. Billing Determinants'!$I$41*$D32, VLOOKUP(U$4,'4. Billing Determinants'!$B$19:$O$41,3,0)/'4. Billing Determinants'!$D$41*$D32))))),0)</f>
        <v>0</v>
      </c>
      <c r="V32" s="75">
        <f>IFERROR(IF(V$4="",0,IF($E32="kWh",VLOOKUP(V$4,'4. Billing Determinants'!$B$19:$O$41,4,0)/'4. Billing Determinants'!$E$41*$D32,IF($E32="kW",VLOOKUP(V$4,'4. Billing Determinants'!$B$19:$O$41,5,0)/'4. Billing Determinants'!$F$41*$D32,IF($E32="Non-RPP kWh",VLOOKUP(V$4,'4. Billing Determinants'!$B$19:$O$41,6,0)/'4. Billing Determinants'!$G$41*$D32,IF($E32="Distribution Rev.",VLOOKUP(V$4,'4. Billing Determinants'!$B$19:$O$41,8,0)/'4. Billing Determinants'!$I$41*$D32, VLOOKUP(V$4,'4. Billing Determinants'!$B$19:$O$41,3,0)/'4. Billing Determinants'!$D$41*$D32))))),0)</f>
        <v>0</v>
      </c>
      <c r="W32" s="75">
        <f>IFERROR(IF(W$4="",0,IF($E32="kWh",VLOOKUP(W$4,'4. Billing Determinants'!$B$19:$O$41,4,0)/'4. Billing Determinants'!$E$41*$D32,IF($E32="kW",VLOOKUP(W$4,'4. Billing Determinants'!$B$19:$O$41,5,0)/'4. Billing Determinants'!$F$41*$D32,IF($E32="Non-RPP kWh",VLOOKUP(W$4,'4. Billing Determinants'!$B$19:$O$41,6,0)/'4. Billing Determinants'!$G$41*$D32,IF($E32="Distribution Rev.",VLOOKUP(W$4,'4. Billing Determinants'!$B$19:$O$41,8,0)/'4. Billing Determinants'!$I$41*$D32, VLOOKUP(W$4,'4. Billing Determinants'!$B$19:$O$41,3,0)/'4. Billing Determinants'!$D$41*$D32))))),0)</f>
        <v>0</v>
      </c>
      <c r="X32" s="75">
        <f>IFERROR(IF(X$4="",0,IF($E32="kWh",VLOOKUP(X$4,'4. Billing Determinants'!$B$19:$O$41,4,0)/'4. Billing Determinants'!$E$41*$D32,IF($E32="kW",VLOOKUP(X$4,'4. Billing Determinants'!$B$19:$O$41,5,0)/'4. Billing Determinants'!$F$41*$D32,IF($E32="Non-RPP kWh",VLOOKUP(X$4,'4. Billing Determinants'!$B$19:$O$41,6,0)/'4. Billing Determinants'!$G$41*$D32,IF($E32="Distribution Rev.",VLOOKUP(X$4,'4. Billing Determinants'!$B$19:$O$41,8,0)/'4. Billing Determinants'!$I$41*$D32, VLOOKUP(X$4,'4. Billing Determinants'!$B$19:$O$41,3,0)/'4. Billing Determinants'!$D$41*$D32))))),0)</f>
        <v>0</v>
      </c>
      <c r="Y32" s="75">
        <f>IFERROR(IF(Y$4="",0,IF($E32="kWh",VLOOKUP(Y$4,'4. Billing Determinants'!$B$19:$O$41,4,0)/'4. Billing Determinants'!$E$41*$D32,IF($E32="kW",VLOOKUP(Y$4,'4. Billing Determinants'!$B$19:$O$41,5,0)/'4. Billing Determinants'!$F$41*$D32,IF($E32="Non-RPP kWh",VLOOKUP(Y$4,'4. Billing Determinants'!$B$19:$O$41,6,0)/'4. Billing Determinants'!$G$41*$D32,IF($E32="Distribution Rev.",VLOOKUP(Y$4,'4. Billing Determinants'!$B$19:$O$41,8,0)/'4. Billing Determinants'!$I$41*$D32, VLOOKUP(Y$4,'4. Billing Determinants'!$B$19:$O$41,3,0)/'4. Billing Determinants'!$D$41*$D32))))),0)</f>
        <v>0</v>
      </c>
    </row>
    <row r="33" spans="1:25" x14ac:dyDescent="0.2">
      <c r="B33" s="73" t="s">
        <v>5</v>
      </c>
      <c r="C33" s="74">
        <v>1548</v>
      </c>
      <c r="D33" s="75">
        <f>'2. 2013 Continuity Schedule'!CP56</f>
        <v>154288.87751599998</v>
      </c>
      <c r="E33" s="208" t="s">
        <v>156</v>
      </c>
      <c r="F33" s="75">
        <f>IFERROR(IF(F$4="",0,IF($E33="kWh",VLOOKUP(F$4,'4. Billing Determinants'!$B$19:$O$41,4,0)/'4. Billing Determinants'!$E$41*$D33,IF($E33="kW",VLOOKUP(F$4,'4. Billing Determinants'!$B$19:$O$41,5,0)/'4. Billing Determinants'!$F$41*$D33,IF($E33="Non-RPP kWh",VLOOKUP(F$4,'4. Billing Determinants'!$B$19:$O$41,6,0)/'4. Billing Determinants'!$G$41*$D33,IF($E33="Distribution Rev.",VLOOKUP(F$4,'4. Billing Determinants'!$B$19:$O$41,8,0)/'4. Billing Determinants'!$I$41*$D33, VLOOKUP(F$4,'4. Billing Determinants'!$B$19:$O$41,3,0)/'4. Billing Determinants'!$D$41*$D33))))),0)</f>
        <v>128066.90612418893</v>
      </c>
      <c r="G33" s="75">
        <f>IFERROR(IF(G$4="",0,IF($E33="kWh",VLOOKUP(G$4,'4. Billing Determinants'!$B$19:$O$41,4,0)/'4. Billing Determinants'!$E$41*$D33,IF($E33="kW",VLOOKUP(G$4,'4. Billing Determinants'!$B$19:$O$41,5,0)/'4. Billing Determinants'!$F$41*$D33,IF($E33="Non-RPP kWh",VLOOKUP(G$4,'4. Billing Determinants'!$B$19:$O$41,6,0)/'4. Billing Determinants'!$G$41*$D33,IF($E33="Distribution Rev.",VLOOKUP(G$4,'4. Billing Determinants'!$B$19:$O$41,8,0)/'4. Billing Determinants'!$I$41*$D33, VLOOKUP(G$4,'4. Billing Determinants'!$B$19:$O$41,3,0)/'4. Billing Determinants'!$D$41*$D33))))),0)</f>
        <v>23517.126205263205</v>
      </c>
      <c r="H33" s="75">
        <f>IFERROR(IF(H$4="",0,IF($E33="kWh",VLOOKUP(H$4,'4. Billing Determinants'!$B$19:$O$41,4,0)/'4. Billing Determinants'!$E$41*$D33,IF($E33="kW",VLOOKUP(H$4,'4. Billing Determinants'!$B$19:$O$41,5,0)/'4. Billing Determinants'!$F$41*$D33,IF($E33="Non-RPP kWh",VLOOKUP(H$4,'4. Billing Determinants'!$B$19:$O$41,6,0)/'4. Billing Determinants'!$G$41*$D33,IF($E33="Distribution Rev.",VLOOKUP(H$4,'4. Billing Determinants'!$B$19:$O$41,8,0)/'4. Billing Determinants'!$I$41*$D33, VLOOKUP(H$4,'4. Billing Determinants'!$B$19:$O$41,3,0)/'4. Billing Determinants'!$D$41*$D33))))),0)</f>
        <v>2197.6867140701238</v>
      </c>
      <c r="I33" s="75">
        <f>IFERROR(IF(I$4="",0,IF($E33="kWh",VLOOKUP(I$4,'4. Billing Determinants'!$B$19:$O$41,4,0)/'4. Billing Determinants'!$E$41*$D33,IF($E33="kW",VLOOKUP(I$4,'4. Billing Determinants'!$B$19:$O$41,5,0)/'4. Billing Determinants'!$F$41*$D33,IF($E33="Non-RPP kWh",VLOOKUP(I$4,'4. Billing Determinants'!$B$19:$O$41,6,0)/'4. Billing Determinants'!$G$41*$D33,IF($E33="Distribution Rev.",VLOOKUP(I$4,'4. Billing Determinants'!$B$19:$O$41,8,0)/'4. Billing Determinants'!$I$41*$D33, VLOOKUP(I$4,'4. Billing Determinants'!$B$19:$O$41,3,0)/'4. Billing Determinants'!$D$41*$D33))))),0)</f>
        <v>413.24023683369848</v>
      </c>
      <c r="J33" s="75">
        <f>IFERROR(IF(J$4="",0,IF($E33="kWh",VLOOKUP(J$4,'4. Billing Determinants'!$B$19:$O$41,4,0)/'4. Billing Determinants'!$E$41*$D33,IF($E33="kW",VLOOKUP(J$4,'4. Billing Determinants'!$B$19:$O$41,5,0)/'4. Billing Determinants'!$F$41*$D33,IF($E33="Non-RPP kWh",VLOOKUP(J$4,'4. Billing Determinants'!$B$19:$O$41,6,0)/'4. Billing Determinants'!$G$41*$D33,IF($E33="Distribution Rev.",VLOOKUP(J$4,'4. Billing Determinants'!$B$19:$O$41,8,0)/'4. Billing Determinants'!$I$41*$D33, VLOOKUP(J$4,'4. Billing Determinants'!$B$19:$O$41,3,0)/'4. Billing Determinants'!$D$41*$D33))))),0)</f>
        <v>93.918235644022388</v>
      </c>
      <c r="K33" s="75">
        <f>IFERROR(IF(K$4="",0,IF($E33="kWh",VLOOKUP(K$4,'4. Billing Determinants'!$B$19:$O$41,4,0)/'4. Billing Determinants'!$E$41*$D33,IF($E33="kW",VLOOKUP(K$4,'4. Billing Determinants'!$B$19:$O$41,5,0)/'4. Billing Determinants'!$F$41*$D33,IF($E33="Non-RPP kWh",VLOOKUP(K$4,'4. Billing Determinants'!$B$19:$O$41,6,0)/'4. Billing Determinants'!$G$41*$D33,IF($E33="Distribution Rev.",VLOOKUP(K$4,'4. Billing Determinants'!$B$19:$O$41,8,0)/'4. Billing Determinants'!$I$41*$D33, VLOOKUP(K$4,'4. Billing Determinants'!$B$19:$O$41,3,0)/'4. Billing Determinants'!$D$41*$D33))))),0)</f>
        <v>0</v>
      </c>
      <c r="L33" s="75">
        <f>IFERROR(IF(L$4="",0,IF($E33="kWh",VLOOKUP(L$4,'4. Billing Determinants'!$B$19:$O$41,4,0)/'4. Billing Determinants'!$E$41*$D33,IF($E33="kW",VLOOKUP(L$4,'4. Billing Determinants'!$B$19:$O$41,5,0)/'4. Billing Determinants'!$F$41*$D33,IF($E33="Non-RPP kWh",VLOOKUP(L$4,'4. Billing Determinants'!$B$19:$O$41,6,0)/'4. Billing Determinants'!$G$41*$D33,IF($E33="Distribution Rev.",VLOOKUP(L$4,'4. Billing Determinants'!$B$19:$O$41,8,0)/'4. Billing Determinants'!$I$41*$D33, VLOOKUP(L$4,'4. Billing Determinants'!$B$19:$O$41,3,0)/'4. Billing Determinants'!$D$41*$D33))))),0)</f>
        <v>0</v>
      </c>
      <c r="M33" s="75">
        <f>IFERROR(IF(M$4="",0,IF($E33="kWh",VLOOKUP(M$4,'4. Billing Determinants'!$B$19:$O$41,4,0)/'4. Billing Determinants'!$E$41*$D33,IF($E33="kW",VLOOKUP(M$4,'4. Billing Determinants'!$B$19:$O$41,5,0)/'4. Billing Determinants'!$F$41*$D33,IF($E33="Non-RPP kWh",VLOOKUP(M$4,'4. Billing Determinants'!$B$19:$O$41,6,0)/'4. Billing Determinants'!$G$41*$D33,IF($E33="Distribution Rev.",VLOOKUP(M$4,'4. Billing Determinants'!$B$19:$O$41,8,0)/'4. Billing Determinants'!$I$41*$D33, VLOOKUP(M$4,'4. Billing Determinants'!$B$19:$O$41,3,0)/'4. Billing Determinants'!$D$41*$D33))))),0)</f>
        <v>0</v>
      </c>
      <c r="N33" s="75">
        <f>IFERROR(IF(N$4="",0,IF($E33="kWh",VLOOKUP(N$4,'4. Billing Determinants'!$B$19:$O$41,4,0)/'4. Billing Determinants'!$E$41*$D33,IF($E33="kW",VLOOKUP(N$4,'4. Billing Determinants'!$B$19:$O$41,5,0)/'4. Billing Determinants'!$F$41*$D33,IF($E33="Non-RPP kWh",VLOOKUP(N$4,'4. Billing Determinants'!$B$19:$O$41,6,0)/'4. Billing Determinants'!$G$41*$D33,IF($E33="Distribution Rev.",VLOOKUP(N$4,'4. Billing Determinants'!$B$19:$O$41,8,0)/'4. Billing Determinants'!$I$41*$D33, VLOOKUP(N$4,'4. Billing Determinants'!$B$19:$O$41,3,0)/'4. Billing Determinants'!$D$41*$D33))))),0)</f>
        <v>0</v>
      </c>
      <c r="O33" s="75">
        <f>IFERROR(IF(O$4="",0,IF($E33="kWh",VLOOKUP(O$4,'4. Billing Determinants'!$B$19:$O$41,4,0)/'4. Billing Determinants'!$E$41*$D33,IF($E33="kW",VLOOKUP(O$4,'4. Billing Determinants'!$B$19:$O$41,5,0)/'4. Billing Determinants'!$F$41*$D33,IF($E33="Non-RPP kWh",VLOOKUP(O$4,'4. Billing Determinants'!$B$19:$O$41,6,0)/'4. Billing Determinants'!$G$41*$D33,IF($E33="Distribution Rev.",VLOOKUP(O$4,'4. Billing Determinants'!$B$19:$O$41,8,0)/'4. Billing Determinants'!$I$41*$D33, VLOOKUP(O$4,'4. Billing Determinants'!$B$19:$O$41,3,0)/'4. Billing Determinants'!$D$41*$D33))))),0)</f>
        <v>0</v>
      </c>
      <c r="P33" s="75">
        <f>IFERROR(IF(P$4="",0,IF($E33="kWh",VLOOKUP(P$4,'4. Billing Determinants'!$B$19:$O$41,4,0)/'4. Billing Determinants'!$E$41*$D33,IF($E33="kW",VLOOKUP(P$4,'4. Billing Determinants'!$B$19:$O$41,5,0)/'4. Billing Determinants'!$F$41*$D33,IF($E33="Non-RPP kWh",VLOOKUP(P$4,'4. Billing Determinants'!$B$19:$O$41,6,0)/'4. Billing Determinants'!$G$41*$D33,IF($E33="Distribution Rev.",VLOOKUP(P$4,'4. Billing Determinants'!$B$19:$O$41,8,0)/'4. Billing Determinants'!$I$41*$D33, VLOOKUP(P$4,'4. Billing Determinants'!$B$19:$O$41,3,0)/'4. Billing Determinants'!$D$41*$D33))))),0)</f>
        <v>0</v>
      </c>
      <c r="Q33" s="75">
        <f>IFERROR(IF(Q$4="",0,IF($E33="kWh",VLOOKUP(Q$4,'4. Billing Determinants'!$B$19:$O$41,4,0)/'4. Billing Determinants'!$E$41*$D33,IF($E33="kW",VLOOKUP(Q$4,'4. Billing Determinants'!$B$19:$O$41,5,0)/'4. Billing Determinants'!$F$41*$D33,IF($E33="Non-RPP kWh",VLOOKUP(Q$4,'4. Billing Determinants'!$B$19:$O$41,6,0)/'4. Billing Determinants'!$G$41*$D33,IF($E33="Distribution Rev.",VLOOKUP(Q$4,'4. Billing Determinants'!$B$19:$O$41,8,0)/'4. Billing Determinants'!$I$41*$D33, VLOOKUP(Q$4,'4. Billing Determinants'!$B$19:$O$41,3,0)/'4. Billing Determinants'!$D$41*$D33))))),0)</f>
        <v>0</v>
      </c>
      <c r="R33" s="75">
        <f>IFERROR(IF(R$4="",0,IF($E33="kWh",VLOOKUP(R$4,'4. Billing Determinants'!$B$19:$O$41,4,0)/'4. Billing Determinants'!$E$41*$D33,IF($E33="kW",VLOOKUP(R$4,'4. Billing Determinants'!$B$19:$O$41,5,0)/'4. Billing Determinants'!$F$41*$D33,IF($E33="Non-RPP kWh",VLOOKUP(R$4,'4. Billing Determinants'!$B$19:$O$41,6,0)/'4. Billing Determinants'!$G$41*$D33,IF($E33="Distribution Rev.",VLOOKUP(R$4,'4. Billing Determinants'!$B$19:$O$41,8,0)/'4. Billing Determinants'!$I$41*$D33, VLOOKUP(R$4,'4. Billing Determinants'!$B$19:$O$41,3,0)/'4. Billing Determinants'!$D$41*$D33))))),0)</f>
        <v>0</v>
      </c>
      <c r="S33" s="75">
        <f>IFERROR(IF(S$4="",0,IF($E33="kWh",VLOOKUP(S$4,'4. Billing Determinants'!$B$19:$O$41,4,0)/'4. Billing Determinants'!$E$41*$D33,IF($E33="kW",VLOOKUP(S$4,'4. Billing Determinants'!$B$19:$O$41,5,0)/'4. Billing Determinants'!$F$41*$D33,IF($E33="Non-RPP kWh",VLOOKUP(S$4,'4. Billing Determinants'!$B$19:$O$41,6,0)/'4. Billing Determinants'!$G$41*$D33,IF($E33="Distribution Rev.",VLOOKUP(S$4,'4. Billing Determinants'!$B$19:$O$41,8,0)/'4. Billing Determinants'!$I$41*$D33, VLOOKUP(S$4,'4. Billing Determinants'!$B$19:$O$41,3,0)/'4. Billing Determinants'!$D$41*$D33))))),0)</f>
        <v>0</v>
      </c>
      <c r="T33" s="75">
        <f>IFERROR(IF(T$4="",0,IF($E33="kWh",VLOOKUP(T$4,'4. Billing Determinants'!$B$19:$O$41,4,0)/'4. Billing Determinants'!$E$41*$D33,IF($E33="kW",VLOOKUP(T$4,'4. Billing Determinants'!$B$19:$O$41,5,0)/'4. Billing Determinants'!$F$41*$D33,IF($E33="Non-RPP kWh",VLOOKUP(T$4,'4. Billing Determinants'!$B$19:$O$41,6,0)/'4. Billing Determinants'!$G$41*$D33,IF($E33="Distribution Rev.",VLOOKUP(T$4,'4. Billing Determinants'!$B$19:$O$41,8,0)/'4. Billing Determinants'!$I$41*$D33, VLOOKUP(T$4,'4. Billing Determinants'!$B$19:$O$41,3,0)/'4. Billing Determinants'!$D$41*$D33))))),0)</f>
        <v>0</v>
      </c>
      <c r="U33" s="75">
        <f>IFERROR(IF(U$4="",0,IF($E33="kWh",VLOOKUP(U$4,'4. Billing Determinants'!$B$19:$O$41,4,0)/'4. Billing Determinants'!$E$41*$D33,IF($E33="kW",VLOOKUP(U$4,'4. Billing Determinants'!$B$19:$O$41,5,0)/'4. Billing Determinants'!$F$41*$D33,IF($E33="Non-RPP kWh",VLOOKUP(U$4,'4. Billing Determinants'!$B$19:$O$41,6,0)/'4. Billing Determinants'!$G$41*$D33,IF($E33="Distribution Rev.",VLOOKUP(U$4,'4. Billing Determinants'!$B$19:$O$41,8,0)/'4. Billing Determinants'!$I$41*$D33, VLOOKUP(U$4,'4. Billing Determinants'!$B$19:$O$41,3,0)/'4. Billing Determinants'!$D$41*$D33))))),0)</f>
        <v>0</v>
      </c>
      <c r="V33" s="75">
        <f>IFERROR(IF(V$4="",0,IF($E33="kWh",VLOOKUP(V$4,'4. Billing Determinants'!$B$19:$O$41,4,0)/'4. Billing Determinants'!$E$41*$D33,IF($E33="kW",VLOOKUP(V$4,'4. Billing Determinants'!$B$19:$O$41,5,0)/'4. Billing Determinants'!$F$41*$D33,IF($E33="Non-RPP kWh",VLOOKUP(V$4,'4. Billing Determinants'!$B$19:$O$41,6,0)/'4. Billing Determinants'!$G$41*$D33,IF($E33="Distribution Rev.",VLOOKUP(V$4,'4. Billing Determinants'!$B$19:$O$41,8,0)/'4. Billing Determinants'!$I$41*$D33, VLOOKUP(V$4,'4. Billing Determinants'!$B$19:$O$41,3,0)/'4. Billing Determinants'!$D$41*$D33))))),0)</f>
        <v>0</v>
      </c>
      <c r="W33" s="75">
        <f>IFERROR(IF(W$4="",0,IF($E33="kWh",VLOOKUP(W$4,'4. Billing Determinants'!$B$19:$O$41,4,0)/'4. Billing Determinants'!$E$41*$D33,IF($E33="kW",VLOOKUP(W$4,'4. Billing Determinants'!$B$19:$O$41,5,0)/'4. Billing Determinants'!$F$41*$D33,IF($E33="Non-RPP kWh",VLOOKUP(W$4,'4. Billing Determinants'!$B$19:$O$41,6,0)/'4. Billing Determinants'!$G$41*$D33,IF($E33="Distribution Rev.",VLOOKUP(W$4,'4. Billing Determinants'!$B$19:$O$41,8,0)/'4. Billing Determinants'!$I$41*$D33, VLOOKUP(W$4,'4. Billing Determinants'!$B$19:$O$41,3,0)/'4. Billing Determinants'!$D$41*$D33))))),0)</f>
        <v>0</v>
      </c>
      <c r="X33" s="75">
        <f>IFERROR(IF(X$4="",0,IF($E33="kWh",VLOOKUP(X$4,'4. Billing Determinants'!$B$19:$O$41,4,0)/'4. Billing Determinants'!$E$41*$D33,IF($E33="kW",VLOOKUP(X$4,'4. Billing Determinants'!$B$19:$O$41,5,0)/'4. Billing Determinants'!$F$41*$D33,IF($E33="Non-RPP kWh",VLOOKUP(X$4,'4. Billing Determinants'!$B$19:$O$41,6,0)/'4. Billing Determinants'!$G$41*$D33,IF($E33="Distribution Rev.",VLOOKUP(X$4,'4. Billing Determinants'!$B$19:$O$41,8,0)/'4. Billing Determinants'!$I$41*$D33, VLOOKUP(X$4,'4. Billing Determinants'!$B$19:$O$41,3,0)/'4. Billing Determinants'!$D$41*$D33))))),0)</f>
        <v>0</v>
      </c>
      <c r="Y33" s="75">
        <f>IFERROR(IF(Y$4="",0,IF($E33="kWh",VLOOKUP(Y$4,'4. Billing Determinants'!$B$19:$O$41,4,0)/'4. Billing Determinants'!$E$41*$D33,IF($E33="kW",VLOOKUP(Y$4,'4. Billing Determinants'!$B$19:$O$41,5,0)/'4. Billing Determinants'!$F$41*$D33,IF($E33="Non-RPP kWh",VLOOKUP(Y$4,'4. Billing Determinants'!$B$19:$O$41,6,0)/'4. Billing Determinants'!$G$41*$D33,IF($E33="Distribution Rev.",VLOOKUP(Y$4,'4. Billing Determinants'!$B$19:$O$41,8,0)/'4. Billing Determinants'!$I$41*$D33, VLOOKUP(Y$4,'4. Billing Determinants'!$B$19:$O$41,3,0)/'4. Billing Determinants'!$D$41*$D33))))),0)</f>
        <v>0</v>
      </c>
    </row>
    <row r="34" spans="1:25" x14ac:dyDescent="0.2">
      <c r="B34" s="73" t="s">
        <v>66</v>
      </c>
      <c r="C34" s="74">
        <v>1567</v>
      </c>
      <c r="D34" s="75">
        <f>'2. 2013 Continuity Schedule'!CP57</f>
        <v>0</v>
      </c>
      <c r="E34" s="208"/>
      <c r="F34" s="75">
        <f>IFERROR(IF(F$4="",0,IF($E34="kWh",VLOOKUP(F$4,'4. Billing Determinants'!$B$19:$O$41,4,0)/'4. Billing Determinants'!$E$41*$D34,IF($E34="kW",VLOOKUP(F$4,'4. Billing Determinants'!$B$19:$O$41,5,0)/'4. Billing Determinants'!$F$41*$D34,IF($E34="Non-RPP kWh",VLOOKUP(F$4,'4. Billing Determinants'!$B$19:$O$41,6,0)/'4. Billing Determinants'!$G$41*$D34,IF($E34="Distribution Rev.",VLOOKUP(F$4,'4. Billing Determinants'!$B$19:$O$41,8,0)/'4. Billing Determinants'!$I$41*$D34, VLOOKUP(F$4,'4. Billing Determinants'!$B$19:$O$41,3,0)/'4. Billing Determinants'!$D$41*$D34))))),0)</f>
        <v>0</v>
      </c>
      <c r="G34" s="75">
        <f>IFERROR(IF(G$4="",0,IF($E34="kWh",VLOOKUP(G$4,'4. Billing Determinants'!$B$19:$O$41,4,0)/'4. Billing Determinants'!$E$41*$D34,IF($E34="kW",VLOOKUP(G$4,'4. Billing Determinants'!$B$19:$O$41,5,0)/'4. Billing Determinants'!$F$41*$D34,IF($E34="Non-RPP kWh",VLOOKUP(G$4,'4. Billing Determinants'!$B$19:$O$41,6,0)/'4. Billing Determinants'!$G$41*$D34,IF($E34="Distribution Rev.",VLOOKUP(G$4,'4. Billing Determinants'!$B$19:$O$41,8,0)/'4. Billing Determinants'!$I$41*$D34, VLOOKUP(G$4,'4. Billing Determinants'!$B$19:$O$41,3,0)/'4. Billing Determinants'!$D$41*$D34))))),0)</f>
        <v>0</v>
      </c>
      <c r="H34" s="75">
        <f>IFERROR(IF(H$4="",0,IF($E34="kWh",VLOOKUP(H$4,'4. Billing Determinants'!$B$19:$O$41,4,0)/'4. Billing Determinants'!$E$41*$D34,IF($E34="kW",VLOOKUP(H$4,'4. Billing Determinants'!$B$19:$O$41,5,0)/'4. Billing Determinants'!$F$41*$D34,IF($E34="Non-RPP kWh",VLOOKUP(H$4,'4. Billing Determinants'!$B$19:$O$41,6,0)/'4. Billing Determinants'!$G$41*$D34,IF($E34="Distribution Rev.",VLOOKUP(H$4,'4. Billing Determinants'!$B$19:$O$41,8,0)/'4. Billing Determinants'!$I$41*$D34, VLOOKUP(H$4,'4. Billing Determinants'!$B$19:$O$41,3,0)/'4. Billing Determinants'!$D$41*$D34))))),0)</f>
        <v>0</v>
      </c>
      <c r="I34" s="75">
        <f>IFERROR(IF(I$4="",0,IF($E34="kWh",VLOOKUP(I$4,'4. Billing Determinants'!$B$19:$O$41,4,0)/'4. Billing Determinants'!$E$41*$D34,IF($E34="kW",VLOOKUP(I$4,'4. Billing Determinants'!$B$19:$O$41,5,0)/'4. Billing Determinants'!$F$41*$D34,IF($E34="Non-RPP kWh",VLOOKUP(I$4,'4. Billing Determinants'!$B$19:$O$41,6,0)/'4. Billing Determinants'!$G$41*$D34,IF($E34="Distribution Rev.",VLOOKUP(I$4,'4. Billing Determinants'!$B$19:$O$41,8,0)/'4. Billing Determinants'!$I$41*$D34, VLOOKUP(I$4,'4. Billing Determinants'!$B$19:$O$41,3,0)/'4. Billing Determinants'!$D$41*$D34))))),0)</f>
        <v>0</v>
      </c>
      <c r="J34" s="75">
        <f>IFERROR(IF(J$4="",0,IF($E34="kWh",VLOOKUP(J$4,'4. Billing Determinants'!$B$19:$O$41,4,0)/'4. Billing Determinants'!$E$41*$D34,IF($E34="kW",VLOOKUP(J$4,'4. Billing Determinants'!$B$19:$O$41,5,0)/'4. Billing Determinants'!$F$41*$D34,IF($E34="Non-RPP kWh",VLOOKUP(J$4,'4. Billing Determinants'!$B$19:$O$41,6,0)/'4. Billing Determinants'!$G$41*$D34,IF($E34="Distribution Rev.",VLOOKUP(J$4,'4. Billing Determinants'!$B$19:$O$41,8,0)/'4. Billing Determinants'!$I$41*$D34, VLOOKUP(J$4,'4. Billing Determinants'!$B$19:$O$41,3,0)/'4. Billing Determinants'!$D$41*$D34))))),0)</f>
        <v>0</v>
      </c>
      <c r="K34" s="75">
        <f>IFERROR(IF(K$4="",0,IF($E34="kWh",VLOOKUP(K$4,'4. Billing Determinants'!$B$19:$O$41,4,0)/'4. Billing Determinants'!$E$41*$D34,IF($E34="kW",VLOOKUP(K$4,'4. Billing Determinants'!$B$19:$O$41,5,0)/'4. Billing Determinants'!$F$41*$D34,IF($E34="Non-RPP kWh",VLOOKUP(K$4,'4. Billing Determinants'!$B$19:$O$41,6,0)/'4. Billing Determinants'!$G$41*$D34,IF($E34="Distribution Rev.",VLOOKUP(K$4,'4. Billing Determinants'!$B$19:$O$41,8,0)/'4. Billing Determinants'!$I$41*$D34, VLOOKUP(K$4,'4. Billing Determinants'!$B$19:$O$41,3,0)/'4. Billing Determinants'!$D$41*$D34))))),0)</f>
        <v>0</v>
      </c>
      <c r="L34" s="75">
        <f>IFERROR(IF(L$4="",0,IF($E34="kWh",VLOOKUP(L$4,'4. Billing Determinants'!$B$19:$O$41,4,0)/'4. Billing Determinants'!$E$41*$D34,IF($E34="kW",VLOOKUP(L$4,'4. Billing Determinants'!$B$19:$O$41,5,0)/'4. Billing Determinants'!$F$41*$D34,IF($E34="Non-RPP kWh",VLOOKUP(L$4,'4. Billing Determinants'!$B$19:$O$41,6,0)/'4. Billing Determinants'!$G$41*$D34,IF($E34="Distribution Rev.",VLOOKUP(L$4,'4. Billing Determinants'!$B$19:$O$41,8,0)/'4. Billing Determinants'!$I$41*$D34, VLOOKUP(L$4,'4. Billing Determinants'!$B$19:$O$41,3,0)/'4. Billing Determinants'!$D$41*$D34))))),0)</f>
        <v>0</v>
      </c>
      <c r="M34" s="75">
        <f>IFERROR(IF(M$4="",0,IF($E34="kWh",VLOOKUP(M$4,'4. Billing Determinants'!$B$19:$O$41,4,0)/'4. Billing Determinants'!$E$41*$D34,IF($E34="kW",VLOOKUP(M$4,'4. Billing Determinants'!$B$19:$O$41,5,0)/'4. Billing Determinants'!$F$41*$D34,IF($E34="Non-RPP kWh",VLOOKUP(M$4,'4. Billing Determinants'!$B$19:$O$41,6,0)/'4. Billing Determinants'!$G$41*$D34,IF($E34="Distribution Rev.",VLOOKUP(M$4,'4. Billing Determinants'!$B$19:$O$41,8,0)/'4. Billing Determinants'!$I$41*$D34, VLOOKUP(M$4,'4. Billing Determinants'!$B$19:$O$41,3,0)/'4. Billing Determinants'!$D$41*$D34))))),0)</f>
        <v>0</v>
      </c>
      <c r="N34" s="75">
        <f>IFERROR(IF(N$4="",0,IF($E34="kWh",VLOOKUP(N$4,'4. Billing Determinants'!$B$19:$O$41,4,0)/'4. Billing Determinants'!$E$41*$D34,IF($E34="kW",VLOOKUP(N$4,'4. Billing Determinants'!$B$19:$O$41,5,0)/'4. Billing Determinants'!$F$41*$D34,IF($E34="Non-RPP kWh",VLOOKUP(N$4,'4. Billing Determinants'!$B$19:$O$41,6,0)/'4. Billing Determinants'!$G$41*$D34,IF($E34="Distribution Rev.",VLOOKUP(N$4,'4. Billing Determinants'!$B$19:$O$41,8,0)/'4. Billing Determinants'!$I$41*$D34, VLOOKUP(N$4,'4. Billing Determinants'!$B$19:$O$41,3,0)/'4. Billing Determinants'!$D$41*$D34))))),0)</f>
        <v>0</v>
      </c>
      <c r="O34" s="75">
        <f>IFERROR(IF(O$4="",0,IF($E34="kWh",VLOOKUP(O$4,'4. Billing Determinants'!$B$19:$O$41,4,0)/'4. Billing Determinants'!$E$41*$D34,IF($E34="kW",VLOOKUP(O$4,'4. Billing Determinants'!$B$19:$O$41,5,0)/'4. Billing Determinants'!$F$41*$D34,IF($E34="Non-RPP kWh",VLOOKUP(O$4,'4. Billing Determinants'!$B$19:$O$41,6,0)/'4. Billing Determinants'!$G$41*$D34,IF($E34="Distribution Rev.",VLOOKUP(O$4,'4. Billing Determinants'!$B$19:$O$41,8,0)/'4. Billing Determinants'!$I$41*$D34, VLOOKUP(O$4,'4. Billing Determinants'!$B$19:$O$41,3,0)/'4. Billing Determinants'!$D$41*$D34))))),0)</f>
        <v>0</v>
      </c>
      <c r="P34" s="75">
        <f>IFERROR(IF(P$4="",0,IF($E34="kWh",VLOOKUP(P$4,'4. Billing Determinants'!$B$19:$O$41,4,0)/'4. Billing Determinants'!$E$41*$D34,IF($E34="kW",VLOOKUP(P$4,'4. Billing Determinants'!$B$19:$O$41,5,0)/'4. Billing Determinants'!$F$41*$D34,IF($E34="Non-RPP kWh",VLOOKUP(P$4,'4. Billing Determinants'!$B$19:$O$41,6,0)/'4. Billing Determinants'!$G$41*$D34,IF($E34="Distribution Rev.",VLOOKUP(P$4,'4. Billing Determinants'!$B$19:$O$41,8,0)/'4. Billing Determinants'!$I$41*$D34, VLOOKUP(P$4,'4. Billing Determinants'!$B$19:$O$41,3,0)/'4. Billing Determinants'!$D$41*$D34))))),0)</f>
        <v>0</v>
      </c>
      <c r="Q34" s="75">
        <f>IFERROR(IF(Q$4="",0,IF($E34="kWh",VLOOKUP(Q$4,'4. Billing Determinants'!$B$19:$O$41,4,0)/'4. Billing Determinants'!$E$41*$D34,IF($E34="kW",VLOOKUP(Q$4,'4. Billing Determinants'!$B$19:$O$41,5,0)/'4. Billing Determinants'!$F$41*$D34,IF($E34="Non-RPP kWh",VLOOKUP(Q$4,'4. Billing Determinants'!$B$19:$O$41,6,0)/'4. Billing Determinants'!$G$41*$D34,IF($E34="Distribution Rev.",VLOOKUP(Q$4,'4. Billing Determinants'!$B$19:$O$41,8,0)/'4. Billing Determinants'!$I$41*$D34, VLOOKUP(Q$4,'4. Billing Determinants'!$B$19:$O$41,3,0)/'4. Billing Determinants'!$D$41*$D34))))),0)</f>
        <v>0</v>
      </c>
      <c r="R34" s="75">
        <f>IFERROR(IF(R$4="",0,IF($E34="kWh",VLOOKUP(R$4,'4. Billing Determinants'!$B$19:$O$41,4,0)/'4. Billing Determinants'!$E$41*$D34,IF($E34="kW",VLOOKUP(R$4,'4. Billing Determinants'!$B$19:$O$41,5,0)/'4. Billing Determinants'!$F$41*$D34,IF($E34="Non-RPP kWh",VLOOKUP(R$4,'4. Billing Determinants'!$B$19:$O$41,6,0)/'4. Billing Determinants'!$G$41*$D34,IF($E34="Distribution Rev.",VLOOKUP(R$4,'4. Billing Determinants'!$B$19:$O$41,8,0)/'4. Billing Determinants'!$I$41*$D34, VLOOKUP(R$4,'4. Billing Determinants'!$B$19:$O$41,3,0)/'4. Billing Determinants'!$D$41*$D34))))),0)</f>
        <v>0</v>
      </c>
      <c r="S34" s="75">
        <f>IFERROR(IF(S$4="",0,IF($E34="kWh",VLOOKUP(S$4,'4. Billing Determinants'!$B$19:$O$41,4,0)/'4. Billing Determinants'!$E$41*$D34,IF($E34="kW",VLOOKUP(S$4,'4. Billing Determinants'!$B$19:$O$41,5,0)/'4. Billing Determinants'!$F$41*$D34,IF($E34="Non-RPP kWh",VLOOKUP(S$4,'4. Billing Determinants'!$B$19:$O$41,6,0)/'4. Billing Determinants'!$G$41*$D34,IF($E34="Distribution Rev.",VLOOKUP(S$4,'4. Billing Determinants'!$B$19:$O$41,8,0)/'4. Billing Determinants'!$I$41*$D34, VLOOKUP(S$4,'4. Billing Determinants'!$B$19:$O$41,3,0)/'4. Billing Determinants'!$D$41*$D34))))),0)</f>
        <v>0</v>
      </c>
      <c r="T34" s="75">
        <f>IFERROR(IF(T$4="",0,IF($E34="kWh",VLOOKUP(T$4,'4. Billing Determinants'!$B$19:$O$41,4,0)/'4. Billing Determinants'!$E$41*$D34,IF($E34="kW",VLOOKUP(T$4,'4. Billing Determinants'!$B$19:$O$41,5,0)/'4. Billing Determinants'!$F$41*$D34,IF($E34="Non-RPP kWh",VLOOKUP(T$4,'4. Billing Determinants'!$B$19:$O$41,6,0)/'4. Billing Determinants'!$G$41*$D34,IF($E34="Distribution Rev.",VLOOKUP(T$4,'4. Billing Determinants'!$B$19:$O$41,8,0)/'4. Billing Determinants'!$I$41*$D34, VLOOKUP(T$4,'4. Billing Determinants'!$B$19:$O$41,3,0)/'4. Billing Determinants'!$D$41*$D34))))),0)</f>
        <v>0</v>
      </c>
      <c r="U34" s="75">
        <f>IFERROR(IF(U$4="",0,IF($E34="kWh",VLOOKUP(U$4,'4. Billing Determinants'!$B$19:$O$41,4,0)/'4. Billing Determinants'!$E$41*$D34,IF($E34="kW",VLOOKUP(U$4,'4. Billing Determinants'!$B$19:$O$41,5,0)/'4. Billing Determinants'!$F$41*$D34,IF($E34="Non-RPP kWh",VLOOKUP(U$4,'4. Billing Determinants'!$B$19:$O$41,6,0)/'4. Billing Determinants'!$G$41*$D34,IF($E34="Distribution Rev.",VLOOKUP(U$4,'4. Billing Determinants'!$B$19:$O$41,8,0)/'4. Billing Determinants'!$I$41*$D34, VLOOKUP(U$4,'4. Billing Determinants'!$B$19:$O$41,3,0)/'4. Billing Determinants'!$D$41*$D34))))),0)</f>
        <v>0</v>
      </c>
      <c r="V34" s="75">
        <f>IFERROR(IF(V$4="",0,IF($E34="kWh",VLOOKUP(V$4,'4. Billing Determinants'!$B$19:$O$41,4,0)/'4. Billing Determinants'!$E$41*$D34,IF($E34="kW",VLOOKUP(V$4,'4. Billing Determinants'!$B$19:$O$41,5,0)/'4. Billing Determinants'!$F$41*$D34,IF($E34="Non-RPP kWh",VLOOKUP(V$4,'4. Billing Determinants'!$B$19:$O$41,6,0)/'4. Billing Determinants'!$G$41*$D34,IF($E34="Distribution Rev.",VLOOKUP(V$4,'4. Billing Determinants'!$B$19:$O$41,8,0)/'4. Billing Determinants'!$I$41*$D34, VLOOKUP(V$4,'4. Billing Determinants'!$B$19:$O$41,3,0)/'4. Billing Determinants'!$D$41*$D34))))),0)</f>
        <v>0</v>
      </c>
      <c r="W34" s="75">
        <f>IFERROR(IF(W$4="",0,IF($E34="kWh",VLOOKUP(W$4,'4. Billing Determinants'!$B$19:$O$41,4,0)/'4. Billing Determinants'!$E$41*$D34,IF($E34="kW",VLOOKUP(W$4,'4. Billing Determinants'!$B$19:$O$41,5,0)/'4. Billing Determinants'!$F$41*$D34,IF($E34="Non-RPP kWh",VLOOKUP(W$4,'4. Billing Determinants'!$B$19:$O$41,6,0)/'4. Billing Determinants'!$G$41*$D34,IF($E34="Distribution Rev.",VLOOKUP(W$4,'4. Billing Determinants'!$B$19:$O$41,8,0)/'4. Billing Determinants'!$I$41*$D34, VLOOKUP(W$4,'4. Billing Determinants'!$B$19:$O$41,3,0)/'4. Billing Determinants'!$D$41*$D34))))),0)</f>
        <v>0</v>
      </c>
      <c r="X34" s="75">
        <f>IFERROR(IF(X$4="",0,IF($E34="kWh",VLOOKUP(X$4,'4. Billing Determinants'!$B$19:$O$41,4,0)/'4. Billing Determinants'!$E$41*$D34,IF($E34="kW",VLOOKUP(X$4,'4. Billing Determinants'!$B$19:$O$41,5,0)/'4. Billing Determinants'!$F$41*$D34,IF($E34="Non-RPP kWh",VLOOKUP(X$4,'4. Billing Determinants'!$B$19:$O$41,6,0)/'4. Billing Determinants'!$G$41*$D34,IF($E34="Distribution Rev.",VLOOKUP(X$4,'4. Billing Determinants'!$B$19:$O$41,8,0)/'4. Billing Determinants'!$I$41*$D34, VLOOKUP(X$4,'4. Billing Determinants'!$B$19:$O$41,3,0)/'4. Billing Determinants'!$D$41*$D34))))),0)</f>
        <v>0</v>
      </c>
      <c r="Y34" s="75">
        <f>IFERROR(IF(Y$4="",0,IF($E34="kWh",VLOOKUP(Y$4,'4. Billing Determinants'!$B$19:$O$41,4,0)/'4. Billing Determinants'!$E$41*$D34,IF($E34="kW",VLOOKUP(Y$4,'4. Billing Determinants'!$B$19:$O$41,5,0)/'4. Billing Determinants'!$F$41*$D34,IF($E34="Non-RPP kWh",VLOOKUP(Y$4,'4. Billing Determinants'!$B$19:$O$41,6,0)/'4. Billing Determinants'!$G$41*$D34,IF($E34="Distribution Rev.",VLOOKUP(Y$4,'4. Billing Determinants'!$B$19:$O$41,8,0)/'4. Billing Determinants'!$I$41*$D34, VLOOKUP(Y$4,'4. Billing Determinants'!$B$19:$O$41,3,0)/'4. Billing Determinants'!$D$41*$D34))))),0)</f>
        <v>0</v>
      </c>
    </row>
    <row r="35" spans="1:25" x14ac:dyDescent="0.2">
      <c r="B35" s="73" t="s">
        <v>18</v>
      </c>
      <c r="C35" s="74">
        <v>1572</v>
      </c>
      <c r="D35" s="75">
        <f>'2. 2013 Continuity Schedule'!CP58</f>
        <v>55839.203947250004</v>
      </c>
      <c r="E35" s="208" t="s">
        <v>314</v>
      </c>
      <c r="F35" s="75">
        <f>IFERROR(IF(F$4="",0,IF($E35="kWh",VLOOKUP(F$4,'4. Billing Determinants'!$B$19:$O$41,4,0)/'4. Billing Determinants'!$E$41*$D35,IF($E35="kW",VLOOKUP(F$4,'4. Billing Determinants'!$B$19:$O$41,5,0)/'4. Billing Determinants'!$F$41*$D35,IF($E35="Non-RPP kWh",VLOOKUP(F$4,'4. Billing Determinants'!$B$19:$O$41,6,0)/'4. Billing Determinants'!$G$41*$D35,IF($E35="Distribution Rev.",VLOOKUP(F$4,'4. Billing Determinants'!$B$19:$O$41,8,0)/'4. Billing Determinants'!$I$41*$D35, VLOOKUP(F$4,'4. Billing Determinants'!$B$19:$O$41,3,0)/'4. Billing Determinants'!$D$41*$D35))))),0)</f>
        <v>27689.585191933962</v>
      </c>
      <c r="G35" s="75">
        <f>IFERROR(IF(G$4="",0,IF($E35="kWh",VLOOKUP(G$4,'4. Billing Determinants'!$B$19:$O$41,4,0)/'4. Billing Determinants'!$E$41*$D35,IF($E35="kW",VLOOKUP(G$4,'4. Billing Determinants'!$B$19:$O$41,5,0)/'4. Billing Determinants'!$F$41*$D35,IF($E35="Non-RPP kWh",VLOOKUP(G$4,'4. Billing Determinants'!$B$19:$O$41,6,0)/'4. Billing Determinants'!$G$41*$D35,IF($E35="Distribution Rev.",VLOOKUP(G$4,'4. Billing Determinants'!$B$19:$O$41,8,0)/'4. Billing Determinants'!$I$41*$D35, VLOOKUP(G$4,'4. Billing Determinants'!$B$19:$O$41,3,0)/'4. Billing Determinants'!$D$41*$D35))))),0)</f>
        <v>14192.066579972767</v>
      </c>
      <c r="H35" s="75">
        <f>IFERROR(IF(H$4="",0,IF($E35="kWh",VLOOKUP(H$4,'4. Billing Determinants'!$B$19:$O$41,4,0)/'4. Billing Determinants'!$E$41*$D35,IF($E35="kW",VLOOKUP(H$4,'4. Billing Determinants'!$B$19:$O$41,5,0)/'4. Billing Determinants'!$F$41*$D35,IF($E35="Non-RPP kWh",VLOOKUP(H$4,'4. Billing Determinants'!$B$19:$O$41,6,0)/'4. Billing Determinants'!$G$41*$D35,IF($E35="Distribution Rev.",VLOOKUP(H$4,'4. Billing Determinants'!$B$19:$O$41,8,0)/'4. Billing Determinants'!$I$41*$D35, VLOOKUP(H$4,'4. Billing Determinants'!$B$19:$O$41,3,0)/'4. Billing Determinants'!$D$41*$D35))))),0)</f>
        <v>11467.305134738401</v>
      </c>
      <c r="I35" s="75">
        <f>IFERROR(IF(I$4="",0,IF($E35="kWh",VLOOKUP(I$4,'4. Billing Determinants'!$B$19:$O$41,4,0)/'4. Billing Determinants'!$E$41*$D35,IF($E35="kW",VLOOKUP(I$4,'4. Billing Determinants'!$B$19:$O$41,5,0)/'4. Billing Determinants'!$F$41*$D35,IF($E35="Non-RPP kWh",VLOOKUP(I$4,'4. Billing Determinants'!$B$19:$O$41,6,0)/'4. Billing Determinants'!$G$41*$D35,IF($E35="Distribution Rev.",VLOOKUP(I$4,'4. Billing Determinants'!$B$19:$O$41,8,0)/'4. Billing Determinants'!$I$41*$D35, VLOOKUP(I$4,'4. Billing Determinants'!$B$19:$O$41,3,0)/'4. Billing Determinants'!$D$41*$D35))))),0)</f>
        <v>191.00355985335563</v>
      </c>
      <c r="J35" s="75">
        <f>IFERROR(IF(J$4="",0,IF($E35="kWh",VLOOKUP(J$4,'4. Billing Determinants'!$B$19:$O$41,4,0)/'4. Billing Determinants'!$E$41*$D35,IF($E35="kW",VLOOKUP(J$4,'4. Billing Determinants'!$B$19:$O$41,5,0)/'4. Billing Determinants'!$F$41*$D35,IF($E35="Non-RPP kWh",VLOOKUP(J$4,'4. Billing Determinants'!$B$19:$O$41,6,0)/'4. Billing Determinants'!$G$41*$D35,IF($E35="Distribution Rev.",VLOOKUP(J$4,'4. Billing Determinants'!$B$19:$O$41,8,0)/'4. Billing Determinants'!$I$41*$D35, VLOOKUP(J$4,'4. Billing Determinants'!$B$19:$O$41,3,0)/'4. Billing Determinants'!$D$41*$D35))))),0)</f>
        <v>2299.2434807515115</v>
      </c>
      <c r="K35" s="75">
        <f>IFERROR(IF(K$4="",0,IF($E35="kWh",VLOOKUP(K$4,'4. Billing Determinants'!$B$19:$O$41,4,0)/'4. Billing Determinants'!$E$41*$D35,IF($E35="kW",VLOOKUP(K$4,'4. Billing Determinants'!$B$19:$O$41,5,0)/'4. Billing Determinants'!$F$41*$D35,IF($E35="Non-RPP kWh",VLOOKUP(K$4,'4. Billing Determinants'!$B$19:$O$41,6,0)/'4. Billing Determinants'!$G$41*$D35,IF($E35="Distribution Rev.",VLOOKUP(K$4,'4. Billing Determinants'!$B$19:$O$41,8,0)/'4. Billing Determinants'!$I$41*$D35, VLOOKUP(K$4,'4. Billing Determinants'!$B$19:$O$41,3,0)/'4. Billing Determinants'!$D$41*$D35))))),0)</f>
        <v>0</v>
      </c>
      <c r="L35" s="75">
        <f>IFERROR(IF(L$4="",0,IF($E35="kWh",VLOOKUP(L$4,'4. Billing Determinants'!$B$19:$O$41,4,0)/'4. Billing Determinants'!$E$41*$D35,IF($E35="kW",VLOOKUP(L$4,'4. Billing Determinants'!$B$19:$O$41,5,0)/'4. Billing Determinants'!$F$41*$D35,IF($E35="Non-RPP kWh",VLOOKUP(L$4,'4. Billing Determinants'!$B$19:$O$41,6,0)/'4. Billing Determinants'!$G$41*$D35,IF($E35="Distribution Rev.",VLOOKUP(L$4,'4. Billing Determinants'!$B$19:$O$41,8,0)/'4. Billing Determinants'!$I$41*$D35, VLOOKUP(L$4,'4. Billing Determinants'!$B$19:$O$41,3,0)/'4. Billing Determinants'!$D$41*$D35))))),0)</f>
        <v>0</v>
      </c>
      <c r="M35" s="75">
        <f>IFERROR(IF(M$4="",0,IF($E35="kWh",VLOOKUP(M$4,'4. Billing Determinants'!$B$19:$O$41,4,0)/'4. Billing Determinants'!$E$41*$D35,IF($E35="kW",VLOOKUP(M$4,'4. Billing Determinants'!$B$19:$O$41,5,0)/'4. Billing Determinants'!$F$41*$D35,IF($E35="Non-RPP kWh",VLOOKUP(M$4,'4. Billing Determinants'!$B$19:$O$41,6,0)/'4. Billing Determinants'!$G$41*$D35,IF($E35="Distribution Rev.",VLOOKUP(M$4,'4. Billing Determinants'!$B$19:$O$41,8,0)/'4. Billing Determinants'!$I$41*$D35, VLOOKUP(M$4,'4. Billing Determinants'!$B$19:$O$41,3,0)/'4. Billing Determinants'!$D$41*$D35))))),0)</f>
        <v>0</v>
      </c>
      <c r="N35" s="75">
        <f>IFERROR(IF(N$4="",0,IF($E35="kWh",VLOOKUP(N$4,'4. Billing Determinants'!$B$19:$O$41,4,0)/'4. Billing Determinants'!$E$41*$D35,IF($E35="kW",VLOOKUP(N$4,'4. Billing Determinants'!$B$19:$O$41,5,0)/'4. Billing Determinants'!$F$41*$D35,IF($E35="Non-RPP kWh",VLOOKUP(N$4,'4. Billing Determinants'!$B$19:$O$41,6,0)/'4. Billing Determinants'!$G$41*$D35,IF($E35="Distribution Rev.",VLOOKUP(N$4,'4. Billing Determinants'!$B$19:$O$41,8,0)/'4. Billing Determinants'!$I$41*$D35, VLOOKUP(N$4,'4. Billing Determinants'!$B$19:$O$41,3,0)/'4. Billing Determinants'!$D$41*$D35))))),0)</f>
        <v>0</v>
      </c>
      <c r="O35" s="75">
        <f>IFERROR(IF(O$4="",0,IF($E35="kWh",VLOOKUP(O$4,'4. Billing Determinants'!$B$19:$O$41,4,0)/'4. Billing Determinants'!$E$41*$D35,IF($E35="kW",VLOOKUP(O$4,'4. Billing Determinants'!$B$19:$O$41,5,0)/'4. Billing Determinants'!$F$41*$D35,IF($E35="Non-RPP kWh",VLOOKUP(O$4,'4. Billing Determinants'!$B$19:$O$41,6,0)/'4. Billing Determinants'!$G$41*$D35,IF($E35="Distribution Rev.",VLOOKUP(O$4,'4. Billing Determinants'!$B$19:$O$41,8,0)/'4. Billing Determinants'!$I$41*$D35, VLOOKUP(O$4,'4. Billing Determinants'!$B$19:$O$41,3,0)/'4. Billing Determinants'!$D$41*$D35))))),0)</f>
        <v>0</v>
      </c>
      <c r="P35" s="75">
        <f>IFERROR(IF(P$4="",0,IF($E35="kWh",VLOOKUP(P$4,'4. Billing Determinants'!$B$19:$O$41,4,0)/'4. Billing Determinants'!$E$41*$D35,IF($E35="kW",VLOOKUP(P$4,'4. Billing Determinants'!$B$19:$O$41,5,0)/'4. Billing Determinants'!$F$41*$D35,IF($E35="Non-RPP kWh",VLOOKUP(P$4,'4. Billing Determinants'!$B$19:$O$41,6,0)/'4. Billing Determinants'!$G$41*$D35,IF($E35="Distribution Rev.",VLOOKUP(P$4,'4. Billing Determinants'!$B$19:$O$41,8,0)/'4. Billing Determinants'!$I$41*$D35, VLOOKUP(P$4,'4. Billing Determinants'!$B$19:$O$41,3,0)/'4. Billing Determinants'!$D$41*$D35))))),0)</f>
        <v>0</v>
      </c>
      <c r="Q35" s="75">
        <f>IFERROR(IF(Q$4="",0,IF($E35="kWh",VLOOKUP(Q$4,'4. Billing Determinants'!$B$19:$O$41,4,0)/'4. Billing Determinants'!$E$41*$D35,IF($E35="kW",VLOOKUP(Q$4,'4. Billing Determinants'!$B$19:$O$41,5,0)/'4. Billing Determinants'!$F$41*$D35,IF($E35="Non-RPP kWh",VLOOKUP(Q$4,'4. Billing Determinants'!$B$19:$O$41,6,0)/'4. Billing Determinants'!$G$41*$D35,IF($E35="Distribution Rev.",VLOOKUP(Q$4,'4. Billing Determinants'!$B$19:$O$41,8,0)/'4. Billing Determinants'!$I$41*$D35, VLOOKUP(Q$4,'4. Billing Determinants'!$B$19:$O$41,3,0)/'4. Billing Determinants'!$D$41*$D35))))),0)</f>
        <v>0</v>
      </c>
      <c r="R35" s="75">
        <f>IFERROR(IF(R$4="",0,IF($E35="kWh",VLOOKUP(R$4,'4. Billing Determinants'!$B$19:$O$41,4,0)/'4. Billing Determinants'!$E$41*$D35,IF($E35="kW",VLOOKUP(R$4,'4. Billing Determinants'!$B$19:$O$41,5,0)/'4. Billing Determinants'!$F$41*$D35,IF($E35="Non-RPP kWh",VLOOKUP(R$4,'4. Billing Determinants'!$B$19:$O$41,6,0)/'4. Billing Determinants'!$G$41*$D35,IF($E35="Distribution Rev.",VLOOKUP(R$4,'4. Billing Determinants'!$B$19:$O$41,8,0)/'4. Billing Determinants'!$I$41*$D35, VLOOKUP(R$4,'4. Billing Determinants'!$B$19:$O$41,3,0)/'4. Billing Determinants'!$D$41*$D35))))),0)</f>
        <v>0</v>
      </c>
      <c r="S35" s="75">
        <f>IFERROR(IF(S$4="",0,IF($E35="kWh",VLOOKUP(S$4,'4. Billing Determinants'!$B$19:$O$41,4,0)/'4. Billing Determinants'!$E$41*$D35,IF($E35="kW",VLOOKUP(S$4,'4. Billing Determinants'!$B$19:$O$41,5,0)/'4. Billing Determinants'!$F$41*$D35,IF($E35="Non-RPP kWh",VLOOKUP(S$4,'4. Billing Determinants'!$B$19:$O$41,6,0)/'4. Billing Determinants'!$G$41*$D35,IF($E35="Distribution Rev.",VLOOKUP(S$4,'4. Billing Determinants'!$B$19:$O$41,8,0)/'4. Billing Determinants'!$I$41*$D35, VLOOKUP(S$4,'4. Billing Determinants'!$B$19:$O$41,3,0)/'4. Billing Determinants'!$D$41*$D35))))),0)</f>
        <v>0</v>
      </c>
      <c r="T35" s="75">
        <f>IFERROR(IF(T$4="",0,IF($E35="kWh",VLOOKUP(T$4,'4. Billing Determinants'!$B$19:$O$41,4,0)/'4. Billing Determinants'!$E$41*$D35,IF($E35="kW",VLOOKUP(T$4,'4. Billing Determinants'!$B$19:$O$41,5,0)/'4. Billing Determinants'!$F$41*$D35,IF($E35="Non-RPP kWh",VLOOKUP(T$4,'4. Billing Determinants'!$B$19:$O$41,6,0)/'4. Billing Determinants'!$G$41*$D35,IF($E35="Distribution Rev.",VLOOKUP(T$4,'4. Billing Determinants'!$B$19:$O$41,8,0)/'4. Billing Determinants'!$I$41*$D35, VLOOKUP(T$4,'4. Billing Determinants'!$B$19:$O$41,3,0)/'4. Billing Determinants'!$D$41*$D35))))),0)</f>
        <v>0</v>
      </c>
      <c r="U35" s="75">
        <f>IFERROR(IF(U$4="",0,IF($E35="kWh",VLOOKUP(U$4,'4. Billing Determinants'!$B$19:$O$41,4,0)/'4. Billing Determinants'!$E$41*$D35,IF($E35="kW",VLOOKUP(U$4,'4. Billing Determinants'!$B$19:$O$41,5,0)/'4. Billing Determinants'!$F$41*$D35,IF($E35="Non-RPP kWh",VLOOKUP(U$4,'4. Billing Determinants'!$B$19:$O$41,6,0)/'4. Billing Determinants'!$G$41*$D35,IF($E35="Distribution Rev.",VLOOKUP(U$4,'4. Billing Determinants'!$B$19:$O$41,8,0)/'4. Billing Determinants'!$I$41*$D35, VLOOKUP(U$4,'4. Billing Determinants'!$B$19:$O$41,3,0)/'4. Billing Determinants'!$D$41*$D35))))),0)</f>
        <v>0</v>
      </c>
      <c r="V35" s="75">
        <f>IFERROR(IF(V$4="",0,IF($E35="kWh",VLOOKUP(V$4,'4. Billing Determinants'!$B$19:$O$41,4,0)/'4. Billing Determinants'!$E$41*$D35,IF($E35="kW",VLOOKUP(V$4,'4. Billing Determinants'!$B$19:$O$41,5,0)/'4. Billing Determinants'!$F$41*$D35,IF($E35="Non-RPP kWh",VLOOKUP(V$4,'4. Billing Determinants'!$B$19:$O$41,6,0)/'4. Billing Determinants'!$G$41*$D35,IF($E35="Distribution Rev.",VLOOKUP(V$4,'4. Billing Determinants'!$B$19:$O$41,8,0)/'4. Billing Determinants'!$I$41*$D35, VLOOKUP(V$4,'4. Billing Determinants'!$B$19:$O$41,3,0)/'4. Billing Determinants'!$D$41*$D35))))),0)</f>
        <v>0</v>
      </c>
      <c r="W35" s="75">
        <f>IFERROR(IF(W$4="",0,IF($E35="kWh",VLOOKUP(W$4,'4. Billing Determinants'!$B$19:$O$41,4,0)/'4. Billing Determinants'!$E$41*$D35,IF($E35="kW",VLOOKUP(W$4,'4. Billing Determinants'!$B$19:$O$41,5,0)/'4. Billing Determinants'!$F$41*$D35,IF($E35="Non-RPP kWh",VLOOKUP(W$4,'4. Billing Determinants'!$B$19:$O$41,6,0)/'4. Billing Determinants'!$G$41*$D35,IF($E35="Distribution Rev.",VLOOKUP(W$4,'4. Billing Determinants'!$B$19:$O$41,8,0)/'4. Billing Determinants'!$I$41*$D35, VLOOKUP(W$4,'4. Billing Determinants'!$B$19:$O$41,3,0)/'4. Billing Determinants'!$D$41*$D35))))),0)</f>
        <v>0</v>
      </c>
      <c r="X35" s="75">
        <f>IFERROR(IF(X$4="",0,IF($E35="kWh",VLOOKUP(X$4,'4. Billing Determinants'!$B$19:$O$41,4,0)/'4. Billing Determinants'!$E$41*$D35,IF($E35="kW",VLOOKUP(X$4,'4. Billing Determinants'!$B$19:$O$41,5,0)/'4. Billing Determinants'!$F$41*$D35,IF($E35="Non-RPP kWh",VLOOKUP(X$4,'4. Billing Determinants'!$B$19:$O$41,6,0)/'4. Billing Determinants'!$G$41*$D35,IF($E35="Distribution Rev.",VLOOKUP(X$4,'4. Billing Determinants'!$B$19:$O$41,8,0)/'4. Billing Determinants'!$I$41*$D35, VLOOKUP(X$4,'4. Billing Determinants'!$B$19:$O$41,3,0)/'4. Billing Determinants'!$D$41*$D35))))),0)</f>
        <v>0</v>
      </c>
      <c r="Y35" s="75">
        <f>IFERROR(IF(Y$4="",0,IF($E35="kWh",VLOOKUP(Y$4,'4. Billing Determinants'!$B$19:$O$41,4,0)/'4. Billing Determinants'!$E$41*$D35,IF($E35="kW",VLOOKUP(Y$4,'4. Billing Determinants'!$B$19:$O$41,5,0)/'4. Billing Determinants'!$F$41*$D35,IF($E35="Non-RPP kWh",VLOOKUP(Y$4,'4. Billing Determinants'!$B$19:$O$41,6,0)/'4. Billing Determinants'!$G$41*$D35,IF($E35="Distribution Rev.",VLOOKUP(Y$4,'4. Billing Determinants'!$B$19:$O$41,8,0)/'4. Billing Determinants'!$I$41*$D35, VLOOKUP(Y$4,'4. Billing Determinants'!$B$19:$O$41,3,0)/'4. Billing Determinants'!$D$41*$D35))))),0)</f>
        <v>0</v>
      </c>
    </row>
    <row r="36" spans="1:25" x14ac:dyDescent="0.2">
      <c r="B36" s="73" t="s">
        <v>6</v>
      </c>
      <c r="C36" s="74">
        <v>1574</v>
      </c>
      <c r="D36" s="75">
        <f>'2. 2013 Continuity Schedule'!CP59</f>
        <v>0</v>
      </c>
      <c r="E36" s="208"/>
      <c r="F36" s="75">
        <f>IFERROR(IF(F$4="",0,IF($E36="kWh",VLOOKUP(F$4,'4. Billing Determinants'!$B$19:$O$41,4,0)/'4. Billing Determinants'!$E$41*$D36,IF($E36="kW",VLOOKUP(F$4,'4. Billing Determinants'!$B$19:$O$41,5,0)/'4. Billing Determinants'!$F$41*$D36,IF($E36="Non-RPP kWh",VLOOKUP(F$4,'4. Billing Determinants'!$B$19:$O$41,6,0)/'4. Billing Determinants'!$G$41*$D36,IF($E36="Distribution Rev.",VLOOKUP(F$4,'4. Billing Determinants'!$B$19:$O$41,8,0)/'4. Billing Determinants'!$I$41*$D36, VLOOKUP(F$4,'4. Billing Determinants'!$B$19:$O$41,3,0)/'4. Billing Determinants'!$D$41*$D36))))),0)</f>
        <v>0</v>
      </c>
      <c r="G36" s="75">
        <f>IFERROR(IF(G$4="",0,IF($E36="kWh",VLOOKUP(G$4,'4. Billing Determinants'!$B$19:$O$41,4,0)/'4. Billing Determinants'!$E$41*$D36,IF($E36="kW",VLOOKUP(G$4,'4. Billing Determinants'!$B$19:$O$41,5,0)/'4. Billing Determinants'!$F$41*$D36,IF($E36="Non-RPP kWh",VLOOKUP(G$4,'4. Billing Determinants'!$B$19:$O$41,6,0)/'4. Billing Determinants'!$G$41*$D36,IF($E36="Distribution Rev.",VLOOKUP(G$4,'4. Billing Determinants'!$B$19:$O$41,8,0)/'4. Billing Determinants'!$I$41*$D36, VLOOKUP(G$4,'4. Billing Determinants'!$B$19:$O$41,3,0)/'4. Billing Determinants'!$D$41*$D36))))),0)</f>
        <v>0</v>
      </c>
      <c r="H36" s="75">
        <f>IFERROR(IF(H$4="",0,IF($E36="kWh",VLOOKUP(H$4,'4. Billing Determinants'!$B$19:$O$41,4,0)/'4. Billing Determinants'!$E$41*$D36,IF($E36="kW",VLOOKUP(H$4,'4. Billing Determinants'!$B$19:$O$41,5,0)/'4. Billing Determinants'!$F$41*$D36,IF($E36="Non-RPP kWh",VLOOKUP(H$4,'4. Billing Determinants'!$B$19:$O$41,6,0)/'4. Billing Determinants'!$G$41*$D36,IF($E36="Distribution Rev.",VLOOKUP(H$4,'4. Billing Determinants'!$B$19:$O$41,8,0)/'4. Billing Determinants'!$I$41*$D36, VLOOKUP(H$4,'4. Billing Determinants'!$B$19:$O$41,3,0)/'4. Billing Determinants'!$D$41*$D36))))),0)</f>
        <v>0</v>
      </c>
      <c r="I36" s="75">
        <f>IFERROR(IF(I$4="",0,IF($E36="kWh",VLOOKUP(I$4,'4. Billing Determinants'!$B$19:$O$41,4,0)/'4. Billing Determinants'!$E$41*$D36,IF($E36="kW",VLOOKUP(I$4,'4. Billing Determinants'!$B$19:$O$41,5,0)/'4. Billing Determinants'!$F$41*$D36,IF($E36="Non-RPP kWh",VLOOKUP(I$4,'4. Billing Determinants'!$B$19:$O$41,6,0)/'4. Billing Determinants'!$G$41*$D36,IF($E36="Distribution Rev.",VLOOKUP(I$4,'4. Billing Determinants'!$B$19:$O$41,8,0)/'4. Billing Determinants'!$I$41*$D36, VLOOKUP(I$4,'4. Billing Determinants'!$B$19:$O$41,3,0)/'4. Billing Determinants'!$D$41*$D36))))),0)</f>
        <v>0</v>
      </c>
      <c r="J36" s="75">
        <f>IFERROR(IF(J$4="",0,IF($E36="kWh",VLOOKUP(J$4,'4. Billing Determinants'!$B$19:$O$41,4,0)/'4. Billing Determinants'!$E$41*$D36,IF($E36="kW",VLOOKUP(J$4,'4. Billing Determinants'!$B$19:$O$41,5,0)/'4. Billing Determinants'!$F$41*$D36,IF($E36="Non-RPP kWh",VLOOKUP(J$4,'4. Billing Determinants'!$B$19:$O$41,6,0)/'4. Billing Determinants'!$G$41*$D36,IF($E36="Distribution Rev.",VLOOKUP(J$4,'4. Billing Determinants'!$B$19:$O$41,8,0)/'4. Billing Determinants'!$I$41*$D36, VLOOKUP(J$4,'4. Billing Determinants'!$B$19:$O$41,3,0)/'4. Billing Determinants'!$D$41*$D36))))),0)</f>
        <v>0</v>
      </c>
      <c r="K36" s="75">
        <f>IFERROR(IF(K$4="",0,IF($E36="kWh",VLOOKUP(K$4,'4. Billing Determinants'!$B$19:$O$41,4,0)/'4. Billing Determinants'!$E$41*$D36,IF($E36="kW",VLOOKUP(K$4,'4. Billing Determinants'!$B$19:$O$41,5,0)/'4. Billing Determinants'!$F$41*$D36,IF($E36="Non-RPP kWh",VLOOKUP(K$4,'4. Billing Determinants'!$B$19:$O$41,6,0)/'4. Billing Determinants'!$G$41*$D36,IF($E36="Distribution Rev.",VLOOKUP(K$4,'4. Billing Determinants'!$B$19:$O$41,8,0)/'4. Billing Determinants'!$I$41*$D36, VLOOKUP(K$4,'4. Billing Determinants'!$B$19:$O$41,3,0)/'4. Billing Determinants'!$D$41*$D36))))),0)</f>
        <v>0</v>
      </c>
      <c r="L36" s="75">
        <f>IFERROR(IF(L$4="",0,IF($E36="kWh",VLOOKUP(L$4,'4. Billing Determinants'!$B$19:$O$41,4,0)/'4. Billing Determinants'!$E$41*$D36,IF($E36="kW",VLOOKUP(L$4,'4. Billing Determinants'!$B$19:$O$41,5,0)/'4. Billing Determinants'!$F$41*$D36,IF($E36="Non-RPP kWh",VLOOKUP(L$4,'4. Billing Determinants'!$B$19:$O$41,6,0)/'4. Billing Determinants'!$G$41*$D36,IF($E36="Distribution Rev.",VLOOKUP(L$4,'4. Billing Determinants'!$B$19:$O$41,8,0)/'4. Billing Determinants'!$I$41*$D36, VLOOKUP(L$4,'4. Billing Determinants'!$B$19:$O$41,3,0)/'4. Billing Determinants'!$D$41*$D36))))),0)</f>
        <v>0</v>
      </c>
      <c r="M36" s="75">
        <f>IFERROR(IF(M$4="",0,IF($E36="kWh",VLOOKUP(M$4,'4. Billing Determinants'!$B$19:$O$41,4,0)/'4. Billing Determinants'!$E$41*$D36,IF($E36="kW",VLOOKUP(M$4,'4. Billing Determinants'!$B$19:$O$41,5,0)/'4. Billing Determinants'!$F$41*$D36,IF($E36="Non-RPP kWh",VLOOKUP(M$4,'4. Billing Determinants'!$B$19:$O$41,6,0)/'4. Billing Determinants'!$G$41*$D36,IF($E36="Distribution Rev.",VLOOKUP(M$4,'4. Billing Determinants'!$B$19:$O$41,8,0)/'4. Billing Determinants'!$I$41*$D36, VLOOKUP(M$4,'4. Billing Determinants'!$B$19:$O$41,3,0)/'4. Billing Determinants'!$D$41*$D36))))),0)</f>
        <v>0</v>
      </c>
      <c r="N36" s="75">
        <f>IFERROR(IF(N$4="",0,IF($E36="kWh",VLOOKUP(N$4,'4. Billing Determinants'!$B$19:$O$41,4,0)/'4. Billing Determinants'!$E$41*$D36,IF($E36="kW",VLOOKUP(N$4,'4. Billing Determinants'!$B$19:$O$41,5,0)/'4. Billing Determinants'!$F$41*$D36,IF($E36="Non-RPP kWh",VLOOKUP(N$4,'4. Billing Determinants'!$B$19:$O$41,6,0)/'4. Billing Determinants'!$G$41*$D36,IF($E36="Distribution Rev.",VLOOKUP(N$4,'4. Billing Determinants'!$B$19:$O$41,8,0)/'4. Billing Determinants'!$I$41*$D36, VLOOKUP(N$4,'4. Billing Determinants'!$B$19:$O$41,3,0)/'4. Billing Determinants'!$D$41*$D36))))),0)</f>
        <v>0</v>
      </c>
      <c r="O36" s="75">
        <f>IFERROR(IF(O$4="",0,IF($E36="kWh",VLOOKUP(O$4,'4. Billing Determinants'!$B$19:$O$41,4,0)/'4. Billing Determinants'!$E$41*$D36,IF($E36="kW",VLOOKUP(O$4,'4. Billing Determinants'!$B$19:$O$41,5,0)/'4. Billing Determinants'!$F$41*$D36,IF($E36="Non-RPP kWh",VLOOKUP(O$4,'4. Billing Determinants'!$B$19:$O$41,6,0)/'4. Billing Determinants'!$G$41*$D36,IF($E36="Distribution Rev.",VLOOKUP(O$4,'4. Billing Determinants'!$B$19:$O$41,8,0)/'4. Billing Determinants'!$I$41*$D36, VLOOKUP(O$4,'4. Billing Determinants'!$B$19:$O$41,3,0)/'4. Billing Determinants'!$D$41*$D36))))),0)</f>
        <v>0</v>
      </c>
      <c r="P36" s="75">
        <f>IFERROR(IF(P$4="",0,IF($E36="kWh",VLOOKUP(P$4,'4. Billing Determinants'!$B$19:$O$41,4,0)/'4. Billing Determinants'!$E$41*$D36,IF($E36="kW",VLOOKUP(P$4,'4. Billing Determinants'!$B$19:$O$41,5,0)/'4. Billing Determinants'!$F$41*$D36,IF($E36="Non-RPP kWh",VLOOKUP(P$4,'4. Billing Determinants'!$B$19:$O$41,6,0)/'4. Billing Determinants'!$G$41*$D36,IF($E36="Distribution Rev.",VLOOKUP(P$4,'4. Billing Determinants'!$B$19:$O$41,8,0)/'4. Billing Determinants'!$I$41*$D36, VLOOKUP(P$4,'4. Billing Determinants'!$B$19:$O$41,3,0)/'4. Billing Determinants'!$D$41*$D36))))),0)</f>
        <v>0</v>
      </c>
      <c r="Q36" s="75">
        <f>IFERROR(IF(Q$4="",0,IF($E36="kWh",VLOOKUP(Q$4,'4. Billing Determinants'!$B$19:$O$41,4,0)/'4. Billing Determinants'!$E$41*$D36,IF($E36="kW",VLOOKUP(Q$4,'4. Billing Determinants'!$B$19:$O$41,5,0)/'4. Billing Determinants'!$F$41*$D36,IF($E36="Non-RPP kWh",VLOOKUP(Q$4,'4. Billing Determinants'!$B$19:$O$41,6,0)/'4. Billing Determinants'!$G$41*$D36,IF($E36="Distribution Rev.",VLOOKUP(Q$4,'4. Billing Determinants'!$B$19:$O$41,8,0)/'4. Billing Determinants'!$I$41*$D36, VLOOKUP(Q$4,'4. Billing Determinants'!$B$19:$O$41,3,0)/'4. Billing Determinants'!$D$41*$D36))))),0)</f>
        <v>0</v>
      </c>
      <c r="R36" s="75">
        <f>IFERROR(IF(R$4="",0,IF($E36="kWh",VLOOKUP(R$4,'4. Billing Determinants'!$B$19:$O$41,4,0)/'4. Billing Determinants'!$E$41*$D36,IF($E36="kW",VLOOKUP(R$4,'4. Billing Determinants'!$B$19:$O$41,5,0)/'4. Billing Determinants'!$F$41*$D36,IF($E36="Non-RPP kWh",VLOOKUP(R$4,'4. Billing Determinants'!$B$19:$O$41,6,0)/'4. Billing Determinants'!$G$41*$D36,IF($E36="Distribution Rev.",VLOOKUP(R$4,'4. Billing Determinants'!$B$19:$O$41,8,0)/'4. Billing Determinants'!$I$41*$D36, VLOOKUP(R$4,'4. Billing Determinants'!$B$19:$O$41,3,0)/'4. Billing Determinants'!$D$41*$D36))))),0)</f>
        <v>0</v>
      </c>
      <c r="S36" s="75">
        <f>IFERROR(IF(S$4="",0,IF($E36="kWh",VLOOKUP(S$4,'4. Billing Determinants'!$B$19:$O$41,4,0)/'4. Billing Determinants'!$E$41*$D36,IF($E36="kW",VLOOKUP(S$4,'4. Billing Determinants'!$B$19:$O$41,5,0)/'4. Billing Determinants'!$F$41*$D36,IF($E36="Non-RPP kWh",VLOOKUP(S$4,'4. Billing Determinants'!$B$19:$O$41,6,0)/'4. Billing Determinants'!$G$41*$D36,IF($E36="Distribution Rev.",VLOOKUP(S$4,'4. Billing Determinants'!$B$19:$O$41,8,0)/'4. Billing Determinants'!$I$41*$D36, VLOOKUP(S$4,'4. Billing Determinants'!$B$19:$O$41,3,0)/'4. Billing Determinants'!$D$41*$D36))))),0)</f>
        <v>0</v>
      </c>
      <c r="T36" s="75">
        <f>IFERROR(IF(T$4="",0,IF($E36="kWh",VLOOKUP(T$4,'4. Billing Determinants'!$B$19:$O$41,4,0)/'4. Billing Determinants'!$E$41*$D36,IF($E36="kW",VLOOKUP(T$4,'4. Billing Determinants'!$B$19:$O$41,5,0)/'4. Billing Determinants'!$F$41*$D36,IF($E36="Non-RPP kWh",VLOOKUP(T$4,'4. Billing Determinants'!$B$19:$O$41,6,0)/'4. Billing Determinants'!$G$41*$D36,IF($E36="Distribution Rev.",VLOOKUP(T$4,'4. Billing Determinants'!$B$19:$O$41,8,0)/'4. Billing Determinants'!$I$41*$D36, VLOOKUP(T$4,'4. Billing Determinants'!$B$19:$O$41,3,0)/'4. Billing Determinants'!$D$41*$D36))))),0)</f>
        <v>0</v>
      </c>
      <c r="U36" s="75">
        <f>IFERROR(IF(U$4="",0,IF($E36="kWh",VLOOKUP(U$4,'4. Billing Determinants'!$B$19:$O$41,4,0)/'4. Billing Determinants'!$E$41*$D36,IF($E36="kW",VLOOKUP(U$4,'4. Billing Determinants'!$B$19:$O$41,5,0)/'4. Billing Determinants'!$F$41*$D36,IF($E36="Non-RPP kWh",VLOOKUP(U$4,'4. Billing Determinants'!$B$19:$O$41,6,0)/'4. Billing Determinants'!$G$41*$D36,IF($E36="Distribution Rev.",VLOOKUP(U$4,'4. Billing Determinants'!$B$19:$O$41,8,0)/'4. Billing Determinants'!$I$41*$D36, VLOOKUP(U$4,'4. Billing Determinants'!$B$19:$O$41,3,0)/'4. Billing Determinants'!$D$41*$D36))))),0)</f>
        <v>0</v>
      </c>
      <c r="V36" s="75">
        <f>IFERROR(IF(V$4="",0,IF($E36="kWh",VLOOKUP(V$4,'4. Billing Determinants'!$B$19:$O$41,4,0)/'4. Billing Determinants'!$E$41*$D36,IF($E36="kW",VLOOKUP(V$4,'4. Billing Determinants'!$B$19:$O$41,5,0)/'4. Billing Determinants'!$F$41*$D36,IF($E36="Non-RPP kWh",VLOOKUP(V$4,'4. Billing Determinants'!$B$19:$O$41,6,0)/'4. Billing Determinants'!$G$41*$D36,IF($E36="Distribution Rev.",VLOOKUP(V$4,'4. Billing Determinants'!$B$19:$O$41,8,0)/'4. Billing Determinants'!$I$41*$D36, VLOOKUP(V$4,'4. Billing Determinants'!$B$19:$O$41,3,0)/'4. Billing Determinants'!$D$41*$D36))))),0)</f>
        <v>0</v>
      </c>
      <c r="W36" s="75">
        <f>IFERROR(IF(W$4="",0,IF($E36="kWh",VLOOKUP(W$4,'4. Billing Determinants'!$B$19:$O$41,4,0)/'4. Billing Determinants'!$E$41*$D36,IF($E36="kW",VLOOKUP(W$4,'4. Billing Determinants'!$B$19:$O$41,5,0)/'4. Billing Determinants'!$F$41*$D36,IF($E36="Non-RPP kWh",VLOOKUP(W$4,'4. Billing Determinants'!$B$19:$O$41,6,0)/'4. Billing Determinants'!$G$41*$D36,IF($E36="Distribution Rev.",VLOOKUP(W$4,'4. Billing Determinants'!$B$19:$O$41,8,0)/'4. Billing Determinants'!$I$41*$D36, VLOOKUP(W$4,'4. Billing Determinants'!$B$19:$O$41,3,0)/'4. Billing Determinants'!$D$41*$D36))))),0)</f>
        <v>0</v>
      </c>
      <c r="X36" s="75">
        <f>IFERROR(IF(X$4="",0,IF($E36="kWh",VLOOKUP(X$4,'4. Billing Determinants'!$B$19:$O$41,4,0)/'4. Billing Determinants'!$E$41*$D36,IF($E36="kW",VLOOKUP(X$4,'4. Billing Determinants'!$B$19:$O$41,5,0)/'4. Billing Determinants'!$F$41*$D36,IF($E36="Non-RPP kWh",VLOOKUP(X$4,'4. Billing Determinants'!$B$19:$O$41,6,0)/'4. Billing Determinants'!$G$41*$D36,IF($E36="Distribution Rev.",VLOOKUP(X$4,'4. Billing Determinants'!$B$19:$O$41,8,0)/'4. Billing Determinants'!$I$41*$D36, VLOOKUP(X$4,'4. Billing Determinants'!$B$19:$O$41,3,0)/'4. Billing Determinants'!$D$41*$D36))))),0)</f>
        <v>0</v>
      </c>
      <c r="Y36" s="75">
        <f>IFERROR(IF(Y$4="",0,IF($E36="kWh",VLOOKUP(Y$4,'4. Billing Determinants'!$B$19:$O$41,4,0)/'4. Billing Determinants'!$E$41*$D36,IF($E36="kW",VLOOKUP(Y$4,'4. Billing Determinants'!$B$19:$O$41,5,0)/'4. Billing Determinants'!$F$41*$D36,IF($E36="Non-RPP kWh",VLOOKUP(Y$4,'4. Billing Determinants'!$B$19:$O$41,6,0)/'4. Billing Determinants'!$G$41*$D36,IF($E36="Distribution Rev.",VLOOKUP(Y$4,'4. Billing Determinants'!$B$19:$O$41,8,0)/'4. Billing Determinants'!$I$41*$D36, VLOOKUP(Y$4,'4. Billing Determinants'!$B$19:$O$41,3,0)/'4. Billing Determinants'!$D$41*$D36))))),0)</f>
        <v>0</v>
      </c>
    </row>
    <row r="37" spans="1:25" x14ac:dyDescent="0.2">
      <c r="B37" s="76" t="s">
        <v>63</v>
      </c>
      <c r="C37" s="74">
        <v>1582</v>
      </c>
      <c r="D37" s="75">
        <f>'2. 2013 Continuity Schedule'!CP60</f>
        <v>12620.981743999999</v>
      </c>
      <c r="E37" s="208" t="s">
        <v>306</v>
      </c>
      <c r="F37" s="75">
        <f>IFERROR(IF(F$4="",0,IF($E37="kWh",VLOOKUP(F$4,'4. Billing Determinants'!$B$19:$O$41,4,0)/'4. Billing Determinants'!$E$41*$D37,IF($E37="kW",VLOOKUP(F$4,'4. Billing Determinants'!$B$19:$O$41,5,0)/'4. Billing Determinants'!$F$41*$D37,IF($E37="Non-RPP kWh",VLOOKUP(F$4,'4. Billing Determinants'!$B$19:$O$41,6,0)/'4. Billing Determinants'!$G$41*$D37,IF($E37="Distribution Rev.",VLOOKUP(F$4,'4. Billing Determinants'!$B$19:$O$41,8,0)/'4. Billing Determinants'!$I$41*$D37, VLOOKUP(F$4,'4. Billing Determinants'!$B$19:$O$41,3,0)/'4. Billing Determinants'!$D$41*$D37))))),0)</f>
        <v>4615.855225768224</v>
      </c>
      <c r="G37" s="75">
        <f>IFERROR(IF(G$4="",0,IF($E37="kWh",VLOOKUP(G$4,'4. Billing Determinants'!$B$19:$O$41,4,0)/'4. Billing Determinants'!$E$41*$D37,IF($E37="kW",VLOOKUP(G$4,'4. Billing Determinants'!$B$19:$O$41,5,0)/'4. Billing Determinants'!$F$41*$D37,IF($E37="Non-RPP kWh",VLOOKUP(G$4,'4. Billing Determinants'!$B$19:$O$41,6,0)/'4. Billing Determinants'!$G$41*$D37,IF($E37="Distribution Rev.",VLOOKUP(G$4,'4. Billing Determinants'!$B$19:$O$41,8,0)/'4. Billing Determinants'!$I$41*$D37, VLOOKUP(G$4,'4. Billing Determinants'!$B$19:$O$41,3,0)/'4. Billing Determinants'!$D$41*$D37))))),0)</f>
        <v>2436.363227397012</v>
      </c>
      <c r="H37" s="75">
        <f>IFERROR(IF(H$4="",0,IF($E37="kWh",VLOOKUP(H$4,'4. Billing Determinants'!$B$19:$O$41,4,0)/'4. Billing Determinants'!$E$41*$D37,IF($E37="kW",VLOOKUP(H$4,'4. Billing Determinants'!$B$19:$O$41,5,0)/'4. Billing Determinants'!$F$41*$D37,IF($E37="Non-RPP kWh",VLOOKUP(H$4,'4. Billing Determinants'!$B$19:$O$41,6,0)/'4. Billing Determinants'!$G$41*$D37,IF($E37="Distribution Rev.",VLOOKUP(H$4,'4. Billing Determinants'!$B$19:$O$41,8,0)/'4. Billing Determinants'!$I$41*$D37, VLOOKUP(H$4,'4. Billing Determinants'!$B$19:$O$41,3,0)/'4. Billing Determinants'!$D$41*$D37))))),0)</f>
        <v>5473.3668435387581</v>
      </c>
      <c r="I37" s="75">
        <f>IFERROR(IF(I$4="",0,IF($E37="kWh",VLOOKUP(I$4,'4. Billing Determinants'!$B$19:$O$41,4,0)/'4. Billing Determinants'!$E$41*$D37,IF($E37="kW",VLOOKUP(I$4,'4. Billing Determinants'!$B$19:$O$41,5,0)/'4. Billing Determinants'!$F$41*$D37,IF($E37="Non-RPP kWh",VLOOKUP(I$4,'4. Billing Determinants'!$B$19:$O$41,6,0)/'4. Billing Determinants'!$G$41*$D37,IF($E37="Distribution Rev.",VLOOKUP(I$4,'4. Billing Determinants'!$B$19:$O$41,8,0)/'4. Billing Determinants'!$I$41*$D37, VLOOKUP(I$4,'4. Billing Determinants'!$B$19:$O$41,3,0)/'4. Billing Determinants'!$D$41*$D37))))),0)</f>
        <v>15.136971664632723</v>
      </c>
      <c r="J37" s="75">
        <f>IFERROR(IF(J$4="",0,IF($E37="kWh",VLOOKUP(J$4,'4. Billing Determinants'!$B$19:$O$41,4,0)/'4. Billing Determinants'!$E$41*$D37,IF($E37="kW",VLOOKUP(J$4,'4. Billing Determinants'!$B$19:$O$41,5,0)/'4. Billing Determinants'!$F$41*$D37,IF($E37="Non-RPP kWh",VLOOKUP(J$4,'4. Billing Determinants'!$B$19:$O$41,6,0)/'4. Billing Determinants'!$G$41*$D37,IF($E37="Distribution Rev.",VLOOKUP(J$4,'4. Billing Determinants'!$B$19:$O$41,8,0)/'4. Billing Determinants'!$I$41*$D37, VLOOKUP(J$4,'4. Billing Determinants'!$B$19:$O$41,3,0)/'4. Billing Determinants'!$D$41*$D37))))),0)</f>
        <v>80.259475631371785</v>
      </c>
      <c r="K37" s="75">
        <f>IFERROR(IF(K$4="",0,IF($E37="kWh",VLOOKUP(K$4,'4. Billing Determinants'!$B$19:$O$41,4,0)/'4. Billing Determinants'!$E$41*$D37,IF($E37="kW",VLOOKUP(K$4,'4. Billing Determinants'!$B$19:$O$41,5,0)/'4. Billing Determinants'!$F$41*$D37,IF($E37="Non-RPP kWh",VLOOKUP(K$4,'4. Billing Determinants'!$B$19:$O$41,6,0)/'4. Billing Determinants'!$G$41*$D37,IF($E37="Distribution Rev.",VLOOKUP(K$4,'4. Billing Determinants'!$B$19:$O$41,8,0)/'4. Billing Determinants'!$I$41*$D37, VLOOKUP(K$4,'4. Billing Determinants'!$B$19:$O$41,3,0)/'4. Billing Determinants'!$D$41*$D37))))),0)</f>
        <v>0</v>
      </c>
      <c r="L37" s="75">
        <f>IFERROR(IF(L$4="",0,IF($E37="kWh",VLOOKUP(L$4,'4. Billing Determinants'!$B$19:$O$41,4,0)/'4. Billing Determinants'!$E$41*$D37,IF($E37="kW",VLOOKUP(L$4,'4. Billing Determinants'!$B$19:$O$41,5,0)/'4. Billing Determinants'!$F$41*$D37,IF($E37="Non-RPP kWh",VLOOKUP(L$4,'4. Billing Determinants'!$B$19:$O$41,6,0)/'4. Billing Determinants'!$G$41*$D37,IF($E37="Distribution Rev.",VLOOKUP(L$4,'4. Billing Determinants'!$B$19:$O$41,8,0)/'4. Billing Determinants'!$I$41*$D37, VLOOKUP(L$4,'4. Billing Determinants'!$B$19:$O$41,3,0)/'4. Billing Determinants'!$D$41*$D37))))),0)</f>
        <v>0</v>
      </c>
      <c r="M37" s="75">
        <f>IFERROR(IF(M$4="",0,IF($E37="kWh",VLOOKUP(M$4,'4. Billing Determinants'!$B$19:$O$41,4,0)/'4. Billing Determinants'!$E$41*$D37,IF($E37="kW",VLOOKUP(M$4,'4. Billing Determinants'!$B$19:$O$41,5,0)/'4. Billing Determinants'!$F$41*$D37,IF($E37="Non-RPP kWh",VLOOKUP(M$4,'4. Billing Determinants'!$B$19:$O$41,6,0)/'4. Billing Determinants'!$G$41*$D37,IF($E37="Distribution Rev.",VLOOKUP(M$4,'4. Billing Determinants'!$B$19:$O$41,8,0)/'4. Billing Determinants'!$I$41*$D37, VLOOKUP(M$4,'4. Billing Determinants'!$B$19:$O$41,3,0)/'4. Billing Determinants'!$D$41*$D37))))),0)</f>
        <v>0</v>
      </c>
      <c r="N37" s="75">
        <f>IFERROR(IF(N$4="",0,IF($E37="kWh",VLOOKUP(N$4,'4. Billing Determinants'!$B$19:$O$41,4,0)/'4. Billing Determinants'!$E$41*$D37,IF($E37="kW",VLOOKUP(N$4,'4. Billing Determinants'!$B$19:$O$41,5,0)/'4. Billing Determinants'!$F$41*$D37,IF($E37="Non-RPP kWh",VLOOKUP(N$4,'4. Billing Determinants'!$B$19:$O$41,6,0)/'4. Billing Determinants'!$G$41*$D37,IF($E37="Distribution Rev.",VLOOKUP(N$4,'4. Billing Determinants'!$B$19:$O$41,8,0)/'4. Billing Determinants'!$I$41*$D37, VLOOKUP(N$4,'4. Billing Determinants'!$B$19:$O$41,3,0)/'4. Billing Determinants'!$D$41*$D37))))),0)</f>
        <v>0</v>
      </c>
      <c r="O37" s="75">
        <f>IFERROR(IF(O$4="",0,IF($E37="kWh",VLOOKUP(O$4,'4. Billing Determinants'!$B$19:$O$41,4,0)/'4. Billing Determinants'!$E$41*$D37,IF($E37="kW",VLOOKUP(O$4,'4. Billing Determinants'!$B$19:$O$41,5,0)/'4. Billing Determinants'!$F$41*$D37,IF($E37="Non-RPP kWh",VLOOKUP(O$4,'4. Billing Determinants'!$B$19:$O$41,6,0)/'4. Billing Determinants'!$G$41*$D37,IF($E37="Distribution Rev.",VLOOKUP(O$4,'4. Billing Determinants'!$B$19:$O$41,8,0)/'4. Billing Determinants'!$I$41*$D37, VLOOKUP(O$4,'4. Billing Determinants'!$B$19:$O$41,3,0)/'4. Billing Determinants'!$D$41*$D37))))),0)</f>
        <v>0</v>
      </c>
      <c r="P37" s="75">
        <f>IFERROR(IF(P$4="",0,IF($E37="kWh",VLOOKUP(P$4,'4. Billing Determinants'!$B$19:$O$41,4,0)/'4. Billing Determinants'!$E$41*$D37,IF($E37="kW",VLOOKUP(P$4,'4. Billing Determinants'!$B$19:$O$41,5,0)/'4. Billing Determinants'!$F$41*$D37,IF($E37="Non-RPP kWh",VLOOKUP(P$4,'4. Billing Determinants'!$B$19:$O$41,6,0)/'4. Billing Determinants'!$G$41*$D37,IF($E37="Distribution Rev.",VLOOKUP(P$4,'4. Billing Determinants'!$B$19:$O$41,8,0)/'4. Billing Determinants'!$I$41*$D37, VLOOKUP(P$4,'4. Billing Determinants'!$B$19:$O$41,3,0)/'4. Billing Determinants'!$D$41*$D37))))),0)</f>
        <v>0</v>
      </c>
      <c r="Q37" s="75">
        <f>IFERROR(IF(Q$4="",0,IF($E37="kWh",VLOOKUP(Q$4,'4. Billing Determinants'!$B$19:$O$41,4,0)/'4. Billing Determinants'!$E$41*$D37,IF($E37="kW",VLOOKUP(Q$4,'4. Billing Determinants'!$B$19:$O$41,5,0)/'4. Billing Determinants'!$F$41*$D37,IF($E37="Non-RPP kWh",VLOOKUP(Q$4,'4. Billing Determinants'!$B$19:$O$41,6,0)/'4. Billing Determinants'!$G$41*$D37,IF($E37="Distribution Rev.",VLOOKUP(Q$4,'4. Billing Determinants'!$B$19:$O$41,8,0)/'4. Billing Determinants'!$I$41*$D37, VLOOKUP(Q$4,'4. Billing Determinants'!$B$19:$O$41,3,0)/'4. Billing Determinants'!$D$41*$D37))))),0)</f>
        <v>0</v>
      </c>
      <c r="R37" s="75">
        <f>IFERROR(IF(R$4="",0,IF($E37="kWh",VLOOKUP(R$4,'4. Billing Determinants'!$B$19:$O$41,4,0)/'4. Billing Determinants'!$E$41*$D37,IF($E37="kW",VLOOKUP(R$4,'4. Billing Determinants'!$B$19:$O$41,5,0)/'4. Billing Determinants'!$F$41*$D37,IF($E37="Non-RPP kWh",VLOOKUP(R$4,'4. Billing Determinants'!$B$19:$O$41,6,0)/'4. Billing Determinants'!$G$41*$D37,IF($E37="Distribution Rev.",VLOOKUP(R$4,'4. Billing Determinants'!$B$19:$O$41,8,0)/'4. Billing Determinants'!$I$41*$D37, VLOOKUP(R$4,'4. Billing Determinants'!$B$19:$O$41,3,0)/'4. Billing Determinants'!$D$41*$D37))))),0)</f>
        <v>0</v>
      </c>
      <c r="S37" s="75">
        <f>IFERROR(IF(S$4="",0,IF($E37="kWh",VLOOKUP(S$4,'4. Billing Determinants'!$B$19:$O$41,4,0)/'4. Billing Determinants'!$E$41*$D37,IF($E37="kW",VLOOKUP(S$4,'4. Billing Determinants'!$B$19:$O$41,5,0)/'4. Billing Determinants'!$F$41*$D37,IF($E37="Non-RPP kWh",VLOOKUP(S$4,'4. Billing Determinants'!$B$19:$O$41,6,0)/'4. Billing Determinants'!$G$41*$D37,IF($E37="Distribution Rev.",VLOOKUP(S$4,'4. Billing Determinants'!$B$19:$O$41,8,0)/'4. Billing Determinants'!$I$41*$D37, VLOOKUP(S$4,'4. Billing Determinants'!$B$19:$O$41,3,0)/'4. Billing Determinants'!$D$41*$D37))))),0)</f>
        <v>0</v>
      </c>
      <c r="T37" s="75">
        <f>IFERROR(IF(T$4="",0,IF($E37="kWh",VLOOKUP(T$4,'4. Billing Determinants'!$B$19:$O$41,4,0)/'4. Billing Determinants'!$E$41*$D37,IF($E37="kW",VLOOKUP(T$4,'4. Billing Determinants'!$B$19:$O$41,5,0)/'4. Billing Determinants'!$F$41*$D37,IF($E37="Non-RPP kWh",VLOOKUP(T$4,'4. Billing Determinants'!$B$19:$O$41,6,0)/'4. Billing Determinants'!$G$41*$D37,IF($E37="Distribution Rev.",VLOOKUP(T$4,'4. Billing Determinants'!$B$19:$O$41,8,0)/'4. Billing Determinants'!$I$41*$D37, VLOOKUP(T$4,'4. Billing Determinants'!$B$19:$O$41,3,0)/'4. Billing Determinants'!$D$41*$D37))))),0)</f>
        <v>0</v>
      </c>
      <c r="U37" s="75">
        <f>IFERROR(IF(U$4="",0,IF($E37="kWh",VLOOKUP(U$4,'4. Billing Determinants'!$B$19:$O$41,4,0)/'4. Billing Determinants'!$E$41*$D37,IF($E37="kW",VLOOKUP(U$4,'4. Billing Determinants'!$B$19:$O$41,5,0)/'4. Billing Determinants'!$F$41*$D37,IF($E37="Non-RPP kWh",VLOOKUP(U$4,'4. Billing Determinants'!$B$19:$O$41,6,0)/'4. Billing Determinants'!$G$41*$D37,IF($E37="Distribution Rev.",VLOOKUP(U$4,'4. Billing Determinants'!$B$19:$O$41,8,0)/'4. Billing Determinants'!$I$41*$D37, VLOOKUP(U$4,'4. Billing Determinants'!$B$19:$O$41,3,0)/'4. Billing Determinants'!$D$41*$D37))))),0)</f>
        <v>0</v>
      </c>
      <c r="V37" s="75">
        <f>IFERROR(IF(V$4="",0,IF($E37="kWh",VLOOKUP(V$4,'4. Billing Determinants'!$B$19:$O$41,4,0)/'4. Billing Determinants'!$E$41*$D37,IF($E37="kW",VLOOKUP(V$4,'4. Billing Determinants'!$B$19:$O$41,5,0)/'4. Billing Determinants'!$F$41*$D37,IF($E37="Non-RPP kWh",VLOOKUP(V$4,'4. Billing Determinants'!$B$19:$O$41,6,0)/'4. Billing Determinants'!$G$41*$D37,IF($E37="Distribution Rev.",VLOOKUP(V$4,'4. Billing Determinants'!$B$19:$O$41,8,0)/'4. Billing Determinants'!$I$41*$D37, VLOOKUP(V$4,'4. Billing Determinants'!$B$19:$O$41,3,0)/'4. Billing Determinants'!$D$41*$D37))))),0)</f>
        <v>0</v>
      </c>
      <c r="W37" s="75">
        <f>IFERROR(IF(W$4="",0,IF($E37="kWh",VLOOKUP(W$4,'4. Billing Determinants'!$B$19:$O$41,4,0)/'4. Billing Determinants'!$E$41*$D37,IF($E37="kW",VLOOKUP(W$4,'4. Billing Determinants'!$B$19:$O$41,5,0)/'4. Billing Determinants'!$F$41*$D37,IF($E37="Non-RPP kWh",VLOOKUP(W$4,'4. Billing Determinants'!$B$19:$O$41,6,0)/'4. Billing Determinants'!$G$41*$D37,IF($E37="Distribution Rev.",VLOOKUP(W$4,'4. Billing Determinants'!$B$19:$O$41,8,0)/'4. Billing Determinants'!$I$41*$D37, VLOOKUP(W$4,'4. Billing Determinants'!$B$19:$O$41,3,0)/'4. Billing Determinants'!$D$41*$D37))))),0)</f>
        <v>0</v>
      </c>
      <c r="X37" s="75">
        <f>IFERROR(IF(X$4="",0,IF($E37="kWh",VLOOKUP(X$4,'4. Billing Determinants'!$B$19:$O$41,4,0)/'4. Billing Determinants'!$E$41*$D37,IF($E37="kW",VLOOKUP(X$4,'4. Billing Determinants'!$B$19:$O$41,5,0)/'4. Billing Determinants'!$F$41*$D37,IF($E37="Non-RPP kWh",VLOOKUP(X$4,'4. Billing Determinants'!$B$19:$O$41,6,0)/'4. Billing Determinants'!$G$41*$D37,IF($E37="Distribution Rev.",VLOOKUP(X$4,'4. Billing Determinants'!$B$19:$O$41,8,0)/'4. Billing Determinants'!$I$41*$D37, VLOOKUP(X$4,'4. Billing Determinants'!$B$19:$O$41,3,0)/'4. Billing Determinants'!$D$41*$D37))))),0)</f>
        <v>0</v>
      </c>
      <c r="Y37" s="75">
        <f>IFERROR(IF(Y$4="",0,IF($E37="kWh",VLOOKUP(Y$4,'4. Billing Determinants'!$B$19:$O$41,4,0)/'4. Billing Determinants'!$E$41*$D37,IF($E37="kW",VLOOKUP(Y$4,'4. Billing Determinants'!$B$19:$O$41,5,0)/'4. Billing Determinants'!$F$41*$D37,IF($E37="Non-RPP kWh",VLOOKUP(Y$4,'4. Billing Determinants'!$B$19:$O$41,6,0)/'4. Billing Determinants'!$G$41*$D37,IF($E37="Distribution Rev.",VLOOKUP(Y$4,'4. Billing Determinants'!$B$19:$O$41,8,0)/'4. Billing Determinants'!$I$41*$D37, VLOOKUP(Y$4,'4. Billing Determinants'!$B$19:$O$41,3,0)/'4. Billing Determinants'!$D$41*$D37))))),0)</f>
        <v>0</v>
      </c>
    </row>
    <row r="38" spans="1:25" x14ac:dyDescent="0.2">
      <c r="B38" s="73" t="s">
        <v>7</v>
      </c>
      <c r="C38" s="74">
        <v>2425</v>
      </c>
      <c r="D38" s="75">
        <f>'2. 2013 Continuity Schedule'!CP61</f>
        <v>0</v>
      </c>
      <c r="E38" s="208"/>
      <c r="F38" s="75">
        <f>IFERROR(IF(F$4="",0,IF($E38="kWh",VLOOKUP(F$4,'4. Billing Determinants'!$B$19:$O$41,4,0)/'4. Billing Determinants'!$E$41*$D38,IF($E38="kW",VLOOKUP(F$4,'4. Billing Determinants'!$B$19:$O$41,5,0)/'4. Billing Determinants'!$F$41*$D38,IF($E38="Non-RPP kWh",VLOOKUP(F$4,'4. Billing Determinants'!$B$19:$O$41,6,0)/'4. Billing Determinants'!$G$41*$D38,IF($E38="Distribution Rev.",VLOOKUP(F$4,'4. Billing Determinants'!$B$19:$O$41,8,0)/'4. Billing Determinants'!$I$41*$D38, VLOOKUP(F$4,'4. Billing Determinants'!$B$19:$O$41,3,0)/'4. Billing Determinants'!$D$41*$D38))))),0)</f>
        <v>0</v>
      </c>
      <c r="G38" s="75">
        <f>IFERROR(IF(G$4="",0,IF($E38="kWh",VLOOKUP(G$4,'4. Billing Determinants'!$B$19:$O$41,4,0)/'4. Billing Determinants'!$E$41*$D38,IF($E38="kW",VLOOKUP(G$4,'4. Billing Determinants'!$B$19:$O$41,5,0)/'4. Billing Determinants'!$F$41*$D38,IF($E38="Non-RPP kWh",VLOOKUP(G$4,'4. Billing Determinants'!$B$19:$O$41,6,0)/'4. Billing Determinants'!$G$41*$D38,IF($E38="Distribution Rev.",VLOOKUP(G$4,'4. Billing Determinants'!$B$19:$O$41,8,0)/'4. Billing Determinants'!$I$41*$D38, VLOOKUP(G$4,'4. Billing Determinants'!$B$19:$O$41,3,0)/'4. Billing Determinants'!$D$41*$D38))))),0)</f>
        <v>0</v>
      </c>
      <c r="H38" s="75">
        <f>IFERROR(IF(H$4="",0,IF($E38="kWh",VLOOKUP(H$4,'4. Billing Determinants'!$B$19:$O$41,4,0)/'4. Billing Determinants'!$E$41*$D38,IF($E38="kW",VLOOKUP(H$4,'4. Billing Determinants'!$B$19:$O$41,5,0)/'4. Billing Determinants'!$F$41*$D38,IF($E38="Non-RPP kWh",VLOOKUP(H$4,'4. Billing Determinants'!$B$19:$O$41,6,0)/'4. Billing Determinants'!$G$41*$D38,IF($E38="Distribution Rev.",VLOOKUP(H$4,'4. Billing Determinants'!$B$19:$O$41,8,0)/'4. Billing Determinants'!$I$41*$D38, VLOOKUP(H$4,'4. Billing Determinants'!$B$19:$O$41,3,0)/'4. Billing Determinants'!$D$41*$D38))))),0)</f>
        <v>0</v>
      </c>
      <c r="I38" s="75">
        <f>IFERROR(IF(I$4="",0,IF($E38="kWh",VLOOKUP(I$4,'4. Billing Determinants'!$B$19:$O$41,4,0)/'4. Billing Determinants'!$E$41*$D38,IF($E38="kW",VLOOKUP(I$4,'4. Billing Determinants'!$B$19:$O$41,5,0)/'4. Billing Determinants'!$F$41*$D38,IF($E38="Non-RPP kWh",VLOOKUP(I$4,'4. Billing Determinants'!$B$19:$O$41,6,0)/'4. Billing Determinants'!$G$41*$D38,IF($E38="Distribution Rev.",VLOOKUP(I$4,'4. Billing Determinants'!$B$19:$O$41,8,0)/'4. Billing Determinants'!$I$41*$D38, VLOOKUP(I$4,'4. Billing Determinants'!$B$19:$O$41,3,0)/'4. Billing Determinants'!$D$41*$D38))))),0)</f>
        <v>0</v>
      </c>
      <c r="J38" s="75">
        <f>IFERROR(IF(J$4="",0,IF($E38="kWh",VLOOKUP(J$4,'4. Billing Determinants'!$B$19:$O$41,4,0)/'4. Billing Determinants'!$E$41*$D38,IF($E38="kW",VLOOKUP(J$4,'4. Billing Determinants'!$B$19:$O$41,5,0)/'4. Billing Determinants'!$F$41*$D38,IF($E38="Non-RPP kWh",VLOOKUP(J$4,'4. Billing Determinants'!$B$19:$O$41,6,0)/'4. Billing Determinants'!$G$41*$D38,IF($E38="Distribution Rev.",VLOOKUP(J$4,'4. Billing Determinants'!$B$19:$O$41,8,0)/'4. Billing Determinants'!$I$41*$D38, VLOOKUP(J$4,'4. Billing Determinants'!$B$19:$O$41,3,0)/'4. Billing Determinants'!$D$41*$D38))))),0)</f>
        <v>0</v>
      </c>
      <c r="K38" s="75">
        <f>IFERROR(IF(K$4="",0,IF($E38="kWh",VLOOKUP(K$4,'4. Billing Determinants'!$B$19:$O$41,4,0)/'4. Billing Determinants'!$E$41*$D38,IF($E38="kW",VLOOKUP(K$4,'4. Billing Determinants'!$B$19:$O$41,5,0)/'4. Billing Determinants'!$F$41*$D38,IF($E38="Non-RPP kWh",VLOOKUP(K$4,'4. Billing Determinants'!$B$19:$O$41,6,0)/'4. Billing Determinants'!$G$41*$D38,IF($E38="Distribution Rev.",VLOOKUP(K$4,'4. Billing Determinants'!$B$19:$O$41,8,0)/'4. Billing Determinants'!$I$41*$D38, VLOOKUP(K$4,'4. Billing Determinants'!$B$19:$O$41,3,0)/'4. Billing Determinants'!$D$41*$D38))))),0)</f>
        <v>0</v>
      </c>
      <c r="L38" s="75">
        <f>IFERROR(IF(L$4="",0,IF($E38="kWh",VLOOKUP(L$4,'4. Billing Determinants'!$B$19:$O$41,4,0)/'4. Billing Determinants'!$E$41*$D38,IF($E38="kW",VLOOKUP(L$4,'4. Billing Determinants'!$B$19:$O$41,5,0)/'4. Billing Determinants'!$F$41*$D38,IF($E38="Non-RPP kWh",VLOOKUP(L$4,'4. Billing Determinants'!$B$19:$O$41,6,0)/'4. Billing Determinants'!$G$41*$D38,IF($E38="Distribution Rev.",VLOOKUP(L$4,'4. Billing Determinants'!$B$19:$O$41,8,0)/'4. Billing Determinants'!$I$41*$D38, VLOOKUP(L$4,'4. Billing Determinants'!$B$19:$O$41,3,0)/'4. Billing Determinants'!$D$41*$D38))))),0)</f>
        <v>0</v>
      </c>
      <c r="M38" s="75">
        <f>IFERROR(IF(M$4="",0,IF($E38="kWh",VLOOKUP(M$4,'4. Billing Determinants'!$B$19:$O$41,4,0)/'4. Billing Determinants'!$E$41*$D38,IF($E38="kW",VLOOKUP(M$4,'4. Billing Determinants'!$B$19:$O$41,5,0)/'4. Billing Determinants'!$F$41*$D38,IF($E38="Non-RPP kWh",VLOOKUP(M$4,'4. Billing Determinants'!$B$19:$O$41,6,0)/'4. Billing Determinants'!$G$41*$D38,IF($E38="Distribution Rev.",VLOOKUP(M$4,'4. Billing Determinants'!$B$19:$O$41,8,0)/'4. Billing Determinants'!$I$41*$D38, VLOOKUP(M$4,'4. Billing Determinants'!$B$19:$O$41,3,0)/'4. Billing Determinants'!$D$41*$D38))))),0)</f>
        <v>0</v>
      </c>
      <c r="N38" s="75">
        <f>IFERROR(IF(N$4="",0,IF($E38="kWh",VLOOKUP(N$4,'4. Billing Determinants'!$B$19:$O$41,4,0)/'4. Billing Determinants'!$E$41*$D38,IF($E38="kW",VLOOKUP(N$4,'4. Billing Determinants'!$B$19:$O$41,5,0)/'4. Billing Determinants'!$F$41*$D38,IF($E38="Non-RPP kWh",VLOOKUP(N$4,'4. Billing Determinants'!$B$19:$O$41,6,0)/'4. Billing Determinants'!$G$41*$D38,IF($E38="Distribution Rev.",VLOOKUP(N$4,'4. Billing Determinants'!$B$19:$O$41,8,0)/'4. Billing Determinants'!$I$41*$D38, VLOOKUP(N$4,'4. Billing Determinants'!$B$19:$O$41,3,0)/'4. Billing Determinants'!$D$41*$D38))))),0)</f>
        <v>0</v>
      </c>
      <c r="O38" s="75">
        <f>IFERROR(IF(O$4="",0,IF($E38="kWh",VLOOKUP(O$4,'4. Billing Determinants'!$B$19:$O$41,4,0)/'4. Billing Determinants'!$E$41*$D38,IF($E38="kW",VLOOKUP(O$4,'4. Billing Determinants'!$B$19:$O$41,5,0)/'4. Billing Determinants'!$F$41*$D38,IF($E38="Non-RPP kWh",VLOOKUP(O$4,'4. Billing Determinants'!$B$19:$O$41,6,0)/'4. Billing Determinants'!$G$41*$D38,IF($E38="Distribution Rev.",VLOOKUP(O$4,'4. Billing Determinants'!$B$19:$O$41,8,0)/'4. Billing Determinants'!$I$41*$D38, VLOOKUP(O$4,'4. Billing Determinants'!$B$19:$O$41,3,0)/'4. Billing Determinants'!$D$41*$D38))))),0)</f>
        <v>0</v>
      </c>
      <c r="P38" s="75">
        <f>IFERROR(IF(P$4="",0,IF($E38="kWh",VLOOKUP(P$4,'4. Billing Determinants'!$B$19:$O$41,4,0)/'4. Billing Determinants'!$E$41*$D38,IF($E38="kW",VLOOKUP(P$4,'4. Billing Determinants'!$B$19:$O$41,5,0)/'4. Billing Determinants'!$F$41*$D38,IF($E38="Non-RPP kWh",VLOOKUP(P$4,'4. Billing Determinants'!$B$19:$O$41,6,0)/'4. Billing Determinants'!$G$41*$D38,IF($E38="Distribution Rev.",VLOOKUP(P$4,'4. Billing Determinants'!$B$19:$O$41,8,0)/'4. Billing Determinants'!$I$41*$D38, VLOOKUP(P$4,'4. Billing Determinants'!$B$19:$O$41,3,0)/'4. Billing Determinants'!$D$41*$D38))))),0)</f>
        <v>0</v>
      </c>
      <c r="Q38" s="75">
        <f>IFERROR(IF(Q$4="",0,IF($E38="kWh",VLOOKUP(Q$4,'4. Billing Determinants'!$B$19:$O$41,4,0)/'4. Billing Determinants'!$E$41*$D38,IF($E38="kW",VLOOKUP(Q$4,'4. Billing Determinants'!$B$19:$O$41,5,0)/'4. Billing Determinants'!$F$41*$D38,IF($E38="Non-RPP kWh",VLOOKUP(Q$4,'4. Billing Determinants'!$B$19:$O$41,6,0)/'4. Billing Determinants'!$G$41*$D38,IF($E38="Distribution Rev.",VLOOKUP(Q$4,'4. Billing Determinants'!$B$19:$O$41,8,0)/'4. Billing Determinants'!$I$41*$D38, VLOOKUP(Q$4,'4. Billing Determinants'!$B$19:$O$41,3,0)/'4. Billing Determinants'!$D$41*$D38))))),0)</f>
        <v>0</v>
      </c>
      <c r="R38" s="75">
        <f>IFERROR(IF(R$4="",0,IF($E38="kWh",VLOOKUP(R$4,'4. Billing Determinants'!$B$19:$O$41,4,0)/'4. Billing Determinants'!$E$41*$D38,IF($E38="kW",VLOOKUP(R$4,'4. Billing Determinants'!$B$19:$O$41,5,0)/'4. Billing Determinants'!$F$41*$D38,IF($E38="Non-RPP kWh",VLOOKUP(R$4,'4. Billing Determinants'!$B$19:$O$41,6,0)/'4. Billing Determinants'!$G$41*$D38,IF($E38="Distribution Rev.",VLOOKUP(R$4,'4. Billing Determinants'!$B$19:$O$41,8,0)/'4. Billing Determinants'!$I$41*$D38, VLOOKUP(R$4,'4. Billing Determinants'!$B$19:$O$41,3,0)/'4. Billing Determinants'!$D$41*$D38))))),0)</f>
        <v>0</v>
      </c>
      <c r="S38" s="75">
        <f>IFERROR(IF(S$4="",0,IF($E38="kWh",VLOOKUP(S$4,'4. Billing Determinants'!$B$19:$O$41,4,0)/'4. Billing Determinants'!$E$41*$D38,IF($E38="kW",VLOOKUP(S$4,'4. Billing Determinants'!$B$19:$O$41,5,0)/'4. Billing Determinants'!$F$41*$D38,IF($E38="Non-RPP kWh",VLOOKUP(S$4,'4. Billing Determinants'!$B$19:$O$41,6,0)/'4. Billing Determinants'!$G$41*$D38,IF($E38="Distribution Rev.",VLOOKUP(S$4,'4. Billing Determinants'!$B$19:$O$41,8,0)/'4. Billing Determinants'!$I$41*$D38, VLOOKUP(S$4,'4. Billing Determinants'!$B$19:$O$41,3,0)/'4. Billing Determinants'!$D$41*$D38))))),0)</f>
        <v>0</v>
      </c>
      <c r="T38" s="75">
        <f>IFERROR(IF(T$4="",0,IF($E38="kWh",VLOOKUP(T$4,'4. Billing Determinants'!$B$19:$O$41,4,0)/'4. Billing Determinants'!$E$41*$D38,IF($E38="kW",VLOOKUP(T$4,'4. Billing Determinants'!$B$19:$O$41,5,0)/'4. Billing Determinants'!$F$41*$D38,IF($E38="Non-RPP kWh",VLOOKUP(T$4,'4. Billing Determinants'!$B$19:$O$41,6,0)/'4. Billing Determinants'!$G$41*$D38,IF($E38="Distribution Rev.",VLOOKUP(T$4,'4. Billing Determinants'!$B$19:$O$41,8,0)/'4. Billing Determinants'!$I$41*$D38, VLOOKUP(T$4,'4. Billing Determinants'!$B$19:$O$41,3,0)/'4. Billing Determinants'!$D$41*$D38))))),0)</f>
        <v>0</v>
      </c>
      <c r="U38" s="75">
        <f>IFERROR(IF(U$4="",0,IF($E38="kWh",VLOOKUP(U$4,'4. Billing Determinants'!$B$19:$O$41,4,0)/'4. Billing Determinants'!$E$41*$D38,IF($E38="kW",VLOOKUP(U$4,'4. Billing Determinants'!$B$19:$O$41,5,0)/'4. Billing Determinants'!$F$41*$D38,IF($E38="Non-RPP kWh",VLOOKUP(U$4,'4. Billing Determinants'!$B$19:$O$41,6,0)/'4. Billing Determinants'!$G$41*$D38,IF($E38="Distribution Rev.",VLOOKUP(U$4,'4. Billing Determinants'!$B$19:$O$41,8,0)/'4. Billing Determinants'!$I$41*$D38, VLOOKUP(U$4,'4. Billing Determinants'!$B$19:$O$41,3,0)/'4. Billing Determinants'!$D$41*$D38))))),0)</f>
        <v>0</v>
      </c>
      <c r="V38" s="75">
        <f>IFERROR(IF(V$4="",0,IF($E38="kWh",VLOOKUP(V$4,'4. Billing Determinants'!$B$19:$O$41,4,0)/'4. Billing Determinants'!$E$41*$D38,IF($E38="kW",VLOOKUP(V$4,'4. Billing Determinants'!$B$19:$O$41,5,0)/'4. Billing Determinants'!$F$41*$D38,IF($E38="Non-RPP kWh",VLOOKUP(V$4,'4. Billing Determinants'!$B$19:$O$41,6,0)/'4. Billing Determinants'!$G$41*$D38,IF($E38="Distribution Rev.",VLOOKUP(V$4,'4. Billing Determinants'!$B$19:$O$41,8,0)/'4. Billing Determinants'!$I$41*$D38, VLOOKUP(V$4,'4. Billing Determinants'!$B$19:$O$41,3,0)/'4. Billing Determinants'!$D$41*$D38))))),0)</f>
        <v>0</v>
      </c>
      <c r="W38" s="75">
        <f>IFERROR(IF(W$4="",0,IF($E38="kWh",VLOOKUP(W$4,'4. Billing Determinants'!$B$19:$O$41,4,0)/'4. Billing Determinants'!$E$41*$D38,IF($E38="kW",VLOOKUP(W$4,'4. Billing Determinants'!$B$19:$O$41,5,0)/'4. Billing Determinants'!$F$41*$D38,IF($E38="Non-RPP kWh",VLOOKUP(W$4,'4. Billing Determinants'!$B$19:$O$41,6,0)/'4. Billing Determinants'!$G$41*$D38,IF($E38="Distribution Rev.",VLOOKUP(W$4,'4. Billing Determinants'!$B$19:$O$41,8,0)/'4. Billing Determinants'!$I$41*$D38, VLOOKUP(W$4,'4. Billing Determinants'!$B$19:$O$41,3,0)/'4. Billing Determinants'!$D$41*$D38))))),0)</f>
        <v>0</v>
      </c>
      <c r="X38" s="75">
        <f>IFERROR(IF(X$4="",0,IF($E38="kWh",VLOOKUP(X$4,'4. Billing Determinants'!$B$19:$O$41,4,0)/'4. Billing Determinants'!$E$41*$D38,IF($E38="kW",VLOOKUP(X$4,'4. Billing Determinants'!$B$19:$O$41,5,0)/'4. Billing Determinants'!$F$41*$D38,IF($E38="Non-RPP kWh",VLOOKUP(X$4,'4. Billing Determinants'!$B$19:$O$41,6,0)/'4. Billing Determinants'!$G$41*$D38,IF($E38="Distribution Rev.",VLOOKUP(X$4,'4. Billing Determinants'!$B$19:$O$41,8,0)/'4. Billing Determinants'!$I$41*$D38, VLOOKUP(X$4,'4. Billing Determinants'!$B$19:$O$41,3,0)/'4. Billing Determinants'!$D$41*$D38))))),0)</f>
        <v>0</v>
      </c>
      <c r="Y38" s="75">
        <f>IFERROR(IF(Y$4="",0,IF($E38="kWh",VLOOKUP(Y$4,'4. Billing Determinants'!$B$19:$O$41,4,0)/'4. Billing Determinants'!$E$41*$D38,IF($E38="kW",VLOOKUP(Y$4,'4. Billing Determinants'!$B$19:$O$41,5,0)/'4. Billing Determinants'!$F$41*$D38,IF($E38="Non-RPP kWh",VLOOKUP(Y$4,'4. Billing Determinants'!$B$19:$O$41,6,0)/'4. Billing Determinants'!$G$41*$D38,IF($E38="Distribution Rev.",VLOOKUP(Y$4,'4. Billing Determinants'!$B$19:$O$41,8,0)/'4. Billing Determinants'!$I$41*$D38, VLOOKUP(Y$4,'4. Billing Determinants'!$B$19:$O$41,3,0)/'4. Billing Determinants'!$D$41*$D38))))),0)</f>
        <v>0</v>
      </c>
    </row>
    <row r="39" spans="1:25" s="61" customFormat="1" x14ac:dyDescent="0.2">
      <c r="A39" s="60"/>
      <c r="B39" s="93" t="s">
        <v>155</v>
      </c>
      <c r="C39" s="95"/>
      <c r="D39" s="94">
        <f>SUM(D18:D38)</f>
        <v>439305.31546425004</v>
      </c>
      <c r="E39" s="95"/>
      <c r="F39" s="94">
        <f>SUM(F18:F38)</f>
        <v>278310.19719091209</v>
      </c>
      <c r="G39" s="94">
        <f t="shared" ref="G39:Y39" si="1">SUM(G18:G38)</f>
        <v>78571.478826749924</v>
      </c>
      <c r="H39" s="94">
        <f t="shared" si="1"/>
        <v>78044.847888865625</v>
      </c>
      <c r="I39" s="94">
        <f t="shared" si="1"/>
        <v>1002.7573555273539</v>
      </c>
      <c r="J39" s="94">
        <f t="shared" si="1"/>
        <v>3376.0342021949978</v>
      </c>
      <c r="K39" s="94">
        <f t="shared" si="1"/>
        <v>0</v>
      </c>
      <c r="L39" s="94">
        <f t="shared" si="1"/>
        <v>0</v>
      </c>
      <c r="M39" s="94">
        <f t="shared" si="1"/>
        <v>0</v>
      </c>
      <c r="N39" s="94">
        <f t="shared" si="1"/>
        <v>0</v>
      </c>
      <c r="O39" s="94">
        <f t="shared" si="1"/>
        <v>0</v>
      </c>
      <c r="P39" s="94">
        <f t="shared" si="1"/>
        <v>0</v>
      </c>
      <c r="Q39" s="94">
        <f t="shared" si="1"/>
        <v>0</v>
      </c>
      <c r="R39" s="94">
        <f t="shared" si="1"/>
        <v>0</v>
      </c>
      <c r="S39" s="94">
        <f t="shared" si="1"/>
        <v>0</v>
      </c>
      <c r="T39" s="94">
        <f t="shared" si="1"/>
        <v>0</v>
      </c>
      <c r="U39" s="94">
        <f t="shared" si="1"/>
        <v>0</v>
      </c>
      <c r="V39" s="94">
        <f t="shared" si="1"/>
        <v>0</v>
      </c>
      <c r="W39" s="94">
        <f t="shared" si="1"/>
        <v>0</v>
      </c>
      <c r="X39" s="94">
        <f t="shared" si="1"/>
        <v>0</v>
      </c>
      <c r="Y39" s="94">
        <f t="shared" si="1"/>
        <v>0</v>
      </c>
    </row>
    <row r="40" spans="1:25" s="81" customFormat="1" x14ac:dyDescent="0.2">
      <c r="B40" s="82"/>
      <c r="C40" s="83"/>
      <c r="D40" s="84"/>
      <c r="E40" s="89"/>
      <c r="F40" s="84"/>
      <c r="G40" s="84"/>
      <c r="H40" s="84"/>
      <c r="I40" s="84"/>
      <c r="J40" s="84"/>
      <c r="K40" s="84"/>
      <c r="L40" s="84"/>
      <c r="M40" s="84"/>
      <c r="N40" s="84"/>
      <c r="O40" s="84"/>
      <c r="P40" s="84"/>
      <c r="Q40" s="84"/>
      <c r="R40" s="84"/>
      <c r="S40" s="84"/>
      <c r="T40" s="84"/>
      <c r="U40" s="84"/>
      <c r="V40" s="84"/>
      <c r="W40" s="84"/>
      <c r="X40" s="84"/>
      <c r="Y40" s="84"/>
    </row>
    <row r="41" spans="1:25" x14ac:dyDescent="0.2">
      <c r="B41" s="90" t="s">
        <v>16</v>
      </c>
      <c r="C41" s="88">
        <v>1562</v>
      </c>
      <c r="D41" s="75">
        <f>'2. 2013 Continuity Schedule'!CP65</f>
        <v>0</v>
      </c>
      <c r="E41" s="208"/>
      <c r="F41" s="75">
        <f>IFERROR(IF(F$4="",0,IF($E41="kWh",VLOOKUP(F$4,'4. Billing Determinants'!$B$19:$O$41,4,0)/'4. Billing Determinants'!$E$41*$D41,IF($E41="kW",VLOOKUP(F$4,'4. Billing Determinants'!$B$19:$O$41,5,0)/'4. Billing Determinants'!$F$41*$D41,IF($E41="Non-RPP kWh",VLOOKUP(F$4,'4. Billing Determinants'!$B$19:$O$41,6,0)/'4. Billing Determinants'!$G$41*$D41,IF($E41="Distribution Rev.",VLOOKUP(F$4,'4. Billing Determinants'!$B$19:$O$41,8,0)/'4. Billing Determinants'!$I$41*$D41, VLOOKUP(F$4,'4. Billing Determinants'!$B$19:$O$41,3,0)/'4. Billing Determinants'!$D$41*$D41))))),0)</f>
        <v>0</v>
      </c>
      <c r="G41" s="75">
        <f>IFERROR(IF(G$4="",0,IF($E41="kWh",VLOOKUP(G$4,'4. Billing Determinants'!$B$19:$O$41,4,0)/'4. Billing Determinants'!$E$41*$D41,IF($E41="kW",VLOOKUP(G$4,'4. Billing Determinants'!$B$19:$O$41,5,0)/'4. Billing Determinants'!$F$41*$D41,IF($E41="Non-RPP kWh",VLOOKUP(G$4,'4. Billing Determinants'!$B$19:$O$41,6,0)/'4. Billing Determinants'!$G$41*$D41,IF($E41="Distribution Rev.",VLOOKUP(G$4,'4. Billing Determinants'!$B$19:$O$41,8,0)/'4. Billing Determinants'!$I$41*$D41, VLOOKUP(G$4,'4. Billing Determinants'!$B$19:$O$41,3,0)/'4. Billing Determinants'!$D$41*$D41))))),0)</f>
        <v>0</v>
      </c>
      <c r="H41" s="75">
        <f>IFERROR(IF(H$4="",0,IF($E41="kWh",VLOOKUP(H$4,'4. Billing Determinants'!$B$19:$O$41,4,0)/'4. Billing Determinants'!$E$41*$D41,IF($E41="kW",VLOOKUP(H$4,'4. Billing Determinants'!$B$19:$O$41,5,0)/'4. Billing Determinants'!$F$41*$D41,IF($E41="Non-RPP kWh",VLOOKUP(H$4,'4. Billing Determinants'!$B$19:$O$41,6,0)/'4. Billing Determinants'!$G$41*$D41,IF($E41="Distribution Rev.",VLOOKUP(H$4,'4. Billing Determinants'!$B$19:$O$41,8,0)/'4. Billing Determinants'!$I$41*$D41, VLOOKUP(H$4,'4. Billing Determinants'!$B$19:$O$41,3,0)/'4. Billing Determinants'!$D$41*$D41))))),0)</f>
        <v>0</v>
      </c>
      <c r="I41" s="75">
        <f>IFERROR(IF(I$4="",0,IF($E41="kWh",VLOOKUP(I$4,'4. Billing Determinants'!$B$19:$O$41,4,0)/'4. Billing Determinants'!$E$41*$D41,IF($E41="kW",VLOOKUP(I$4,'4. Billing Determinants'!$B$19:$O$41,5,0)/'4. Billing Determinants'!$F$41*$D41,IF($E41="Non-RPP kWh",VLOOKUP(I$4,'4. Billing Determinants'!$B$19:$O$41,6,0)/'4. Billing Determinants'!$G$41*$D41,IF($E41="Distribution Rev.",VLOOKUP(I$4,'4. Billing Determinants'!$B$19:$O$41,8,0)/'4. Billing Determinants'!$I$41*$D41, VLOOKUP(I$4,'4. Billing Determinants'!$B$19:$O$41,3,0)/'4. Billing Determinants'!$D$41*$D41))))),0)</f>
        <v>0</v>
      </c>
      <c r="J41" s="75">
        <f>IFERROR(IF(J$4="",0,IF($E41="kWh",VLOOKUP(J$4,'4. Billing Determinants'!$B$19:$O$41,4,0)/'4. Billing Determinants'!$E$41*$D41,IF($E41="kW",VLOOKUP(J$4,'4. Billing Determinants'!$B$19:$O$41,5,0)/'4. Billing Determinants'!$F$41*$D41,IF($E41="Non-RPP kWh",VLOOKUP(J$4,'4. Billing Determinants'!$B$19:$O$41,6,0)/'4. Billing Determinants'!$G$41*$D41,IF($E41="Distribution Rev.",VLOOKUP(J$4,'4. Billing Determinants'!$B$19:$O$41,8,0)/'4. Billing Determinants'!$I$41*$D41, VLOOKUP(J$4,'4. Billing Determinants'!$B$19:$O$41,3,0)/'4. Billing Determinants'!$D$41*$D41))))),0)</f>
        <v>0</v>
      </c>
      <c r="K41" s="75">
        <f>IFERROR(IF(K$4="",0,IF($E41="kWh",VLOOKUP(K$4,'4. Billing Determinants'!$B$19:$O$41,4,0)/'4. Billing Determinants'!$E$41*$D41,IF($E41="kW",VLOOKUP(K$4,'4. Billing Determinants'!$B$19:$O$41,5,0)/'4. Billing Determinants'!$F$41*$D41,IF($E41="Non-RPP kWh",VLOOKUP(K$4,'4. Billing Determinants'!$B$19:$O$41,6,0)/'4. Billing Determinants'!$G$41*$D41,IF($E41="Distribution Rev.",VLOOKUP(K$4,'4. Billing Determinants'!$B$19:$O$41,8,0)/'4. Billing Determinants'!$I$41*$D41, VLOOKUP(K$4,'4. Billing Determinants'!$B$19:$O$41,3,0)/'4. Billing Determinants'!$D$41*$D41))))),0)</f>
        <v>0</v>
      </c>
      <c r="L41" s="75">
        <f>IFERROR(IF(L$4="",0,IF($E41="kWh",VLOOKUP(L$4,'4. Billing Determinants'!$B$19:$O$41,4,0)/'4. Billing Determinants'!$E$41*$D41,IF($E41="kW",VLOOKUP(L$4,'4. Billing Determinants'!$B$19:$O$41,5,0)/'4. Billing Determinants'!$F$41*$D41,IF($E41="Non-RPP kWh",VLOOKUP(L$4,'4. Billing Determinants'!$B$19:$O$41,6,0)/'4. Billing Determinants'!$G$41*$D41,IF($E41="Distribution Rev.",VLOOKUP(L$4,'4. Billing Determinants'!$B$19:$O$41,8,0)/'4. Billing Determinants'!$I$41*$D41, VLOOKUP(L$4,'4. Billing Determinants'!$B$19:$O$41,3,0)/'4. Billing Determinants'!$D$41*$D41))))),0)</f>
        <v>0</v>
      </c>
      <c r="M41" s="75">
        <f>IFERROR(IF(M$4="",0,IF($E41="kWh",VLOOKUP(M$4,'4. Billing Determinants'!$B$19:$O$41,4,0)/'4. Billing Determinants'!$E$41*$D41,IF($E41="kW",VLOOKUP(M$4,'4. Billing Determinants'!$B$19:$O$41,5,0)/'4. Billing Determinants'!$F$41*$D41,IF($E41="Non-RPP kWh",VLOOKUP(M$4,'4. Billing Determinants'!$B$19:$O$41,6,0)/'4. Billing Determinants'!$G$41*$D41,IF($E41="Distribution Rev.",VLOOKUP(M$4,'4. Billing Determinants'!$B$19:$O$41,8,0)/'4. Billing Determinants'!$I$41*$D41, VLOOKUP(M$4,'4. Billing Determinants'!$B$19:$O$41,3,0)/'4. Billing Determinants'!$D$41*$D41))))),0)</f>
        <v>0</v>
      </c>
      <c r="N41" s="75">
        <f>IFERROR(IF(N$4="",0,IF($E41="kWh",VLOOKUP(N$4,'4. Billing Determinants'!$B$19:$O$41,4,0)/'4. Billing Determinants'!$E$41*$D41,IF($E41="kW",VLOOKUP(N$4,'4. Billing Determinants'!$B$19:$O$41,5,0)/'4. Billing Determinants'!$F$41*$D41,IF($E41="Non-RPP kWh",VLOOKUP(N$4,'4. Billing Determinants'!$B$19:$O$41,6,0)/'4. Billing Determinants'!$G$41*$D41,IF($E41="Distribution Rev.",VLOOKUP(N$4,'4. Billing Determinants'!$B$19:$O$41,8,0)/'4. Billing Determinants'!$I$41*$D41, VLOOKUP(N$4,'4. Billing Determinants'!$B$19:$O$41,3,0)/'4. Billing Determinants'!$D$41*$D41))))),0)</f>
        <v>0</v>
      </c>
      <c r="O41" s="75">
        <f>IFERROR(IF(O$4="",0,IF($E41="kWh",VLOOKUP(O$4,'4. Billing Determinants'!$B$19:$O$41,4,0)/'4. Billing Determinants'!$E$41*$D41,IF($E41="kW",VLOOKUP(O$4,'4. Billing Determinants'!$B$19:$O$41,5,0)/'4. Billing Determinants'!$F$41*$D41,IF($E41="Non-RPP kWh",VLOOKUP(O$4,'4. Billing Determinants'!$B$19:$O$41,6,0)/'4. Billing Determinants'!$G$41*$D41,IF($E41="Distribution Rev.",VLOOKUP(O$4,'4. Billing Determinants'!$B$19:$O$41,8,0)/'4. Billing Determinants'!$I$41*$D41, VLOOKUP(O$4,'4. Billing Determinants'!$B$19:$O$41,3,0)/'4. Billing Determinants'!$D$41*$D41))))),0)</f>
        <v>0</v>
      </c>
      <c r="P41" s="75">
        <f>IFERROR(IF(P$4="",0,IF($E41="kWh",VLOOKUP(P$4,'4. Billing Determinants'!$B$19:$O$41,4,0)/'4. Billing Determinants'!$E$41*$D41,IF($E41="kW",VLOOKUP(P$4,'4. Billing Determinants'!$B$19:$O$41,5,0)/'4. Billing Determinants'!$F$41*$D41,IF($E41="Non-RPP kWh",VLOOKUP(P$4,'4. Billing Determinants'!$B$19:$O$41,6,0)/'4. Billing Determinants'!$G$41*$D41,IF($E41="Distribution Rev.",VLOOKUP(P$4,'4. Billing Determinants'!$B$19:$O$41,8,0)/'4. Billing Determinants'!$I$41*$D41, VLOOKUP(P$4,'4. Billing Determinants'!$B$19:$O$41,3,0)/'4. Billing Determinants'!$D$41*$D41))))),0)</f>
        <v>0</v>
      </c>
      <c r="Q41" s="75">
        <f>IFERROR(IF(Q$4="",0,IF($E41="kWh",VLOOKUP(Q$4,'4. Billing Determinants'!$B$19:$O$41,4,0)/'4. Billing Determinants'!$E$41*$D41,IF($E41="kW",VLOOKUP(Q$4,'4. Billing Determinants'!$B$19:$O$41,5,0)/'4. Billing Determinants'!$F$41*$D41,IF($E41="Non-RPP kWh",VLOOKUP(Q$4,'4. Billing Determinants'!$B$19:$O$41,6,0)/'4. Billing Determinants'!$G$41*$D41,IF($E41="Distribution Rev.",VLOOKUP(Q$4,'4. Billing Determinants'!$B$19:$O$41,8,0)/'4. Billing Determinants'!$I$41*$D41, VLOOKUP(Q$4,'4. Billing Determinants'!$B$19:$O$41,3,0)/'4. Billing Determinants'!$D$41*$D41))))),0)</f>
        <v>0</v>
      </c>
      <c r="R41" s="75">
        <f>IFERROR(IF(R$4="",0,IF($E41="kWh",VLOOKUP(R$4,'4. Billing Determinants'!$B$19:$O$41,4,0)/'4. Billing Determinants'!$E$41*$D41,IF($E41="kW",VLOOKUP(R$4,'4. Billing Determinants'!$B$19:$O$41,5,0)/'4. Billing Determinants'!$F$41*$D41,IF($E41="Non-RPP kWh",VLOOKUP(R$4,'4. Billing Determinants'!$B$19:$O$41,6,0)/'4. Billing Determinants'!$G$41*$D41,IF($E41="Distribution Rev.",VLOOKUP(R$4,'4. Billing Determinants'!$B$19:$O$41,8,0)/'4. Billing Determinants'!$I$41*$D41, VLOOKUP(R$4,'4. Billing Determinants'!$B$19:$O$41,3,0)/'4. Billing Determinants'!$D$41*$D41))))),0)</f>
        <v>0</v>
      </c>
      <c r="S41" s="75">
        <f>IFERROR(IF(S$4="",0,IF($E41="kWh",VLOOKUP(S$4,'4. Billing Determinants'!$B$19:$O$41,4,0)/'4. Billing Determinants'!$E$41*$D41,IF($E41="kW",VLOOKUP(S$4,'4. Billing Determinants'!$B$19:$O$41,5,0)/'4. Billing Determinants'!$F$41*$D41,IF($E41="Non-RPP kWh",VLOOKUP(S$4,'4. Billing Determinants'!$B$19:$O$41,6,0)/'4. Billing Determinants'!$G$41*$D41,IF($E41="Distribution Rev.",VLOOKUP(S$4,'4. Billing Determinants'!$B$19:$O$41,8,0)/'4. Billing Determinants'!$I$41*$D41, VLOOKUP(S$4,'4. Billing Determinants'!$B$19:$O$41,3,0)/'4. Billing Determinants'!$D$41*$D41))))),0)</f>
        <v>0</v>
      </c>
      <c r="T41" s="75">
        <f>IFERROR(IF(T$4="",0,IF($E41="kWh",VLOOKUP(T$4,'4. Billing Determinants'!$B$19:$O$41,4,0)/'4. Billing Determinants'!$E$41*$D41,IF($E41="kW",VLOOKUP(T$4,'4. Billing Determinants'!$B$19:$O$41,5,0)/'4. Billing Determinants'!$F$41*$D41,IF($E41="Non-RPP kWh",VLOOKUP(T$4,'4. Billing Determinants'!$B$19:$O$41,6,0)/'4. Billing Determinants'!$G$41*$D41,IF($E41="Distribution Rev.",VLOOKUP(T$4,'4. Billing Determinants'!$B$19:$O$41,8,0)/'4. Billing Determinants'!$I$41*$D41, VLOOKUP(T$4,'4. Billing Determinants'!$B$19:$O$41,3,0)/'4. Billing Determinants'!$D$41*$D41))))),0)</f>
        <v>0</v>
      </c>
      <c r="U41" s="75">
        <f>IFERROR(IF(U$4="",0,IF($E41="kWh",VLOOKUP(U$4,'4. Billing Determinants'!$B$19:$O$41,4,0)/'4. Billing Determinants'!$E$41*$D41,IF($E41="kW",VLOOKUP(U$4,'4. Billing Determinants'!$B$19:$O$41,5,0)/'4. Billing Determinants'!$F$41*$D41,IF($E41="Non-RPP kWh",VLOOKUP(U$4,'4. Billing Determinants'!$B$19:$O$41,6,0)/'4. Billing Determinants'!$G$41*$D41,IF($E41="Distribution Rev.",VLOOKUP(U$4,'4. Billing Determinants'!$B$19:$O$41,8,0)/'4. Billing Determinants'!$I$41*$D41, VLOOKUP(U$4,'4. Billing Determinants'!$B$19:$O$41,3,0)/'4. Billing Determinants'!$D$41*$D41))))),0)</f>
        <v>0</v>
      </c>
      <c r="V41" s="75">
        <f>IFERROR(IF(V$4="",0,IF($E41="kWh",VLOOKUP(V$4,'4. Billing Determinants'!$B$19:$O$41,4,0)/'4. Billing Determinants'!$E$41*$D41,IF($E41="kW",VLOOKUP(V$4,'4. Billing Determinants'!$B$19:$O$41,5,0)/'4. Billing Determinants'!$F$41*$D41,IF($E41="Non-RPP kWh",VLOOKUP(V$4,'4. Billing Determinants'!$B$19:$O$41,6,0)/'4. Billing Determinants'!$G$41*$D41,IF($E41="Distribution Rev.",VLOOKUP(V$4,'4. Billing Determinants'!$B$19:$O$41,8,0)/'4. Billing Determinants'!$I$41*$D41, VLOOKUP(V$4,'4. Billing Determinants'!$B$19:$O$41,3,0)/'4. Billing Determinants'!$D$41*$D41))))),0)</f>
        <v>0</v>
      </c>
      <c r="W41" s="75">
        <f>IFERROR(IF(W$4="",0,IF($E41="kWh",VLOOKUP(W$4,'4. Billing Determinants'!$B$19:$O$41,4,0)/'4. Billing Determinants'!$E$41*$D41,IF($E41="kW",VLOOKUP(W$4,'4. Billing Determinants'!$B$19:$O$41,5,0)/'4. Billing Determinants'!$F$41*$D41,IF($E41="Non-RPP kWh",VLOOKUP(W$4,'4. Billing Determinants'!$B$19:$O$41,6,0)/'4. Billing Determinants'!$G$41*$D41,IF($E41="Distribution Rev.",VLOOKUP(W$4,'4. Billing Determinants'!$B$19:$O$41,8,0)/'4. Billing Determinants'!$I$41*$D41, VLOOKUP(W$4,'4. Billing Determinants'!$B$19:$O$41,3,0)/'4. Billing Determinants'!$D$41*$D41))))),0)</f>
        <v>0</v>
      </c>
      <c r="X41" s="75">
        <f>IFERROR(IF(X$4="",0,IF($E41="kWh",VLOOKUP(X$4,'4. Billing Determinants'!$B$19:$O$41,4,0)/'4. Billing Determinants'!$E$41*$D41,IF($E41="kW",VLOOKUP(X$4,'4. Billing Determinants'!$B$19:$O$41,5,0)/'4. Billing Determinants'!$F$41*$D41,IF($E41="Non-RPP kWh",VLOOKUP(X$4,'4. Billing Determinants'!$B$19:$O$41,6,0)/'4. Billing Determinants'!$G$41*$D41,IF($E41="Distribution Rev.",VLOOKUP(X$4,'4. Billing Determinants'!$B$19:$O$41,8,0)/'4. Billing Determinants'!$I$41*$D41, VLOOKUP(X$4,'4. Billing Determinants'!$B$19:$O$41,3,0)/'4. Billing Determinants'!$D$41*$D41))))),0)</f>
        <v>0</v>
      </c>
      <c r="Y41" s="75">
        <f>IFERROR(IF(Y$4="",0,IF($E41="kWh",VLOOKUP(Y$4,'4. Billing Determinants'!$B$19:$O$41,4,0)/'4. Billing Determinants'!$E$41*$D41,IF($E41="kW",VLOOKUP(Y$4,'4. Billing Determinants'!$B$19:$O$41,5,0)/'4. Billing Determinants'!$F$41*$D41,IF($E41="Non-RPP kWh",VLOOKUP(Y$4,'4. Billing Determinants'!$B$19:$O$41,6,0)/'4. Billing Determinants'!$G$41*$D41,IF($E41="Distribution Rev.",VLOOKUP(Y$4,'4. Billing Determinants'!$B$19:$O$41,8,0)/'4. Billing Determinants'!$I$41*$D41, VLOOKUP(Y$4,'4. Billing Determinants'!$B$19:$O$41,3,0)/'4. Billing Determinants'!$D$41*$D41))))),0)</f>
        <v>0</v>
      </c>
    </row>
    <row r="42" spans="1:25" ht="25.5" x14ac:dyDescent="0.2">
      <c r="B42" s="91" t="s">
        <v>158</v>
      </c>
      <c r="C42" s="88">
        <v>1592</v>
      </c>
      <c r="D42" s="75">
        <f>'2. 2013 Continuity Schedule'!CP66</f>
        <v>0</v>
      </c>
      <c r="E42" s="208"/>
      <c r="F42" s="75">
        <f>IFERROR(IF(F$4="",0,IF($E42="kWh",VLOOKUP(F$4,'4. Billing Determinants'!$B$19:$O$41,4,0)/'4. Billing Determinants'!$E$41*$D42,IF($E42="kW",VLOOKUP(F$4,'4. Billing Determinants'!$B$19:$O$41,5,0)/'4. Billing Determinants'!$F$41*$D42,IF($E42="Non-RPP kWh",VLOOKUP(F$4,'4. Billing Determinants'!$B$19:$O$41,6,0)/'4. Billing Determinants'!$G$41*$D42,IF($E42="Distribution Rev.",VLOOKUP(F$4,'4. Billing Determinants'!$B$19:$O$41,8,0)/'4. Billing Determinants'!$I$41*$D42, VLOOKUP(F$4,'4. Billing Determinants'!$B$19:$O$41,3,0)/'4. Billing Determinants'!$D$41*$D42))))),0)</f>
        <v>0</v>
      </c>
      <c r="G42" s="75">
        <f>IFERROR(IF(G$4="",0,IF($E42="kWh",VLOOKUP(G$4,'4. Billing Determinants'!$B$19:$O$41,4,0)/'4. Billing Determinants'!$E$41*$D42,IF($E42="kW",VLOOKUP(G$4,'4. Billing Determinants'!$B$19:$O$41,5,0)/'4. Billing Determinants'!$F$41*$D42,IF($E42="Non-RPP kWh",VLOOKUP(G$4,'4. Billing Determinants'!$B$19:$O$41,6,0)/'4. Billing Determinants'!$G$41*$D42,IF($E42="Distribution Rev.",VLOOKUP(G$4,'4. Billing Determinants'!$B$19:$O$41,8,0)/'4. Billing Determinants'!$I$41*$D42, VLOOKUP(G$4,'4. Billing Determinants'!$B$19:$O$41,3,0)/'4. Billing Determinants'!$D$41*$D42))))),0)</f>
        <v>0</v>
      </c>
      <c r="H42" s="75">
        <f>IFERROR(IF(H$4="",0,IF($E42="kWh",VLOOKUP(H$4,'4. Billing Determinants'!$B$19:$O$41,4,0)/'4. Billing Determinants'!$E$41*$D42,IF($E42="kW",VLOOKUP(H$4,'4. Billing Determinants'!$B$19:$O$41,5,0)/'4. Billing Determinants'!$F$41*$D42,IF($E42="Non-RPP kWh",VLOOKUP(H$4,'4. Billing Determinants'!$B$19:$O$41,6,0)/'4. Billing Determinants'!$G$41*$D42,IF($E42="Distribution Rev.",VLOOKUP(H$4,'4. Billing Determinants'!$B$19:$O$41,8,0)/'4. Billing Determinants'!$I$41*$D42, VLOOKUP(H$4,'4. Billing Determinants'!$B$19:$O$41,3,0)/'4. Billing Determinants'!$D$41*$D42))))),0)</f>
        <v>0</v>
      </c>
      <c r="I42" s="75">
        <f>IFERROR(IF(I$4="",0,IF($E42="kWh",VLOOKUP(I$4,'4. Billing Determinants'!$B$19:$O$41,4,0)/'4. Billing Determinants'!$E$41*$D42,IF($E42="kW",VLOOKUP(I$4,'4. Billing Determinants'!$B$19:$O$41,5,0)/'4. Billing Determinants'!$F$41*$D42,IF($E42="Non-RPP kWh",VLOOKUP(I$4,'4. Billing Determinants'!$B$19:$O$41,6,0)/'4. Billing Determinants'!$G$41*$D42,IF($E42="Distribution Rev.",VLOOKUP(I$4,'4. Billing Determinants'!$B$19:$O$41,8,0)/'4. Billing Determinants'!$I$41*$D42, VLOOKUP(I$4,'4. Billing Determinants'!$B$19:$O$41,3,0)/'4. Billing Determinants'!$D$41*$D42))))),0)</f>
        <v>0</v>
      </c>
      <c r="J42" s="75">
        <f>IFERROR(IF(J$4="",0,IF($E42="kWh",VLOOKUP(J$4,'4. Billing Determinants'!$B$19:$O$41,4,0)/'4. Billing Determinants'!$E$41*$D42,IF($E42="kW",VLOOKUP(J$4,'4. Billing Determinants'!$B$19:$O$41,5,0)/'4. Billing Determinants'!$F$41*$D42,IF($E42="Non-RPP kWh",VLOOKUP(J$4,'4. Billing Determinants'!$B$19:$O$41,6,0)/'4. Billing Determinants'!$G$41*$D42,IF($E42="Distribution Rev.",VLOOKUP(J$4,'4. Billing Determinants'!$B$19:$O$41,8,0)/'4. Billing Determinants'!$I$41*$D42, VLOOKUP(J$4,'4. Billing Determinants'!$B$19:$O$41,3,0)/'4. Billing Determinants'!$D$41*$D42))))),0)</f>
        <v>0</v>
      </c>
      <c r="K42" s="75">
        <f>IFERROR(IF(K$4="",0,IF($E42="kWh",VLOOKUP(K$4,'4. Billing Determinants'!$B$19:$O$41,4,0)/'4. Billing Determinants'!$E$41*$D42,IF($E42="kW",VLOOKUP(K$4,'4. Billing Determinants'!$B$19:$O$41,5,0)/'4. Billing Determinants'!$F$41*$D42,IF($E42="Non-RPP kWh",VLOOKUP(K$4,'4. Billing Determinants'!$B$19:$O$41,6,0)/'4. Billing Determinants'!$G$41*$D42,IF($E42="Distribution Rev.",VLOOKUP(K$4,'4. Billing Determinants'!$B$19:$O$41,8,0)/'4. Billing Determinants'!$I$41*$D42, VLOOKUP(K$4,'4. Billing Determinants'!$B$19:$O$41,3,0)/'4. Billing Determinants'!$D$41*$D42))))),0)</f>
        <v>0</v>
      </c>
      <c r="L42" s="75">
        <f>IFERROR(IF(L$4="",0,IF($E42="kWh",VLOOKUP(L$4,'4. Billing Determinants'!$B$19:$O$41,4,0)/'4. Billing Determinants'!$E$41*$D42,IF($E42="kW",VLOOKUP(L$4,'4. Billing Determinants'!$B$19:$O$41,5,0)/'4. Billing Determinants'!$F$41*$D42,IF($E42="Non-RPP kWh",VLOOKUP(L$4,'4. Billing Determinants'!$B$19:$O$41,6,0)/'4. Billing Determinants'!$G$41*$D42,IF($E42="Distribution Rev.",VLOOKUP(L$4,'4. Billing Determinants'!$B$19:$O$41,8,0)/'4. Billing Determinants'!$I$41*$D42, VLOOKUP(L$4,'4. Billing Determinants'!$B$19:$O$41,3,0)/'4. Billing Determinants'!$D$41*$D42))))),0)</f>
        <v>0</v>
      </c>
      <c r="M42" s="75">
        <f>IFERROR(IF(M$4="",0,IF($E42="kWh",VLOOKUP(M$4,'4. Billing Determinants'!$B$19:$O$41,4,0)/'4. Billing Determinants'!$E$41*$D42,IF($E42="kW",VLOOKUP(M$4,'4. Billing Determinants'!$B$19:$O$41,5,0)/'4. Billing Determinants'!$F$41*$D42,IF($E42="Non-RPP kWh",VLOOKUP(M$4,'4. Billing Determinants'!$B$19:$O$41,6,0)/'4. Billing Determinants'!$G$41*$D42,IF($E42="Distribution Rev.",VLOOKUP(M$4,'4. Billing Determinants'!$B$19:$O$41,8,0)/'4. Billing Determinants'!$I$41*$D42, VLOOKUP(M$4,'4. Billing Determinants'!$B$19:$O$41,3,0)/'4. Billing Determinants'!$D$41*$D42))))),0)</f>
        <v>0</v>
      </c>
      <c r="N42" s="75">
        <f>IFERROR(IF(N$4="",0,IF($E42="kWh",VLOOKUP(N$4,'4. Billing Determinants'!$B$19:$O$41,4,0)/'4. Billing Determinants'!$E$41*$D42,IF($E42="kW",VLOOKUP(N$4,'4. Billing Determinants'!$B$19:$O$41,5,0)/'4. Billing Determinants'!$F$41*$D42,IF($E42="Non-RPP kWh",VLOOKUP(N$4,'4. Billing Determinants'!$B$19:$O$41,6,0)/'4. Billing Determinants'!$G$41*$D42,IF($E42="Distribution Rev.",VLOOKUP(N$4,'4. Billing Determinants'!$B$19:$O$41,8,0)/'4. Billing Determinants'!$I$41*$D42, VLOOKUP(N$4,'4. Billing Determinants'!$B$19:$O$41,3,0)/'4. Billing Determinants'!$D$41*$D42))))),0)</f>
        <v>0</v>
      </c>
      <c r="O42" s="75">
        <f>IFERROR(IF(O$4="",0,IF($E42="kWh",VLOOKUP(O$4,'4. Billing Determinants'!$B$19:$O$41,4,0)/'4. Billing Determinants'!$E$41*$D42,IF($E42="kW",VLOOKUP(O$4,'4. Billing Determinants'!$B$19:$O$41,5,0)/'4. Billing Determinants'!$F$41*$D42,IF($E42="Non-RPP kWh",VLOOKUP(O$4,'4. Billing Determinants'!$B$19:$O$41,6,0)/'4. Billing Determinants'!$G$41*$D42,IF($E42="Distribution Rev.",VLOOKUP(O$4,'4. Billing Determinants'!$B$19:$O$41,8,0)/'4. Billing Determinants'!$I$41*$D42, VLOOKUP(O$4,'4. Billing Determinants'!$B$19:$O$41,3,0)/'4. Billing Determinants'!$D$41*$D42))))),0)</f>
        <v>0</v>
      </c>
      <c r="P42" s="75">
        <f>IFERROR(IF(P$4="",0,IF($E42="kWh",VLOOKUP(P$4,'4. Billing Determinants'!$B$19:$O$41,4,0)/'4. Billing Determinants'!$E$41*$D42,IF($E42="kW",VLOOKUP(P$4,'4. Billing Determinants'!$B$19:$O$41,5,0)/'4. Billing Determinants'!$F$41*$D42,IF($E42="Non-RPP kWh",VLOOKUP(P$4,'4. Billing Determinants'!$B$19:$O$41,6,0)/'4. Billing Determinants'!$G$41*$D42,IF($E42="Distribution Rev.",VLOOKUP(P$4,'4. Billing Determinants'!$B$19:$O$41,8,0)/'4. Billing Determinants'!$I$41*$D42, VLOOKUP(P$4,'4. Billing Determinants'!$B$19:$O$41,3,0)/'4. Billing Determinants'!$D$41*$D42))))),0)</f>
        <v>0</v>
      </c>
      <c r="Q42" s="75">
        <f>IFERROR(IF(Q$4="",0,IF($E42="kWh",VLOOKUP(Q$4,'4. Billing Determinants'!$B$19:$O$41,4,0)/'4. Billing Determinants'!$E$41*$D42,IF($E42="kW",VLOOKUP(Q$4,'4. Billing Determinants'!$B$19:$O$41,5,0)/'4. Billing Determinants'!$F$41*$D42,IF($E42="Non-RPP kWh",VLOOKUP(Q$4,'4. Billing Determinants'!$B$19:$O$41,6,0)/'4. Billing Determinants'!$G$41*$D42,IF($E42="Distribution Rev.",VLOOKUP(Q$4,'4. Billing Determinants'!$B$19:$O$41,8,0)/'4. Billing Determinants'!$I$41*$D42, VLOOKUP(Q$4,'4. Billing Determinants'!$B$19:$O$41,3,0)/'4. Billing Determinants'!$D$41*$D42))))),0)</f>
        <v>0</v>
      </c>
      <c r="R42" s="75">
        <f>IFERROR(IF(R$4="",0,IF($E42="kWh",VLOOKUP(R$4,'4. Billing Determinants'!$B$19:$O$41,4,0)/'4. Billing Determinants'!$E$41*$D42,IF($E42="kW",VLOOKUP(R$4,'4. Billing Determinants'!$B$19:$O$41,5,0)/'4. Billing Determinants'!$F$41*$D42,IF($E42="Non-RPP kWh",VLOOKUP(R$4,'4. Billing Determinants'!$B$19:$O$41,6,0)/'4. Billing Determinants'!$G$41*$D42,IF($E42="Distribution Rev.",VLOOKUP(R$4,'4. Billing Determinants'!$B$19:$O$41,8,0)/'4. Billing Determinants'!$I$41*$D42, VLOOKUP(R$4,'4. Billing Determinants'!$B$19:$O$41,3,0)/'4. Billing Determinants'!$D$41*$D42))))),0)</f>
        <v>0</v>
      </c>
      <c r="S42" s="75">
        <f>IFERROR(IF(S$4="",0,IF($E42="kWh",VLOOKUP(S$4,'4. Billing Determinants'!$B$19:$O$41,4,0)/'4. Billing Determinants'!$E$41*$D42,IF($E42="kW",VLOOKUP(S$4,'4. Billing Determinants'!$B$19:$O$41,5,0)/'4. Billing Determinants'!$F$41*$D42,IF($E42="Non-RPP kWh",VLOOKUP(S$4,'4. Billing Determinants'!$B$19:$O$41,6,0)/'4. Billing Determinants'!$G$41*$D42,IF($E42="Distribution Rev.",VLOOKUP(S$4,'4. Billing Determinants'!$B$19:$O$41,8,0)/'4. Billing Determinants'!$I$41*$D42, VLOOKUP(S$4,'4. Billing Determinants'!$B$19:$O$41,3,0)/'4. Billing Determinants'!$D$41*$D42))))),0)</f>
        <v>0</v>
      </c>
      <c r="T42" s="75">
        <f>IFERROR(IF(T$4="",0,IF($E42="kWh",VLOOKUP(T$4,'4. Billing Determinants'!$B$19:$O$41,4,0)/'4. Billing Determinants'!$E$41*$D42,IF($E42="kW",VLOOKUP(T$4,'4. Billing Determinants'!$B$19:$O$41,5,0)/'4. Billing Determinants'!$F$41*$D42,IF($E42="Non-RPP kWh",VLOOKUP(T$4,'4. Billing Determinants'!$B$19:$O$41,6,0)/'4. Billing Determinants'!$G$41*$D42,IF($E42="Distribution Rev.",VLOOKUP(T$4,'4. Billing Determinants'!$B$19:$O$41,8,0)/'4. Billing Determinants'!$I$41*$D42, VLOOKUP(T$4,'4. Billing Determinants'!$B$19:$O$41,3,0)/'4. Billing Determinants'!$D$41*$D42))))),0)</f>
        <v>0</v>
      </c>
      <c r="U42" s="75">
        <f>IFERROR(IF(U$4="",0,IF($E42="kWh",VLOOKUP(U$4,'4. Billing Determinants'!$B$19:$O$41,4,0)/'4. Billing Determinants'!$E$41*$D42,IF($E42="kW",VLOOKUP(U$4,'4. Billing Determinants'!$B$19:$O$41,5,0)/'4. Billing Determinants'!$F$41*$D42,IF($E42="Non-RPP kWh",VLOOKUP(U$4,'4. Billing Determinants'!$B$19:$O$41,6,0)/'4. Billing Determinants'!$G$41*$D42,IF($E42="Distribution Rev.",VLOOKUP(U$4,'4. Billing Determinants'!$B$19:$O$41,8,0)/'4. Billing Determinants'!$I$41*$D42, VLOOKUP(U$4,'4. Billing Determinants'!$B$19:$O$41,3,0)/'4. Billing Determinants'!$D$41*$D42))))),0)</f>
        <v>0</v>
      </c>
      <c r="V42" s="75">
        <f>IFERROR(IF(V$4="",0,IF($E42="kWh",VLOOKUP(V$4,'4. Billing Determinants'!$B$19:$O$41,4,0)/'4. Billing Determinants'!$E$41*$D42,IF($E42="kW",VLOOKUP(V$4,'4. Billing Determinants'!$B$19:$O$41,5,0)/'4. Billing Determinants'!$F$41*$D42,IF($E42="Non-RPP kWh",VLOOKUP(V$4,'4. Billing Determinants'!$B$19:$O$41,6,0)/'4. Billing Determinants'!$G$41*$D42,IF($E42="Distribution Rev.",VLOOKUP(V$4,'4. Billing Determinants'!$B$19:$O$41,8,0)/'4. Billing Determinants'!$I$41*$D42, VLOOKUP(V$4,'4. Billing Determinants'!$B$19:$O$41,3,0)/'4. Billing Determinants'!$D$41*$D42))))),0)</f>
        <v>0</v>
      </c>
      <c r="W42" s="75">
        <f>IFERROR(IF(W$4="",0,IF($E42="kWh",VLOOKUP(W$4,'4. Billing Determinants'!$B$19:$O$41,4,0)/'4. Billing Determinants'!$E$41*$D42,IF($E42="kW",VLOOKUP(W$4,'4. Billing Determinants'!$B$19:$O$41,5,0)/'4. Billing Determinants'!$F$41*$D42,IF($E42="Non-RPP kWh",VLOOKUP(W$4,'4. Billing Determinants'!$B$19:$O$41,6,0)/'4. Billing Determinants'!$G$41*$D42,IF($E42="Distribution Rev.",VLOOKUP(W$4,'4. Billing Determinants'!$B$19:$O$41,8,0)/'4. Billing Determinants'!$I$41*$D42, VLOOKUP(W$4,'4. Billing Determinants'!$B$19:$O$41,3,0)/'4. Billing Determinants'!$D$41*$D42))))),0)</f>
        <v>0</v>
      </c>
      <c r="X42" s="75">
        <f>IFERROR(IF(X$4="",0,IF($E42="kWh",VLOOKUP(X$4,'4. Billing Determinants'!$B$19:$O$41,4,0)/'4. Billing Determinants'!$E$41*$D42,IF($E42="kW",VLOOKUP(X$4,'4. Billing Determinants'!$B$19:$O$41,5,0)/'4. Billing Determinants'!$F$41*$D42,IF($E42="Non-RPP kWh",VLOOKUP(X$4,'4. Billing Determinants'!$B$19:$O$41,6,0)/'4. Billing Determinants'!$G$41*$D42,IF($E42="Distribution Rev.",VLOOKUP(X$4,'4. Billing Determinants'!$B$19:$O$41,8,0)/'4. Billing Determinants'!$I$41*$D42, VLOOKUP(X$4,'4. Billing Determinants'!$B$19:$O$41,3,0)/'4. Billing Determinants'!$D$41*$D42))))),0)</f>
        <v>0</v>
      </c>
      <c r="Y42" s="75">
        <f>IFERROR(IF(Y$4="",0,IF($E42="kWh",VLOOKUP(Y$4,'4. Billing Determinants'!$B$19:$O$41,4,0)/'4. Billing Determinants'!$E$41*$D42,IF($E42="kW",VLOOKUP(Y$4,'4. Billing Determinants'!$B$19:$O$41,5,0)/'4. Billing Determinants'!$F$41*$D42,IF($E42="Non-RPP kWh",VLOOKUP(Y$4,'4. Billing Determinants'!$B$19:$O$41,6,0)/'4. Billing Determinants'!$G$41*$D42,IF($E42="Distribution Rev.",VLOOKUP(Y$4,'4. Billing Determinants'!$B$19:$O$41,8,0)/'4. Billing Determinants'!$I$41*$D42, VLOOKUP(Y$4,'4. Billing Determinants'!$B$19:$O$41,3,0)/'4. Billing Determinants'!$D$41*$D42))))),0)</f>
        <v>0</v>
      </c>
    </row>
    <row r="43" spans="1:25" ht="25.5" x14ac:dyDescent="0.2">
      <c r="B43" s="91" t="s">
        <v>153</v>
      </c>
      <c r="C43" s="88">
        <v>1592</v>
      </c>
      <c r="D43" s="75">
        <f>'2. 2013 Continuity Schedule'!CP67</f>
        <v>-43722.868743514577</v>
      </c>
      <c r="E43" s="208" t="s">
        <v>314</v>
      </c>
      <c r="F43" s="75">
        <f>IFERROR(IF(F$4="",0,IF($E43="kWh",VLOOKUP(F$4,'4. Billing Determinants'!$B$19:$O$41,4,0)/'4. Billing Determinants'!$E$41*$D43,IF($E43="kW",VLOOKUP(F$4,'4. Billing Determinants'!$B$19:$O$41,5,0)/'4. Billing Determinants'!$F$41*$D43,IF($E43="Non-RPP kWh",VLOOKUP(F$4,'4. Billing Determinants'!$B$19:$O$41,6,0)/'4. Billing Determinants'!$G$41*$D43,IF($E43="Distribution Rev.",VLOOKUP(F$4,'4. Billing Determinants'!$B$19:$O$41,8,0)/'4. Billing Determinants'!$I$41*$D43, VLOOKUP(F$4,'4. Billing Determinants'!$B$19:$O$41,3,0)/'4. Billing Determinants'!$D$41*$D43))))),0)</f>
        <v>-21681.328051398861</v>
      </c>
      <c r="G43" s="75">
        <f>IFERROR(IF(G$4="",0,IF($E43="kWh",VLOOKUP(G$4,'4. Billing Determinants'!$B$19:$O$41,4,0)/'4. Billing Determinants'!$E$41*$D43,IF($E43="kW",VLOOKUP(G$4,'4. Billing Determinants'!$B$19:$O$41,5,0)/'4. Billing Determinants'!$F$41*$D43,IF($E43="Non-RPP kWh",VLOOKUP(G$4,'4. Billing Determinants'!$B$19:$O$41,6,0)/'4. Billing Determinants'!$G$41*$D43,IF($E43="Distribution Rev.",VLOOKUP(G$4,'4. Billing Determinants'!$B$19:$O$41,8,0)/'4. Billing Determinants'!$I$41*$D43, VLOOKUP(G$4,'4. Billing Determinants'!$B$19:$O$41,3,0)/'4. Billing Determinants'!$D$41*$D43))))),0)</f>
        <v>-11112.584356710347</v>
      </c>
      <c r="H43" s="75">
        <f>IFERROR(IF(H$4="",0,IF($E43="kWh",VLOOKUP(H$4,'4. Billing Determinants'!$B$19:$O$41,4,0)/'4. Billing Determinants'!$E$41*$D43,IF($E43="kW",VLOOKUP(H$4,'4. Billing Determinants'!$B$19:$O$41,5,0)/'4. Billing Determinants'!$F$41*$D43,IF($E43="Non-RPP kWh",VLOOKUP(H$4,'4. Billing Determinants'!$B$19:$O$41,6,0)/'4. Billing Determinants'!$G$41*$D43,IF($E43="Distribution Rev.",VLOOKUP(H$4,'4. Billing Determinants'!$B$19:$O$41,8,0)/'4. Billing Determinants'!$I$41*$D43, VLOOKUP(H$4,'4. Billing Determinants'!$B$19:$O$41,3,0)/'4. Billing Determinants'!$D$41*$D43))))),0)</f>
        <v>-8979.0584715649438</v>
      </c>
      <c r="I43" s="75">
        <f>IFERROR(IF(I$4="",0,IF($E43="kWh",VLOOKUP(I$4,'4. Billing Determinants'!$B$19:$O$41,4,0)/'4. Billing Determinants'!$E$41*$D43,IF($E43="kW",VLOOKUP(I$4,'4. Billing Determinants'!$B$19:$O$41,5,0)/'4. Billing Determinants'!$F$41*$D43,IF($E43="Non-RPP kWh",VLOOKUP(I$4,'4. Billing Determinants'!$B$19:$O$41,6,0)/'4. Billing Determinants'!$G$41*$D43,IF($E43="Distribution Rev.",VLOOKUP(I$4,'4. Billing Determinants'!$B$19:$O$41,8,0)/'4. Billing Determinants'!$I$41*$D43, VLOOKUP(I$4,'4. Billing Determinants'!$B$19:$O$41,3,0)/'4. Billing Determinants'!$D$41*$D43))))),0)</f>
        <v>-149.55842824875342</v>
      </c>
      <c r="J43" s="75">
        <f>IFERROR(IF(J$4="",0,IF($E43="kWh",VLOOKUP(J$4,'4. Billing Determinants'!$B$19:$O$41,4,0)/'4. Billing Determinants'!$E$41*$D43,IF($E43="kW",VLOOKUP(J$4,'4. Billing Determinants'!$B$19:$O$41,5,0)/'4. Billing Determinants'!$F$41*$D43,IF($E43="Non-RPP kWh",VLOOKUP(J$4,'4. Billing Determinants'!$B$19:$O$41,6,0)/'4. Billing Determinants'!$G$41*$D43,IF($E43="Distribution Rev.",VLOOKUP(J$4,'4. Billing Determinants'!$B$19:$O$41,8,0)/'4. Billing Determinants'!$I$41*$D43, VLOOKUP(J$4,'4. Billing Determinants'!$B$19:$O$41,3,0)/'4. Billing Determinants'!$D$41*$D43))))),0)</f>
        <v>-1800.3394355916644</v>
      </c>
      <c r="K43" s="75">
        <f>IFERROR(IF(K$4="",0,IF($E43="kWh",VLOOKUP(K$4,'4. Billing Determinants'!$B$19:$O$41,4,0)/'4. Billing Determinants'!$E$41*$D43,IF($E43="kW",VLOOKUP(K$4,'4. Billing Determinants'!$B$19:$O$41,5,0)/'4. Billing Determinants'!$F$41*$D43,IF($E43="Non-RPP kWh",VLOOKUP(K$4,'4. Billing Determinants'!$B$19:$O$41,6,0)/'4. Billing Determinants'!$G$41*$D43,IF($E43="Distribution Rev.",VLOOKUP(K$4,'4. Billing Determinants'!$B$19:$O$41,8,0)/'4. Billing Determinants'!$I$41*$D43, VLOOKUP(K$4,'4. Billing Determinants'!$B$19:$O$41,3,0)/'4. Billing Determinants'!$D$41*$D43))))),0)</f>
        <v>0</v>
      </c>
      <c r="L43" s="75">
        <f>IFERROR(IF(L$4="",0,IF($E43="kWh",VLOOKUP(L$4,'4. Billing Determinants'!$B$19:$O$41,4,0)/'4. Billing Determinants'!$E$41*$D43,IF($E43="kW",VLOOKUP(L$4,'4. Billing Determinants'!$B$19:$O$41,5,0)/'4. Billing Determinants'!$F$41*$D43,IF($E43="Non-RPP kWh",VLOOKUP(L$4,'4. Billing Determinants'!$B$19:$O$41,6,0)/'4. Billing Determinants'!$G$41*$D43,IF($E43="Distribution Rev.",VLOOKUP(L$4,'4. Billing Determinants'!$B$19:$O$41,8,0)/'4. Billing Determinants'!$I$41*$D43, VLOOKUP(L$4,'4. Billing Determinants'!$B$19:$O$41,3,0)/'4. Billing Determinants'!$D$41*$D43))))),0)</f>
        <v>0</v>
      </c>
      <c r="M43" s="75">
        <f>IFERROR(IF(M$4="",0,IF($E43="kWh",VLOOKUP(M$4,'4. Billing Determinants'!$B$19:$O$41,4,0)/'4. Billing Determinants'!$E$41*$D43,IF($E43="kW",VLOOKUP(M$4,'4. Billing Determinants'!$B$19:$O$41,5,0)/'4. Billing Determinants'!$F$41*$D43,IF($E43="Non-RPP kWh",VLOOKUP(M$4,'4. Billing Determinants'!$B$19:$O$41,6,0)/'4. Billing Determinants'!$G$41*$D43,IF($E43="Distribution Rev.",VLOOKUP(M$4,'4. Billing Determinants'!$B$19:$O$41,8,0)/'4. Billing Determinants'!$I$41*$D43, VLOOKUP(M$4,'4. Billing Determinants'!$B$19:$O$41,3,0)/'4. Billing Determinants'!$D$41*$D43))))),0)</f>
        <v>0</v>
      </c>
      <c r="N43" s="75">
        <f>IFERROR(IF(N$4="",0,IF($E43="kWh",VLOOKUP(N$4,'4. Billing Determinants'!$B$19:$O$41,4,0)/'4. Billing Determinants'!$E$41*$D43,IF($E43="kW",VLOOKUP(N$4,'4. Billing Determinants'!$B$19:$O$41,5,0)/'4. Billing Determinants'!$F$41*$D43,IF($E43="Non-RPP kWh",VLOOKUP(N$4,'4. Billing Determinants'!$B$19:$O$41,6,0)/'4. Billing Determinants'!$G$41*$D43,IF($E43="Distribution Rev.",VLOOKUP(N$4,'4. Billing Determinants'!$B$19:$O$41,8,0)/'4. Billing Determinants'!$I$41*$D43, VLOOKUP(N$4,'4. Billing Determinants'!$B$19:$O$41,3,0)/'4. Billing Determinants'!$D$41*$D43))))),0)</f>
        <v>0</v>
      </c>
      <c r="O43" s="75">
        <f>IFERROR(IF(O$4="",0,IF($E43="kWh",VLOOKUP(O$4,'4. Billing Determinants'!$B$19:$O$41,4,0)/'4. Billing Determinants'!$E$41*$D43,IF($E43="kW",VLOOKUP(O$4,'4. Billing Determinants'!$B$19:$O$41,5,0)/'4. Billing Determinants'!$F$41*$D43,IF($E43="Non-RPP kWh",VLOOKUP(O$4,'4. Billing Determinants'!$B$19:$O$41,6,0)/'4. Billing Determinants'!$G$41*$D43,IF($E43="Distribution Rev.",VLOOKUP(O$4,'4. Billing Determinants'!$B$19:$O$41,8,0)/'4. Billing Determinants'!$I$41*$D43, VLOOKUP(O$4,'4. Billing Determinants'!$B$19:$O$41,3,0)/'4. Billing Determinants'!$D$41*$D43))))),0)</f>
        <v>0</v>
      </c>
      <c r="P43" s="75">
        <f>IFERROR(IF(P$4="",0,IF($E43="kWh",VLOOKUP(P$4,'4. Billing Determinants'!$B$19:$O$41,4,0)/'4. Billing Determinants'!$E$41*$D43,IF($E43="kW",VLOOKUP(P$4,'4. Billing Determinants'!$B$19:$O$41,5,0)/'4. Billing Determinants'!$F$41*$D43,IF($E43="Non-RPP kWh",VLOOKUP(P$4,'4. Billing Determinants'!$B$19:$O$41,6,0)/'4. Billing Determinants'!$G$41*$D43,IF($E43="Distribution Rev.",VLOOKUP(P$4,'4. Billing Determinants'!$B$19:$O$41,8,0)/'4. Billing Determinants'!$I$41*$D43, VLOOKUP(P$4,'4. Billing Determinants'!$B$19:$O$41,3,0)/'4. Billing Determinants'!$D$41*$D43))))),0)</f>
        <v>0</v>
      </c>
      <c r="Q43" s="75">
        <f>IFERROR(IF(Q$4="",0,IF($E43="kWh",VLOOKUP(Q$4,'4. Billing Determinants'!$B$19:$O$41,4,0)/'4. Billing Determinants'!$E$41*$D43,IF($E43="kW",VLOOKUP(Q$4,'4. Billing Determinants'!$B$19:$O$41,5,0)/'4. Billing Determinants'!$F$41*$D43,IF($E43="Non-RPP kWh",VLOOKUP(Q$4,'4. Billing Determinants'!$B$19:$O$41,6,0)/'4. Billing Determinants'!$G$41*$D43,IF($E43="Distribution Rev.",VLOOKUP(Q$4,'4. Billing Determinants'!$B$19:$O$41,8,0)/'4. Billing Determinants'!$I$41*$D43, VLOOKUP(Q$4,'4. Billing Determinants'!$B$19:$O$41,3,0)/'4. Billing Determinants'!$D$41*$D43))))),0)</f>
        <v>0</v>
      </c>
      <c r="R43" s="75">
        <f>IFERROR(IF(R$4="",0,IF($E43="kWh",VLOOKUP(R$4,'4. Billing Determinants'!$B$19:$O$41,4,0)/'4. Billing Determinants'!$E$41*$D43,IF($E43="kW",VLOOKUP(R$4,'4. Billing Determinants'!$B$19:$O$41,5,0)/'4. Billing Determinants'!$F$41*$D43,IF($E43="Non-RPP kWh",VLOOKUP(R$4,'4. Billing Determinants'!$B$19:$O$41,6,0)/'4. Billing Determinants'!$G$41*$D43,IF($E43="Distribution Rev.",VLOOKUP(R$4,'4. Billing Determinants'!$B$19:$O$41,8,0)/'4. Billing Determinants'!$I$41*$D43, VLOOKUP(R$4,'4. Billing Determinants'!$B$19:$O$41,3,0)/'4. Billing Determinants'!$D$41*$D43))))),0)</f>
        <v>0</v>
      </c>
      <c r="S43" s="75">
        <f>IFERROR(IF(S$4="",0,IF($E43="kWh",VLOOKUP(S$4,'4. Billing Determinants'!$B$19:$O$41,4,0)/'4. Billing Determinants'!$E$41*$D43,IF($E43="kW",VLOOKUP(S$4,'4. Billing Determinants'!$B$19:$O$41,5,0)/'4. Billing Determinants'!$F$41*$D43,IF($E43="Non-RPP kWh",VLOOKUP(S$4,'4. Billing Determinants'!$B$19:$O$41,6,0)/'4. Billing Determinants'!$G$41*$D43,IF($E43="Distribution Rev.",VLOOKUP(S$4,'4. Billing Determinants'!$B$19:$O$41,8,0)/'4. Billing Determinants'!$I$41*$D43, VLOOKUP(S$4,'4. Billing Determinants'!$B$19:$O$41,3,0)/'4. Billing Determinants'!$D$41*$D43))))),0)</f>
        <v>0</v>
      </c>
      <c r="T43" s="75">
        <f>IFERROR(IF(T$4="",0,IF($E43="kWh",VLOOKUP(T$4,'4. Billing Determinants'!$B$19:$O$41,4,0)/'4. Billing Determinants'!$E$41*$D43,IF($E43="kW",VLOOKUP(T$4,'4. Billing Determinants'!$B$19:$O$41,5,0)/'4. Billing Determinants'!$F$41*$D43,IF($E43="Non-RPP kWh",VLOOKUP(T$4,'4. Billing Determinants'!$B$19:$O$41,6,0)/'4. Billing Determinants'!$G$41*$D43,IF($E43="Distribution Rev.",VLOOKUP(T$4,'4. Billing Determinants'!$B$19:$O$41,8,0)/'4. Billing Determinants'!$I$41*$D43, VLOOKUP(T$4,'4. Billing Determinants'!$B$19:$O$41,3,0)/'4. Billing Determinants'!$D$41*$D43))))),0)</f>
        <v>0</v>
      </c>
      <c r="U43" s="75">
        <f>IFERROR(IF(U$4="",0,IF($E43="kWh",VLOOKUP(U$4,'4. Billing Determinants'!$B$19:$O$41,4,0)/'4. Billing Determinants'!$E$41*$D43,IF($E43="kW",VLOOKUP(U$4,'4. Billing Determinants'!$B$19:$O$41,5,0)/'4. Billing Determinants'!$F$41*$D43,IF($E43="Non-RPP kWh",VLOOKUP(U$4,'4. Billing Determinants'!$B$19:$O$41,6,0)/'4. Billing Determinants'!$G$41*$D43,IF($E43="Distribution Rev.",VLOOKUP(U$4,'4. Billing Determinants'!$B$19:$O$41,8,0)/'4. Billing Determinants'!$I$41*$D43, VLOOKUP(U$4,'4. Billing Determinants'!$B$19:$O$41,3,0)/'4. Billing Determinants'!$D$41*$D43))))),0)</f>
        <v>0</v>
      </c>
      <c r="V43" s="75">
        <f>IFERROR(IF(V$4="",0,IF($E43="kWh",VLOOKUP(V$4,'4. Billing Determinants'!$B$19:$O$41,4,0)/'4. Billing Determinants'!$E$41*$D43,IF($E43="kW",VLOOKUP(V$4,'4. Billing Determinants'!$B$19:$O$41,5,0)/'4. Billing Determinants'!$F$41*$D43,IF($E43="Non-RPP kWh",VLOOKUP(V$4,'4. Billing Determinants'!$B$19:$O$41,6,0)/'4. Billing Determinants'!$G$41*$D43,IF($E43="Distribution Rev.",VLOOKUP(V$4,'4. Billing Determinants'!$B$19:$O$41,8,0)/'4. Billing Determinants'!$I$41*$D43, VLOOKUP(V$4,'4. Billing Determinants'!$B$19:$O$41,3,0)/'4. Billing Determinants'!$D$41*$D43))))),0)</f>
        <v>0</v>
      </c>
      <c r="W43" s="75">
        <f>IFERROR(IF(W$4="",0,IF($E43="kWh",VLOOKUP(W$4,'4. Billing Determinants'!$B$19:$O$41,4,0)/'4. Billing Determinants'!$E$41*$D43,IF($E43="kW",VLOOKUP(W$4,'4. Billing Determinants'!$B$19:$O$41,5,0)/'4. Billing Determinants'!$F$41*$D43,IF($E43="Non-RPP kWh",VLOOKUP(W$4,'4. Billing Determinants'!$B$19:$O$41,6,0)/'4. Billing Determinants'!$G$41*$D43,IF($E43="Distribution Rev.",VLOOKUP(W$4,'4. Billing Determinants'!$B$19:$O$41,8,0)/'4. Billing Determinants'!$I$41*$D43, VLOOKUP(W$4,'4. Billing Determinants'!$B$19:$O$41,3,0)/'4. Billing Determinants'!$D$41*$D43))))),0)</f>
        <v>0</v>
      </c>
      <c r="X43" s="75">
        <f>IFERROR(IF(X$4="",0,IF($E43="kWh",VLOOKUP(X$4,'4. Billing Determinants'!$B$19:$O$41,4,0)/'4. Billing Determinants'!$E$41*$D43,IF($E43="kW",VLOOKUP(X$4,'4. Billing Determinants'!$B$19:$O$41,5,0)/'4. Billing Determinants'!$F$41*$D43,IF($E43="Non-RPP kWh",VLOOKUP(X$4,'4. Billing Determinants'!$B$19:$O$41,6,0)/'4. Billing Determinants'!$G$41*$D43,IF($E43="Distribution Rev.",VLOOKUP(X$4,'4. Billing Determinants'!$B$19:$O$41,8,0)/'4. Billing Determinants'!$I$41*$D43, VLOOKUP(X$4,'4. Billing Determinants'!$B$19:$O$41,3,0)/'4. Billing Determinants'!$D$41*$D43))))),0)</f>
        <v>0</v>
      </c>
      <c r="Y43" s="75">
        <f>IFERROR(IF(Y$4="",0,IF($E43="kWh",VLOOKUP(Y$4,'4. Billing Determinants'!$B$19:$O$41,4,0)/'4. Billing Determinants'!$E$41*$D43,IF($E43="kW",VLOOKUP(Y$4,'4. Billing Determinants'!$B$19:$O$41,5,0)/'4. Billing Determinants'!$F$41*$D43,IF($E43="Non-RPP kWh",VLOOKUP(Y$4,'4. Billing Determinants'!$B$19:$O$41,6,0)/'4. Billing Determinants'!$G$41*$D43,IF($E43="Distribution Rev.",VLOOKUP(Y$4,'4. Billing Determinants'!$B$19:$O$41,8,0)/'4. Billing Determinants'!$I$41*$D43, VLOOKUP(Y$4,'4. Billing Determinants'!$B$19:$O$41,3,0)/'4. Billing Determinants'!$D$41*$D43))))),0)</f>
        <v>0</v>
      </c>
    </row>
    <row r="44" spans="1:25" s="61" customFormat="1" x14ac:dyDescent="0.2">
      <c r="A44" s="60"/>
      <c r="B44" s="93" t="s">
        <v>159</v>
      </c>
      <c r="C44" s="95"/>
      <c r="D44" s="94">
        <f>SUM(D41:D43)</f>
        <v>-43722.868743514577</v>
      </c>
      <c r="E44" s="95"/>
      <c r="F44" s="94">
        <f>SUM(F41:F43)</f>
        <v>-21681.328051398861</v>
      </c>
      <c r="G44" s="94">
        <f t="shared" ref="G44:Y44" si="2">SUM(G41:G43)</f>
        <v>-11112.584356710347</v>
      </c>
      <c r="H44" s="94">
        <f t="shared" si="2"/>
        <v>-8979.0584715649438</v>
      </c>
      <c r="I44" s="94">
        <f t="shared" si="2"/>
        <v>-149.55842824875342</v>
      </c>
      <c r="J44" s="94">
        <f t="shared" si="2"/>
        <v>-1800.3394355916644</v>
      </c>
      <c r="K44" s="94">
        <f t="shared" si="2"/>
        <v>0</v>
      </c>
      <c r="L44" s="94">
        <f t="shared" si="2"/>
        <v>0</v>
      </c>
      <c r="M44" s="94">
        <f t="shared" si="2"/>
        <v>0</v>
      </c>
      <c r="N44" s="94">
        <f t="shared" si="2"/>
        <v>0</v>
      </c>
      <c r="O44" s="94">
        <f t="shared" si="2"/>
        <v>0</v>
      </c>
      <c r="P44" s="94">
        <f t="shared" si="2"/>
        <v>0</v>
      </c>
      <c r="Q44" s="94">
        <f t="shared" si="2"/>
        <v>0</v>
      </c>
      <c r="R44" s="94">
        <f t="shared" si="2"/>
        <v>0</v>
      </c>
      <c r="S44" s="94">
        <f t="shared" si="2"/>
        <v>0</v>
      </c>
      <c r="T44" s="94">
        <f t="shared" si="2"/>
        <v>0</v>
      </c>
      <c r="U44" s="94">
        <f t="shared" si="2"/>
        <v>0</v>
      </c>
      <c r="V44" s="94">
        <f t="shared" si="2"/>
        <v>0</v>
      </c>
      <c r="W44" s="94">
        <f t="shared" si="2"/>
        <v>0</v>
      </c>
      <c r="X44" s="94">
        <f t="shared" si="2"/>
        <v>0</v>
      </c>
      <c r="Y44" s="94">
        <f t="shared" si="2"/>
        <v>0</v>
      </c>
    </row>
    <row r="45" spans="1:25" x14ac:dyDescent="0.2">
      <c r="B45" s="82"/>
      <c r="C45" s="85"/>
      <c r="D45" s="86"/>
      <c r="E45" s="85"/>
    </row>
    <row r="46" spans="1:25" x14ac:dyDescent="0.2">
      <c r="B46" s="91" t="s">
        <v>160</v>
      </c>
      <c r="C46" s="88">
        <v>1568</v>
      </c>
      <c r="D46" s="75">
        <f>'2. 2013 Continuity Schedule'!CP72</f>
        <v>27661.786287896666</v>
      </c>
      <c r="E46" s="99"/>
      <c r="F46" s="209">
        <f>'4. Billing Determinants'!O21</f>
        <v>6716.8269666666674</v>
      </c>
      <c r="G46" s="209">
        <f>'4. Billing Determinants'!O22</f>
        <v>19828.642533333332</v>
      </c>
      <c r="H46" s="209">
        <f>'4. Billing Determinants'!O23</f>
        <v>390.39523333333335</v>
      </c>
      <c r="I46" s="209">
        <v>0</v>
      </c>
      <c r="J46" s="209">
        <v>0</v>
      </c>
      <c r="K46" s="209"/>
      <c r="L46" s="209"/>
      <c r="M46" s="209"/>
      <c r="N46" s="209"/>
      <c r="O46" s="209"/>
      <c r="P46" s="209"/>
      <c r="Q46" s="209"/>
      <c r="R46" s="209"/>
      <c r="S46" s="209"/>
      <c r="T46" s="209"/>
      <c r="U46" s="209"/>
      <c r="V46" s="209"/>
      <c r="W46" s="209"/>
      <c r="X46" s="209"/>
      <c r="Y46" s="209"/>
    </row>
    <row r="47" spans="1:25" s="81" customFormat="1" x14ac:dyDescent="0.2">
      <c r="B47" s="286" t="s">
        <v>162</v>
      </c>
      <c r="C47" s="286"/>
      <c r="D47" s="100">
        <f>SUM(F46:Y46)</f>
        <v>26935.864733333332</v>
      </c>
    </row>
    <row r="48" spans="1:25" s="81" customFormat="1" x14ac:dyDescent="0.2">
      <c r="B48" s="287" t="s">
        <v>147</v>
      </c>
      <c r="C48" s="287"/>
      <c r="D48" s="84">
        <f>D46-D47</f>
        <v>725.92155456333421</v>
      </c>
      <c r="E48" s="98"/>
    </row>
    <row r="49" spans="2:25" s="81" customFormat="1" x14ac:dyDescent="0.2"/>
    <row r="50" spans="2:25" s="102" customFormat="1" x14ac:dyDescent="0.2">
      <c r="B50" s="288" t="s">
        <v>194</v>
      </c>
      <c r="C50" s="288"/>
      <c r="D50" s="107">
        <f>SUM(F50:Y50)</f>
        <v>-391881.25874193199</v>
      </c>
      <c r="E50" s="108"/>
      <c r="F50" s="107">
        <f t="shared" ref="F50:Y50" si="3">SUM(F46:F46,F44,F39,F16)</f>
        <v>-34561.2192142079</v>
      </c>
      <c r="G50" s="107">
        <f t="shared" si="3"/>
        <v>-69904.474144685955</v>
      </c>
      <c r="H50" s="107">
        <f t="shared" si="3"/>
        <v>-283698.09275677428</v>
      </c>
      <c r="I50" s="107">
        <f t="shared" si="3"/>
        <v>-127.76058498233749</v>
      </c>
      <c r="J50" s="107">
        <f t="shared" si="3"/>
        <v>-3589.7120412815261</v>
      </c>
      <c r="K50" s="107">
        <f t="shared" si="3"/>
        <v>0</v>
      </c>
      <c r="L50" s="107">
        <f t="shared" si="3"/>
        <v>0</v>
      </c>
      <c r="M50" s="107">
        <f t="shared" si="3"/>
        <v>0</v>
      </c>
      <c r="N50" s="107">
        <f t="shared" si="3"/>
        <v>0</v>
      </c>
      <c r="O50" s="107">
        <f t="shared" si="3"/>
        <v>0</v>
      </c>
      <c r="P50" s="107">
        <f t="shared" si="3"/>
        <v>0</v>
      </c>
      <c r="Q50" s="107">
        <f t="shared" si="3"/>
        <v>0</v>
      </c>
      <c r="R50" s="107">
        <f t="shared" si="3"/>
        <v>0</v>
      </c>
      <c r="S50" s="107">
        <f t="shared" si="3"/>
        <v>0</v>
      </c>
      <c r="T50" s="107">
        <f t="shared" si="3"/>
        <v>0</v>
      </c>
      <c r="U50" s="107">
        <f t="shared" si="3"/>
        <v>0</v>
      </c>
      <c r="V50" s="107">
        <f t="shared" si="3"/>
        <v>0</v>
      </c>
      <c r="W50" s="107">
        <f t="shared" si="3"/>
        <v>0</v>
      </c>
      <c r="X50" s="107">
        <f t="shared" si="3"/>
        <v>0</v>
      </c>
      <c r="Y50" s="107">
        <f t="shared" si="3"/>
        <v>0</v>
      </c>
    </row>
    <row r="51" spans="2:25" s="103" customFormat="1" x14ac:dyDescent="0.2">
      <c r="B51" s="288" t="s">
        <v>202</v>
      </c>
      <c r="C51" s="288"/>
      <c r="D51" s="107">
        <f>D10</f>
        <v>-170380.86580400023</v>
      </c>
      <c r="E51" s="107"/>
      <c r="F51" s="107">
        <f t="shared" ref="F51:Y51" si="4">F10</f>
        <v>-4934.097105312776</v>
      </c>
      <c r="G51" s="107">
        <f t="shared" si="4"/>
        <v>-6637.1872275940668</v>
      </c>
      <c r="H51" s="107">
        <f t="shared" si="4"/>
        <v>-156557.86561104283</v>
      </c>
      <c r="I51" s="107">
        <f t="shared" si="4"/>
        <v>0</v>
      </c>
      <c r="J51" s="107">
        <f t="shared" si="4"/>
        <v>-2251.7158600505422</v>
      </c>
      <c r="K51" s="107">
        <f t="shared" si="4"/>
        <v>0</v>
      </c>
      <c r="L51" s="107">
        <f t="shared" si="4"/>
        <v>0</v>
      </c>
      <c r="M51" s="107">
        <f t="shared" si="4"/>
        <v>0</v>
      </c>
      <c r="N51" s="107">
        <f t="shared" si="4"/>
        <v>0</v>
      </c>
      <c r="O51" s="107">
        <f t="shared" si="4"/>
        <v>0</v>
      </c>
      <c r="P51" s="107">
        <f t="shared" si="4"/>
        <v>0</v>
      </c>
      <c r="Q51" s="107">
        <f t="shared" si="4"/>
        <v>0</v>
      </c>
      <c r="R51" s="107">
        <f t="shared" si="4"/>
        <v>0</v>
      </c>
      <c r="S51" s="107">
        <f t="shared" si="4"/>
        <v>0</v>
      </c>
      <c r="T51" s="107">
        <f t="shared" si="4"/>
        <v>0</v>
      </c>
      <c r="U51" s="107">
        <f t="shared" si="4"/>
        <v>0</v>
      </c>
      <c r="V51" s="107">
        <f t="shared" si="4"/>
        <v>0</v>
      </c>
      <c r="W51" s="107">
        <f t="shared" si="4"/>
        <v>0</v>
      </c>
      <c r="X51" s="107">
        <f t="shared" si="4"/>
        <v>0</v>
      </c>
      <c r="Y51" s="107">
        <f t="shared" si="4"/>
        <v>0</v>
      </c>
    </row>
    <row r="52" spans="2:25" s="81" customFormat="1" x14ac:dyDescent="0.2">
      <c r="B52" s="289" t="s">
        <v>195</v>
      </c>
      <c r="C52" s="289"/>
      <c r="D52" s="109">
        <f>SUM(D50:D51)</f>
        <v>-562262.12454593228</v>
      </c>
      <c r="E52" s="110"/>
      <c r="F52" s="109">
        <f t="shared" ref="F52:Y52" si="5">SUM(F50:F51)</f>
        <v>-39495.316319520673</v>
      </c>
      <c r="G52" s="109">
        <f t="shared" si="5"/>
        <v>-76541.661372280025</v>
      </c>
      <c r="H52" s="109">
        <f t="shared" si="5"/>
        <v>-440255.9583678171</v>
      </c>
      <c r="I52" s="109">
        <f t="shared" si="5"/>
        <v>-127.76058498233749</v>
      </c>
      <c r="J52" s="109">
        <f t="shared" si="5"/>
        <v>-5841.4279013320684</v>
      </c>
      <c r="K52" s="109">
        <f t="shared" si="5"/>
        <v>0</v>
      </c>
      <c r="L52" s="109">
        <f t="shared" si="5"/>
        <v>0</v>
      </c>
      <c r="M52" s="109">
        <f t="shared" si="5"/>
        <v>0</v>
      </c>
      <c r="N52" s="109">
        <f t="shared" si="5"/>
        <v>0</v>
      </c>
      <c r="O52" s="109">
        <f t="shared" si="5"/>
        <v>0</v>
      </c>
      <c r="P52" s="109">
        <f t="shared" si="5"/>
        <v>0</v>
      </c>
      <c r="Q52" s="109">
        <f t="shared" si="5"/>
        <v>0</v>
      </c>
      <c r="R52" s="109">
        <f t="shared" si="5"/>
        <v>0</v>
      </c>
      <c r="S52" s="109">
        <f t="shared" si="5"/>
        <v>0</v>
      </c>
      <c r="T52" s="109">
        <f t="shared" si="5"/>
        <v>0</v>
      </c>
      <c r="U52" s="109">
        <f t="shared" si="5"/>
        <v>0</v>
      </c>
      <c r="V52" s="109">
        <f t="shared" si="5"/>
        <v>0</v>
      </c>
      <c r="W52" s="109">
        <f t="shared" si="5"/>
        <v>0</v>
      </c>
      <c r="X52" s="109">
        <f t="shared" si="5"/>
        <v>0</v>
      </c>
      <c r="Y52" s="109">
        <f t="shared" si="5"/>
        <v>0</v>
      </c>
    </row>
    <row r="53" spans="2:25" x14ac:dyDescent="0.2">
      <c r="D53" s="87"/>
    </row>
    <row r="54" spans="2:25" x14ac:dyDescent="0.2">
      <c r="B54" s="76" t="s">
        <v>290</v>
      </c>
      <c r="C54" s="76">
        <v>1575</v>
      </c>
      <c r="D54" s="75">
        <f>'2. 2013 Continuity Schedule'!CP82</f>
        <v>0</v>
      </c>
      <c r="E54" s="208"/>
      <c r="F54" s="75">
        <f>IFERROR(IF(F$4="",0,IF($E54="kWh",VLOOKUP(F$4,'4. Billing Determinants'!$B$19:$O$41,4,0)/'4. Billing Determinants'!$E$41*$D54,IF($E54="kW",VLOOKUP(F$4,'4. Billing Determinants'!$B$19:$O$41,5,0)/'4. Billing Determinants'!$F$41*$D54,IF($E54="Non-RPP kWh",VLOOKUP(F$4,'4. Billing Determinants'!$B$19:$O$41,6,0)/'4. Billing Determinants'!$G$41*$D54,IF($E54="Distribution Rev.",VLOOKUP(F$4,'4. Billing Determinants'!$B$19:$O$41,8,0)/'4. Billing Determinants'!$I$41*$D54, VLOOKUP(F$4,'4. Billing Determinants'!$B$19:$O$41,3,0)/'4. Billing Determinants'!$D$41*$D54))))),0)</f>
        <v>0</v>
      </c>
      <c r="G54" s="75">
        <f>IFERROR(IF(G$4="",0,IF($E54="kWh",VLOOKUP(G$4,'4. Billing Determinants'!$B$19:$O$41,4,0)/'4. Billing Determinants'!$E$41*$D54,IF($E54="kW",VLOOKUP(G$4,'4. Billing Determinants'!$B$19:$O$41,5,0)/'4. Billing Determinants'!$F$41*$D54,IF($E54="Non-RPP kWh",VLOOKUP(G$4,'4. Billing Determinants'!$B$19:$O$41,6,0)/'4. Billing Determinants'!$G$41*$D54,IF($E54="Distribution Rev.",VLOOKUP(G$4,'4. Billing Determinants'!$B$19:$O$41,8,0)/'4. Billing Determinants'!$I$41*$D54, VLOOKUP(G$4,'4. Billing Determinants'!$B$19:$O$41,3,0)/'4. Billing Determinants'!$D$41*$D54))))),0)</f>
        <v>0</v>
      </c>
      <c r="H54" s="75">
        <f>IFERROR(IF(H$4="",0,IF($E54="kWh",VLOOKUP(H$4,'4. Billing Determinants'!$B$19:$O$41,4,0)/'4. Billing Determinants'!$E$41*$D54,IF($E54="kW",VLOOKUP(H$4,'4. Billing Determinants'!$B$19:$O$41,5,0)/'4. Billing Determinants'!$F$41*$D54,IF($E54="Non-RPP kWh",VLOOKUP(H$4,'4. Billing Determinants'!$B$19:$O$41,6,0)/'4. Billing Determinants'!$G$41*$D54,IF($E54="Distribution Rev.",VLOOKUP(H$4,'4. Billing Determinants'!$B$19:$O$41,8,0)/'4. Billing Determinants'!$I$41*$D54, VLOOKUP(H$4,'4. Billing Determinants'!$B$19:$O$41,3,0)/'4. Billing Determinants'!$D$41*$D54))))),0)</f>
        <v>0</v>
      </c>
      <c r="I54" s="75">
        <f>IFERROR(IF(I$4="",0,IF($E54="kWh",VLOOKUP(I$4,'4. Billing Determinants'!$B$19:$O$41,4,0)/'4. Billing Determinants'!$E$41*$D54,IF($E54="kW",VLOOKUP(I$4,'4. Billing Determinants'!$B$19:$O$41,5,0)/'4. Billing Determinants'!$F$41*$D54,IF($E54="Non-RPP kWh",VLOOKUP(I$4,'4. Billing Determinants'!$B$19:$O$41,6,0)/'4. Billing Determinants'!$G$41*$D54,IF($E54="Distribution Rev.",VLOOKUP(I$4,'4. Billing Determinants'!$B$19:$O$41,8,0)/'4. Billing Determinants'!$I$41*$D54, VLOOKUP(I$4,'4. Billing Determinants'!$B$19:$O$41,3,0)/'4. Billing Determinants'!$D$41*$D54))))),0)</f>
        <v>0</v>
      </c>
      <c r="J54" s="75">
        <f>IFERROR(IF(J$4="",0,IF($E54="kWh",VLOOKUP(J$4,'4. Billing Determinants'!$B$19:$O$41,4,0)/'4. Billing Determinants'!$E$41*$D54,IF($E54="kW",VLOOKUP(J$4,'4. Billing Determinants'!$B$19:$O$41,5,0)/'4. Billing Determinants'!$F$41*$D54,IF($E54="Non-RPP kWh",VLOOKUP(J$4,'4. Billing Determinants'!$B$19:$O$41,6,0)/'4. Billing Determinants'!$G$41*$D54,IF($E54="Distribution Rev.",VLOOKUP(J$4,'4. Billing Determinants'!$B$19:$O$41,8,0)/'4. Billing Determinants'!$I$41*$D54, VLOOKUP(J$4,'4. Billing Determinants'!$B$19:$O$41,3,0)/'4. Billing Determinants'!$D$41*$D54))))),0)</f>
        <v>0</v>
      </c>
      <c r="K54" s="75">
        <f>IFERROR(IF(K$4="",0,IF($E54="kWh",VLOOKUP(K$4,'4. Billing Determinants'!$B$19:$O$41,4,0)/'4. Billing Determinants'!$E$41*$D54,IF($E54="kW",VLOOKUP(K$4,'4. Billing Determinants'!$B$19:$O$41,5,0)/'4. Billing Determinants'!$F$41*$D54,IF($E54="Non-RPP kWh",VLOOKUP(K$4,'4. Billing Determinants'!$B$19:$O$41,6,0)/'4. Billing Determinants'!$G$41*$D54,IF($E54="Distribution Rev.",VLOOKUP(K$4,'4. Billing Determinants'!$B$19:$O$41,8,0)/'4. Billing Determinants'!$I$41*$D54, VLOOKUP(K$4,'4. Billing Determinants'!$B$19:$O$41,3,0)/'4. Billing Determinants'!$D$41*$D54))))),0)</f>
        <v>0</v>
      </c>
      <c r="L54" s="75">
        <f>IFERROR(IF(L$4="",0,IF($E54="kWh",VLOOKUP(L$4,'4. Billing Determinants'!$B$19:$O$41,4,0)/'4. Billing Determinants'!$E$41*$D54,IF($E54="kW",VLOOKUP(L$4,'4. Billing Determinants'!$B$19:$O$41,5,0)/'4. Billing Determinants'!$F$41*$D54,IF($E54="Non-RPP kWh",VLOOKUP(L$4,'4. Billing Determinants'!$B$19:$O$41,6,0)/'4. Billing Determinants'!$G$41*$D54,IF($E54="Distribution Rev.",VLOOKUP(L$4,'4. Billing Determinants'!$B$19:$O$41,8,0)/'4. Billing Determinants'!$I$41*$D54, VLOOKUP(L$4,'4. Billing Determinants'!$B$19:$O$41,3,0)/'4. Billing Determinants'!$D$41*$D54))))),0)</f>
        <v>0</v>
      </c>
      <c r="M54" s="75">
        <f>IFERROR(IF(M$4="",0,IF($E54="kWh",VLOOKUP(M$4,'4. Billing Determinants'!$B$19:$O$41,4,0)/'4. Billing Determinants'!$E$41*$D54,IF($E54="kW",VLOOKUP(M$4,'4. Billing Determinants'!$B$19:$O$41,5,0)/'4. Billing Determinants'!$F$41*$D54,IF($E54="Non-RPP kWh",VLOOKUP(M$4,'4. Billing Determinants'!$B$19:$O$41,6,0)/'4. Billing Determinants'!$G$41*$D54,IF($E54="Distribution Rev.",VLOOKUP(M$4,'4. Billing Determinants'!$B$19:$O$41,8,0)/'4. Billing Determinants'!$I$41*$D54, VLOOKUP(M$4,'4. Billing Determinants'!$B$19:$O$41,3,0)/'4. Billing Determinants'!$D$41*$D54))))),0)</f>
        <v>0</v>
      </c>
      <c r="N54" s="75">
        <f>IFERROR(IF(N$4="",0,IF($E54="kWh",VLOOKUP(N$4,'4. Billing Determinants'!$B$19:$O$41,4,0)/'4. Billing Determinants'!$E$41*$D54,IF($E54="kW",VLOOKUP(N$4,'4. Billing Determinants'!$B$19:$O$41,5,0)/'4. Billing Determinants'!$F$41*$D54,IF($E54="Non-RPP kWh",VLOOKUP(N$4,'4. Billing Determinants'!$B$19:$O$41,6,0)/'4. Billing Determinants'!$G$41*$D54,IF($E54="Distribution Rev.",VLOOKUP(N$4,'4. Billing Determinants'!$B$19:$O$41,8,0)/'4. Billing Determinants'!$I$41*$D54, VLOOKUP(N$4,'4. Billing Determinants'!$B$19:$O$41,3,0)/'4. Billing Determinants'!$D$41*$D54))))),0)</f>
        <v>0</v>
      </c>
      <c r="O54" s="75">
        <f>IFERROR(IF(O$4="",0,IF($E54="kWh",VLOOKUP(O$4,'4. Billing Determinants'!$B$19:$O$41,4,0)/'4. Billing Determinants'!$E$41*$D54,IF($E54="kW",VLOOKUP(O$4,'4. Billing Determinants'!$B$19:$O$41,5,0)/'4. Billing Determinants'!$F$41*$D54,IF($E54="Non-RPP kWh",VLOOKUP(O$4,'4. Billing Determinants'!$B$19:$O$41,6,0)/'4. Billing Determinants'!$G$41*$D54,IF($E54="Distribution Rev.",VLOOKUP(O$4,'4. Billing Determinants'!$B$19:$O$41,8,0)/'4. Billing Determinants'!$I$41*$D54, VLOOKUP(O$4,'4. Billing Determinants'!$B$19:$O$41,3,0)/'4. Billing Determinants'!$D$41*$D54))))),0)</f>
        <v>0</v>
      </c>
      <c r="P54" s="75">
        <f>IFERROR(IF(P$4="",0,IF($E54="kWh",VLOOKUP(P$4,'4. Billing Determinants'!$B$19:$O$41,4,0)/'4. Billing Determinants'!$E$41*$D54,IF($E54="kW",VLOOKUP(P$4,'4. Billing Determinants'!$B$19:$O$41,5,0)/'4. Billing Determinants'!$F$41*$D54,IF($E54="Non-RPP kWh",VLOOKUP(P$4,'4. Billing Determinants'!$B$19:$O$41,6,0)/'4. Billing Determinants'!$G$41*$D54,IF($E54="Distribution Rev.",VLOOKUP(P$4,'4. Billing Determinants'!$B$19:$O$41,8,0)/'4. Billing Determinants'!$I$41*$D54, VLOOKUP(P$4,'4. Billing Determinants'!$B$19:$O$41,3,0)/'4. Billing Determinants'!$D$41*$D54))))),0)</f>
        <v>0</v>
      </c>
      <c r="Q54" s="75">
        <f>IFERROR(IF(Q$4="",0,IF($E54="kWh",VLOOKUP(Q$4,'4. Billing Determinants'!$B$19:$O$41,4,0)/'4. Billing Determinants'!$E$41*$D54,IF($E54="kW",VLOOKUP(Q$4,'4. Billing Determinants'!$B$19:$O$41,5,0)/'4. Billing Determinants'!$F$41*$D54,IF($E54="Non-RPP kWh",VLOOKUP(Q$4,'4. Billing Determinants'!$B$19:$O$41,6,0)/'4. Billing Determinants'!$G$41*$D54,IF($E54="Distribution Rev.",VLOOKUP(Q$4,'4. Billing Determinants'!$B$19:$O$41,8,0)/'4. Billing Determinants'!$I$41*$D54, VLOOKUP(Q$4,'4. Billing Determinants'!$B$19:$O$41,3,0)/'4. Billing Determinants'!$D$41*$D54))))),0)</f>
        <v>0</v>
      </c>
      <c r="R54" s="75">
        <f>IFERROR(IF(R$4="",0,IF($E54="kWh",VLOOKUP(R$4,'4. Billing Determinants'!$B$19:$O$41,4,0)/'4. Billing Determinants'!$E$41*$D54,IF($E54="kW",VLOOKUP(R$4,'4. Billing Determinants'!$B$19:$O$41,5,0)/'4. Billing Determinants'!$F$41*$D54,IF($E54="Non-RPP kWh",VLOOKUP(R$4,'4. Billing Determinants'!$B$19:$O$41,6,0)/'4. Billing Determinants'!$G$41*$D54,IF($E54="Distribution Rev.",VLOOKUP(R$4,'4. Billing Determinants'!$B$19:$O$41,8,0)/'4. Billing Determinants'!$I$41*$D54, VLOOKUP(R$4,'4. Billing Determinants'!$B$19:$O$41,3,0)/'4. Billing Determinants'!$D$41*$D54))))),0)</f>
        <v>0</v>
      </c>
      <c r="S54" s="75">
        <f>IFERROR(IF(S$4="",0,IF($E54="kWh",VLOOKUP(S$4,'4. Billing Determinants'!$B$19:$O$41,4,0)/'4. Billing Determinants'!$E$41*$D54,IF($E54="kW",VLOOKUP(S$4,'4. Billing Determinants'!$B$19:$O$41,5,0)/'4. Billing Determinants'!$F$41*$D54,IF($E54="Non-RPP kWh",VLOOKUP(S$4,'4. Billing Determinants'!$B$19:$O$41,6,0)/'4. Billing Determinants'!$G$41*$D54,IF($E54="Distribution Rev.",VLOOKUP(S$4,'4. Billing Determinants'!$B$19:$O$41,8,0)/'4. Billing Determinants'!$I$41*$D54, VLOOKUP(S$4,'4. Billing Determinants'!$B$19:$O$41,3,0)/'4. Billing Determinants'!$D$41*$D54))))),0)</f>
        <v>0</v>
      </c>
      <c r="T54" s="75">
        <f>IFERROR(IF(T$4="",0,IF($E54="kWh",VLOOKUP(T$4,'4. Billing Determinants'!$B$19:$O$41,4,0)/'4. Billing Determinants'!$E$41*$D54,IF($E54="kW",VLOOKUP(T$4,'4. Billing Determinants'!$B$19:$O$41,5,0)/'4. Billing Determinants'!$F$41*$D54,IF($E54="Non-RPP kWh",VLOOKUP(T$4,'4. Billing Determinants'!$B$19:$O$41,6,0)/'4. Billing Determinants'!$G$41*$D54,IF($E54="Distribution Rev.",VLOOKUP(T$4,'4. Billing Determinants'!$B$19:$O$41,8,0)/'4. Billing Determinants'!$I$41*$D54, VLOOKUP(T$4,'4. Billing Determinants'!$B$19:$O$41,3,0)/'4. Billing Determinants'!$D$41*$D54))))),0)</f>
        <v>0</v>
      </c>
      <c r="U54" s="75">
        <f>IFERROR(IF(U$4="",0,IF($E54="kWh",VLOOKUP(U$4,'4. Billing Determinants'!$B$19:$O$41,4,0)/'4. Billing Determinants'!$E$41*$D54,IF($E54="kW",VLOOKUP(U$4,'4. Billing Determinants'!$B$19:$O$41,5,0)/'4. Billing Determinants'!$F$41*$D54,IF($E54="Non-RPP kWh",VLOOKUP(U$4,'4. Billing Determinants'!$B$19:$O$41,6,0)/'4. Billing Determinants'!$G$41*$D54,IF($E54="Distribution Rev.",VLOOKUP(U$4,'4. Billing Determinants'!$B$19:$O$41,8,0)/'4. Billing Determinants'!$I$41*$D54, VLOOKUP(U$4,'4. Billing Determinants'!$B$19:$O$41,3,0)/'4. Billing Determinants'!$D$41*$D54))))),0)</f>
        <v>0</v>
      </c>
      <c r="V54" s="75">
        <f>IFERROR(IF(V$4="",0,IF($E54="kWh",VLOOKUP(V$4,'4. Billing Determinants'!$B$19:$O$41,4,0)/'4. Billing Determinants'!$E$41*$D54,IF($E54="kW",VLOOKUP(V$4,'4. Billing Determinants'!$B$19:$O$41,5,0)/'4. Billing Determinants'!$F$41*$D54,IF($E54="Non-RPP kWh",VLOOKUP(V$4,'4. Billing Determinants'!$B$19:$O$41,6,0)/'4. Billing Determinants'!$G$41*$D54,IF($E54="Distribution Rev.",VLOOKUP(V$4,'4. Billing Determinants'!$B$19:$O$41,8,0)/'4. Billing Determinants'!$I$41*$D54, VLOOKUP(V$4,'4. Billing Determinants'!$B$19:$O$41,3,0)/'4. Billing Determinants'!$D$41*$D54))))),0)</f>
        <v>0</v>
      </c>
      <c r="W54" s="75">
        <f>IFERROR(IF(W$4="",0,IF($E54="kWh",VLOOKUP(W$4,'4. Billing Determinants'!$B$19:$O$41,4,0)/'4. Billing Determinants'!$E$41*$D54,IF($E54="kW",VLOOKUP(W$4,'4. Billing Determinants'!$B$19:$O$41,5,0)/'4. Billing Determinants'!$F$41*$D54,IF($E54="Non-RPP kWh",VLOOKUP(W$4,'4. Billing Determinants'!$B$19:$O$41,6,0)/'4. Billing Determinants'!$G$41*$D54,IF($E54="Distribution Rev.",VLOOKUP(W$4,'4. Billing Determinants'!$B$19:$O$41,8,0)/'4. Billing Determinants'!$I$41*$D54, VLOOKUP(W$4,'4. Billing Determinants'!$B$19:$O$41,3,0)/'4. Billing Determinants'!$D$41*$D54))))),0)</f>
        <v>0</v>
      </c>
      <c r="X54" s="75">
        <f>IFERROR(IF(X$4="",0,IF($E54="kWh",VLOOKUP(X$4,'4. Billing Determinants'!$B$19:$O$41,4,0)/'4. Billing Determinants'!$E$41*$D54,IF($E54="kW",VLOOKUP(X$4,'4. Billing Determinants'!$B$19:$O$41,5,0)/'4. Billing Determinants'!$F$41*$D54,IF($E54="Non-RPP kWh",VLOOKUP(X$4,'4. Billing Determinants'!$B$19:$O$41,6,0)/'4. Billing Determinants'!$G$41*$D54,IF($E54="Distribution Rev.",VLOOKUP(X$4,'4. Billing Determinants'!$B$19:$O$41,8,0)/'4. Billing Determinants'!$I$41*$D54, VLOOKUP(X$4,'4. Billing Determinants'!$B$19:$O$41,3,0)/'4. Billing Determinants'!$D$41*$D54))))),0)</f>
        <v>0</v>
      </c>
      <c r="Y54" s="75">
        <f>IFERROR(IF(Y$4="",0,IF($E54="kWh",VLOOKUP(Y$4,'4. Billing Determinants'!$B$19:$O$41,4,0)/'4. Billing Determinants'!$E$41*$D54,IF($E54="kW",VLOOKUP(Y$4,'4. Billing Determinants'!$B$19:$O$41,5,0)/'4. Billing Determinants'!$F$41*$D54,IF($E54="Non-RPP kWh",VLOOKUP(Y$4,'4. Billing Determinants'!$B$19:$O$41,6,0)/'4. Billing Determinants'!$G$41*$D54,IF($E54="Distribution Rev.",VLOOKUP(Y$4,'4. Billing Determinants'!$B$19:$O$41,8,0)/'4. Billing Determinants'!$I$41*$D54, VLOOKUP(Y$4,'4. Billing Determinants'!$B$19:$O$41,3,0)/'4. Billing Determinants'!$D$41*$D54))))),0)</f>
        <v>0</v>
      </c>
    </row>
    <row r="55" spans="2:25" x14ac:dyDescent="0.2">
      <c r="B55" s="76" t="s">
        <v>291</v>
      </c>
      <c r="C55" s="76">
        <v>1576</v>
      </c>
      <c r="D55" s="75">
        <f>'2. 2013 Continuity Schedule'!CP83</f>
        <v>-884319.86665013176</v>
      </c>
      <c r="E55" s="208" t="s">
        <v>306</v>
      </c>
      <c r="F55" s="75">
        <f>IFERROR(IF(F$4="",0,IF($E55="kWh",VLOOKUP(F$4,'4. Billing Determinants'!$B$19:$O$41,4,0)/'4. Billing Determinants'!$E$41*$D55,IF($E55="kW",VLOOKUP(F$4,'4. Billing Determinants'!$B$19:$O$41,5,0)/'4. Billing Determinants'!$F$41*$D55,IF($E55="Non-RPP kWh",VLOOKUP(F$4,'4. Billing Determinants'!$B$19:$O$41,6,0)/'4. Billing Determinants'!$G$41*$D55,IF($E55="Distribution Rev.",VLOOKUP(F$4,'4. Billing Determinants'!$B$19:$O$41,8,0)/'4. Billing Determinants'!$I$41*$D55, VLOOKUP(F$4,'4. Billing Determinants'!$B$19:$O$41,3,0)/'4. Billing Determinants'!$D$41*$D55))))),0)</f>
        <v>-323421.15379956056</v>
      </c>
      <c r="G55" s="75">
        <f>IFERROR(IF(G$4="",0,IF($E55="kWh",VLOOKUP(G$4,'4. Billing Determinants'!$B$19:$O$41,4,0)/'4. Billing Determinants'!$E$41*$D55,IF($E55="kW",VLOOKUP(G$4,'4. Billing Determinants'!$B$19:$O$41,5,0)/'4. Billing Determinants'!$F$41*$D55,IF($E55="Non-RPP kWh",VLOOKUP(G$4,'4. Billing Determinants'!$B$19:$O$41,6,0)/'4. Billing Determinants'!$G$41*$D55,IF($E55="Distribution Rev.",VLOOKUP(G$4,'4. Billing Determinants'!$B$19:$O$41,8,0)/'4. Billing Determinants'!$I$41*$D55, VLOOKUP(G$4,'4. Billing Determinants'!$B$19:$O$41,3,0)/'4. Billing Determinants'!$D$41*$D55))))),0)</f>
        <v>-170709.73146659284</v>
      </c>
      <c r="H55" s="75">
        <f>IFERROR(IF(H$4="",0,IF($E55="kWh",VLOOKUP(H$4,'4. Billing Determinants'!$B$19:$O$41,4,0)/'4. Billing Determinants'!$E$41*$D55,IF($E55="kW",VLOOKUP(H$4,'4. Billing Determinants'!$B$19:$O$41,5,0)/'4. Billing Determinants'!$F$41*$D55,IF($E55="Non-RPP kWh",VLOOKUP(H$4,'4. Billing Determinants'!$B$19:$O$41,6,0)/'4. Billing Determinants'!$G$41*$D55,IF($E55="Distribution Rev.",VLOOKUP(H$4,'4. Billing Determinants'!$B$19:$O$41,8,0)/'4. Billing Determinants'!$I$41*$D55, VLOOKUP(H$4,'4. Billing Determinants'!$B$19:$O$41,3,0)/'4. Billing Determinants'!$D$41*$D55))))),0)</f>
        <v>-383504.79664598801</v>
      </c>
      <c r="I55" s="75">
        <f>IFERROR(IF(I$4="",0,IF($E55="kWh",VLOOKUP(I$4,'4. Billing Determinants'!$B$19:$O$41,4,0)/'4. Billing Determinants'!$E$41*$D55,IF($E55="kW",VLOOKUP(I$4,'4. Billing Determinants'!$B$19:$O$41,5,0)/'4. Billing Determinants'!$F$41*$D55,IF($E55="Non-RPP kWh",VLOOKUP(I$4,'4. Billing Determinants'!$B$19:$O$41,6,0)/'4. Billing Determinants'!$G$41*$D55,IF($E55="Distribution Rev.",VLOOKUP(I$4,'4. Billing Determinants'!$B$19:$O$41,8,0)/'4. Billing Determinants'!$I$41*$D55, VLOOKUP(I$4,'4. Billing Determinants'!$B$19:$O$41,3,0)/'4. Billing Determinants'!$D$41*$D55))))),0)</f>
        <v>-1060.6088365763217</v>
      </c>
      <c r="J55" s="75">
        <f>IFERROR(IF(J$4="",0,IF($E55="kWh",VLOOKUP(J$4,'4. Billing Determinants'!$B$19:$O$41,4,0)/'4. Billing Determinants'!$E$41*$D55,IF($E55="kW",VLOOKUP(J$4,'4. Billing Determinants'!$B$19:$O$41,5,0)/'4. Billing Determinants'!$F$41*$D55,IF($E55="Non-RPP kWh",VLOOKUP(J$4,'4. Billing Determinants'!$B$19:$O$41,6,0)/'4. Billing Determinants'!$G$41*$D55,IF($E55="Distribution Rev.",VLOOKUP(J$4,'4. Billing Determinants'!$B$19:$O$41,8,0)/'4. Billing Determinants'!$I$41*$D55, VLOOKUP(J$4,'4. Billing Determinants'!$B$19:$O$41,3,0)/'4. Billing Determinants'!$D$41*$D55))))),0)</f>
        <v>-5623.5759014139812</v>
      </c>
      <c r="K55" s="75">
        <f>IFERROR(IF(K$4="",0,IF($E55="kWh",VLOOKUP(K$4,'4. Billing Determinants'!$B$19:$O$41,4,0)/'4. Billing Determinants'!$E$41*$D55,IF($E55="kW",VLOOKUP(K$4,'4. Billing Determinants'!$B$19:$O$41,5,0)/'4. Billing Determinants'!$F$41*$D55,IF($E55="Non-RPP kWh",VLOOKUP(K$4,'4. Billing Determinants'!$B$19:$O$41,6,0)/'4. Billing Determinants'!$G$41*$D55,IF($E55="Distribution Rev.",VLOOKUP(K$4,'4. Billing Determinants'!$B$19:$O$41,8,0)/'4. Billing Determinants'!$I$41*$D55, VLOOKUP(K$4,'4. Billing Determinants'!$B$19:$O$41,3,0)/'4. Billing Determinants'!$D$41*$D55))))),0)</f>
        <v>0</v>
      </c>
      <c r="L55" s="75">
        <f>IFERROR(IF(L$4="",0,IF($E55="kWh",VLOOKUP(L$4,'4. Billing Determinants'!$B$19:$O$41,4,0)/'4. Billing Determinants'!$E$41*$D55,IF($E55="kW",VLOOKUP(L$4,'4. Billing Determinants'!$B$19:$O$41,5,0)/'4. Billing Determinants'!$F$41*$D55,IF($E55="Non-RPP kWh",VLOOKUP(L$4,'4. Billing Determinants'!$B$19:$O$41,6,0)/'4. Billing Determinants'!$G$41*$D55,IF($E55="Distribution Rev.",VLOOKUP(L$4,'4. Billing Determinants'!$B$19:$O$41,8,0)/'4. Billing Determinants'!$I$41*$D55, VLOOKUP(L$4,'4. Billing Determinants'!$B$19:$O$41,3,0)/'4. Billing Determinants'!$D$41*$D55))))),0)</f>
        <v>0</v>
      </c>
      <c r="M55" s="75">
        <f>IFERROR(IF(M$4="",0,IF($E55="kWh",VLOOKUP(M$4,'4. Billing Determinants'!$B$19:$O$41,4,0)/'4. Billing Determinants'!$E$41*$D55,IF($E55="kW",VLOOKUP(M$4,'4. Billing Determinants'!$B$19:$O$41,5,0)/'4. Billing Determinants'!$F$41*$D55,IF($E55="Non-RPP kWh",VLOOKUP(M$4,'4. Billing Determinants'!$B$19:$O$41,6,0)/'4. Billing Determinants'!$G$41*$D55,IF($E55="Distribution Rev.",VLOOKUP(M$4,'4. Billing Determinants'!$B$19:$O$41,8,0)/'4. Billing Determinants'!$I$41*$D55, VLOOKUP(M$4,'4. Billing Determinants'!$B$19:$O$41,3,0)/'4. Billing Determinants'!$D$41*$D55))))),0)</f>
        <v>0</v>
      </c>
      <c r="N55" s="75">
        <f>IFERROR(IF(N$4="",0,IF($E55="kWh",VLOOKUP(N$4,'4. Billing Determinants'!$B$19:$O$41,4,0)/'4. Billing Determinants'!$E$41*$D55,IF($E55="kW",VLOOKUP(N$4,'4. Billing Determinants'!$B$19:$O$41,5,0)/'4. Billing Determinants'!$F$41*$D55,IF($E55="Non-RPP kWh",VLOOKUP(N$4,'4. Billing Determinants'!$B$19:$O$41,6,0)/'4. Billing Determinants'!$G$41*$D55,IF($E55="Distribution Rev.",VLOOKUP(N$4,'4. Billing Determinants'!$B$19:$O$41,8,0)/'4. Billing Determinants'!$I$41*$D55, VLOOKUP(N$4,'4. Billing Determinants'!$B$19:$O$41,3,0)/'4. Billing Determinants'!$D$41*$D55))))),0)</f>
        <v>0</v>
      </c>
      <c r="O55" s="75">
        <f>IFERROR(IF(O$4="",0,IF($E55="kWh",VLOOKUP(O$4,'4. Billing Determinants'!$B$19:$O$41,4,0)/'4. Billing Determinants'!$E$41*$D55,IF($E55="kW",VLOOKUP(O$4,'4. Billing Determinants'!$B$19:$O$41,5,0)/'4. Billing Determinants'!$F$41*$D55,IF($E55="Non-RPP kWh",VLOOKUP(O$4,'4. Billing Determinants'!$B$19:$O$41,6,0)/'4. Billing Determinants'!$G$41*$D55,IF($E55="Distribution Rev.",VLOOKUP(O$4,'4. Billing Determinants'!$B$19:$O$41,8,0)/'4. Billing Determinants'!$I$41*$D55, VLOOKUP(O$4,'4. Billing Determinants'!$B$19:$O$41,3,0)/'4. Billing Determinants'!$D$41*$D55))))),0)</f>
        <v>0</v>
      </c>
      <c r="P55" s="75">
        <f>IFERROR(IF(P$4="",0,IF($E55="kWh",VLOOKUP(P$4,'4. Billing Determinants'!$B$19:$O$41,4,0)/'4. Billing Determinants'!$E$41*$D55,IF($E55="kW",VLOOKUP(P$4,'4. Billing Determinants'!$B$19:$O$41,5,0)/'4. Billing Determinants'!$F$41*$D55,IF($E55="Non-RPP kWh",VLOOKUP(P$4,'4. Billing Determinants'!$B$19:$O$41,6,0)/'4. Billing Determinants'!$G$41*$D55,IF($E55="Distribution Rev.",VLOOKUP(P$4,'4. Billing Determinants'!$B$19:$O$41,8,0)/'4. Billing Determinants'!$I$41*$D55, VLOOKUP(P$4,'4. Billing Determinants'!$B$19:$O$41,3,0)/'4. Billing Determinants'!$D$41*$D55))))),0)</f>
        <v>0</v>
      </c>
      <c r="Q55" s="75">
        <f>IFERROR(IF(Q$4="",0,IF($E55="kWh",VLOOKUP(Q$4,'4. Billing Determinants'!$B$19:$O$41,4,0)/'4. Billing Determinants'!$E$41*$D55,IF($E55="kW",VLOOKUP(Q$4,'4. Billing Determinants'!$B$19:$O$41,5,0)/'4. Billing Determinants'!$F$41*$D55,IF($E55="Non-RPP kWh",VLOOKUP(Q$4,'4. Billing Determinants'!$B$19:$O$41,6,0)/'4. Billing Determinants'!$G$41*$D55,IF($E55="Distribution Rev.",VLOOKUP(Q$4,'4. Billing Determinants'!$B$19:$O$41,8,0)/'4. Billing Determinants'!$I$41*$D55, VLOOKUP(Q$4,'4. Billing Determinants'!$B$19:$O$41,3,0)/'4. Billing Determinants'!$D$41*$D55))))),0)</f>
        <v>0</v>
      </c>
      <c r="R55" s="75">
        <f>IFERROR(IF(R$4="",0,IF($E55="kWh",VLOOKUP(R$4,'4. Billing Determinants'!$B$19:$O$41,4,0)/'4. Billing Determinants'!$E$41*$D55,IF($E55="kW",VLOOKUP(R$4,'4. Billing Determinants'!$B$19:$O$41,5,0)/'4. Billing Determinants'!$F$41*$D55,IF($E55="Non-RPP kWh",VLOOKUP(R$4,'4. Billing Determinants'!$B$19:$O$41,6,0)/'4. Billing Determinants'!$G$41*$D55,IF($E55="Distribution Rev.",VLOOKUP(R$4,'4. Billing Determinants'!$B$19:$O$41,8,0)/'4. Billing Determinants'!$I$41*$D55, VLOOKUP(R$4,'4. Billing Determinants'!$B$19:$O$41,3,0)/'4. Billing Determinants'!$D$41*$D55))))),0)</f>
        <v>0</v>
      </c>
      <c r="S55" s="75">
        <f>IFERROR(IF(S$4="",0,IF($E55="kWh",VLOOKUP(S$4,'4. Billing Determinants'!$B$19:$O$41,4,0)/'4. Billing Determinants'!$E$41*$D55,IF($E55="kW",VLOOKUP(S$4,'4. Billing Determinants'!$B$19:$O$41,5,0)/'4. Billing Determinants'!$F$41*$D55,IF($E55="Non-RPP kWh",VLOOKUP(S$4,'4. Billing Determinants'!$B$19:$O$41,6,0)/'4. Billing Determinants'!$G$41*$D55,IF($E55="Distribution Rev.",VLOOKUP(S$4,'4. Billing Determinants'!$B$19:$O$41,8,0)/'4. Billing Determinants'!$I$41*$D55, VLOOKUP(S$4,'4. Billing Determinants'!$B$19:$O$41,3,0)/'4. Billing Determinants'!$D$41*$D55))))),0)</f>
        <v>0</v>
      </c>
      <c r="T55" s="75">
        <f>IFERROR(IF(T$4="",0,IF($E55="kWh",VLOOKUP(T$4,'4. Billing Determinants'!$B$19:$O$41,4,0)/'4. Billing Determinants'!$E$41*$D55,IF($E55="kW",VLOOKUP(T$4,'4. Billing Determinants'!$B$19:$O$41,5,0)/'4. Billing Determinants'!$F$41*$D55,IF($E55="Non-RPP kWh",VLOOKUP(T$4,'4. Billing Determinants'!$B$19:$O$41,6,0)/'4. Billing Determinants'!$G$41*$D55,IF($E55="Distribution Rev.",VLOOKUP(T$4,'4. Billing Determinants'!$B$19:$O$41,8,0)/'4. Billing Determinants'!$I$41*$D55, VLOOKUP(T$4,'4. Billing Determinants'!$B$19:$O$41,3,0)/'4. Billing Determinants'!$D$41*$D55))))),0)</f>
        <v>0</v>
      </c>
      <c r="U55" s="75">
        <f>IFERROR(IF(U$4="",0,IF($E55="kWh",VLOOKUP(U$4,'4. Billing Determinants'!$B$19:$O$41,4,0)/'4. Billing Determinants'!$E$41*$D55,IF($E55="kW",VLOOKUP(U$4,'4. Billing Determinants'!$B$19:$O$41,5,0)/'4. Billing Determinants'!$F$41*$D55,IF($E55="Non-RPP kWh",VLOOKUP(U$4,'4. Billing Determinants'!$B$19:$O$41,6,0)/'4. Billing Determinants'!$G$41*$D55,IF($E55="Distribution Rev.",VLOOKUP(U$4,'4. Billing Determinants'!$B$19:$O$41,8,0)/'4. Billing Determinants'!$I$41*$D55, VLOOKUP(U$4,'4. Billing Determinants'!$B$19:$O$41,3,0)/'4. Billing Determinants'!$D$41*$D55))))),0)</f>
        <v>0</v>
      </c>
      <c r="V55" s="75">
        <f>IFERROR(IF(V$4="",0,IF($E55="kWh",VLOOKUP(V$4,'4. Billing Determinants'!$B$19:$O$41,4,0)/'4. Billing Determinants'!$E$41*$D55,IF($E55="kW",VLOOKUP(V$4,'4. Billing Determinants'!$B$19:$O$41,5,0)/'4. Billing Determinants'!$F$41*$D55,IF($E55="Non-RPP kWh",VLOOKUP(V$4,'4. Billing Determinants'!$B$19:$O$41,6,0)/'4. Billing Determinants'!$G$41*$D55,IF($E55="Distribution Rev.",VLOOKUP(V$4,'4. Billing Determinants'!$B$19:$O$41,8,0)/'4. Billing Determinants'!$I$41*$D55, VLOOKUP(V$4,'4. Billing Determinants'!$B$19:$O$41,3,0)/'4. Billing Determinants'!$D$41*$D55))))),0)</f>
        <v>0</v>
      </c>
      <c r="W55" s="75">
        <f>IFERROR(IF(W$4="",0,IF($E55="kWh",VLOOKUP(W$4,'4. Billing Determinants'!$B$19:$O$41,4,0)/'4. Billing Determinants'!$E$41*$D55,IF($E55="kW",VLOOKUP(W$4,'4. Billing Determinants'!$B$19:$O$41,5,0)/'4. Billing Determinants'!$F$41*$D55,IF($E55="Non-RPP kWh",VLOOKUP(W$4,'4. Billing Determinants'!$B$19:$O$41,6,0)/'4. Billing Determinants'!$G$41*$D55,IF($E55="Distribution Rev.",VLOOKUP(W$4,'4. Billing Determinants'!$B$19:$O$41,8,0)/'4. Billing Determinants'!$I$41*$D55, VLOOKUP(W$4,'4. Billing Determinants'!$B$19:$O$41,3,0)/'4. Billing Determinants'!$D$41*$D55))))),0)</f>
        <v>0</v>
      </c>
      <c r="X55" s="75">
        <f>IFERROR(IF(X$4="",0,IF($E55="kWh",VLOOKUP(X$4,'4. Billing Determinants'!$B$19:$O$41,4,0)/'4. Billing Determinants'!$E$41*$D55,IF($E55="kW",VLOOKUP(X$4,'4. Billing Determinants'!$B$19:$O$41,5,0)/'4. Billing Determinants'!$F$41*$D55,IF($E55="Non-RPP kWh",VLOOKUP(X$4,'4. Billing Determinants'!$B$19:$O$41,6,0)/'4. Billing Determinants'!$G$41*$D55,IF($E55="Distribution Rev.",VLOOKUP(X$4,'4. Billing Determinants'!$B$19:$O$41,8,0)/'4. Billing Determinants'!$I$41*$D55, VLOOKUP(X$4,'4. Billing Determinants'!$B$19:$O$41,3,0)/'4. Billing Determinants'!$D$41*$D55))))),0)</f>
        <v>0</v>
      </c>
      <c r="Y55" s="75">
        <f>IFERROR(IF(Y$4="",0,IF($E55="kWh",VLOOKUP(Y$4,'4. Billing Determinants'!$B$19:$O$41,4,0)/'4. Billing Determinants'!$E$41*$D55,IF($E55="kW",VLOOKUP(Y$4,'4. Billing Determinants'!$B$19:$O$41,5,0)/'4. Billing Determinants'!$F$41*$D55,IF($E55="Non-RPP kWh",VLOOKUP(Y$4,'4. Billing Determinants'!$B$19:$O$41,6,0)/'4. Billing Determinants'!$G$41*$D55,IF($E55="Distribution Rev.",VLOOKUP(Y$4,'4. Billing Determinants'!$B$19:$O$41,8,0)/'4. Billing Determinants'!$I$41*$D55, VLOOKUP(Y$4,'4. Billing Determinants'!$B$19:$O$41,3,0)/'4. Billing Determinants'!$D$41*$D55))))),0)</f>
        <v>0</v>
      </c>
    </row>
    <row r="56" spans="2:25" x14ac:dyDescent="0.2">
      <c r="B56" s="93" t="s">
        <v>204</v>
      </c>
      <c r="C56" s="93"/>
      <c r="D56" s="94">
        <f>SUM(D54:D55)</f>
        <v>-884319.86665013176</v>
      </c>
      <c r="E56" s="94"/>
      <c r="F56" s="94">
        <f>SUM(F54:F55)</f>
        <v>-323421.15379956056</v>
      </c>
      <c r="G56" s="94">
        <f t="shared" ref="G56:Y56" si="6">SUM(G54:G55)</f>
        <v>-170709.73146659284</v>
      </c>
      <c r="H56" s="94">
        <f t="shared" si="6"/>
        <v>-383504.79664598801</v>
      </c>
      <c r="I56" s="94">
        <f t="shared" si="6"/>
        <v>-1060.6088365763217</v>
      </c>
      <c r="J56" s="94">
        <f t="shared" si="6"/>
        <v>-5623.5759014139812</v>
      </c>
      <c r="K56" s="94">
        <f t="shared" si="6"/>
        <v>0</v>
      </c>
      <c r="L56" s="94">
        <f t="shared" si="6"/>
        <v>0</v>
      </c>
      <c r="M56" s="94">
        <f t="shared" si="6"/>
        <v>0</v>
      </c>
      <c r="N56" s="94">
        <f t="shared" si="6"/>
        <v>0</v>
      </c>
      <c r="O56" s="94">
        <f t="shared" si="6"/>
        <v>0</v>
      </c>
      <c r="P56" s="94">
        <f t="shared" si="6"/>
        <v>0</v>
      </c>
      <c r="Q56" s="94">
        <f t="shared" si="6"/>
        <v>0</v>
      </c>
      <c r="R56" s="94">
        <f t="shared" si="6"/>
        <v>0</v>
      </c>
      <c r="S56" s="94">
        <f t="shared" si="6"/>
        <v>0</v>
      </c>
      <c r="T56" s="94">
        <f t="shared" si="6"/>
        <v>0</v>
      </c>
      <c r="U56" s="94">
        <f t="shared" si="6"/>
        <v>0</v>
      </c>
      <c r="V56" s="94">
        <f t="shared" si="6"/>
        <v>0</v>
      </c>
      <c r="W56" s="94">
        <f t="shared" si="6"/>
        <v>0</v>
      </c>
      <c r="X56" s="94">
        <f t="shared" si="6"/>
        <v>0</v>
      </c>
      <c r="Y56" s="94">
        <f t="shared" si="6"/>
        <v>0</v>
      </c>
    </row>
  </sheetData>
  <sheetProtection password="F8BD" sheet="1" objects="1" scenarios="1"/>
  <mergeCells count="5">
    <mergeCell ref="B47:C47"/>
    <mergeCell ref="B48:C48"/>
    <mergeCell ref="B50:C50"/>
    <mergeCell ref="B51:C51"/>
    <mergeCell ref="B52:C52"/>
  </mergeCells>
  <dataValidations count="3">
    <dataValidation type="list" allowBlank="1" showInputMessage="1" showErrorMessage="1" sqref="E5:E15">
      <formula1>"kWh, kW, Non-RPP kWh"</formula1>
    </dataValidation>
    <dataValidation type="list" allowBlank="1" showInputMessage="1" showErrorMessage="1" sqref="E41:E44 E39 E54:E55">
      <formula1>"kWh, kW, Non-RPP kWh, Distribution Rev."</formula1>
    </dataValidation>
    <dataValidation type="list" allowBlank="1" showInputMessage="1" showErrorMessage="1" sqref="E18:E38">
      <formula1>"kWh, kW, Non-RPP kWh, Distribution Rev., # of Customers"</formula1>
    </dataValidation>
  </dataValidations>
  <pageMargins left="0.23622047244094499" right="0.23622047244094499" top="0.74803149606299202" bottom="0.74803149606299202" header="0.31496062992126" footer="0.31496062992126"/>
  <pageSetup scale="42" orientation="landscape" r:id="rId1"/>
  <headerFooter>
    <oddHeader>&amp;L&amp;Z&amp;F&amp;A</oddHeader>
    <oddFooter>&amp;L&amp;D&amp;T</oddFooter>
  </headerFooter>
  <colBreaks count="2" manualBreakCount="2">
    <brk id="12" max="1048575" man="1"/>
    <brk id="18"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3:I95"/>
  <sheetViews>
    <sheetView topLeftCell="A64" workbookViewId="0">
      <selection activeCell="D79" sqref="D79"/>
    </sheetView>
  </sheetViews>
  <sheetFormatPr defaultRowHeight="12.75" x14ac:dyDescent="0.2"/>
  <cols>
    <col min="2" max="2" width="35.7109375" customWidth="1"/>
    <col min="3" max="3" width="17.42578125" customWidth="1"/>
    <col min="4" max="4" width="18.85546875" customWidth="1"/>
    <col min="5" max="5" width="18.28515625" customWidth="1"/>
    <col min="6" max="6" width="16.7109375" customWidth="1"/>
    <col min="7" max="7" width="4.5703125" customWidth="1"/>
    <col min="8" max="8" width="11.28515625" bestFit="1" customWidth="1"/>
    <col min="9" max="9" width="21" customWidth="1"/>
    <col min="10" max="10" width="21.28515625" customWidth="1"/>
  </cols>
  <sheetData>
    <row r="13" spans="2:4" x14ac:dyDescent="0.2">
      <c r="B13" s="116" t="s">
        <v>164</v>
      </c>
      <c r="C13" s="117"/>
      <c r="D13" s="118">
        <v>1</v>
      </c>
    </row>
    <row r="16" spans="2:4" ht="18" x14ac:dyDescent="0.25">
      <c r="B16" s="120" t="s">
        <v>166</v>
      </c>
    </row>
    <row r="18" spans="2:7" ht="12.75" customHeight="1" x14ac:dyDescent="0.2">
      <c r="B18" s="284" t="s">
        <v>157</v>
      </c>
      <c r="C18" s="283" t="s">
        <v>142</v>
      </c>
      <c r="D18" s="290" t="s">
        <v>165</v>
      </c>
      <c r="E18" s="290" t="s">
        <v>203</v>
      </c>
      <c r="F18" s="292" t="s">
        <v>163</v>
      </c>
    </row>
    <row r="19" spans="2:7" ht="27" customHeight="1" x14ac:dyDescent="0.2">
      <c r="B19" s="285"/>
      <c r="C19" s="283"/>
      <c r="D19" s="291"/>
      <c r="E19" s="291"/>
      <c r="F19" s="292"/>
    </row>
    <row r="20" spans="2:7" x14ac:dyDescent="0.2">
      <c r="B20" s="101" t="str">
        <f>IF(ISBLANK('4. Billing Determinants'!B21), "", '4. Billing Determinants'!B21)</f>
        <v>Residential</v>
      </c>
      <c r="C20" s="208" t="s">
        <v>306</v>
      </c>
      <c r="D20" s="104">
        <f>IF(C20="", 0, IF(C20="kWh", '4. Billing Determinants'!E21, IF(C20="kW", '4. Billing Determinants'!F21, '4. Billing Determinants'!D21)))</f>
        <v>66912797</v>
      </c>
      <c r="E20" s="105">
        <f>HLOOKUP($B20, '5. Allocation of Balances'!$C$4:$Y$50, 47,FALSE)</f>
        <v>-34561.2192142079</v>
      </c>
      <c r="F20" s="115">
        <f>IF(ISERROR(E20/D20), 0, IF(C20="# of Customers", E20/D20/12/$D$13, E20/D20/$D$13))</f>
        <v>-5.1651135154622072E-4</v>
      </c>
      <c r="G20" t="str">
        <f>IF(C20="", "", IF(C20="# of Customers", "per customer per month", "$/"&amp;C20))</f>
        <v>$/kWh</v>
      </c>
    </row>
    <row r="21" spans="2:7" x14ac:dyDescent="0.2">
      <c r="B21" s="101" t="str">
        <f>IF(ISBLANK('4. Billing Determinants'!B22), "", '4. Billing Determinants'!B22)</f>
        <v>General Service Less Than 50 kW</v>
      </c>
      <c r="C21" s="208" t="s">
        <v>306</v>
      </c>
      <c r="D21" s="104">
        <f>IF(C21="", 0, IF(C21="kWh", '4. Billing Determinants'!E22, IF(C21="kW", '4. Billing Determinants'!F22, '4. Billing Determinants'!D22)))</f>
        <v>35318239</v>
      </c>
      <c r="E21" s="105">
        <f>HLOOKUP($B21, '5. Allocation of Balances'!$C$4:$Y$50, 47,FALSE)</f>
        <v>-69904.474144685955</v>
      </c>
      <c r="F21" s="115">
        <f t="shared" ref="F21:F39" si="0">IF(ISERROR(E21/D21), 0, IF(C21="# of Customers", E21/D21/12/$D$13, E21/D21/$D$13))</f>
        <v>-1.979274055670951E-3</v>
      </c>
      <c r="G21" t="str">
        <f t="shared" ref="G21:G39" si="1">IF(C21="", "", IF(C21="# of Customers", "per customer per month", "$/"&amp;C21))</f>
        <v>$/kWh</v>
      </c>
    </row>
    <row r="22" spans="2:7" x14ac:dyDescent="0.2">
      <c r="B22" s="101" t="str">
        <f>IF(ISBLANK('4. Billing Determinants'!B23), "", '4. Billing Determinants'!B23)</f>
        <v>General Service 50 to 4,999 kW</v>
      </c>
      <c r="C22" s="208" t="s">
        <v>312</v>
      </c>
      <c r="D22" s="104">
        <f>IF(C22="", 0, IF(C22="kWh", '4. Billing Determinants'!E23, IF(C22="kW", '4. Billing Determinants'!F23, '4. Billing Determinants'!D23)))</f>
        <v>203974</v>
      </c>
      <c r="E22" s="105">
        <f>HLOOKUP($B22, '5. Allocation of Balances'!$C$4:$Y$50, 47,FALSE)</f>
        <v>-283698.09275677428</v>
      </c>
      <c r="F22" s="115">
        <f t="shared" si="0"/>
        <v>-1.3908541910085319</v>
      </c>
      <c r="G22" t="str">
        <f t="shared" si="1"/>
        <v>$/kW</v>
      </c>
    </row>
    <row r="23" spans="2:7" x14ac:dyDescent="0.2">
      <c r="B23" s="101" t="str">
        <f>IF(ISBLANK('4. Billing Determinants'!B24), "", '4. Billing Determinants'!B24)</f>
        <v>Unmetered Scattered Load</v>
      </c>
      <c r="C23" s="208" t="s">
        <v>306</v>
      </c>
      <c r="D23" s="104">
        <f>IF(C23="", 0, IF(C23="kWh", '4. Billing Determinants'!E24, IF(C23="kW", '4. Billing Determinants'!F24, '4. Billing Determinants'!D24)))</f>
        <v>219430</v>
      </c>
      <c r="E23" s="105">
        <f>HLOOKUP($B23, '5. Allocation of Balances'!$C$4:$Y$50, 47,FALSE)</f>
        <v>-127.76058498233749</v>
      </c>
      <c r="F23" s="115">
        <f t="shared" si="0"/>
        <v>-5.8223845865349995E-4</v>
      </c>
      <c r="G23" t="str">
        <f t="shared" si="1"/>
        <v>$/kWh</v>
      </c>
    </row>
    <row r="24" spans="2:7" x14ac:dyDescent="0.2">
      <c r="B24" s="101" t="str">
        <f>IF(ISBLANK('4. Billing Determinants'!B25), "", '4. Billing Determinants'!B25)</f>
        <v>Street Lighting</v>
      </c>
      <c r="C24" s="208" t="s">
        <v>312</v>
      </c>
      <c r="D24" s="104">
        <f>IF(C24="", 0, IF(C24="kWh", '4. Billing Determinants'!E25, IF(C24="kW", '4. Billing Determinants'!F25, '4. Billing Determinants'!D25)))</f>
        <v>3238</v>
      </c>
      <c r="E24" s="105">
        <f>HLOOKUP($B24, '5. Allocation of Balances'!$C$4:$Y$50, 47,FALSE)</f>
        <v>-3589.7120412815261</v>
      </c>
      <c r="F24" s="115">
        <f t="shared" si="0"/>
        <v>-1.1086201486354312</v>
      </c>
      <c r="G24" t="str">
        <f t="shared" si="1"/>
        <v>$/kW</v>
      </c>
    </row>
    <row r="25" spans="2:7" x14ac:dyDescent="0.2">
      <c r="B25" s="101" t="str">
        <f>IF(ISBLANK('4. Billing Determinants'!B26), "", '4. Billing Determinants'!B26)</f>
        <v/>
      </c>
      <c r="C25" s="208" t="str">
        <f>IF(ISBLANK('4. Billing Determinants'!C26), "", '4. Billing Determinants'!C26)</f>
        <v/>
      </c>
      <c r="D25" s="104">
        <f>IF(C25="", 0, IF(C25="kWh", '4. Billing Determinants'!E26, IF(C25="kW", '4. Billing Determinants'!F26, '4. Billing Determinants'!D26)))</f>
        <v>0</v>
      </c>
      <c r="E25" s="105">
        <f>HLOOKUP($B25, '5. Allocation of Balances'!$C$4:$Y$50, 47,FALSE)</f>
        <v>0</v>
      </c>
      <c r="F25" s="115">
        <f t="shared" si="0"/>
        <v>0</v>
      </c>
      <c r="G25" t="str">
        <f t="shared" si="1"/>
        <v/>
      </c>
    </row>
    <row r="26" spans="2:7" x14ac:dyDescent="0.2">
      <c r="B26" s="101" t="str">
        <f>IF(ISBLANK('4. Billing Determinants'!B27), "", '4. Billing Determinants'!B27)</f>
        <v/>
      </c>
      <c r="C26" s="208" t="str">
        <f>IF(ISBLANK('4. Billing Determinants'!C27), "", '4. Billing Determinants'!C27)</f>
        <v/>
      </c>
      <c r="D26" s="104">
        <f>IF(C26="", 0, IF(C26="kWh", '4. Billing Determinants'!E27, IF(C26="kW", '4. Billing Determinants'!F27, '4. Billing Determinants'!D27)))</f>
        <v>0</v>
      </c>
      <c r="E26" s="105">
        <f>HLOOKUP($B26, '5. Allocation of Balances'!$C$4:$Y$50, 47,FALSE)</f>
        <v>0</v>
      </c>
      <c r="F26" s="115">
        <f t="shared" si="0"/>
        <v>0</v>
      </c>
      <c r="G26" t="str">
        <f t="shared" si="1"/>
        <v/>
      </c>
    </row>
    <row r="27" spans="2:7" x14ac:dyDescent="0.2">
      <c r="B27" s="101" t="str">
        <f>IF(ISBLANK('4. Billing Determinants'!B28), "", '4. Billing Determinants'!B28)</f>
        <v/>
      </c>
      <c r="C27" s="208" t="str">
        <f>IF(ISBLANK('4. Billing Determinants'!C28), "", '4. Billing Determinants'!C28)</f>
        <v/>
      </c>
      <c r="D27" s="104">
        <f>IF(C27="", 0, IF(C27="kWh", '4. Billing Determinants'!E28, IF(C27="kW", '4. Billing Determinants'!F28, '4. Billing Determinants'!D28)))</f>
        <v>0</v>
      </c>
      <c r="E27" s="105">
        <f>HLOOKUP($B27, '5. Allocation of Balances'!$C$4:$Y$50, 47,FALSE)</f>
        <v>0</v>
      </c>
      <c r="F27" s="115">
        <f t="shared" si="0"/>
        <v>0</v>
      </c>
      <c r="G27" t="str">
        <f t="shared" si="1"/>
        <v/>
      </c>
    </row>
    <row r="28" spans="2:7" x14ac:dyDescent="0.2">
      <c r="B28" s="101" t="str">
        <f>IF(ISBLANK('4. Billing Determinants'!B29), "", '4. Billing Determinants'!B29)</f>
        <v/>
      </c>
      <c r="C28" s="208" t="str">
        <f>IF(ISBLANK('4. Billing Determinants'!C29), "", '4. Billing Determinants'!C29)</f>
        <v/>
      </c>
      <c r="D28" s="104">
        <f>IF(C28="", 0, IF(C28="kWh", '4. Billing Determinants'!E29, IF(C28="kW", '4. Billing Determinants'!F29, '4. Billing Determinants'!D29)))</f>
        <v>0</v>
      </c>
      <c r="E28" s="105">
        <f>HLOOKUP($B28, '5. Allocation of Balances'!$C$4:$Y$50, 47,FALSE)</f>
        <v>0</v>
      </c>
      <c r="F28" s="115">
        <f t="shared" si="0"/>
        <v>0</v>
      </c>
      <c r="G28" t="str">
        <f t="shared" si="1"/>
        <v/>
      </c>
    </row>
    <row r="29" spans="2:7" x14ac:dyDescent="0.2">
      <c r="B29" s="101" t="str">
        <f>IF(ISBLANK('4. Billing Determinants'!B30), "", '4. Billing Determinants'!B30)</f>
        <v/>
      </c>
      <c r="C29" s="208" t="str">
        <f>IF(ISBLANK('4. Billing Determinants'!C30), "", '4. Billing Determinants'!C30)</f>
        <v/>
      </c>
      <c r="D29" s="104">
        <f>IF(C29="", 0, IF(C29="kWh", '4. Billing Determinants'!E30, IF(C29="kW", '4. Billing Determinants'!F30, '4. Billing Determinants'!D30)))</f>
        <v>0</v>
      </c>
      <c r="E29" s="105">
        <f>HLOOKUP($B29, '5. Allocation of Balances'!$C$4:$Y$50, 47,FALSE)</f>
        <v>0</v>
      </c>
      <c r="F29" s="115">
        <f t="shared" si="0"/>
        <v>0</v>
      </c>
      <c r="G29" t="str">
        <f t="shared" si="1"/>
        <v/>
      </c>
    </row>
    <row r="30" spans="2:7" x14ac:dyDescent="0.2">
      <c r="B30" s="101" t="str">
        <f>IF(ISBLANK('4. Billing Determinants'!B31), "", '4. Billing Determinants'!B31)</f>
        <v/>
      </c>
      <c r="C30" s="208" t="str">
        <f>IF(ISBLANK('4. Billing Determinants'!C31), "", '4. Billing Determinants'!C31)</f>
        <v/>
      </c>
      <c r="D30" s="104">
        <f>IF(C30="", 0, IF(C30="kWh", '4. Billing Determinants'!E31, IF(C30="kW", '4. Billing Determinants'!F31, '4. Billing Determinants'!D31)))</f>
        <v>0</v>
      </c>
      <c r="E30" s="105">
        <f>HLOOKUP($B30, '5. Allocation of Balances'!$C$4:$Y$50, 47,FALSE)</f>
        <v>0</v>
      </c>
      <c r="F30" s="115">
        <f t="shared" si="0"/>
        <v>0</v>
      </c>
      <c r="G30" t="str">
        <f t="shared" si="1"/>
        <v/>
      </c>
    </row>
    <row r="31" spans="2:7" x14ac:dyDescent="0.2">
      <c r="B31" s="101" t="str">
        <f>IF(ISBLANK('4. Billing Determinants'!B32), "", '4. Billing Determinants'!B32)</f>
        <v/>
      </c>
      <c r="C31" s="208" t="str">
        <f>IF(ISBLANK('4. Billing Determinants'!C32), "", '4. Billing Determinants'!C32)</f>
        <v/>
      </c>
      <c r="D31" s="104">
        <f>IF(C31="", 0, IF(C31="kWh", '4. Billing Determinants'!E32, IF(C31="kW", '4. Billing Determinants'!F32, '4. Billing Determinants'!D32)))</f>
        <v>0</v>
      </c>
      <c r="E31" s="105">
        <f>HLOOKUP($B31, '5. Allocation of Balances'!$C$4:$Y$50, 47,FALSE)</f>
        <v>0</v>
      </c>
      <c r="F31" s="115">
        <f t="shared" si="0"/>
        <v>0</v>
      </c>
      <c r="G31" t="str">
        <f t="shared" si="1"/>
        <v/>
      </c>
    </row>
    <row r="32" spans="2:7" x14ac:dyDescent="0.2">
      <c r="B32" s="101" t="str">
        <f>IF(ISBLANK('4. Billing Determinants'!B33), "", '4. Billing Determinants'!B33)</f>
        <v/>
      </c>
      <c r="C32" s="208" t="str">
        <f>IF(ISBLANK('4. Billing Determinants'!C33), "", '4. Billing Determinants'!C33)</f>
        <v/>
      </c>
      <c r="D32" s="104">
        <f>IF(C32="", 0, IF(C32="kWh", '4. Billing Determinants'!E33, IF(C32="kW", '4. Billing Determinants'!F33, '4. Billing Determinants'!D33)))</f>
        <v>0</v>
      </c>
      <c r="E32" s="105">
        <f>HLOOKUP($B32, '5. Allocation of Balances'!$C$4:$Y$50, 47,FALSE)</f>
        <v>0</v>
      </c>
      <c r="F32" s="115">
        <f t="shared" si="0"/>
        <v>0</v>
      </c>
      <c r="G32" t="str">
        <f t="shared" si="1"/>
        <v/>
      </c>
    </row>
    <row r="33" spans="2:9" x14ac:dyDescent="0.2">
      <c r="B33" s="101" t="str">
        <f>IF(ISBLANK('4. Billing Determinants'!B34), "", '4. Billing Determinants'!B34)</f>
        <v/>
      </c>
      <c r="C33" s="208"/>
      <c r="D33" s="104">
        <f>IF(C33="", 0, IF(C33="kWh", '4. Billing Determinants'!E34, IF(C33="kW", '4. Billing Determinants'!F34, '4. Billing Determinants'!D34)))</f>
        <v>0</v>
      </c>
      <c r="E33" s="105">
        <f>HLOOKUP($B33, '5. Allocation of Balances'!$C$4:$Y$50, 47,FALSE)</f>
        <v>0</v>
      </c>
      <c r="F33" s="115">
        <f t="shared" si="0"/>
        <v>0</v>
      </c>
      <c r="G33" t="str">
        <f t="shared" si="1"/>
        <v/>
      </c>
    </row>
    <row r="34" spans="2:9" x14ac:dyDescent="0.2">
      <c r="B34" s="101" t="str">
        <f>IF(ISBLANK('4. Billing Determinants'!B35), "", '4. Billing Determinants'!B35)</f>
        <v/>
      </c>
      <c r="C34" s="208" t="str">
        <f>IF(ISBLANK('4. Billing Determinants'!C35), "", '4. Billing Determinants'!C35)</f>
        <v/>
      </c>
      <c r="D34" s="104">
        <f>IF(C34="", 0, IF(C34="kWh", '4. Billing Determinants'!E35, IF(C34="kW", '4. Billing Determinants'!F35, '4. Billing Determinants'!D35)))</f>
        <v>0</v>
      </c>
      <c r="E34" s="105">
        <f>HLOOKUP($B34, '5. Allocation of Balances'!$C$4:$Y$50, 47,FALSE)</f>
        <v>0</v>
      </c>
      <c r="F34" s="115">
        <f t="shared" si="0"/>
        <v>0</v>
      </c>
      <c r="G34" t="str">
        <f t="shared" si="1"/>
        <v/>
      </c>
    </row>
    <row r="35" spans="2:9" x14ac:dyDescent="0.2">
      <c r="B35" s="101" t="str">
        <f>IF(ISBLANK('4. Billing Determinants'!B36), "", '4. Billing Determinants'!B36)</f>
        <v/>
      </c>
      <c r="C35" s="208" t="str">
        <f>IF(ISBLANK('4. Billing Determinants'!C36), "", '4. Billing Determinants'!C36)</f>
        <v/>
      </c>
      <c r="D35" s="104">
        <f>IF(C35="", 0, IF(C35="kWh", '4. Billing Determinants'!E36, IF(C35="kW", '4. Billing Determinants'!F36, '4. Billing Determinants'!D36)))</f>
        <v>0</v>
      </c>
      <c r="E35" s="105">
        <f>HLOOKUP($B35, '5. Allocation of Balances'!$C$4:$Y$50, 47,FALSE)</f>
        <v>0</v>
      </c>
      <c r="F35" s="115">
        <f t="shared" si="0"/>
        <v>0</v>
      </c>
      <c r="G35" t="str">
        <f t="shared" si="1"/>
        <v/>
      </c>
    </row>
    <row r="36" spans="2:9" x14ac:dyDescent="0.2">
      <c r="B36" s="101" t="str">
        <f>IF(ISBLANK('4. Billing Determinants'!B37), "", '4. Billing Determinants'!B37)</f>
        <v/>
      </c>
      <c r="C36" s="208" t="str">
        <f>IF(ISBLANK('4. Billing Determinants'!C37), "", '4. Billing Determinants'!C37)</f>
        <v/>
      </c>
      <c r="D36" s="104">
        <f>IF(C36="", 0, IF(C36="kWh", '4. Billing Determinants'!E37, IF(C36="kW", '4. Billing Determinants'!F37, '4. Billing Determinants'!D37)))</f>
        <v>0</v>
      </c>
      <c r="E36" s="105">
        <f>HLOOKUP($B36, '5. Allocation of Balances'!$C$4:$Y$50, 47,FALSE)</f>
        <v>0</v>
      </c>
      <c r="F36" s="115">
        <f t="shared" si="0"/>
        <v>0</v>
      </c>
      <c r="G36" t="str">
        <f t="shared" si="1"/>
        <v/>
      </c>
    </row>
    <row r="37" spans="2:9" x14ac:dyDescent="0.2">
      <c r="B37" s="101" t="str">
        <f>IF(ISBLANK('4. Billing Determinants'!B38), "", '4. Billing Determinants'!B38)</f>
        <v/>
      </c>
      <c r="C37" s="208" t="str">
        <f>IF(ISBLANK('4. Billing Determinants'!C38), "", '4. Billing Determinants'!C38)</f>
        <v/>
      </c>
      <c r="D37" s="104">
        <f>IF(C37="", 0, IF(C37="kWh", '4. Billing Determinants'!E38, IF(C37="kW", '4. Billing Determinants'!F38, '4. Billing Determinants'!D38)))</f>
        <v>0</v>
      </c>
      <c r="E37" s="105">
        <f>HLOOKUP($B37, '5. Allocation of Balances'!$C$4:$Y$50, 47,FALSE)</f>
        <v>0</v>
      </c>
      <c r="F37" s="115">
        <f t="shared" si="0"/>
        <v>0</v>
      </c>
      <c r="G37" t="str">
        <f t="shared" si="1"/>
        <v/>
      </c>
    </row>
    <row r="38" spans="2:9" x14ac:dyDescent="0.2">
      <c r="B38" s="101" t="str">
        <f>IF(ISBLANK('4. Billing Determinants'!B39), "", '4. Billing Determinants'!B39)</f>
        <v/>
      </c>
      <c r="C38" s="208" t="str">
        <f>IF(ISBLANK('4. Billing Determinants'!C39), "", '4. Billing Determinants'!C39)</f>
        <v/>
      </c>
      <c r="D38" s="104">
        <f>IF(C38="", 0, IF(C38="kWh", '4. Billing Determinants'!E39, IF(C38="kW", '4. Billing Determinants'!F39, '4. Billing Determinants'!D39)))</f>
        <v>0</v>
      </c>
      <c r="E38" s="105">
        <f>HLOOKUP($B38, '5. Allocation of Balances'!$C$4:$Y$50, 47,FALSE)</f>
        <v>0</v>
      </c>
      <c r="F38" s="115">
        <f t="shared" si="0"/>
        <v>0</v>
      </c>
      <c r="G38" t="str">
        <f t="shared" si="1"/>
        <v/>
      </c>
      <c r="I38" s="121"/>
    </row>
    <row r="39" spans="2:9" x14ac:dyDescent="0.2">
      <c r="B39" s="101" t="str">
        <f>IF(ISBLANK('4. Billing Determinants'!B40), "", '4. Billing Determinants'!B40)</f>
        <v/>
      </c>
      <c r="C39" s="208" t="str">
        <f>IF(ISBLANK('4. Billing Determinants'!C40), "", '4. Billing Determinants'!C40)</f>
        <v/>
      </c>
      <c r="D39" s="104">
        <f>IF(C39="", 0, IF(C39="kWh", '4. Billing Determinants'!E40, IF(C39="kW", '4. Billing Determinants'!F40, '4. Billing Determinants'!D40)))</f>
        <v>0</v>
      </c>
      <c r="E39" s="105">
        <f>HLOOKUP($B39, '5. Allocation of Balances'!$C$4:$Y$50, 47,FALSE)</f>
        <v>0</v>
      </c>
      <c r="F39" s="115">
        <f t="shared" si="0"/>
        <v>0</v>
      </c>
      <c r="G39" t="str">
        <f t="shared" si="1"/>
        <v/>
      </c>
    </row>
    <row r="40" spans="2:9" x14ac:dyDescent="0.2">
      <c r="B40" s="111" t="s">
        <v>143</v>
      </c>
      <c r="C40" s="112"/>
      <c r="D40" s="113"/>
      <c r="E40" s="114">
        <f>SUM(E20:E39)</f>
        <v>-391881.25874193199</v>
      </c>
      <c r="F40" s="111"/>
    </row>
    <row r="43" spans="2:9" ht="18" x14ac:dyDescent="0.25">
      <c r="B43" s="120" t="s">
        <v>292</v>
      </c>
    </row>
    <row r="45" spans="2:9" x14ac:dyDescent="0.2">
      <c r="B45" s="284" t="s">
        <v>157</v>
      </c>
      <c r="C45" s="283" t="s">
        <v>142</v>
      </c>
      <c r="D45" s="290" t="s">
        <v>295</v>
      </c>
      <c r="E45" s="290" t="s">
        <v>293</v>
      </c>
      <c r="F45" s="292" t="s">
        <v>294</v>
      </c>
    </row>
    <row r="46" spans="2:9" ht="54.75" customHeight="1" x14ac:dyDescent="0.2">
      <c r="B46" s="285"/>
      <c r="C46" s="283"/>
      <c r="D46" s="291"/>
      <c r="E46" s="291"/>
      <c r="F46" s="292"/>
    </row>
    <row r="47" spans="2:9" x14ac:dyDescent="0.2">
      <c r="B47" s="101" t="str">
        <f t="shared" ref="B47:B66" si="2">B20</f>
        <v>Residential</v>
      </c>
      <c r="C47" s="208" t="s">
        <v>306</v>
      </c>
      <c r="D47" s="104">
        <f>IF(C47="", 0, IF(C47="kWh", '4. Billing Determinants'!G21, IF(C47="kW", '4. Billing Determinants'!H21, '4. Billing Determinants'!D21)))</f>
        <v>2326643.6586065181</v>
      </c>
      <c r="E47" s="105">
        <f>HLOOKUP($B20, '5. Allocation of Balances'!$C$4:$Y$51, 48,FALSE)</f>
        <v>-4934.097105312776</v>
      </c>
      <c r="F47" s="115">
        <f>IF(ISERROR(E47/D47), 0, IF(C47="# of Customers", E47/D47/12/$D$13, E47/D47/$D$13))</f>
        <v>-2.1206930795186416E-3</v>
      </c>
      <c r="G47" t="str">
        <f>IF(C47="", "", IF(C47="# of Customers", "per customer per month", "$/"&amp;C47))</f>
        <v>$/kWh</v>
      </c>
    </row>
    <row r="48" spans="2:9" x14ac:dyDescent="0.2">
      <c r="B48" s="101" t="str">
        <f t="shared" si="2"/>
        <v>General Service Less Than 50 kW</v>
      </c>
      <c r="C48" s="208" t="s">
        <v>306</v>
      </c>
      <c r="D48" s="104">
        <f>IF(C48="", 0, IF(C48="kWh", '4. Billing Determinants'!G22, IF(C48="kW", '4. Billing Determinants'!H22, '4. Billing Determinants'!D22)))</f>
        <v>3129725.508936251</v>
      </c>
      <c r="E48" s="105">
        <f>HLOOKUP($B21, '5. Allocation of Balances'!$C$4:$Y$51, 48,FALSE)</f>
        <v>-6637.1872275940668</v>
      </c>
      <c r="F48" s="115">
        <f t="shared" ref="F48:F66" si="3">IF(ISERROR(E48/D48), 0, IF(C48="# of Customers", E48/D48/12/$D$13, E48/D48/$D$13))</f>
        <v>-2.120693079518642E-3</v>
      </c>
      <c r="G48" t="str">
        <f t="shared" ref="G48:G66" si="4">IF(C48="", "", IF(C48="# of Customers", "per customer per month", "$/"&amp;C48))</f>
        <v>$/kWh</v>
      </c>
    </row>
    <row r="49" spans="2:7" x14ac:dyDescent="0.2">
      <c r="B49" s="101" t="str">
        <f t="shared" si="2"/>
        <v>General Service 50 to 4,999 kW</v>
      </c>
      <c r="C49" s="208" t="s">
        <v>312</v>
      </c>
      <c r="D49" s="104">
        <f>IF(C49="", 0, IF(C49="kWh", '4. Billing Determinants'!G23, IF(C49="kW", '4. Billing Determinants'!H23, '4. Billing Determinants'!D23)))</f>
        <v>189784.31784943637</v>
      </c>
      <c r="E49" s="105">
        <f>HLOOKUP($B22, '5. Allocation of Balances'!$C$4:$Y$51, 48,FALSE)</f>
        <v>-156557.86561104283</v>
      </c>
      <c r="F49" s="115">
        <f t="shared" si="3"/>
        <v>-0.82492519605991133</v>
      </c>
      <c r="G49" t="str">
        <f t="shared" si="4"/>
        <v>$/kW</v>
      </c>
    </row>
    <row r="50" spans="2:7" x14ac:dyDescent="0.2">
      <c r="B50" s="101" t="str">
        <f t="shared" si="2"/>
        <v>Unmetered Scattered Load</v>
      </c>
      <c r="C50" s="208" t="s">
        <v>306</v>
      </c>
      <c r="D50" s="104">
        <f>IF(C50="", 0, IF(C50="kWh", '4. Billing Determinants'!G24, IF(C50="kW", '4. Billing Determinants'!H24, '4. Billing Determinants'!D24)))</f>
        <v>0</v>
      </c>
      <c r="E50" s="105">
        <f>HLOOKUP($B23, '5. Allocation of Balances'!$C$4:$Y$51, 48,FALSE)</f>
        <v>0</v>
      </c>
      <c r="F50" s="115">
        <f t="shared" si="3"/>
        <v>0</v>
      </c>
      <c r="G50" t="str">
        <f t="shared" si="4"/>
        <v>$/kWh</v>
      </c>
    </row>
    <row r="51" spans="2:7" x14ac:dyDescent="0.2">
      <c r="B51" s="101" t="str">
        <f t="shared" si="2"/>
        <v>Street Lighting</v>
      </c>
      <c r="C51" s="208" t="s">
        <v>312</v>
      </c>
      <c r="D51" s="104">
        <f>IF(C51="", 0, IF(C51="kWh", '4. Billing Determinants'!G25, IF(C51="kW", '4. Billing Determinants'!H25, '4. Billing Determinants'!D25)))</f>
        <v>2955.0122728229899</v>
      </c>
      <c r="E51" s="105">
        <f>HLOOKUP($B24, '5. Allocation of Balances'!$C$4:$Y$51, 48,FALSE)</f>
        <v>-2251.7158600505422</v>
      </c>
      <c r="F51" s="115">
        <f t="shared" si="3"/>
        <v>-0.76199881833297001</v>
      </c>
      <c r="G51" t="str">
        <f t="shared" si="4"/>
        <v>$/kW</v>
      </c>
    </row>
    <row r="52" spans="2:7" x14ac:dyDescent="0.2">
      <c r="B52" s="101" t="str">
        <f t="shared" si="2"/>
        <v/>
      </c>
      <c r="C52" s="208"/>
      <c r="D52" s="104">
        <f>IF(C52="", 0, IF(C52="kWh", '4. Billing Determinants'!G26, IF(C52="kW", '4. Billing Determinants'!H26, '4. Billing Determinants'!D26)))</f>
        <v>0</v>
      </c>
      <c r="E52" s="105">
        <f>HLOOKUP($B25, '5. Allocation of Balances'!$C$4:$Y$51, 48,FALSE)</f>
        <v>0</v>
      </c>
      <c r="F52" s="115">
        <f t="shared" si="3"/>
        <v>0</v>
      </c>
      <c r="G52" t="str">
        <f t="shared" si="4"/>
        <v/>
      </c>
    </row>
    <row r="53" spans="2:7" x14ac:dyDescent="0.2">
      <c r="B53" s="101" t="str">
        <f t="shared" si="2"/>
        <v/>
      </c>
      <c r="C53" s="208"/>
      <c r="D53" s="104">
        <f>IF(C53="", 0, IF(C53="kWh", '4. Billing Determinants'!G27, IF(C53="kW", '4. Billing Determinants'!H27, '4. Billing Determinants'!D27)))</f>
        <v>0</v>
      </c>
      <c r="E53" s="105">
        <f>HLOOKUP($B26, '5. Allocation of Balances'!$C$4:$Y$51, 48,FALSE)</f>
        <v>0</v>
      </c>
      <c r="F53" s="115">
        <f t="shared" si="3"/>
        <v>0</v>
      </c>
      <c r="G53" t="str">
        <f t="shared" si="4"/>
        <v/>
      </c>
    </row>
    <row r="54" spans="2:7" x14ac:dyDescent="0.2">
      <c r="B54" s="101" t="str">
        <f t="shared" si="2"/>
        <v/>
      </c>
      <c r="C54" s="208" t="str">
        <f>IF(ISBLANK('4. Billing Determinants'!C52), "", '4. Billing Determinants'!C52)</f>
        <v/>
      </c>
      <c r="D54" s="104">
        <f>IF(C54="", 0, IF(C54="kWh", '4. Billing Determinants'!G28, IF(C54="kW", '4. Billing Determinants'!H28, '4. Billing Determinants'!D28)))</f>
        <v>0</v>
      </c>
      <c r="E54" s="105">
        <f>HLOOKUP($B27, '5. Allocation of Balances'!$C$4:$Y$51, 48,FALSE)</f>
        <v>0</v>
      </c>
      <c r="F54" s="115">
        <f t="shared" si="3"/>
        <v>0</v>
      </c>
      <c r="G54" t="str">
        <f t="shared" si="4"/>
        <v/>
      </c>
    </row>
    <row r="55" spans="2:7" x14ac:dyDescent="0.2">
      <c r="B55" s="101" t="str">
        <f t="shared" si="2"/>
        <v/>
      </c>
      <c r="C55" s="208" t="str">
        <f>IF(ISBLANK('4. Billing Determinants'!C53), "", '4. Billing Determinants'!C53)</f>
        <v/>
      </c>
      <c r="D55" s="104">
        <f>IF(C55="", 0, IF(C55="kWh", '4. Billing Determinants'!G29, IF(C55="kW", '4. Billing Determinants'!H29, '4. Billing Determinants'!D29)))</f>
        <v>0</v>
      </c>
      <c r="E55" s="105">
        <f>HLOOKUP($B28, '5. Allocation of Balances'!$C$4:$Y$51, 48,FALSE)</f>
        <v>0</v>
      </c>
      <c r="F55" s="115">
        <f t="shared" si="3"/>
        <v>0</v>
      </c>
      <c r="G55" t="str">
        <f t="shared" si="4"/>
        <v/>
      </c>
    </row>
    <row r="56" spans="2:7" x14ac:dyDescent="0.2">
      <c r="B56" s="101" t="str">
        <f t="shared" si="2"/>
        <v/>
      </c>
      <c r="C56" s="208"/>
      <c r="D56" s="104">
        <f>IF(C56="", 0, IF(C56="kWh", '4. Billing Determinants'!G30, IF(C56="kW", '4. Billing Determinants'!H30, '4. Billing Determinants'!D30)))</f>
        <v>0</v>
      </c>
      <c r="E56" s="105">
        <f>HLOOKUP($B29, '5. Allocation of Balances'!$C$4:$Y$51, 48,FALSE)</f>
        <v>0</v>
      </c>
      <c r="F56" s="115">
        <f t="shared" si="3"/>
        <v>0</v>
      </c>
      <c r="G56" t="str">
        <f t="shared" si="4"/>
        <v/>
      </c>
    </row>
    <row r="57" spans="2:7" x14ac:dyDescent="0.2">
      <c r="B57" s="101" t="str">
        <f t="shared" si="2"/>
        <v/>
      </c>
      <c r="C57" s="208" t="str">
        <f>IF(ISBLANK('4. Billing Determinants'!C55), "", '4. Billing Determinants'!C55)</f>
        <v/>
      </c>
      <c r="D57" s="104">
        <f>IF(C57="", 0, IF(C57="kWh", '4. Billing Determinants'!G31, IF(C57="kW", '4. Billing Determinants'!H31, '4. Billing Determinants'!D31)))</f>
        <v>0</v>
      </c>
      <c r="E57" s="105">
        <f>HLOOKUP($B30, '5. Allocation of Balances'!$C$4:$Y$51, 48,FALSE)</f>
        <v>0</v>
      </c>
      <c r="F57" s="115">
        <f t="shared" si="3"/>
        <v>0</v>
      </c>
      <c r="G57" t="str">
        <f t="shared" si="4"/>
        <v/>
      </c>
    </row>
    <row r="58" spans="2:7" x14ac:dyDescent="0.2">
      <c r="B58" s="101" t="str">
        <f t="shared" si="2"/>
        <v/>
      </c>
      <c r="C58" s="208"/>
      <c r="D58" s="104">
        <f>IF(C58="", 0, IF(C58="kWh", '4. Billing Determinants'!G32, IF(C58="kW", '4. Billing Determinants'!H32, '4. Billing Determinants'!D32)))</f>
        <v>0</v>
      </c>
      <c r="E58" s="105">
        <f>HLOOKUP($B31, '5. Allocation of Balances'!$C$4:$Y$51, 48,FALSE)</f>
        <v>0</v>
      </c>
      <c r="F58" s="115">
        <f t="shared" si="3"/>
        <v>0</v>
      </c>
      <c r="G58" t="str">
        <f t="shared" si="4"/>
        <v/>
      </c>
    </row>
    <row r="59" spans="2:7" x14ac:dyDescent="0.2">
      <c r="B59" s="101" t="str">
        <f t="shared" si="2"/>
        <v/>
      </c>
      <c r="C59" s="208" t="str">
        <f>IF(ISBLANK('4. Billing Determinants'!C57), "", '4. Billing Determinants'!C57)</f>
        <v/>
      </c>
      <c r="D59" s="104">
        <f>IF(C59="", 0, IF(C59="kWh", '4. Billing Determinants'!G33, IF(C59="kW", '4. Billing Determinants'!H33, '4. Billing Determinants'!D33)))</f>
        <v>0</v>
      </c>
      <c r="E59" s="105">
        <f>HLOOKUP($B32, '5. Allocation of Balances'!$C$4:$Y$51, 48,FALSE)</f>
        <v>0</v>
      </c>
      <c r="F59" s="115">
        <f t="shared" si="3"/>
        <v>0</v>
      </c>
      <c r="G59" t="str">
        <f t="shared" si="4"/>
        <v/>
      </c>
    </row>
    <row r="60" spans="2:7" x14ac:dyDescent="0.2">
      <c r="B60" s="101" t="str">
        <f t="shared" si="2"/>
        <v/>
      </c>
      <c r="C60" s="208" t="str">
        <f>IF(ISBLANK('4. Billing Determinants'!C58), "", '4. Billing Determinants'!C58)</f>
        <v/>
      </c>
      <c r="D60" s="104">
        <f>IF(C60="", 0, IF(C60="kWh", '4. Billing Determinants'!G34, IF(C60="kW", '4. Billing Determinants'!H34, '4. Billing Determinants'!D34)))</f>
        <v>0</v>
      </c>
      <c r="E60" s="105">
        <f>HLOOKUP($B33, '5. Allocation of Balances'!$C$4:$Y$51, 48,FALSE)</f>
        <v>0</v>
      </c>
      <c r="F60" s="115">
        <f t="shared" si="3"/>
        <v>0</v>
      </c>
      <c r="G60" t="str">
        <f t="shared" si="4"/>
        <v/>
      </c>
    </row>
    <row r="61" spans="2:7" x14ac:dyDescent="0.2">
      <c r="B61" s="101" t="str">
        <f t="shared" si="2"/>
        <v/>
      </c>
      <c r="C61" s="208" t="str">
        <f>IF(ISBLANK('4. Billing Determinants'!C59), "", '4. Billing Determinants'!C59)</f>
        <v/>
      </c>
      <c r="D61" s="104">
        <f>IF(C61="", 0, IF(C61="kWh", '4. Billing Determinants'!G35, IF(C61="kW", '4. Billing Determinants'!H35, '4. Billing Determinants'!D35)))</f>
        <v>0</v>
      </c>
      <c r="E61" s="105">
        <f>HLOOKUP($B34, '5. Allocation of Balances'!$C$4:$Y$51, 48,FALSE)</f>
        <v>0</v>
      </c>
      <c r="F61" s="115">
        <f t="shared" si="3"/>
        <v>0</v>
      </c>
      <c r="G61" t="str">
        <f t="shared" si="4"/>
        <v/>
      </c>
    </row>
    <row r="62" spans="2:7" x14ac:dyDescent="0.2">
      <c r="B62" s="101" t="str">
        <f t="shared" si="2"/>
        <v/>
      </c>
      <c r="C62" s="208"/>
      <c r="D62" s="104">
        <f>IF(C62="", 0, IF(C62="kWh", '4. Billing Determinants'!G36, IF(C62="kW", '4. Billing Determinants'!H36, '4. Billing Determinants'!D36)))</f>
        <v>0</v>
      </c>
      <c r="E62" s="105">
        <f>HLOOKUP($B35, '5. Allocation of Balances'!$C$4:$Y$51, 48,FALSE)</f>
        <v>0</v>
      </c>
      <c r="F62" s="115">
        <f t="shared" si="3"/>
        <v>0</v>
      </c>
      <c r="G62" t="str">
        <f t="shared" si="4"/>
        <v/>
      </c>
    </row>
    <row r="63" spans="2:7" x14ac:dyDescent="0.2">
      <c r="B63" s="101" t="str">
        <f t="shared" si="2"/>
        <v/>
      </c>
      <c r="C63" s="208" t="str">
        <f>IF(ISBLANK('4. Billing Determinants'!C61), "", '4. Billing Determinants'!C61)</f>
        <v/>
      </c>
      <c r="D63" s="104">
        <f>IF(C63="", 0, IF(C63="kWh", '4. Billing Determinants'!G37, IF(C63="kW", '4. Billing Determinants'!H37, '4. Billing Determinants'!D37)))</f>
        <v>0</v>
      </c>
      <c r="E63" s="105">
        <f>HLOOKUP($B36, '5. Allocation of Balances'!$C$4:$Y$51, 48,FALSE)</f>
        <v>0</v>
      </c>
      <c r="F63" s="115">
        <f t="shared" si="3"/>
        <v>0</v>
      </c>
      <c r="G63" t="str">
        <f t="shared" si="4"/>
        <v/>
      </c>
    </row>
    <row r="64" spans="2:7" x14ac:dyDescent="0.2">
      <c r="B64" s="101" t="str">
        <f t="shared" si="2"/>
        <v/>
      </c>
      <c r="C64" s="208" t="str">
        <f>IF(ISBLANK('4. Billing Determinants'!C62), "", '4. Billing Determinants'!C62)</f>
        <v/>
      </c>
      <c r="D64" s="104">
        <f>IF(C64="", 0, IF(C64="kWh", '4. Billing Determinants'!G38, IF(C64="kW", '4. Billing Determinants'!H38, '4. Billing Determinants'!D38)))</f>
        <v>0</v>
      </c>
      <c r="E64" s="105">
        <f>HLOOKUP($B37, '5. Allocation of Balances'!$C$4:$Y$51, 48,FALSE)</f>
        <v>0</v>
      </c>
      <c r="F64" s="115">
        <f t="shared" si="3"/>
        <v>0</v>
      </c>
      <c r="G64" t="str">
        <f t="shared" si="4"/>
        <v/>
      </c>
    </row>
    <row r="65" spans="2:7" x14ac:dyDescent="0.2">
      <c r="B65" s="101" t="str">
        <f t="shared" si="2"/>
        <v/>
      </c>
      <c r="C65" s="208" t="str">
        <f>IF(ISBLANK('4. Billing Determinants'!C63), "", '4. Billing Determinants'!C63)</f>
        <v/>
      </c>
      <c r="D65" s="104">
        <f>IF(C65="", 0, IF(C65="kWh", '4. Billing Determinants'!G39, IF(C65="kW", '4. Billing Determinants'!H39, '4. Billing Determinants'!D39)))</f>
        <v>0</v>
      </c>
      <c r="E65" s="105">
        <f>HLOOKUP($B38, '5. Allocation of Balances'!$C$4:$Y$51, 48,FALSE)</f>
        <v>0</v>
      </c>
      <c r="F65" s="115">
        <f t="shared" si="3"/>
        <v>0</v>
      </c>
      <c r="G65" t="str">
        <f t="shared" si="4"/>
        <v/>
      </c>
    </row>
    <row r="66" spans="2:7" x14ac:dyDescent="0.2">
      <c r="B66" s="101" t="str">
        <f t="shared" si="2"/>
        <v/>
      </c>
      <c r="C66" s="208" t="str">
        <f>IF(ISBLANK('4. Billing Determinants'!C64), "", '4. Billing Determinants'!C64)</f>
        <v/>
      </c>
      <c r="D66" s="104">
        <f>IF(C66="", 0, IF(C66="kWh", '4. Billing Determinants'!G40, IF(C66="kW", '4. Billing Determinants'!H40, '4. Billing Determinants'!D40)))</f>
        <v>0</v>
      </c>
      <c r="E66" s="105">
        <f>HLOOKUP($B39, '5. Allocation of Balances'!$C$4:$Y$51, 48,FALSE)</f>
        <v>0</v>
      </c>
      <c r="F66" s="115">
        <f t="shared" si="3"/>
        <v>0</v>
      </c>
      <c r="G66" t="str">
        <f t="shared" si="4"/>
        <v/>
      </c>
    </row>
    <row r="67" spans="2:7" x14ac:dyDescent="0.2">
      <c r="B67" s="111" t="s">
        <v>143</v>
      </c>
      <c r="C67" s="112"/>
      <c r="D67" s="113"/>
      <c r="E67" s="114">
        <f>SUM(E47:E66)</f>
        <v>-170380.8658040002</v>
      </c>
      <c r="F67" s="111"/>
    </row>
    <row r="69" spans="2:7" ht="18" x14ac:dyDescent="0.25">
      <c r="B69" s="120" t="s">
        <v>205</v>
      </c>
    </row>
    <row r="70" spans="2:7" ht="18" x14ac:dyDescent="0.25">
      <c r="B70" s="120"/>
    </row>
    <row r="71" spans="2:7" x14ac:dyDescent="0.2">
      <c r="B71" s="116" t="s">
        <v>164</v>
      </c>
      <c r="C71" s="117"/>
      <c r="D71" s="118">
        <v>5</v>
      </c>
    </row>
    <row r="73" spans="2:7" x14ac:dyDescent="0.2">
      <c r="B73" s="284" t="s">
        <v>157</v>
      </c>
      <c r="C73" s="283" t="s">
        <v>142</v>
      </c>
      <c r="D73" s="290" t="s">
        <v>165</v>
      </c>
      <c r="E73" s="290" t="s">
        <v>206</v>
      </c>
      <c r="F73" s="292" t="s">
        <v>207</v>
      </c>
    </row>
    <row r="74" spans="2:7" ht="25.5" customHeight="1" x14ac:dyDescent="0.2">
      <c r="B74" s="285"/>
      <c r="C74" s="283"/>
      <c r="D74" s="291"/>
      <c r="E74" s="291"/>
      <c r="F74" s="292"/>
    </row>
    <row r="75" spans="2:7" x14ac:dyDescent="0.2">
      <c r="B75" s="101" t="str">
        <f>B20</f>
        <v>Residential</v>
      </c>
      <c r="C75" s="208" t="s">
        <v>306</v>
      </c>
      <c r="D75" s="104">
        <f>IF(C75="", 0, IF(C75="kWh", '4. Billing Determinants'!E21, IF(C75="kW", '4. Billing Determinants'!F21, '4. Billing Determinants'!D21)))</f>
        <v>66912797</v>
      </c>
      <c r="E75" s="105">
        <f>HLOOKUP($B75, '5. Allocation of Balances'!$C$4:$Y$56, 53,FALSE)</f>
        <v>-323421.15379956056</v>
      </c>
      <c r="F75" s="115">
        <f>IF(ISERROR(E75/D75), 0, IF(C75="# of Customers", E75/D75/12/$D$71, E75/D75/$D$71))</f>
        <v>-9.6669446892067772E-4</v>
      </c>
    </row>
    <row r="76" spans="2:7" x14ac:dyDescent="0.2">
      <c r="B76" s="101" t="str">
        <f t="shared" ref="B76:B94" si="5">B21</f>
        <v>General Service Less Than 50 kW</v>
      </c>
      <c r="C76" s="208" t="s">
        <v>306</v>
      </c>
      <c r="D76" s="104">
        <f>IF(C76="", 0, IF(C76="kWh", '4. Billing Determinants'!E22, IF(C76="kW", '4. Billing Determinants'!F22, '4. Billing Determinants'!D22)))</f>
        <v>35318239</v>
      </c>
      <c r="E76" s="105">
        <f>HLOOKUP($B76, '5. Allocation of Balances'!$C$4:$Y$56, 53,FALSE)</f>
        <v>-170709.73146659284</v>
      </c>
      <c r="F76" s="115">
        <f t="shared" ref="F76:F94" si="6">IF(ISERROR(E76/D76), 0, IF(C76="# of Customers", E76/D76/12/$D$71, E76/D76/$D$71))</f>
        <v>-9.6669446892067772E-4</v>
      </c>
    </row>
    <row r="77" spans="2:7" x14ac:dyDescent="0.2">
      <c r="B77" s="101" t="str">
        <f t="shared" si="5"/>
        <v>General Service 50 to 4,999 kW</v>
      </c>
      <c r="C77" s="208" t="s">
        <v>312</v>
      </c>
      <c r="D77" s="104">
        <f>IF(C77="", 0, IF(C77="kWh", '4. Billing Determinants'!E23, IF(C77="kW", '4. Billing Determinants'!F23, '4. Billing Determinants'!D23)))</f>
        <v>203974</v>
      </c>
      <c r="E77" s="105">
        <f>HLOOKUP($B77, '5. Allocation of Balances'!$C$4:$Y$56, 53,FALSE)</f>
        <v>-383504.79664598801</v>
      </c>
      <c r="F77" s="115">
        <f t="shared" si="6"/>
        <v>-0.37603302052809473</v>
      </c>
    </row>
    <row r="78" spans="2:7" x14ac:dyDescent="0.2">
      <c r="B78" s="101" t="str">
        <f t="shared" si="5"/>
        <v>Unmetered Scattered Load</v>
      </c>
      <c r="C78" s="208" t="s">
        <v>306</v>
      </c>
      <c r="D78" s="104">
        <f>IF(C78="", 0, IF(C78="kWh", '4. Billing Determinants'!E24, IF(C78="kW", '4. Billing Determinants'!F24, '4. Billing Determinants'!D24)))</f>
        <v>219430</v>
      </c>
      <c r="E78" s="105">
        <f>HLOOKUP($B78, '5. Allocation of Balances'!$C$4:$Y$56, 53,FALSE)</f>
        <v>-1060.6088365763217</v>
      </c>
      <c r="F78" s="115">
        <f t="shared" si="6"/>
        <v>-9.6669446892067783E-4</v>
      </c>
    </row>
    <row r="79" spans="2:7" x14ac:dyDescent="0.2">
      <c r="B79" s="101" t="str">
        <f t="shared" si="5"/>
        <v>Street Lighting</v>
      </c>
      <c r="C79" s="208" t="s">
        <v>312</v>
      </c>
      <c r="D79" s="104">
        <f>IF(C79="", 0, IF(C79="kWh", '4. Billing Determinants'!E25, IF(C79="kW", '4. Billing Determinants'!F25, '4. Billing Determinants'!D25)))</f>
        <v>3238</v>
      </c>
      <c r="E79" s="105">
        <f>HLOOKUP($B79, '5. Allocation of Balances'!$C$4:$Y$56, 53,FALSE)</f>
        <v>-5623.5759014139812</v>
      </c>
      <c r="F79" s="115">
        <f t="shared" si="6"/>
        <v>-0.34734872769697228</v>
      </c>
    </row>
    <row r="80" spans="2:7" x14ac:dyDescent="0.2">
      <c r="B80" s="101" t="str">
        <f t="shared" si="5"/>
        <v/>
      </c>
      <c r="C80" s="208"/>
      <c r="D80" s="104">
        <f>IF(C80="", 0, IF(C80="kWh", '4. Billing Determinants'!E26, IF(C80="kW", '4. Billing Determinants'!F26, '4. Billing Determinants'!D26)))</f>
        <v>0</v>
      </c>
      <c r="E80" s="105">
        <f>HLOOKUP($B80, '5. Allocation of Balances'!$C$4:$Y$56, 53,FALSE)</f>
        <v>0</v>
      </c>
      <c r="F80" s="115">
        <f t="shared" si="6"/>
        <v>0</v>
      </c>
    </row>
    <row r="81" spans="2:6" x14ac:dyDescent="0.2">
      <c r="B81" s="101" t="str">
        <f t="shared" si="5"/>
        <v/>
      </c>
      <c r="C81" s="208"/>
      <c r="D81" s="104">
        <f>IF(C81="", 0, IF(C81="kWh", '4. Billing Determinants'!E27, IF(C81="kW", '4. Billing Determinants'!F27, '4. Billing Determinants'!D27)))</f>
        <v>0</v>
      </c>
      <c r="E81" s="105">
        <f>HLOOKUP($B81, '5. Allocation of Balances'!$C$4:$Y$56, 53,FALSE)</f>
        <v>0</v>
      </c>
      <c r="F81" s="115">
        <f t="shared" si="6"/>
        <v>0</v>
      </c>
    </row>
    <row r="82" spans="2:6" x14ac:dyDescent="0.2">
      <c r="B82" s="101" t="str">
        <f t="shared" si="5"/>
        <v/>
      </c>
      <c r="C82" s="208" t="str">
        <f>IF(ISBLANK('4. Billing Determinants'!C78), "", '4. Billing Determinants'!C78)</f>
        <v/>
      </c>
      <c r="D82" s="104">
        <f>IF(C82="", 0, IF(C82="kWh", '4. Billing Determinants'!E28, IF(C82="kW", '4. Billing Determinants'!F28, '4. Billing Determinants'!D28)))</f>
        <v>0</v>
      </c>
      <c r="E82" s="105">
        <f>HLOOKUP($B82, '5. Allocation of Balances'!$C$4:$Y$56, 53,FALSE)</f>
        <v>0</v>
      </c>
      <c r="F82" s="115">
        <f t="shared" si="6"/>
        <v>0</v>
      </c>
    </row>
    <row r="83" spans="2:6" x14ac:dyDescent="0.2">
      <c r="B83" s="101" t="str">
        <f t="shared" si="5"/>
        <v/>
      </c>
      <c r="C83" s="208" t="str">
        <f>IF(ISBLANK('4. Billing Determinants'!C79), "", '4. Billing Determinants'!C79)</f>
        <v/>
      </c>
      <c r="D83" s="104">
        <f>IF(C83="", 0, IF(C83="kWh", '4. Billing Determinants'!E29, IF(C83="kW", '4. Billing Determinants'!F29, '4. Billing Determinants'!D29)))</f>
        <v>0</v>
      </c>
      <c r="E83" s="105">
        <f>HLOOKUP($B83, '5. Allocation of Balances'!$C$4:$Y$56, 53,FALSE)</f>
        <v>0</v>
      </c>
      <c r="F83" s="115">
        <f t="shared" si="6"/>
        <v>0</v>
      </c>
    </row>
    <row r="84" spans="2:6" x14ac:dyDescent="0.2">
      <c r="B84" s="101" t="str">
        <f t="shared" si="5"/>
        <v/>
      </c>
      <c r="C84" s="208"/>
      <c r="D84" s="104">
        <f>IF(C84="", 0, IF(C84="kWh", '4. Billing Determinants'!E30, IF(C84="kW", '4. Billing Determinants'!F30, '4. Billing Determinants'!D30)))</f>
        <v>0</v>
      </c>
      <c r="E84" s="105">
        <f>HLOOKUP($B84, '5. Allocation of Balances'!$C$4:$Y$56, 53,FALSE)</f>
        <v>0</v>
      </c>
      <c r="F84" s="115">
        <f t="shared" si="6"/>
        <v>0</v>
      </c>
    </row>
    <row r="85" spans="2:6" x14ac:dyDescent="0.2">
      <c r="B85" s="101" t="str">
        <f t="shared" si="5"/>
        <v/>
      </c>
      <c r="C85" s="208" t="str">
        <f>IF(ISBLANK('4. Billing Determinants'!C81), "", '4. Billing Determinants'!C81)</f>
        <v/>
      </c>
      <c r="D85" s="104">
        <f>IF(C85="", 0, IF(C85="kWh", '4. Billing Determinants'!E31, IF(C85="kW", '4. Billing Determinants'!F31, '4. Billing Determinants'!D31)))</f>
        <v>0</v>
      </c>
      <c r="E85" s="105">
        <f>HLOOKUP($B85, '5. Allocation of Balances'!$C$4:$Y$56, 53,FALSE)</f>
        <v>0</v>
      </c>
      <c r="F85" s="115">
        <f t="shared" si="6"/>
        <v>0</v>
      </c>
    </row>
    <row r="86" spans="2:6" x14ac:dyDescent="0.2">
      <c r="B86" s="101" t="str">
        <f t="shared" si="5"/>
        <v/>
      </c>
      <c r="C86" s="208" t="str">
        <f>IF(ISBLANK('4. Billing Determinants'!C82), "", '4. Billing Determinants'!C82)</f>
        <v/>
      </c>
      <c r="D86" s="104">
        <f>IF(C86="", 0, IF(C86="kWh", '4. Billing Determinants'!E32, IF(C86="kW", '4. Billing Determinants'!F32, '4. Billing Determinants'!D32)))</f>
        <v>0</v>
      </c>
      <c r="E86" s="105">
        <f>HLOOKUP($B86, '5. Allocation of Balances'!$C$4:$Y$56, 53,FALSE)</f>
        <v>0</v>
      </c>
      <c r="F86" s="115">
        <f t="shared" si="6"/>
        <v>0</v>
      </c>
    </row>
    <row r="87" spans="2:6" x14ac:dyDescent="0.2">
      <c r="B87" s="101" t="str">
        <f t="shared" si="5"/>
        <v/>
      </c>
      <c r="C87" s="208" t="str">
        <f>IF(ISBLANK('4. Billing Determinants'!C83), "", '4. Billing Determinants'!C83)</f>
        <v/>
      </c>
      <c r="D87" s="104">
        <f>IF(C87="", 0, IF(C87="kWh", '4. Billing Determinants'!E33, IF(C87="kW", '4. Billing Determinants'!F33, '4. Billing Determinants'!D33)))</f>
        <v>0</v>
      </c>
      <c r="E87" s="105">
        <f>HLOOKUP($B87, '5. Allocation of Balances'!$C$4:$Y$56, 53,FALSE)</f>
        <v>0</v>
      </c>
      <c r="F87" s="115">
        <f t="shared" si="6"/>
        <v>0</v>
      </c>
    </row>
    <row r="88" spans="2:6" x14ac:dyDescent="0.2">
      <c r="B88" s="101" t="str">
        <f t="shared" si="5"/>
        <v/>
      </c>
      <c r="C88" s="208" t="str">
        <f>IF(ISBLANK('4. Billing Determinants'!C84), "", '4. Billing Determinants'!C84)</f>
        <v/>
      </c>
      <c r="D88" s="104">
        <f>IF(C88="", 0, IF(C88="kWh", '4. Billing Determinants'!E34, IF(C88="kW", '4. Billing Determinants'!F34, '4. Billing Determinants'!D34)))</f>
        <v>0</v>
      </c>
      <c r="E88" s="105">
        <f>HLOOKUP($B88, '5. Allocation of Balances'!$C$4:$Y$56, 53,FALSE)</f>
        <v>0</v>
      </c>
      <c r="F88" s="115">
        <f t="shared" si="6"/>
        <v>0</v>
      </c>
    </row>
    <row r="89" spans="2:6" x14ac:dyDescent="0.2">
      <c r="B89" s="101" t="str">
        <f t="shared" si="5"/>
        <v/>
      </c>
      <c r="C89" s="208" t="str">
        <f>IF(ISBLANK('4. Billing Determinants'!C85), "", '4. Billing Determinants'!C85)</f>
        <v/>
      </c>
      <c r="D89" s="104">
        <f>IF(C89="", 0, IF(C89="kWh", '4. Billing Determinants'!E35, IF(C89="kW", '4. Billing Determinants'!F35, '4. Billing Determinants'!D35)))</f>
        <v>0</v>
      </c>
      <c r="E89" s="105">
        <f>HLOOKUP($B89, '5. Allocation of Balances'!$C$4:$Y$56, 53,FALSE)</f>
        <v>0</v>
      </c>
      <c r="F89" s="115">
        <f t="shared" si="6"/>
        <v>0</v>
      </c>
    </row>
    <row r="90" spans="2:6" x14ac:dyDescent="0.2">
      <c r="B90" s="101" t="str">
        <f t="shared" si="5"/>
        <v/>
      </c>
      <c r="C90" s="208" t="str">
        <f>IF(ISBLANK('4. Billing Determinants'!C86), "", '4. Billing Determinants'!C86)</f>
        <v/>
      </c>
      <c r="D90" s="104">
        <f>IF(C90="", 0, IF(C90="kWh", '4. Billing Determinants'!E36, IF(C90="kW", '4. Billing Determinants'!F36, '4. Billing Determinants'!D36)))</f>
        <v>0</v>
      </c>
      <c r="E90" s="105">
        <f>HLOOKUP($B90, '5. Allocation of Balances'!$C$4:$Y$56, 53,FALSE)</f>
        <v>0</v>
      </c>
      <c r="F90" s="115">
        <f t="shared" si="6"/>
        <v>0</v>
      </c>
    </row>
    <row r="91" spans="2:6" x14ac:dyDescent="0.2">
      <c r="B91" s="101" t="str">
        <f t="shared" si="5"/>
        <v/>
      </c>
      <c r="C91" s="208" t="str">
        <f>IF(ISBLANK('4. Billing Determinants'!C87), "", '4. Billing Determinants'!C87)</f>
        <v/>
      </c>
      <c r="D91" s="104">
        <f>IF(C91="", 0, IF(C91="kWh", '4. Billing Determinants'!E37, IF(C91="kW", '4. Billing Determinants'!F37, '4. Billing Determinants'!D37)))</f>
        <v>0</v>
      </c>
      <c r="E91" s="105">
        <f>HLOOKUP($B91, '5. Allocation of Balances'!$C$4:$Y$56, 53,FALSE)</f>
        <v>0</v>
      </c>
      <c r="F91" s="115">
        <f t="shared" si="6"/>
        <v>0</v>
      </c>
    </row>
    <row r="92" spans="2:6" x14ac:dyDescent="0.2">
      <c r="B92" s="101" t="str">
        <f t="shared" si="5"/>
        <v/>
      </c>
      <c r="C92" s="208" t="str">
        <f>IF(ISBLANK('4. Billing Determinants'!C88), "", '4. Billing Determinants'!C88)</f>
        <v/>
      </c>
      <c r="D92" s="104">
        <f>IF(C92="", 0, IF(C92="kWh", '4. Billing Determinants'!E38, IF(C92="kW", '4. Billing Determinants'!F38, '4. Billing Determinants'!D38)))</f>
        <v>0</v>
      </c>
      <c r="E92" s="105">
        <f>HLOOKUP($B92, '5. Allocation of Balances'!$C$4:$Y$56, 53,FALSE)</f>
        <v>0</v>
      </c>
      <c r="F92" s="115">
        <f t="shared" si="6"/>
        <v>0</v>
      </c>
    </row>
    <row r="93" spans="2:6" x14ac:dyDescent="0.2">
      <c r="B93" s="101" t="str">
        <f t="shared" si="5"/>
        <v/>
      </c>
      <c r="C93" s="208" t="str">
        <f>IF(ISBLANK('4. Billing Determinants'!C89), "", '4. Billing Determinants'!C89)</f>
        <v/>
      </c>
      <c r="D93" s="104">
        <f>IF(C93="", 0, IF(C93="kWh", '4. Billing Determinants'!E39, IF(C93="kW", '4. Billing Determinants'!F39, '4. Billing Determinants'!D39)))</f>
        <v>0</v>
      </c>
      <c r="E93" s="105">
        <f>HLOOKUP($B93, '5. Allocation of Balances'!$C$4:$Y$56, 53,FALSE)</f>
        <v>0</v>
      </c>
      <c r="F93" s="115">
        <f t="shared" si="6"/>
        <v>0</v>
      </c>
    </row>
    <row r="94" spans="2:6" x14ac:dyDescent="0.2">
      <c r="B94" s="101" t="str">
        <f t="shared" si="5"/>
        <v/>
      </c>
      <c r="C94" s="208" t="str">
        <f>IF(ISBLANK('4. Billing Determinants'!C90), "", '4. Billing Determinants'!C90)</f>
        <v/>
      </c>
      <c r="D94" s="104">
        <f>IF(C94="", 0, IF(C94="kWh", '4. Billing Determinants'!E40, IF(C94="kW", '4. Billing Determinants'!F40, '4. Billing Determinants'!D40)))</f>
        <v>0</v>
      </c>
      <c r="E94" s="105">
        <f>HLOOKUP($B94, '5. Allocation of Balances'!$C$4:$Y$56, 53,FALSE)</f>
        <v>0</v>
      </c>
      <c r="F94" s="115">
        <f t="shared" si="6"/>
        <v>0</v>
      </c>
    </row>
    <row r="95" spans="2:6" x14ac:dyDescent="0.2">
      <c r="B95" s="111" t="s">
        <v>143</v>
      </c>
      <c r="C95" s="112"/>
      <c r="D95" s="113"/>
      <c r="E95" s="114">
        <f>SUM(E75:E94)</f>
        <v>-884319.86665013176</v>
      </c>
      <c r="F95" s="111"/>
    </row>
  </sheetData>
  <sheetProtection password="F8BD" sheet="1" objects="1" scenarios="1"/>
  <mergeCells count="15">
    <mergeCell ref="B73:B74"/>
    <mergeCell ref="C73:C74"/>
    <mergeCell ref="D73:D74"/>
    <mergeCell ref="E73:E74"/>
    <mergeCell ref="F73:F74"/>
    <mergeCell ref="B45:B46"/>
    <mergeCell ref="C45:C46"/>
    <mergeCell ref="D18:D19"/>
    <mergeCell ref="E18:E19"/>
    <mergeCell ref="F18:F19"/>
    <mergeCell ref="E45:E46"/>
    <mergeCell ref="F45:F46"/>
    <mergeCell ref="D45:D46"/>
    <mergeCell ref="B18:B19"/>
    <mergeCell ref="C18:C19"/>
  </mergeCells>
  <conditionalFormatting sqref="C20:C39">
    <cfRule type="cellIs" dxfId="4" priority="8" operator="equal">
      <formula>"kW"</formula>
    </cfRule>
  </conditionalFormatting>
  <conditionalFormatting sqref="G20:G39">
    <cfRule type="cellIs" dxfId="3" priority="5" operator="equal">
      <formula>"$/kW"</formula>
    </cfRule>
  </conditionalFormatting>
  <conditionalFormatting sqref="G47:G66">
    <cfRule type="cellIs" dxfId="2" priority="4" operator="equal">
      <formula>"$/kW"</formula>
    </cfRule>
  </conditionalFormatting>
  <conditionalFormatting sqref="C47:C66">
    <cfRule type="cellIs" dxfId="1" priority="2" operator="equal">
      <formula>"kW"</formula>
    </cfRule>
  </conditionalFormatting>
  <conditionalFormatting sqref="C75:C94">
    <cfRule type="cellIs" dxfId="0" priority="1" operator="equal">
      <formula>"kW"</formula>
    </cfRule>
  </conditionalFormatting>
  <dataValidations count="3">
    <dataValidation type="list" allowBlank="1" showInputMessage="1" showErrorMessage="1" sqref="D13">
      <formula1>"1,2,3,4"</formula1>
    </dataValidation>
    <dataValidation type="list" allowBlank="1" showInputMessage="1" showErrorMessage="1" sqref="C20:C39 C47:C66 C75:C94">
      <formula1>"kWh, kW, # of Customers"</formula1>
    </dataValidation>
    <dataValidation type="list" allowBlank="1" showInputMessage="1" showErrorMessage="1" sqref="D71">
      <formula1>"1,2,3,4,5"</formula1>
    </dataValidation>
  </dataValidations>
  <pageMargins left="0.7" right="0.7" top="0.75" bottom="0.75" header="0.3" footer="0.3"/>
  <pageSetup scale="55" orientation="landscape" r:id="rId1"/>
  <colBreaks count="1" manualBreakCount="1">
    <brk id="1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1. Information Sheet</vt:lpstr>
      <vt:lpstr>2. 2013 Continuity Schedule</vt:lpstr>
      <vt:lpstr>3. Appendix A</vt:lpstr>
      <vt:lpstr>4. Billing Determinants</vt:lpstr>
      <vt:lpstr>5. Allocation of Balances</vt:lpstr>
      <vt:lpstr>6. Rate Rider Calculations</vt:lpstr>
      <vt:lpstr>'1. Information Sheet'!Print_Area</vt:lpstr>
      <vt:lpstr>'3. Appendix A'!Print_Area</vt:lpstr>
      <vt:lpstr>'5. Allocation of Balances'!Print_Area</vt:lpstr>
      <vt:lpstr>'2. 2013 Continuity Schedule'!Print_Titles</vt:lpstr>
      <vt:lpstr>'3. Appendix A'!Print_Titles</vt:lpstr>
      <vt:lpstr>'5. Allocation of Balances'!Print_Titles</vt:lpstr>
    </vt:vector>
  </TitlesOfParts>
  <Company>Ontario Energy Board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Theodore Antonopoulos</dc:creator>
  <cp:lastModifiedBy>Philip Wormwell</cp:lastModifiedBy>
  <cp:lastPrinted>2013-09-25T14:34:45Z</cp:lastPrinted>
  <dcterms:created xsi:type="dcterms:W3CDTF">2005-04-25T20:13:02Z</dcterms:created>
  <dcterms:modified xsi:type="dcterms:W3CDTF">2013-09-26T18:14:03Z</dcterms:modified>
</cp:coreProperties>
</file>