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6" yWindow="65344" windowWidth="14436" windowHeight="1104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Lenovo User</author>
  </authors>
  <commentList>
    <comment ref="C20" authorId="0">
      <text>
        <r>
          <rPr>
            <b/>
            <sz val="11"/>
            <rFont val="Tahoma"/>
            <family val="2"/>
          </rPr>
          <t>Lenovo User:</t>
        </r>
        <r>
          <rPr>
            <sz val="11"/>
            <rFont val="Tahoma"/>
            <family val="2"/>
          </rPr>
          <t xml:space="preserve">
Adjustment to agree with 2002 RAM Decision</t>
        </r>
      </text>
    </comment>
  </commentList>
</comments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<sst xmlns="http://schemas.openxmlformats.org/spreadsheetml/2006/main" count="898" uniqueCount="509">
  <si>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</si>
  <si>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</si>
  <si>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</si>
  <si>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</si>
  <si>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</si>
  <si>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</si>
  <si>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</si>
  <si>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</si>
  <si>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</si>
  <si>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</si>
  <si>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</si>
  <si>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</si>
  <si>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</si>
  <si>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</si>
  <si>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</si>
  <si>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</si>
  <si>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</si>
  <si>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</si>
  <si>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</si>
  <si>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</si>
  <si>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</si>
  <si>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</si>
  <si>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</si>
  <si>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</si>
  <si>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</si>
  <si>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</si>
  <si>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</si>
  <si>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</si>
  <si>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</si>
  <si>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</si>
  <si>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</si>
  <si>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</si>
  <si>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</si>
  <si>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</si>
  <si>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</si>
  <si>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</si>
  <si>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</si>
  <si>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</si>
  <si>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</si>
  <si>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</si>
  <si>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</si>
  <si>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</si>
  <si>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</si>
  <si>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</si>
  <si>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</si>
  <si>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</si>
  <si>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</si>
  <si>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</si>
  <si>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</si>
  <si>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</si>
  <si>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</si>
  <si>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</si>
  <si>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</si>
  <si>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</si>
  <si>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</si>
  <si>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</si>
  <si>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</si>
  <si>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</si>
  <si>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</si>
  <si>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</si>
  <si>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</si>
  <si>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</si>
  <si>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</si>
  <si>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</si>
  <si>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</si>
  <si>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</si>
  <si>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</si>
  <si>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</si>
  <si>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</si>
  <si>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</si>
  <si>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</si>
  <si>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</si>
  <si>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</si>
  <si>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</si>
  <si>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</si>
  <si>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</si>
  <si>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</si>
  <si>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</si>
  <si>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</si>
  <si>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</si>
  <si>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</si>
  <si>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</si>
  <si>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</si>
  <si>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</si>
  <si>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</si>
  <si>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</si>
  <si>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</si>
  <si>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</si>
  <si>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</si>
  <si>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</si>
  <si>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</si>
  <si>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</si>
  <si>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</si>
  <si>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</si>
  <si>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</si>
  <si>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</si>
  <si>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</si>
  <si>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</si>
  <si>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</si>
  <si>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</si>
  <si>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</si>
  <si>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</si>
  <si>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</si>
  <si>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</si>
  <si>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</si>
  <si>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</si>
  <si>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</si>
  <si>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</si>
  <si>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</si>
  <si>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</si>
  <si>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</si>
  <si>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</si>
  <si>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</si>
  <si>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</si>
  <si>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</si>
  <si>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</si>
  <si>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</si>
  <si>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</si>
  <si>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</si>
  <si>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</si>
  <si>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</si>
  <si>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</si>
  <si>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</si>
  <si>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</si>
  <si>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</si>
  <si>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</si>
  <si>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</si>
  <si>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</si>
  <si>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</si>
  <si>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</si>
  <si>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</si>
  <si>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</si>
  <si>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</si>
  <si>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</si>
  <si>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</si>
  <si>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</si>
  <si>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</si>
  <si>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</si>
  <si>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</si>
  <si>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</si>
  <si>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</si>
  <si>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</si>
  <si>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</si>
  <si>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</si>
  <si>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</si>
  <si>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</si>
  <si>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</si>
  <si>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</si>
  <si>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</si>
  <si>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</si>
  <si>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</si>
  <si>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</si>
  <si>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</si>
  <si>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</si>
  <si>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</si>
  <si>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</si>
  <si>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</si>
  <si>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</si>
  <si>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</si>
  <si>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</si>
  <si>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</si>
  <si>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</si>
  <si>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</si>
  <si>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</si>
  <si>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</si>
  <si>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</si>
  <si>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</si>
  <si>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</si>
  <si>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</si>
  <si>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</si>
  <si>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</si>
  <si>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</si>
  <si>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</si>
  <si>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</si>
  <si>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</si>
  <si>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</si>
  <si>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</si>
  <si>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</si>
  <si>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</si>
  <si>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</si>
  <si>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</si>
  <si>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</si>
  <si>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</si>
  <si>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</si>
  <si>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</si>
  <si>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</si>
  <si>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</si>
  <si>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</si>
  <si>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</si>
  <si>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</si>
  <si>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</si>
  <si>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</si>
  <si>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</si>
  <si>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</si>
  <si>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</si>
  <si>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</si>
  <si>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</si>
  <si>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</si>
  <si>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</si>
  <si>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</si>
  <si>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</si>
  <si>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</si>
  <si>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</si>
  <si>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</si>
  <si>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</si>
  <si>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</si>
  <si>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</si>
  <si>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</si>
  <si>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</si>
  <si>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</si>
  <si>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</si>
  <si>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</si>
  <si>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</si>
  <si>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</si>
  <si>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</si>
  <si>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</si>
  <si>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</si>
  <si>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</si>
  <si>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</si>
  <si>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</si>
  <si>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</si>
  <si>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</si>
  <si>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</si>
  <si>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</si>
  <si>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</si>
  <si>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</si>
  <si>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</si>
  <si>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</si>
  <si>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</si>
  <si>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</si>
  <si>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</si>
  <si>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</si>
  <si>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</si>
  <si>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</si>
  <si>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</si>
  <si>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</si>
  <si>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</si>
  <si>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</si>
  <si>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</si>
  <si>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</si>
  <si>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</si>
  <si>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</si>
  <si>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</si>
  <si>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</si>
  <si>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</si>
  <si>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</si>
  <si>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</si>
  <si>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</si>
  <si>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</si>
  <si>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</si>
  <si>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</si>
  <si>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</si>
  <si>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</si>
  <si>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</si>
  <si>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</si>
  <si>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</si>
  <si>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</si>
  <si>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</si>
  <si>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</si>
  <si>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</si>
  <si>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</si>
  <si>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</si>
  <si>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</si>
  <si>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</si>
  <si>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</si>
  <si>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</si>
  <si>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</si>
  <si>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</si>
  <si>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</si>
  <si>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</si>
  <si>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</si>
  <si>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</si>
  <si>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</si>
  <si>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</si>
  <si>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</si>
  <si>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</si>
  <si>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</si>
  <si>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</si>
  <si>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</si>
  <si>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</si>
  <si>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</si>
  <si>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</si>
  <si>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</si>
  <si>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</si>
  <si>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</si>
  <si>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</si>
  <si>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</si>
  <si>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</si>
  <si>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</si>
  <si>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</si>
  <si>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</si>
  <si>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</si>
  <si>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</si>
  <si>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</si>
  <si>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</si>
  <si>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</si>
  <si>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</si>
  <si>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</si>
  <si>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</si>
  <si>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</si>
  <si>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</si>
  <si>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</si>
  <si>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</si>
  <si>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</si>
  <si>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</si>
  <si>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</si>
  <si>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</si>
  <si>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</si>
  <si>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</si>
  <si>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</si>
  <si>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</si>
  <si>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</si>
  <si>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</si>
  <si>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</si>
  <si>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</si>
  <si>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</si>
  <si>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</si>
  <si>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</si>
  <si>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</si>
  <si>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</si>
  <si>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</si>
  <si>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</si>
  <si>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</si>
  <si>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</si>
  <si>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</si>
  <si>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</si>
  <si>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</si>
  <si>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</si>
  <si>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</si>
  <si>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</si>
  <si>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</si>
  <si>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</si>
  <si>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</si>
  <si>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</si>
  <si>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</si>
  <si>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</si>
  <si>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</si>
  <si>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</si>
  <si>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</si>
  <si>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</si>
  <si>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</si>
  <si>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</si>
  <si>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</si>
  <si>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</si>
  <si>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</si>
  <si>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</si>
  <si>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</si>
  <si>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</si>
  <si>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</si>
  <si>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</si>
  <si>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</si>
  <si>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</si>
  <si>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</si>
  <si>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</si>
  <si>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</si>
  <si>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</si>
  <si>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</si>
  <si>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</si>
  <si>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</si>
  <si>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</si>
  <si>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</si>
  <si>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</si>
  <si>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</si>
  <si>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</si>
  <si>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</si>
  <si>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</si>
  <si>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</si>
  <si>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</si>
  <si>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</si>
  <si>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</si>
  <si>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</si>
  <si>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</si>
  <si>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</si>
  <si>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</si>
  <si>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</si>
  <si>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</si>
  <si>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</si>
  <si>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</si>
  <si>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</si>
  <si>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</si>
  <si>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</si>
  <si>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</si>
  <si>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</si>
  <si>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</si>
  <si>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</si>
  <si>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</si>
  <si>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</si>
  <si>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</si>
  <si>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</si>
  <si>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</si>
  <si>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</si>
  <si>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</si>
  <si>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</si>
  <si>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</si>
  <si>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</si>
  <si>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</si>
  <si>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</si>
  <si>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</si>
  <si>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</si>
  <si>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</si>
  <si>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</si>
  <si>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</si>
  <si>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</si>
  <si>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</si>
  <si>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</si>
  <si>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</si>
  <si>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</si>
  <si>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</si>
  <si>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</si>
  <si>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</si>
  <si>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</si>
  <si>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</si>
  <si>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</si>
  <si>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</si>
  <si>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</si>
  <si>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</si>
  <si>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</si>
  <si>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</si>
  <si>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</si>
  <si>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</si>
  <si>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</si>
  <si>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</si>
  <si>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</si>
  <si>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</si>
  <si>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</si>
  <si>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</si>
  <si>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</si>
  <si>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</si>
  <si>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</si>
  <si>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</si>
  <si>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</si>
  <si>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</si>
  <si>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</si>
  <si>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</si>
  <si>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</si>
  <si>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</si>
  <si>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</si>
  <si>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</si>
  <si>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</si>
  <si>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</si>
  <si>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</si>
  <si>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</si>
  <si>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</si>
  <si>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</si>
  <si>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</si>
  <si>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</si>
  <si>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</si>
  <si>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</si>
  <si>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</si>
  <si>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</si>
  <si>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</si>
  <si>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</si>
  <si>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</si>
  <si>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</si>
  <si>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</si>
  <si>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</si>
  <si>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</si>
  <si>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</si>
  <si>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</si>
  <si>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</si>
  <si>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</si>
  <si>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</si>
  <si>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</si>
  <si>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</si>
  <si>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</si>
  <si>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</si>
  <si>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</si>
  <si>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</si>
  <si>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</si>
  <si>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</si>
  <si>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</si>
  <si>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</si>
  <si>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</si>
  <si>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</si>
  <si>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</si>
  <si>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</si>
  <si>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</si>
  <si>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</si>
  <si>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</si>
  <si>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</si>
  <si>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</si>
  <si>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</si>
  <si>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</si>
  <si>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</si>
  <si>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</si>
  <si>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</si>
  <si>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</si>
  <si>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</si>
  <si>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</si>
  <si>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</si>
  <si>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PILs TAXES - EB-2010-</t>
  </si>
  <si>
    <t>Other Liabilities (2405) - Allowance for doubtful accounts</t>
  </si>
  <si>
    <t>Prospectus &amp; underwriting fees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</si>
  <si>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</si>
  <si>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</si>
  <si>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</si>
  <si>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</si>
  <si>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</si>
  <si>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</si>
  <si>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</si>
  <si>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</si>
  <si>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Other - EMPLOYEE FUTURE BENEFITS</t>
  </si>
  <si>
    <t>ONTARIO SPECIFIED TAX CREDITS</t>
  </si>
  <si>
    <t>PRE-MARKET OPENING ENERGY VARIANCE EXPENSES</t>
  </si>
  <si>
    <t>Utility Name: Erie Thames Powerlines Corporation</t>
  </si>
  <si>
    <t xml:space="preserve">    Customer Relations</t>
  </si>
  <si>
    <t xml:space="preserve">    Regulatory and Professional</t>
  </si>
  <si>
    <t>Interest paid on LTD in excess of 7.25%</t>
  </si>
  <si>
    <t>Deferred and Prepaid Expenses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</si>
</sst>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2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10" fontId="0" fillId="42" borderId="14" xfId="0" applyNumberForma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3" borderId="0" xfId="0" applyNumberFormat="1" applyFill="1" applyAlignment="1">
      <alignment vertical="top"/>
    </xf>
    <xf numFmtId="10" fontId="0" fillId="43" borderId="0" xfId="0" applyNumberFormat="1" applyFill="1" applyAlignment="1">
      <alignment vertical="top"/>
    </xf>
    <xf numFmtId="3" fontId="0" fillId="44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horizontal="right" vertical="top"/>
    </xf>
    <xf numFmtId="3" fontId="0" fillId="43" borderId="14" xfId="0" applyNumberFormat="1" applyFill="1" applyBorder="1" applyAlignment="1" applyProtection="1">
      <alignment horizontal="right" vertical="top"/>
      <protection locked="0"/>
    </xf>
    <xf numFmtId="3" fontId="0" fillId="43" borderId="14" xfId="0" applyNumberFormat="1" applyFill="1" applyBorder="1" applyAlignment="1">
      <alignment vertical="top"/>
    </xf>
    <xf numFmtId="37" fontId="0" fillId="43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3" borderId="14" xfId="0" applyNumberFormat="1" applyFill="1" applyBorder="1" applyAlignment="1">
      <alignment/>
    </xf>
    <xf numFmtId="9" fontId="0" fillId="43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4" borderId="0" xfId="0" applyFont="1" applyFill="1" applyAlignment="1">
      <alignment vertical="top" wrapText="1"/>
    </xf>
    <xf numFmtId="0" fontId="0" fillId="44" borderId="0" xfId="0" applyFont="1" applyFill="1" applyAlignment="1">
      <alignment vertical="top"/>
    </xf>
    <xf numFmtId="3" fontId="0" fillId="43" borderId="14" xfId="0" applyNumberFormat="1" applyFill="1" applyBorder="1" applyAlignment="1" applyProtection="1">
      <alignment horizontal="center" vertical="center"/>
      <protection locked="0"/>
    </xf>
    <xf numFmtId="3" fontId="0" fillId="43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10" fontId="0" fillId="45" borderId="14" xfId="0" applyNumberFormat="1" applyFill="1" applyBorder="1" applyAlignment="1" applyProtection="1" quotePrefix="1">
      <alignment horizontal="right" vertical="top"/>
      <protection/>
    </xf>
    <xf numFmtId="37" fontId="0" fillId="32" borderId="14" xfId="0" applyNumberFormat="1" applyFill="1" applyBorder="1" applyAlignment="1" applyProtection="1">
      <alignment/>
      <protection/>
    </xf>
    <xf numFmtId="10" fontId="0" fillId="45" borderId="14" xfId="0" applyNumberFormat="1" applyFont="1" applyFill="1" applyBorder="1" applyAlignment="1" applyProtection="1">
      <alignment horizontal="right" vertical="top"/>
      <protection/>
    </xf>
    <xf numFmtId="3" fontId="0" fillId="32" borderId="14" xfId="0" applyNumberFormat="1" applyFill="1" applyBorder="1" applyAlignment="1" applyProtection="1" quotePrefix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21</xdr:row>
      <xdr:rowOff>0</xdr:rowOff>
    </xdr:from>
    <xdr:to>
      <xdr:col>14</xdr:col>
      <xdr:colOff>228600</xdr:colOff>
      <xdr:row>22</xdr:row>
      <xdr:rowOff>66675</xdr:rowOff>
    </xdr:to>
    <xdr:pic>
      <xdr:nvPicPr>
        <xdr:cNvPr id="1" name="Picture 1" descr="lab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5067300"/>
          <a:ext cx="228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Revised%20Application%20Exhibits\ETPL%20Board%20Staff%20IR%2044%20Implementation%20model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</sheetNames>
    <sheetDataSet>
      <sheetData sheetId="0">
        <row r="22">
          <cell r="D22">
            <v>16104265</v>
          </cell>
        </row>
        <row r="34">
          <cell r="D34">
            <v>525094</v>
          </cell>
        </row>
        <row r="39">
          <cell r="D39">
            <v>320256.55</v>
          </cell>
        </row>
        <row r="40">
          <cell r="D40">
            <v>266990.1</v>
          </cell>
        </row>
        <row r="41">
          <cell r="D41">
            <v>266990.1</v>
          </cell>
        </row>
      </sheetData>
      <sheetData sheetId="1">
        <row r="20">
          <cell r="C20">
            <v>866731</v>
          </cell>
        </row>
        <row r="24">
          <cell r="C24">
            <v>83642</v>
          </cell>
        </row>
        <row r="30">
          <cell r="C30">
            <v>-585215</v>
          </cell>
        </row>
        <row r="34">
          <cell r="C34">
            <v>-470780</v>
          </cell>
        </row>
        <row r="59">
          <cell r="C59">
            <v>16104265</v>
          </cell>
        </row>
        <row r="60">
          <cell r="C60">
            <v>-5000000</v>
          </cell>
        </row>
        <row r="68">
          <cell r="C68">
            <v>16104265</v>
          </cell>
        </row>
        <row r="75">
          <cell r="C75">
            <v>-11275.2528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504</v>
      </c>
      <c r="C3" s="8"/>
      <c r="D3" s="450" t="s">
        <v>445</v>
      </c>
      <c r="E3" s="8"/>
      <c r="F3" s="8"/>
      <c r="G3" s="8"/>
      <c r="H3" s="8"/>
    </row>
    <row r="4" spans="1:8" ht="12.75">
      <c r="A4" s="2" t="s">
        <v>473</v>
      </c>
      <c r="C4" s="8"/>
      <c r="D4" s="449" t="s">
        <v>440</v>
      </c>
      <c r="E4" s="423"/>
      <c r="H4" s="8"/>
    </row>
    <row r="5" spans="1:8" ht="12.75">
      <c r="A5" s="52"/>
      <c r="C5" s="8"/>
      <c r="D5" s="448" t="s">
        <v>441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500</v>
      </c>
    </row>
    <row r="18" spans="1:4" ht="15" customHeight="1">
      <c r="A18" s="390" t="s">
        <v>312</v>
      </c>
      <c r="C18" s="8"/>
      <c r="D18" s="8"/>
    </row>
    <row r="19" spans="1:4" ht="15" customHeight="1">
      <c r="A19" s="504" t="s">
        <v>313</v>
      </c>
      <c r="B19" s="8" t="s">
        <v>310</v>
      </c>
      <c r="C19" s="8" t="s">
        <v>64</v>
      </c>
      <c r="D19" s="389" t="s">
        <v>499</v>
      </c>
    </row>
    <row r="20" spans="1:4" ht="13.5" thickBot="1">
      <c r="A20" s="505"/>
      <c r="B20" s="8" t="s">
        <v>311</v>
      </c>
      <c r="C20" s="8" t="s">
        <v>64</v>
      </c>
      <c r="D20" s="258" t="s">
        <v>499</v>
      </c>
    </row>
    <row r="21" spans="1:4" ht="12.75">
      <c r="A21" s="504" t="s">
        <v>309</v>
      </c>
      <c r="B21" s="8" t="s">
        <v>310</v>
      </c>
      <c r="C21" s="8"/>
      <c r="D21" s="488">
        <f>3709585/5000000</f>
        <v>0.741917</v>
      </c>
    </row>
    <row r="22" spans="1:4" ht="12.75">
      <c r="A22" s="504"/>
      <c r="B22" s="8" t="s">
        <v>311</v>
      </c>
      <c r="C22" s="8"/>
      <c r="D22" s="488">
        <f>3332822/10000000</f>
        <v>0.3332822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474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294</v>
      </c>
    </row>
    <row r="27" spans="1:5" ht="12.75">
      <c r="A27" s="256" t="s">
        <v>68</v>
      </c>
      <c r="C27" s="8"/>
      <c r="E27" s="439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76">
        <f>'[2]REGINFO'!$D$22</f>
        <v>16104265</v>
      </c>
      <c r="H31" s="5"/>
    </row>
    <row r="32" ht="6" customHeight="1"/>
    <row r="33" spans="1:8" ht="12.75">
      <c r="A33" t="s">
        <v>71</v>
      </c>
      <c r="D33" s="477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7">
        <v>0.0988</v>
      </c>
      <c r="H37" s="41"/>
    </row>
    <row r="38" ht="4.5" customHeight="1">
      <c r="H38" s="34"/>
    </row>
    <row r="39" spans="1:8" ht="12.75">
      <c r="A39" t="s">
        <v>74</v>
      </c>
      <c r="D39" s="477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1379330.29725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f>'[2]REGINFO'!$D$34</f>
        <v>525094</v>
      </c>
      <c r="E43" s="388">
        <f>D43</f>
        <v>525094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854236.2972500001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78">
        <f>'[2]REGINFO'!$D$39</f>
        <v>320256.55</v>
      </c>
      <c r="E47" s="388">
        <f aca="true" t="shared" si="0" ref="E47:E53">D47</f>
        <v>320256.55</v>
      </c>
      <c r="H47" s="40"/>
      <c r="J47" s="5"/>
      <c r="K47" s="5"/>
    </row>
    <row r="48" spans="1:11" ht="12.75">
      <c r="A48" t="s">
        <v>287</v>
      </c>
      <c r="D48" s="478">
        <f>'[2]REGINFO'!$D$40</f>
        <v>266990.1</v>
      </c>
      <c r="E48" s="388">
        <f>D48</f>
        <v>266990.1</v>
      </c>
      <c r="F48" s="22"/>
      <c r="H48" s="40"/>
      <c r="J48" s="5"/>
      <c r="K48" s="5"/>
    </row>
    <row r="49" spans="1:11" ht="12.75">
      <c r="A49" t="s">
        <v>288</v>
      </c>
      <c r="D49" s="479">
        <f>'[2]REGINFO'!$D$41</f>
        <v>266990.1</v>
      </c>
      <c r="E49" s="388">
        <v>0</v>
      </c>
      <c r="F49" s="22"/>
      <c r="H49" s="40"/>
      <c r="J49" s="5"/>
      <c r="K49" s="5"/>
    </row>
    <row r="50" spans="1:11" ht="12.75">
      <c r="A50" t="s">
        <v>289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1112340.65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8052132.5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795550.691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8052132.5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583779.60625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357781.1726503211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470780.4852597781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470780.4852597781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583779.60625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">
      <pane xSplit="1" ySplit="12" topLeftCell="B16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38" sqref="E13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Erie Thames Powerlines Corporation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1112340.65</v>
      </c>
      <c r="D16" s="17"/>
      <c r="E16" s="268">
        <f>G16-C16</f>
        <v>-653083.6499999999</v>
      </c>
      <c r="F16" s="3"/>
      <c r="G16" s="268">
        <f>TAXREC!E50</f>
        <v>459257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0">
        <f>'[2]TAXCALC'!$C$20</f>
        <v>866731</v>
      </c>
      <c r="D20" s="18"/>
      <c r="E20" s="268">
        <f>G20-C20</f>
        <v>-62602</v>
      </c>
      <c r="F20" s="6"/>
      <c r="G20" s="268">
        <f>TAXREC!E61</f>
        <v>804129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261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260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262</v>
      </c>
      <c r="B24" s="127">
        <v>5</v>
      </c>
      <c r="C24" s="480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95">
        <f>'[2]TAXCALC'!$C$24</f>
        <v>83642</v>
      </c>
      <c r="D26" s="18"/>
      <c r="E26" s="268">
        <f>G26-C26</f>
        <v>-83642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95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">
      <c r="A30" s="472" t="s">
        <v>393</v>
      </c>
      <c r="B30" s="127"/>
      <c r="C30" s="260"/>
      <c r="D30" s="18"/>
      <c r="E30" s="268">
        <f>G30-C30</f>
        <v>100482</v>
      </c>
      <c r="F30" s="6"/>
      <c r="G30" s="268">
        <f>TAXREC!E66</f>
        <v>100482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0">
        <f>-'[2]TAXCALC'!$C$30</f>
        <v>585215</v>
      </c>
      <c r="D33" s="132"/>
      <c r="E33" s="268">
        <f aca="true" t="shared" si="0" ref="E33:E42">G33-C33</f>
        <v>-13548</v>
      </c>
      <c r="F33" s="6"/>
      <c r="G33" s="268">
        <f>TAXREC!E97+TAXREC!E98</f>
        <v>571667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263</v>
      </c>
      <c r="B36" s="127">
        <v>10</v>
      </c>
      <c r="C36" s="480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497" t="s">
        <v>86</v>
      </c>
      <c r="B37" s="125">
        <v>11</v>
      </c>
      <c r="C37" s="261">
        <f>-'[2]TAXCALC'!$C$34</f>
        <v>470780</v>
      </c>
      <c r="D37" s="132"/>
      <c r="E37" s="268">
        <f t="shared" si="0"/>
        <v>212495</v>
      </c>
      <c r="F37" s="6"/>
      <c r="G37" s="268">
        <f>TAXREC!E51</f>
        <v>683275</v>
      </c>
      <c r="H37" s="151"/>
    </row>
    <row r="38" spans="1:8" ht="12.75">
      <c r="A38" s="155" t="s">
        <v>259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258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4719</v>
      </c>
      <c r="F47" s="6"/>
      <c r="G47" s="251">
        <f>TAXREC!E111</f>
        <v>4719</v>
      </c>
      <c r="H47" s="151"/>
    </row>
    <row r="48" spans="1:8" ht="15">
      <c r="A48" s="472" t="s">
        <v>393</v>
      </c>
      <c r="B48" s="127"/>
      <c r="C48" s="260"/>
      <c r="D48" s="132"/>
      <c r="E48" s="268">
        <f>G48-C48</f>
        <v>168660</v>
      </c>
      <c r="F48" s="6"/>
      <c r="G48" s="251">
        <f>TAXREC!E108</f>
        <v>168660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1006718.6499999999</v>
      </c>
      <c r="D50" s="102"/>
      <c r="E50" s="264">
        <f>E16+SUM(E20:E30)-SUM(E33:E48)</f>
        <v>-1071171.65</v>
      </c>
      <c r="F50" s="426" t="s">
        <v>365</v>
      </c>
      <c r="G50" s="264">
        <f>G16+SUM(G20:G30)-SUM(G33:G48)</f>
        <v>-64453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-0.3862</v>
      </c>
      <c r="F53" s="114"/>
      <c r="G53" s="465">
        <f>TAXREC!E151</f>
        <v>0</v>
      </c>
      <c r="H53" s="151"/>
      <c r="I53" s="464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388794.74262999994</v>
      </c>
      <c r="D55" s="102"/>
      <c r="E55" s="268">
        <f>G55-C55</f>
        <v>-388794.74262999994</v>
      </c>
      <c r="F55" s="426" t="s">
        <v>366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366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388794.74262999994</v>
      </c>
      <c r="D60" s="133"/>
      <c r="E60" s="270">
        <f>+E55-E58</f>
        <v>-388794.74262999994</v>
      </c>
      <c r="F60" s="426" t="s">
        <v>366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'[2]TAXCALC'!$C$59</f>
        <v>16104265</v>
      </c>
      <c r="D66" s="102"/>
      <c r="E66" s="268">
        <f>G66-C66</f>
        <v>-646318</v>
      </c>
      <c r="F66" s="6"/>
      <c r="G66" s="481">
        <v>15457947</v>
      </c>
      <c r="H66" s="151"/>
      <c r="I66" s="467" t="s">
        <v>472</v>
      </c>
    </row>
    <row r="67" spans="1:9" ht="12.75">
      <c r="A67" s="152" t="s">
        <v>358</v>
      </c>
      <c r="B67" s="125">
        <v>16</v>
      </c>
      <c r="C67" s="261">
        <f>-'[2]TAXCALC'!$C$60</f>
        <v>5000000</v>
      </c>
      <c r="D67" s="102"/>
      <c r="E67" s="268">
        <f>G67-C67</f>
        <v>-1290415</v>
      </c>
      <c r="F67" s="6"/>
      <c r="G67" s="466">
        <v>3709585</v>
      </c>
      <c r="H67" s="151"/>
      <c r="I67" s="467" t="s">
        <v>472</v>
      </c>
    </row>
    <row r="68" spans="1:8" ht="12.75">
      <c r="A68" s="152" t="s">
        <v>42</v>
      </c>
      <c r="B68" s="125"/>
      <c r="C68" s="265">
        <f>IF((C66-C67)&gt;0,C66-C67,0)</f>
        <v>11104265</v>
      </c>
      <c r="D68" s="102"/>
      <c r="E68" s="268">
        <f>SUM(E66:E67)</f>
        <v>-1936733</v>
      </c>
      <c r="F68" s="114"/>
      <c r="G68" s="265">
        <f>G66-G67</f>
        <v>11748362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 t="s">
        <v>102</v>
      </c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33312.795</v>
      </c>
      <c r="D72" s="101"/>
      <c r="E72" s="268">
        <f>+G72-C72</f>
        <v>1932.2910000000047</v>
      </c>
      <c r="F72" s="468" t="s">
        <v>102</v>
      </c>
      <c r="G72" s="265">
        <f>IF(G68&gt;0,G68*G70,0)*REGINFO!$B$6/REGINFO!$B$7</f>
        <v>35245.086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'[2]TAXCALC'!$C$68</f>
        <v>16104265</v>
      </c>
      <c r="D75" s="102"/>
      <c r="E75" s="268">
        <f>+G75-C75</f>
        <v>-17567</v>
      </c>
      <c r="F75" s="6"/>
      <c r="G75" s="481">
        <v>16086698</v>
      </c>
      <c r="H75" s="151"/>
      <c r="I75" s="467" t="s">
        <v>472</v>
      </c>
    </row>
    <row r="76" spans="1:9" ht="12.75">
      <c r="A76" s="152" t="s">
        <v>358</v>
      </c>
      <c r="B76" s="125">
        <v>19</v>
      </c>
      <c r="C76" s="261">
        <v>10000000</v>
      </c>
      <c r="D76" s="18"/>
      <c r="E76" s="268">
        <f>+G76-C76</f>
        <v>-6667178</v>
      </c>
      <c r="F76" s="6"/>
      <c r="G76" s="481">
        <v>3332822</v>
      </c>
      <c r="H76" s="151"/>
      <c r="I76" s="467" t="s">
        <v>472</v>
      </c>
    </row>
    <row r="77" spans="1:8" ht="12.75">
      <c r="A77" s="152" t="s">
        <v>42</v>
      </c>
      <c r="B77" s="125"/>
      <c r="C77" s="265">
        <f>IF((C75-C76)&gt;0,C75-C76,0)</f>
        <v>6104265</v>
      </c>
      <c r="D77" s="19"/>
      <c r="E77" s="268">
        <f>SUM(E75:E76)</f>
        <v>-6684745</v>
      </c>
      <c r="F77" s="114"/>
      <c r="G77" s="265">
        <f>G75-G76</f>
        <v>12753876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13734.596249999999</v>
      </c>
      <c r="D81" s="102"/>
      <c r="E81" s="268">
        <f>+G81-C81</f>
        <v>14961.624749999999</v>
      </c>
      <c r="F81" s="6"/>
      <c r="G81" s="265">
        <f>G77*G79*B9/B10</f>
        <v>28696.220999999998</v>
      </c>
      <c r="H81" s="151"/>
    </row>
    <row r="82" spans="1:8" ht="12.75">
      <c r="A82" s="152" t="s">
        <v>316</v>
      </c>
      <c r="B82" s="125">
        <v>21</v>
      </c>
      <c r="C82" s="301">
        <f>'[2]TAXCALC'!$C$75</f>
        <v>-11275.2528</v>
      </c>
      <c r="D82" s="102"/>
      <c r="E82" s="268">
        <f>+G82-C82</f>
        <v>11275.2528</v>
      </c>
      <c r="F82" s="6"/>
      <c r="G82" s="301"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C81+C82</f>
        <v>2459.3434499999985</v>
      </c>
      <c r="D84" s="16"/>
      <c r="E84" s="268">
        <f>E81-E82</f>
        <v>3686.371949999999</v>
      </c>
      <c r="F84" s="103"/>
      <c r="G84" s="265">
        <f>G81-G82</f>
        <v>28696.220999999998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5">
        <f>C60/(1-C88)</f>
        <v>622071.588208</v>
      </c>
      <c r="D90" s="20"/>
      <c r="E90" s="139"/>
      <c r="F90" s="425" t="s">
        <v>482</v>
      </c>
      <c r="G90" s="271">
        <f>TAXREC!E156</f>
        <v>0</v>
      </c>
      <c r="H90" s="151"/>
    </row>
    <row r="91" spans="1:8" ht="12.75">
      <c r="A91" s="158" t="s">
        <v>368</v>
      </c>
      <c r="B91" s="127">
        <v>23</v>
      </c>
      <c r="C91" s="265">
        <f>C84/(1-(C53-0.0112))</f>
        <v>3934.9495199999974</v>
      </c>
      <c r="D91" s="20"/>
      <c r="E91" s="139"/>
      <c r="F91" s="425" t="s">
        <v>482</v>
      </c>
      <c r="G91" s="271">
        <f>TAXREC!E158</f>
        <v>28696</v>
      </c>
      <c r="H91" s="151"/>
    </row>
    <row r="92" spans="1:8" ht="12.75">
      <c r="A92" s="158" t="s">
        <v>346</v>
      </c>
      <c r="B92" s="127">
        <v>24</v>
      </c>
      <c r="C92" s="265">
        <f>C72</f>
        <v>33312.795</v>
      </c>
      <c r="D92" s="20"/>
      <c r="E92" s="139"/>
      <c r="F92" s="425" t="s">
        <v>482</v>
      </c>
      <c r="G92" s="271">
        <f>TAXREC!E157</f>
        <v>35245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483</v>
      </c>
      <c r="B95" s="125">
        <v>25</v>
      </c>
      <c r="C95" s="270">
        <f>SUM(C90:C93)</f>
        <v>659319.332728</v>
      </c>
      <c r="D95" s="6"/>
      <c r="E95" s="139"/>
      <c r="F95" s="425" t="s">
        <v>482</v>
      </c>
      <c r="G95" s="413">
        <f>SUM(G90:G94)</f>
        <v>63941</v>
      </c>
      <c r="H95" s="164"/>
    </row>
    <row r="96" spans="1:8" ht="12.75">
      <c r="A96" s="404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-83642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97" t="s">
        <v>498</v>
      </c>
      <c r="B112" s="127">
        <v>11</v>
      </c>
      <c r="C112" s="112"/>
      <c r="D112" s="3"/>
      <c r="E112" s="251">
        <f>E206</f>
        <v>99495.39375000005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-183137.39375000005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230</v>
      </c>
      <c r="E122" s="500">
        <v>0.3862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-70727.66146625002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-70727.66146625002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500">
        <f>0.3862-0.0112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264">
        <f>E128/(1-E130)</f>
        <v>-113164.25834600003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3">
        <f>C50</f>
        <v>1006718.6499999999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500"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388794.74262999994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388794.74262999994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188</v>
      </c>
      <c r="E146" s="303">
        <f>C60</f>
        <v>388794.74262999994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E144-E146+0.6</f>
        <v>0.6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16104265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11104265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IF(E153&gt;0,E153*E155*B9/B10,0)</f>
        <v>33312.795</v>
      </c>
      <c r="F157" s="37"/>
      <c r="G157" s="201"/>
      <c r="H157" s="164"/>
    </row>
    <row r="158" spans="1:8" ht="26.25">
      <c r="A158" s="171" t="s">
        <v>306</v>
      </c>
      <c r="B158" s="130"/>
      <c r="C158" s="112"/>
      <c r="D158" s="118" t="s">
        <v>188</v>
      </c>
      <c r="E158" s="306">
        <f>C72</f>
        <v>33312.795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50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16104265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6104265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13734.596249999999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11275.24888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2459.3473699999995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6">
        <f>C84</f>
        <v>2459.3434499999985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501">
        <f>E170-E172</f>
        <v>0.003920000001016888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502">
        <f>0.3862-0.0112</f>
        <v>0.375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0.96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0.00627200000162702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303">
        <f>SUM(E177:E179)</f>
        <v>0.9662720000016269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343</v>
      </c>
      <c r="B183" s="130"/>
      <c r="C183" s="112"/>
      <c r="D183" s="119" t="s">
        <v>187</v>
      </c>
      <c r="E183" s="303">
        <f>E132</f>
        <v>-113164.25834600003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189</v>
      </c>
      <c r="E185" s="303">
        <f>E181+E183</f>
        <v>-113163.29207400003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583779.60625</v>
      </c>
      <c r="F193" s="3"/>
      <c r="G193" s="123"/>
      <c r="H193" s="164"/>
    </row>
    <row r="194" spans="1:8" ht="12.75">
      <c r="A194" s="497" t="s">
        <v>495</v>
      </c>
      <c r="B194" s="127"/>
      <c r="C194" s="112"/>
      <c r="D194" s="120"/>
      <c r="E194" s="309">
        <f>C37</f>
        <v>470780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112999.60624999995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75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5"/>
      <c r="H200" s="164"/>
    </row>
    <row r="201" spans="1:8" ht="12.75">
      <c r="A201" s="497" t="s">
        <v>496</v>
      </c>
      <c r="B201" s="127"/>
      <c r="C201" s="112"/>
      <c r="D201" s="120"/>
      <c r="E201" s="309">
        <f>G37+G42</f>
        <v>683275</v>
      </c>
      <c r="F201" s="3"/>
      <c r="G201" s="475"/>
      <c r="H201" s="164"/>
    </row>
    <row r="202" spans="1:8" ht="12.75">
      <c r="A202" s="497" t="s">
        <v>493</v>
      </c>
      <c r="B202" s="127"/>
      <c r="C202" s="112"/>
      <c r="D202" s="120"/>
      <c r="E202" s="309">
        <f>REGINFO!D62</f>
        <v>583779.60625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99495.39375000005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503">
        <f>IF((E201-E202)&gt;0,E201-E202,0)</f>
        <v>99495.39375000005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13504.212499999907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1" sqref="C6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Erie Thames Powerlines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0.0025*Ratebase*REGINFO!D33</f>
        <v>20130.33125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499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500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8" t="s">
        <v>500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500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323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256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321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322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2">
        <v>25271722</v>
      </c>
      <c r="D31" s="287"/>
      <c r="E31" s="285">
        <f>C31-D31</f>
        <v>25271722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2">
        <f>29768686-C31</f>
        <v>4496964</v>
      </c>
      <c r="D32" s="287"/>
      <c r="E32" s="285">
        <f>C32-D32</f>
        <v>4496964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f>65552+4719</f>
        <v>70271</v>
      </c>
      <c r="D33" s="287"/>
      <c r="E33" s="285">
        <f>C33-D33</f>
        <v>70271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>
        <v>132434</v>
      </c>
      <c r="D34" s="287"/>
      <c r="E34" s="285">
        <f>C34-D34</f>
        <v>132434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2">
        <v>25271722</v>
      </c>
      <c r="D39" s="287"/>
      <c r="E39" s="285">
        <f>C39-D39</f>
        <v>25271722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2">
        <f>259444-35245</f>
        <v>224199</v>
      </c>
      <c r="D40" s="287"/>
      <c r="E40" s="285">
        <f aca="true" t="shared" si="0" ref="E40:E48">C40-D40</f>
        <v>224199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>
        <v>171803</v>
      </c>
      <c r="D41" s="287"/>
      <c r="E41" s="285">
        <f t="shared" si="0"/>
        <v>171803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v>2520343</v>
      </c>
      <c r="D42" s="287"/>
      <c r="E42" s="285">
        <f t="shared" si="0"/>
        <v>2520343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82">
        <v>804129</v>
      </c>
      <c r="D43" s="287"/>
      <c r="E43" s="285">
        <f t="shared" si="0"/>
        <v>804129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2">
        <v>35245</v>
      </c>
      <c r="D44" s="287"/>
      <c r="E44" s="285">
        <f t="shared" si="0"/>
        <v>35245</v>
      </c>
      <c r="F44" s="11"/>
      <c r="G44" s="11"/>
      <c r="H44" s="6"/>
      <c r="I44" s="6"/>
    </row>
    <row r="45" spans="1:11" ht="12.75">
      <c r="A45" s="499" t="s">
        <v>505</v>
      </c>
      <c r="B45" s="23" t="s">
        <v>188</v>
      </c>
      <c r="C45" s="482">
        <v>25175</v>
      </c>
      <c r="D45" s="287"/>
      <c r="E45" s="285">
        <f t="shared" si="0"/>
        <v>25175</v>
      </c>
      <c r="F45" s="11"/>
      <c r="G45" s="11"/>
      <c r="H45" s="33"/>
      <c r="I45" s="33"/>
      <c r="J45" s="32"/>
      <c r="K45" s="32"/>
    </row>
    <row r="46" spans="1:11" ht="12.75">
      <c r="A46" s="499" t="s">
        <v>506</v>
      </c>
      <c r="B46" s="23" t="s">
        <v>188</v>
      </c>
      <c r="C46" s="286">
        <v>459518</v>
      </c>
      <c r="D46" s="287"/>
      <c r="E46" s="285">
        <f t="shared" si="0"/>
        <v>459518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459257</v>
      </c>
      <c r="D50" s="282">
        <f>SUM(D31:D36)-SUM(D39:D49)</f>
        <v>0</v>
      </c>
      <c r="E50" s="282">
        <f>SUM(E31:E35)-SUM(E39:E48)</f>
        <v>459257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2">
        <v>683275</v>
      </c>
      <c r="D51" s="286"/>
      <c r="E51" s="283">
        <f>+C51-D51</f>
        <v>683275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2">
        <v>10245</v>
      </c>
      <c r="D52" s="286"/>
      <c r="E52" s="284">
        <f>+C52-D52</f>
        <v>10245</v>
      </c>
      <c r="F52" s="8"/>
    </row>
    <row r="53" spans="1:6" ht="12.75">
      <c r="A53" s="2" t="s">
        <v>131</v>
      </c>
      <c r="B53" s="8" t="s">
        <v>189</v>
      </c>
      <c r="C53" s="282">
        <f>C50-C51-C52</f>
        <v>-234263</v>
      </c>
      <c r="D53" s="282">
        <f>D50-D51-D52</f>
        <v>0</v>
      </c>
      <c r="E53" s="282">
        <f>E50-E51-E52</f>
        <v>-234263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10245</v>
      </c>
      <c r="D59" s="288">
        <f>D52</f>
        <v>0</v>
      </c>
      <c r="E59" s="273">
        <f>+C59-D59</f>
        <v>10245</v>
      </c>
      <c r="F59" s="8"/>
    </row>
    <row r="60" spans="1:6" ht="12.75">
      <c r="A60" s="4" t="s">
        <v>324</v>
      </c>
      <c r="B60" s="8" t="s">
        <v>187</v>
      </c>
      <c r="C60" s="483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551502+252627</f>
        <v>804129</v>
      </c>
      <c r="D61" s="288">
        <f>D43</f>
        <v>0</v>
      </c>
      <c r="E61" s="273">
        <f>+C61-D61</f>
        <v>804129</v>
      </c>
      <c r="F61" s="8"/>
      <c r="G61" s="415"/>
    </row>
    <row r="62" spans="1:6" ht="12.75">
      <c r="A62" t="s">
        <v>6</v>
      </c>
      <c r="B62" s="8" t="s">
        <v>187</v>
      </c>
      <c r="C62" s="483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/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442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393</v>
      </c>
      <c r="B66" s="8"/>
      <c r="C66" s="441">
        <f>'TAXREC 3 No True-up'!C50</f>
        <v>100482</v>
      </c>
      <c r="D66" s="441">
        <f>'TAXREC 3 No True-up'!D50</f>
        <v>0</v>
      </c>
      <c r="E66" s="273">
        <f>+C66-D66</f>
        <v>100482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914856</v>
      </c>
      <c r="D70" s="273">
        <f>SUM(D59:D68)</f>
        <v>0</v>
      </c>
      <c r="E70" s="273">
        <f>SUM(E59:E68)</f>
        <v>914856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502</v>
      </c>
      <c r="B76" s="8" t="s">
        <v>187</v>
      </c>
      <c r="C76" s="469"/>
      <c r="D76" s="295"/>
      <c r="E76" s="47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102</v>
      </c>
      <c r="B77" s="8" t="s">
        <v>187</v>
      </c>
      <c r="C77" s="295">
        <v>0</v>
      </c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8" t="s">
        <v>102</v>
      </c>
      <c r="B78" s="8" t="s">
        <v>187</v>
      </c>
      <c r="C78" s="295">
        <v>0</v>
      </c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914856</v>
      </c>
      <c r="D82" s="251">
        <f>D70+D80</f>
        <v>0</v>
      </c>
      <c r="E82" s="251">
        <f>E70+E80</f>
        <v>914856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430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4">
        <v>530569</v>
      </c>
      <c r="D97" s="295"/>
      <c r="E97" s="273">
        <f>+C97-D97</f>
        <v>530569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41098</v>
      </c>
      <c r="D98" s="295"/>
      <c r="E98" s="273">
        <f>+C98-D98</f>
        <v>41098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4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19"/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393</v>
      </c>
      <c r="B108" s="8"/>
      <c r="C108" s="254">
        <f>'TAXREC 3 No True-up'!C76</f>
        <v>168660</v>
      </c>
      <c r="D108" s="254">
        <f>'TAXREC 3 No True-up'!D76</f>
        <v>0</v>
      </c>
      <c r="E108" s="273">
        <f t="shared" si="5"/>
        <v>168660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4719</v>
      </c>
      <c r="D111" s="251">
        <f>'TAXREC 2'!D120</f>
        <v>0</v>
      </c>
      <c r="E111" s="251">
        <f>'TAXREC 2'!E120</f>
        <v>4719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745046</v>
      </c>
      <c r="D113" s="251">
        <f>SUM(D97:D111)</f>
        <v>0</v>
      </c>
      <c r="E113" s="251">
        <f>SUM(E97:E111)</f>
        <v>745046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102</v>
      </c>
      <c r="B116" s="8" t="s">
        <v>188</v>
      </c>
      <c r="C116" s="295">
        <v>0</v>
      </c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102</v>
      </c>
      <c r="B117" s="8" t="s">
        <v>188</v>
      </c>
      <c r="C117" s="295">
        <v>0</v>
      </c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 t="s">
        <v>102</v>
      </c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745046</v>
      </c>
      <c r="D122" s="251">
        <f>D113+D120</f>
        <v>0</v>
      </c>
      <c r="E122" s="251">
        <f>+E113+E120</f>
        <v>745046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-64453</v>
      </c>
      <c r="D134" s="251">
        <f>D53+D82-D122</f>
        <v>0</v>
      </c>
      <c r="E134" s="251">
        <f>E53+E82-E122</f>
        <v>-64453</v>
      </c>
      <c r="F134" s="8"/>
      <c r="G134" s="30">
        <f>E134-3092539</f>
        <v>-3156992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>
        <f>G134/2</f>
        <v>-1578496</v>
      </c>
      <c r="H135" s="45"/>
      <c r="I135" s="474"/>
      <c r="J135" s="45"/>
      <c r="K135" s="45"/>
    </row>
    <row r="136" spans="1:11" ht="12.75">
      <c r="A136" s="12" t="s">
        <v>373</v>
      </c>
      <c r="B136" s="8" t="s">
        <v>188</v>
      </c>
      <c r="C136" s="484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-64453</v>
      </c>
      <c r="D139" s="252">
        <f>D134-D136-D137-D138</f>
        <v>0</v>
      </c>
      <c r="E139" s="252">
        <f>E134-E136-E137-E138</f>
        <v>-64453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85">
        <v>0</v>
      </c>
      <c r="D142" s="299"/>
      <c r="E142" s="252">
        <f>C142-D142</f>
        <v>0</v>
      </c>
      <c r="F142" s="8"/>
      <c r="G142" s="45" t="s">
        <v>489</v>
      </c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85">
        <v>0</v>
      </c>
      <c r="D143" s="299"/>
      <c r="E143" s="293">
        <f>C143-D143</f>
        <v>0</v>
      </c>
      <c r="F143" s="8"/>
      <c r="G143" s="45" t="s">
        <v>489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5">
        <f>C142/C139</f>
        <v>0</v>
      </c>
      <c r="D149" s="5"/>
      <c r="E149" s="496">
        <f>C149</f>
        <v>0</v>
      </c>
      <c r="F149" s="8"/>
      <c r="G149" s="45" t="s">
        <v>467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5">
        <v>0</v>
      </c>
      <c r="D150" s="5"/>
      <c r="E150" s="496">
        <f>C150</f>
        <v>0</v>
      </c>
      <c r="F150" s="8"/>
      <c r="G150" s="45" t="s">
        <v>468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98">
        <f>SUM(C149:C150)</f>
        <v>0</v>
      </c>
      <c r="D151" s="473" t="s">
        <v>484</v>
      </c>
      <c r="E151" s="498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6">
        <v>35245</v>
      </c>
      <c r="D157" s="251"/>
      <c r="E157" s="251">
        <f>C157+D157</f>
        <v>35245</v>
      </c>
    </row>
    <row r="158" spans="1:5" ht="12.75">
      <c r="A158" t="s">
        <v>218</v>
      </c>
      <c r="B158" s="86" t="s">
        <v>187</v>
      </c>
      <c r="C158" s="486">
        <v>28696</v>
      </c>
      <c r="D158" s="251"/>
      <c r="E158" s="251">
        <f>C158+D158</f>
        <v>28696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63941</v>
      </c>
      <c r="D160" s="251">
        <f>D156+D157+D158</f>
        <v>0</v>
      </c>
      <c r="E160" s="251">
        <f>E156+E157+E158</f>
        <v>63941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9" sqref="C59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Erie Thames Powerlines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447</v>
      </c>
      <c r="B18" s="61"/>
      <c r="C18" s="295">
        <v>0</v>
      </c>
      <c r="D18" s="295"/>
      <c r="E18" s="251">
        <f t="shared" si="0"/>
        <v>0</v>
      </c>
    </row>
    <row r="19" spans="1:5" ht="12.75">
      <c r="A19" s="61" t="s">
        <v>447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447</v>
      </c>
      <c r="B30" s="61"/>
      <c r="C30" s="295">
        <v>0</v>
      </c>
      <c r="D30" s="295"/>
      <c r="E30" s="251">
        <f t="shared" si="1"/>
        <v>0</v>
      </c>
    </row>
    <row r="31" spans="1:5" ht="12.75">
      <c r="A31" s="61" t="s">
        <v>447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5"/>
      <c r="D43" s="295"/>
      <c r="E43" s="251">
        <f t="shared" si="2"/>
        <v>0</v>
      </c>
    </row>
    <row r="44" spans="1:5" ht="12.75">
      <c r="A44" s="61" t="s">
        <v>265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501</v>
      </c>
      <c r="B47" s="61"/>
      <c r="C47" s="295">
        <v>5309804</v>
      </c>
      <c r="D47" s="295"/>
      <c r="E47" s="251">
        <f t="shared" si="2"/>
        <v>5309804</v>
      </c>
    </row>
    <row r="48" spans="1:5" ht="12.75">
      <c r="A48" s="61" t="s">
        <v>447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5309804</v>
      </c>
      <c r="D50" s="251">
        <f>SUM(D41:D49)</f>
        <v>0</v>
      </c>
      <c r="E50" s="251">
        <f>SUM(E41:E49)</f>
        <v>5309804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5"/>
      <c r="D55" s="295"/>
      <c r="E55" s="251">
        <f t="shared" si="3"/>
        <v>0</v>
      </c>
    </row>
    <row r="56" spans="1:5" ht="12.75">
      <c r="A56" s="489" t="s">
        <v>491</v>
      </c>
      <c r="B56" s="61"/>
      <c r="C56" s="295">
        <v>0</v>
      </c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501</v>
      </c>
      <c r="B59" s="61"/>
      <c r="C59" s="295">
        <v>5648133</v>
      </c>
      <c r="D59" s="295"/>
      <c r="E59" s="251">
        <f t="shared" si="3"/>
        <v>5648133</v>
      </c>
    </row>
    <row r="60" spans="1:5" ht="12.75">
      <c r="A60" s="61" t="s">
        <v>447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5648133</v>
      </c>
      <c r="D63" s="251">
        <f>SUM(D53:D61)</f>
        <v>0</v>
      </c>
      <c r="E63" s="251">
        <f>SUM(E53:E61)</f>
        <v>5648133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8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H63" sqref="H6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Erie Thames Powerlines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20130.33125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250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448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251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475</v>
      </c>
      <c r="B36" t="s">
        <v>187</v>
      </c>
      <c r="C36" s="487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5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4719</v>
      </c>
      <c r="D82" s="295"/>
      <c r="E82" s="251">
        <f>C82-D82</f>
        <v>4719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252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84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0"/>
      <c r="B92" s="8" t="s">
        <v>188</v>
      </c>
      <c r="C92" s="295"/>
      <c r="D92" s="295"/>
      <c r="E92" s="251"/>
    </row>
    <row r="93" spans="1:5" ht="12.75">
      <c r="A93" s="490" t="s">
        <v>494</v>
      </c>
      <c r="B93" s="8" t="s">
        <v>188</v>
      </c>
      <c r="C93" s="295">
        <v>0</v>
      </c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484"/>
      <c r="D96" s="295"/>
      <c r="E96" s="251">
        <f t="shared" si="5"/>
        <v>0</v>
      </c>
    </row>
    <row r="97" spans="1:5" ht="12.75">
      <c r="A97" s="67" t="s">
        <v>492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4719</v>
      </c>
      <c r="D99" s="251">
        <f>SUM(D82:D98)</f>
        <v>0</v>
      </c>
      <c r="E99" s="251">
        <f>SUM(E82:E98)</f>
        <v>4719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4719</v>
      </c>
      <c r="D120" s="251">
        <f>D99-D119</f>
        <v>0</v>
      </c>
      <c r="E120" s="251">
        <f>E99-E119</f>
        <v>4719</v>
      </c>
    </row>
    <row r="121" spans="1:5" ht="12.75">
      <c r="A121" s="279" t="s">
        <v>171</v>
      </c>
      <c r="B121" s="274"/>
      <c r="C121" s="251">
        <f>C119+C120</f>
        <v>4719</v>
      </c>
      <c r="D121" s="251">
        <f>D119+D120</f>
        <v>0</v>
      </c>
      <c r="E121" s="251">
        <f>E119+E120</f>
        <v>4719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73" sqref="A7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">
      <c r="A4" s="459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1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Erie Thames Powerlines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452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389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453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436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388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387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431</v>
      </c>
      <c r="B32" t="s">
        <v>187</v>
      </c>
      <c r="C32" s="487"/>
      <c r="D32" s="296"/>
      <c r="E32" s="313">
        <f t="shared" si="0"/>
        <v>0</v>
      </c>
    </row>
    <row r="33" spans="1:5" ht="12.75">
      <c r="A33" s="67" t="s">
        <v>432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449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450</v>
      </c>
      <c r="C35" s="487"/>
      <c r="D35" s="296"/>
      <c r="E35" s="313">
        <f t="shared" si="0"/>
        <v>0</v>
      </c>
    </row>
    <row r="36" spans="1:5" ht="12.75">
      <c r="A36" s="67" t="s">
        <v>433</v>
      </c>
      <c r="C36" s="296"/>
      <c r="D36" s="296"/>
      <c r="E36" s="313">
        <f t="shared" si="0"/>
        <v>0</v>
      </c>
    </row>
    <row r="37" spans="1:5" ht="12.75">
      <c r="A37" s="67" t="s">
        <v>434</v>
      </c>
      <c r="C37" s="296"/>
      <c r="D37" s="296"/>
      <c r="E37" s="313">
        <f t="shared" si="0"/>
        <v>0</v>
      </c>
    </row>
    <row r="38" spans="1:5" ht="12.75">
      <c r="A38" s="67" t="s">
        <v>456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391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385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2" t="s">
        <v>507</v>
      </c>
      <c r="B44" t="s">
        <v>187</v>
      </c>
      <c r="C44" s="295">
        <v>100482</v>
      </c>
      <c r="D44" s="295"/>
      <c r="E44" s="251">
        <f t="shared" si="0"/>
        <v>100482</v>
      </c>
    </row>
    <row r="45" spans="1:5" ht="12.75">
      <c r="A45" s="491" t="s">
        <v>102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491" t="s">
        <v>102</v>
      </c>
      <c r="C46" s="295">
        <v>0</v>
      </c>
      <c r="D46" s="295"/>
      <c r="E46" s="280"/>
    </row>
    <row r="47" spans="1:5" ht="12.75">
      <c r="A47" s="491" t="s">
        <v>102</v>
      </c>
      <c r="C47" s="295">
        <v>0</v>
      </c>
      <c r="D47" s="295"/>
      <c r="E47" s="280"/>
    </row>
    <row r="48" spans="1:5" ht="12.75">
      <c r="A48" s="491" t="s">
        <v>102</v>
      </c>
      <c r="C48" s="295">
        <v>0</v>
      </c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395</v>
      </c>
      <c r="B50" t="s">
        <v>189</v>
      </c>
      <c r="C50" s="251">
        <f>SUM(C19:C49)</f>
        <v>100482</v>
      </c>
      <c r="D50" s="251">
        <f>SUM(D19:D49)</f>
        <v>0</v>
      </c>
      <c r="E50" s="251">
        <f>SUM(E19:E49)</f>
        <v>100482</v>
      </c>
    </row>
    <row r="51" ht="12.75">
      <c r="A51" s="67"/>
    </row>
    <row r="52" ht="12.75">
      <c r="A52" s="81" t="s">
        <v>145</v>
      </c>
    </row>
    <row r="54" spans="1:5" ht="12.75">
      <c r="A54" s="71" t="s">
        <v>386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435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455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451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454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1:5" ht="12.75">
      <c r="A63" s="68" t="s">
        <v>503</v>
      </c>
      <c r="B63" s="8" t="s">
        <v>188</v>
      </c>
      <c r="C63" s="295"/>
      <c r="D63" s="295"/>
      <c r="E63" s="251">
        <f t="shared" si="1"/>
        <v>0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392</v>
      </c>
      <c r="B67" s="8" t="s">
        <v>188</v>
      </c>
      <c r="C67" s="295"/>
      <c r="D67" s="295"/>
      <c r="E67" s="251">
        <f t="shared" si="2"/>
        <v>0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385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491" t="s">
        <v>508</v>
      </c>
      <c r="B72" s="8" t="s">
        <v>188</v>
      </c>
      <c r="C72" s="295">
        <v>168660</v>
      </c>
      <c r="D72" s="295"/>
      <c r="E72" s="251">
        <f t="shared" si="2"/>
        <v>168660</v>
      </c>
    </row>
    <row r="73" spans="1:5" ht="12.75">
      <c r="A73" s="491" t="s">
        <v>102</v>
      </c>
      <c r="B73" s="8" t="s">
        <v>188</v>
      </c>
      <c r="C73" s="295">
        <v>0</v>
      </c>
      <c r="D73" s="295"/>
      <c r="E73" s="251">
        <f t="shared" si="2"/>
        <v>0</v>
      </c>
    </row>
    <row r="74" spans="1:5" ht="12.75">
      <c r="A74" s="491" t="s">
        <v>102</v>
      </c>
      <c r="B74" s="8" t="s">
        <v>188</v>
      </c>
      <c r="C74" s="295">
        <v>0</v>
      </c>
      <c r="D74" s="295"/>
      <c r="E74" s="251">
        <f t="shared" si="2"/>
        <v>0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394</v>
      </c>
      <c r="B76" s="8" t="s">
        <v>189</v>
      </c>
      <c r="C76" s="251">
        <f>SUM(C54:C75)</f>
        <v>168660</v>
      </c>
      <c r="D76" s="251">
        <f>SUM(D54:D75)</f>
        <v>0</v>
      </c>
      <c r="E76" s="251">
        <f>SUM(E54:E75)</f>
        <v>168660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32">
      <selection activeCell="C64" sqref="C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304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Erie Thames Powerlines Corporation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2" t="s">
        <v>486</v>
      </c>
      <c r="B8" s="513"/>
      <c r="C8" s="513"/>
      <c r="D8" s="51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297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296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301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257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329</v>
      </c>
      <c r="B21" s="406" t="s">
        <v>470</v>
      </c>
      <c r="C21" s="362">
        <v>4606000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330</v>
      </c>
      <c r="B22" s="407" t="s">
        <v>471</v>
      </c>
      <c r="C22" s="363">
        <v>9812000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6" t="s">
        <v>488</v>
      </c>
      <c r="B23" s="507"/>
      <c r="C23" s="507"/>
      <c r="D23" s="507"/>
      <c r="E23" s="507"/>
      <c r="F23" s="507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4" t="s">
        <v>480</v>
      </c>
      <c r="B26" s="515"/>
      <c r="C26" s="515"/>
      <c r="D26" s="515"/>
      <c r="E26" s="515"/>
      <c r="F26" s="51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/>
      <c r="E28" s="370" t="s">
        <v>111</v>
      </c>
      <c r="F28" s="371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296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257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477</v>
      </c>
      <c r="B39" s="406" t="s">
        <v>470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478</v>
      </c>
      <c r="B40" s="407" t="s">
        <v>471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8" t="s">
        <v>332</v>
      </c>
      <c r="B41" s="507"/>
      <c r="C41" s="507"/>
      <c r="D41" s="507"/>
      <c r="E41" s="507"/>
      <c r="F41" s="50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9"/>
      <c r="B42" s="509"/>
      <c r="C42" s="509"/>
      <c r="D42" s="509"/>
      <c r="E42" s="509"/>
      <c r="F42" s="50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296</v>
      </c>
      <c r="B50" s="245"/>
      <c r="C50" s="352">
        <v>0.1312</v>
      </c>
      <c r="D50" s="352"/>
      <c r="E50" s="353">
        <v>0.2212</v>
      </c>
      <c r="F50" s="353">
        <f>TAXREC!C149</f>
        <v>0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257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347</v>
      </c>
      <c r="B57" s="406" t="s">
        <v>470</v>
      </c>
      <c r="C57" s="493">
        <v>3709585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348</v>
      </c>
      <c r="B58" s="407" t="s">
        <v>471</v>
      </c>
      <c r="C58" s="494">
        <v>3332822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6" t="s">
        <v>349</v>
      </c>
      <c r="B59" s="510"/>
      <c r="C59" s="510"/>
      <c r="D59" s="510"/>
      <c r="E59" s="510"/>
      <c r="F59" s="51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1"/>
      <c r="B60" s="511"/>
      <c r="C60" s="511"/>
      <c r="D60" s="511"/>
      <c r="E60" s="511"/>
      <c r="F60" s="51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B7">
      <selection activeCell="K18" sqref="K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Erie Thames Powerlines Corporation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318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6.2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-113164.25834600003</v>
      </c>
      <c r="N15" s="392"/>
      <c r="O15" s="397">
        <f t="shared" si="0"/>
        <v>-113164.25834600003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0.9662720000016269</v>
      </c>
      <c r="N17" s="392"/>
      <c r="O17" s="397">
        <f t="shared" si="0"/>
        <v>0.9662720000016269</v>
      </c>
    </row>
    <row r="18" spans="1:15" ht="26.2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26.2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-113163.29207400003</v>
      </c>
      <c r="N22" s="391"/>
      <c r="O22" s="445">
        <f>SUM(O11:O20)</f>
        <v>-113163.29207400003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403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404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406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7" t="s">
        <v>407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420"/>
      <c r="Q33" s="420"/>
      <c r="R33" s="420"/>
      <c r="S33" s="420"/>
    </row>
    <row r="34" spans="1:19" ht="12.75">
      <c r="A34" s="516" t="s">
        <v>408</v>
      </c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420"/>
      <c r="Q34" s="420"/>
      <c r="R34" s="420"/>
      <c r="S34" s="420"/>
    </row>
    <row r="35" spans="1:19" ht="12.75">
      <c r="A35" s="516" t="s">
        <v>429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420"/>
      <c r="Q35" s="420"/>
      <c r="R35" s="420"/>
      <c r="S35" s="420"/>
    </row>
    <row r="36" spans="1:19" ht="12.75">
      <c r="A36" s="516" t="s">
        <v>409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420"/>
      <c r="Q36" s="420"/>
      <c r="R36" s="420"/>
      <c r="S36" s="420"/>
    </row>
    <row r="37" spans="1:19" ht="12.75">
      <c r="A37" s="432" t="s">
        <v>369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370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410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411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414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417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418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415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420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421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422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423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379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424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425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380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426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427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428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6" t="s">
        <v>458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</row>
    <row r="75" spans="1:15" ht="12.75">
      <c r="A75" s="429" t="s">
        <v>371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6"/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2011-11-01T19:39:28Z</cp:lastPrinted>
  <dcterms:created xsi:type="dcterms:W3CDTF">2001-11-07T16:15:53Z</dcterms:created>
  <dcterms:modified xsi:type="dcterms:W3CDTF">2013-10-02T19:04:25Z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