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-600" yWindow="450" windowWidth="12120" windowHeight="5310" tabRatio="971" activeTab="8"/>
  </bookViews>
  <sheets>
    <sheet name="Summary" sheetId="11" r:id="rId1"/>
    <sheet name="Purchased Power Model " sheetId="19" r:id="rId2"/>
    <sheet name="Rate Class Energy Model" sheetId="9" r:id="rId3"/>
    <sheet name="Rate Class Customer Model" sheetId="17" r:id="rId4"/>
    <sheet name="Rate Class Load Model" sheetId="18" r:id="rId5"/>
    <sheet name="CDM Activity" sheetId="23" r:id="rId6"/>
    <sheet name="HDD and CDD" sheetId="27" r:id="rId7"/>
    <sheet name="2013 COP Forecast" sheetId="29" r:id="rId8"/>
    <sheet name="2014 COP Forecast" sheetId="30" r:id="rId9"/>
    <sheet name="CDM Forecast" sheetId="35" r:id="rId10"/>
    <sheet name="Exibit 3 Tables" sheetId="24" r:id="rId11"/>
    <sheet name="ED" sheetId="31" r:id="rId12"/>
    <sheet name="Chart1" sheetId="26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Order1" hidden="1">255</definedName>
    <definedName name="_Sort" localSheetId="7" hidden="1">[1]Sheet1!$G$40:$K$40</definedName>
    <definedName name="_Sort" localSheetId="8" hidden="1">[1]Sheet1!$G$40:$K$40</definedName>
    <definedName name="_Sort" localSheetId="5" hidden="1">[2]Sheet1!$G$40:$K$40</definedName>
    <definedName name="_Sort" localSheetId="10" hidden="1">[3]Sheet1!$G$40:$K$40</definedName>
    <definedName name="_Sort" localSheetId="6" hidden="1">#REF!</definedName>
    <definedName name="_Sort" hidden="1">[4]Sheet1!$G$40:$K$40</definedName>
    <definedName name="CAfile" localSheetId="10">[5]Refs!$B$2</definedName>
    <definedName name="CAfile">[6]Refs!$B$2</definedName>
    <definedName name="CArevReq" localSheetId="10">[5]Refs!$B$6</definedName>
    <definedName name="CArevReq">[6]Refs!$B$6</definedName>
    <definedName name="ClassRange1" localSheetId="10">[5]Refs!$B$3</definedName>
    <definedName name="ClassRange1">[6]Refs!$B$3</definedName>
    <definedName name="ClassRange2" localSheetId="10">[5]Refs!$B$4</definedName>
    <definedName name="ClassRange2">[6]Refs!$B$4</definedName>
    <definedName name="FolderPath" localSheetId="10">[5]Menu!$C$8</definedName>
    <definedName name="FolderPath">[6]Menu!$C$8</definedName>
    <definedName name="kk">#REF!</definedName>
    <definedName name="NewRevReq" localSheetId="10">[5]Refs!$B$8</definedName>
    <definedName name="NewRevReq">[6]Refs!$B$8</definedName>
    <definedName name="PAGE11" localSheetId="7">#REF!</definedName>
    <definedName name="PAGE11" localSheetId="8">#REF!</definedName>
    <definedName name="PAGE11" localSheetId="10">#REF!</definedName>
    <definedName name="PAGE11" localSheetId="6">#REF!</definedName>
    <definedName name="PAGE11">#REF!</definedName>
    <definedName name="PAGE2" localSheetId="7">[1]Sheet1!$A$1:$I$40</definedName>
    <definedName name="PAGE2" localSheetId="8">[1]Sheet1!$A$1:$I$40</definedName>
    <definedName name="PAGE2" localSheetId="5">[2]Sheet1!$A$1:$I$40</definedName>
    <definedName name="PAGE2" localSheetId="10">[3]Sheet1!$A$1:$I$40</definedName>
    <definedName name="PAGE2" localSheetId="6">#REF!</definedName>
    <definedName name="PAGE2">[4]Sheet1!$A$1:$I$40</definedName>
    <definedName name="PAGE3" localSheetId="7">#REF!</definedName>
    <definedName name="PAGE3" localSheetId="8">#REF!</definedName>
    <definedName name="PAGE3" localSheetId="10">#REF!</definedName>
    <definedName name="PAGE3" localSheetId="6">#REF!</definedName>
    <definedName name="PAGE3">#REF!</definedName>
    <definedName name="PAGE4" localSheetId="7">#REF!</definedName>
    <definedName name="PAGE4" localSheetId="8">#REF!</definedName>
    <definedName name="PAGE4" localSheetId="10">#REF!</definedName>
    <definedName name="PAGE4" localSheetId="6">#REF!</definedName>
    <definedName name="PAGE4">#REF!</definedName>
    <definedName name="PAGE7" localSheetId="7">#REF!</definedName>
    <definedName name="PAGE7" localSheetId="8">#REF!</definedName>
    <definedName name="PAGE7" localSheetId="10">#REF!</definedName>
    <definedName name="PAGE7" localSheetId="6">#REF!</definedName>
    <definedName name="PAGE7">#REF!</definedName>
    <definedName name="PAGE9" localSheetId="7">#REF!</definedName>
    <definedName name="PAGE9" localSheetId="8">#REF!</definedName>
    <definedName name="PAGE9" localSheetId="10">#REF!</definedName>
    <definedName name="PAGE9" localSheetId="6">#REF!</definedName>
    <definedName name="PAGE9">#REF!</definedName>
    <definedName name="_xlnm.Print_Area" localSheetId="7">'2013 COP Forecast'!$A$1:$F$90</definedName>
    <definedName name="_xlnm.Print_Area" localSheetId="5">'CDM Activity'!$A$1:$H$32</definedName>
    <definedName name="_xlnm.Print_Area" localSheetId="11">ED!$A$1:$C$21</definedName>
    <definedName name="_xlnm.Print_Area" localSheetId="6">'HDD and CDD'!$A$1:$W$31</definedName>
    <definedName name="_xlnm.Print_Area" localSheetId="1">'Purchased Power Model '!$A$1:$O$270</definedName>
    <definedName name="_xlnm.Print_Area" localSheetId="3">'Rate Class Customer Model'!$A$1:$H$44</definedName>
    <definedName name="_xlnm.Print_Area" localSheetId="2">'Rate Class Energy Model'!$J$78:$R$101</definedName>
    <definedName name="_xlnm.Print_Area" localSheetId="4">'Rate Class Load Model'!$A$1:$E$34</definedName>
    <definedName name="_xlnm.Print_Area" localSheetId="0">Summary!$A$1:$P$61</definedName>
    <definedName name="_xlnm.Print_Titles" localSheetId="1">'Purchased Power Model '!$2:$2</definedName>
    <definedName name="RevReqLookupKey" localSheetId="10">[5]Refs!$B$5</definedName>
    <definedName name="RevReqLookupKey">[6]Refs!$B$5</definedName>
    <definedName name="RevReqRange" localSheetId="10">[5]Refs!$B$7</definedName>
    <definedName name="RevReqRange">[6]Refs!$B$7</definedName>
  </definedNames>
  <calcPr calcId="145621"/>
</workbook>
</file>

<file path=xl/calcChain.xml><?xml version="1.0" encoding="utf-8"?>
<calcChain xmlns="http://schemas.openxmlformats.org/spreadsheetml/2006/main">
  <c r="F116" i="24" l="1"/>
  <c r="G116" i="24"/>
  <c r="H116" i="24"/>
  <c r="J31" i="29" l="1"/>
  <c r="J30" i="29"/>
  <c r="I12" i="31" l="1"/>
  <c r="N56" i="11" l="1"/>
  <c r="M56" i="11"/>
  <c r="L56" i="11"/>
  <c r="K56" i="11"/>
  <c r="J56" i="11"/>
  <c r="I56" i="11"/>
  <c r="H56" i="11"/>
  <c r="G56" i="11"/>
  <c r="F56" i="11"/>
  <c r="E56" i="11"/>
  <c r="D56" i="11"/>
  <c r="C56" i="11"/>
  <c r="B56" i="11"/>
  <c r="P54" i="11"/>
  <c r="O54" i="11"/>
  <c r="N54" i="11"/>
  <c r="M54" i="11"/>
  <c r="L54" i="11"/>
  <c r="K54" i="11"/>
  <c r="J54" i="11"/>
  <c r="I54" i="11"/>
  <c r="H54" i="11"/>
  <c r="G54" i="11"/>
  <c r="F54" i="11"/>
  <c r="E54" i="11"/>
  <c r="D54" i="11"/>
  <c r="C54" i="11"/>
  <c r="B54" i="11"/>
  <c r="D384" i="24"/>
  <c r="P41" i="11" l="1"/>
  <c r="O41" i="11"/>
  <c r="N41" i="11"/>
  <c r="M41" i="11"/>
  <c r="L41" i="11"/>
  <c r="K41" i="11"/>
  <c r="J41" i="11"/>
  <c r="I41" i="11"/>
  <c r="H41" i="11"/>
  <c r="G41" i="11"/>
  <c r="F41" i="11"/>
  <c r="E41" i="11"/>
  <c r="D41" i="11"/>
  <c r="P40" i="11"/>
  <c r="O40" i="11"/>
  <c r="N40" i="11"/>
  <c r="M40" i="11"/>
  <c r="L40" i="11"/>
  <c r="K40" i="11"/>
  <c r="J40" i="11"/>
  <c r="I40" i="11"/>
  <c r="H40" i="11"/>
  <c r="G40" i="11"/>
  <c r="F40" i="11"/>
  <c r="E40" i="11"/>
  <c r="D40" i="11"/>
  <c r="N61" i="11" l="1"/>
  <c r="M61" i="11"/>
  <c r="L61" i="11"/>
  <c r="K61" i="11"/>
  <c r="J61" i="11"/>
  <c r="I61" i="11"/>
  <c r="H61" i="11"/>
  <c r="G61" i="11"/>
  <c r="F61" i="11"/>
  <c r="E61" i="11"/>
  <c r="D61" i="11"/>
  <c r="P59" i="11"/>
  <c r="O59" i="11"/>
  <c r="N59" i="11"/>
  <c r="M59" i="11"/>
  <c r="L59" i="11"/>
  <c r="E387" i="24" s="1"/>
  <c r="K59" i="11"/>
  <c r="J59" i="11"/>
  <c r="I59" i="11"/>
  <c r="H59" i="11"/>
  <c r="G59" i="11"/>
  <c r="F59" i="11"/>
  <c r="E59" i="11"/>
  <c r="D59" i="11"/>
  <c r="C59" i="11"/>
  <c r="E39" i="11"/>
  <c r="F39" i="11" s="1"/>
  <c r="G39" i="11" s="1"/>
  <c r="H39" i="11" s="1"/>
  <c r="I39" i="11" s="1"/>
  <c r="J39" i="11" s="1"/>
  <c r="K39" i="11" s="1"/>
  <c r="L39" i="11" s="1"/>
  <c r="M39" i="11" s="1"/>
  <c r="N39" i="11" s="1"/>
  <c r="O39" i="11" s="1"/>
  <c r="P39" i="11" s="1"/>
  <c r="D39" i="11"/>
  <c r="D28" i="23" l="1"/>
  <c r="G279" i="24" s="1"/>
  <c r="C28" i="23"/>
  <c r="F279" i="24" s="1"/>
  <c r="B28" i="23"/>
  <c r="E279" i="24" s="1"/>
  <c r="J217" i="24" l="1"/>
  <c r="J216" i="24"/>
  <c r="J215" i="24"/>
  <c r="J214" i="24"/>
  <c r="J213" i="24"/>
  <c r="J212" i="24"/>
  <c r="J211" i="24"/>
  <c r="J210" i="24"/>
  <c r="J209" i="24"/>
  <c r="J208" i="24"/>
  <c r="J207" i="24"/>
  <c r="E31" i="30"/>
  <c r="C31" i="30"/>
  <c r="D31" i="30" s="1"/>
  <c r="F31" i="30" s="1"/>
  <c r="E20" i="30"/>
  <c r="C20" i="30"/>
  <c r="D20" i="30" s="1"/>
  <c r="F20" i="30" s="1"/>
  <c r="F75" i="30"/>
  <c r="F64" i="30"/>
  <c r="E64" i="30"/>
  <c r="A74" i="30"/>
  <c r="A73" i="30"/>
  <c r="A72" i="30"/>
  <c r="A71" i="30"/>
  <c r="A70" i="30"/>
  <c r="A69" i="30"/>
  <c r="A63" i="30"/>
  <c r="A62" i="30"/>
  <c r="A61" i="30"/>
  <c r="A60" i="30"/>
  <c r="A59" i="30"/>
  <c r="A58" i="30"/>
  <c r="A36" i="30"/>
  <c r="A37" i="30"/>
  <c r="A38" i="30"/>
  <c r="A39" i="30"/>
  <c r="A40" i="30"/>
  <c r="A41" i="30"/>
  <c r="I200" i="24"/>
  <c r="H200" i="24"/>
  <c r="G200" i="24"/>
  <c r="F200" i="24"/>
  <c r="E200" i="24"/>
  <c r="I199" i="24"/>
  <c r="H199" i="24"/>
  <c r="G199" i="24"/>
  <c r="F199" i="24"/>
  <c r="E199" i="24"/>
  <c r="G22" i="9" l="1"/>
  <c r="G21" i="9"/>
  <c r="G20" i="9"/>
  <c r="G19" i="9"/>
  <c r="G18" i="9"/>
  <c r="G17" i="9"/>
  <c r="G16" i="9"/>
  <c r="G15" i="9"/>
  <c r="G14" i="9"/>
  <c r="G13" i="9"/>
  <c r="G12" i="9"/>
  <c r="G11" i="9"/>
  <c r="G10" i="9"/>
  <c r="B55" i="11" l="1"/>
  <c r="B60" i="11"/>
  <c r="D55" i="11"/>
  <c r="D60" i="11"/>
  <c r="F55" i="11"/>
  <c r="F60" i="11"/>
  <c r="H55" i="11"/>
  <c r="H60" i="11"/>
  <c r="J55" i="11"/>
  <c r="J60" i="11"/>
  <c r="L55" i="11"/>
  <c r="L60" i="11"/>
  <c r="N55" i="11"/>
  <c r="N60" i="11"/>
  <c r="C55" i="11"/>
  <c r="C60" i="11"/>
  <c r="E55" i="11"/>
  <c r="E60" i="11"/>
  <c r="G55" i="11"/>
  <c r="G60" i="11"/>
  <c r="I55" i="11"/>
  <c r="I60" i="11"/>
  <c r="K55" i="11"/>
  <c r="K60" i="11"/>
  <c r="M55" i="11"/>
  <c r="M60" i="11"/>
  <c r="E134" i="24"/>
  <c r="A134" i="24"/>
  <c r="H19" i="17" l="1"/>
  <c r="D200" i="24" l="1"/>
  <c r="D199" i="24"/>
  <c r="E25" i="30" l="1"/>
  <c r="E25" i="29"/>
  <c r="F4" i="30" l="1"/>
  <c r="F4" i="29"/>
  <c r="A17" i="23" l="1"/>
  <c r="N33" i="35"/>
  <c r="Q31" i="35"/>
  <c r="K31" i="35"/>
  <c r="J31" i="35"/>
  <c r="I31" i="35"/>
  <c r="H31" i="35"/>
  <c r="T30" i="35"/>
  <c r="Q30" i="35"/>
  <c r="P30" i="35"/>
  <c r="S29" i="35"/>
  <c r="Q29" i="35"/>
  <c r="T29" i="35" s="1"/>
  <c r="P29" i="35"/>
  <c r="P31" i="35" s="1"/>
  <c r="P33" i="35" s="1"/>
  <c r="P37" i="35" s="1"/>
  <c r="M26" i="35"/>
  <c r="M33" i="35" s="1"/>
  <c r="L26" i="35"/>
  <c r="T25" i="35"/>
  <c r="P25" i="35"/>
  <c r="P26" i="35" s="1"/>
  <c r="Q24" i="35"/>
  <c r="T24" i="35" s="1"/>
  <c r="P24" i="35"/>
  <c r="O21" i="35"/>
  <c r="O33" i="35" s="1"/>
  <c r="N21" i="35"/>
  <c r="M21" i="35"/>
  <c r="L21" i="35"/>
  <c r="K21" i="35"/>
  <c r="J21" i="35"/>
  <c r="I21" i="35"/>
  <c r="H21" i="35"/>
  <c r="T20" i="35"/>
  <c r="P20" i="35"/>
  <c r="P19" i="35"/>
  <c r="Q18" i="35"/>
  <c r="S18" i="35" s="1"/>
  <c r="P18" i="35"/>
  <c r="Q17" i="35"/>
  <c r="S17" i="35" s="1"/>
  <c r="P17" i="35"/>
  <c r="P21" i="35" s="1"/>
  <c r="O14" i="35"/>
  <c r="N14" i="35"/>
  <c r="M14" i="35"/>
  <c r="K14" i="35"/>
  <c r="J14" i="35"/>
  <c r="I14" i="35"/>
  <c r="H14" i="35"/>
  <c r="P13" i="35"/>
  <c r="R12" i="35"/>
  <c r="Q12" i="35"/>
  <c r="P12" i="35"/>
  <c r="Q11" i="35"/>
  <c r="R11" i="35" s="1"/>
  <c r="P11" i="35"/>
  <c r="Q10" i="35"/>
  <c r="R10" i="35" s="1"/>
  <c r="P10" i="35"/>
  <c r="R9" i="35"/>
  <c r="Q9" i="35"/>
  <c r="P9" i="35"/>
  <c r="Q8" i="35"/>
  <c r="R8" i="35" s="1"/>
  <c r="R33" i="35" s="1"/>
  <c r="P8" i="35"/>
  <c r="P14" i="35" s="1"/>
  <c r="S10" i="35" l="1"/>
  <c r="S33" i="35" s="1"/>
  <c r="Q14" i="35"/>
  <c r="T17" i="35"/>
  <c r="T33" i="35" s="1"/>
  <c r="Q21" i="35"/>
  <c r="Q26" i="35"/>
  <c r="Q33" i="35" s="1"/>
  <c r="Q37" i="35" l="1"/>
  <c r="R34" i="35"/>
  <c r="S34" i="35"/>
  <c r="T34" i="35"/>
  <c r="E63" i="30" l="1"/>
  <c r="E62" i="30"/>
  <c r="E61" i="30"/>
  <c r="E60" i="30"/>
  <c r="E59" i="30"/>
  <c r="E64" i="29" l="1"/>
  <c r="E63" i="29"/>
  <c r="E62" i="29"/>
  <c r="E61" i="29"/>
  <c r="E60" i="29"/>
  <c r="E59" i="29"/>
  <c r="D81" i="30" l="1"/>
  <c r="E81" i="30"/>
  <c r="A80" i="30"/>
  <c r="D81" i="29"/>
  <c r="E81" i="29"/>
  <c r="D42" i="30"/>
  <c r="D53" i="30" s="1"/>
  <c r="D42" i="29"/>
  <c r="F81" i="29" l="1"/>
  <c r="F81" i="30"/>
  <c r="E11" i="31" l="1"/>
  <c r="G11" i="31" s="1"/>
  <c r="I11" i="31" s="1"/>
  <c r="E257" i="24" l="1"/>
  <c r="P41" i="9"/>
  <c r="P40" i="9"/>
  <c r="P39" i="9"/>
  <c r="P38" i="9"/>
  <c r="P37" i="9"/>
  <c r="P36" i="9"/>
  <c r="P35" i="9"/>
  <c r="O35" i="9"/>
  <c r="O47" i="9"/>
  <c r="O46" i="9"/>
  <c r="O45" i="9"/>
  <c r="O44" i="9"/>
  <c r="O43" i="9"/>
  <c r="O42" i="9"/>
  <c r="O41" i="9"/>
  <c r="O40" i="9"/>
  <c r="O39" i="9"/>
  <c r="O38" i="9"/>
  <c r="O37" i="9"/>
  <c r="O36" i="9"/>
  <c r="O55" i="9" s="1"/>
  <c r="N47" i="9"/>
  <c r="N46" i="9"/>
  <c r="N45" i="9"/>
  <c r="N44" i="9"/>
  <c r="N43" i="9"/>
  <c r="N42" i="9"/>
  <c r="N41" i="9"/>
  <c r="N40" i="9"/>
  <c r="N39" i="9"/>
  <c r="N38" i="9"/>
  <c r="N37" i="9"/>
  <c r="N36" i="9"/>
  <c r="N35" i="9"/>
  <c r="M47" i="9"/>
  <c r="M46" i="9"/>
  <c r="M45" i="9"/>
  <c r="M44" i="9"/>
  <c r="M43" i="9"/>
  <c r="M42" i="9"/>
  <c r="M41" i="9"/>
  <c r="M40" i="9"/>
  <c r="M39" i="9"/>
  <c r="M38" i="9"/>
  <c r="M37" i="9"/>
  <c r="M36" i="9"/>
  <c r="M35" i="9"/>
  <c r="L47" i="9"/>
  <c r="L46" i="9"/>
  <c r="L45" i="9"/>
  <c r="L44" i="9"/>
  <c r="L43" i="9"/>
  <c r="L42" i="9"/>
  <c r="L41" i="9"/>
  <c r="L40" i="9"/>
  <c r="L39" i="9"/>
  <c r="L38" i="9"/>
  <c r="L37" i="9"/>
  <c r="L36" i="9"/>
  <c r="L35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P58" i="9" l="1"/>
  <c r="P55" i="9"/>
  <c r="P59" i="9"/>
  <c r="P56" i="9"/>
  <c r="P60" i="9"/>
  <c r="P57" i="9"/>
  <c r="D57" i="18"/>
  <c r="C57" i="18"/>
  <c r="C58" i="18" s="1"/>
  <c r="O80" i="9" s="1"/>
  <c r="G247" i="24" s="1"/>
  <c r="E47" i="30" l="1"/>
  <c r="E48" i="30"/>
  <c r="E49" i="30"/>
  <c r="E50" i="30"/>
  <c r="E51" i="30"/>
  <c r="E52" i="30"/>
  <c r="E53" i="30"/>
  <c r="E36" i="30"/>
  <c r="E37" i="30"/>
  <c r="E38" i="30"/>
  <c r="E39" i="30"/>
  <c r="E40" i="30"/>
  <c r="E41" i="30"/>
  <c r="E42" i="30"/>
  <c r="D2" i="30" l="1"/>
  <c r="D3" i="30"/>
  <c r="D4" i="30"/>
  <c r="B42" i="17" l="1"/>
  <c r="C15" i="30" l="1"/>
  <c r="C16" i="30"/>
  <c r="C17" i="30"/>
  <c r="C18" i="30"/>
  <c r="C19" i="30"/>
  <c r="C14" i="30"/>
  <c r="E15" i="29"/>
  <c r="E15" i="30" s="1"/>
  <c r="E14" i="30"/>
  <c r="E26" i="29"/>
  <c r="E27" i="29" s="1"/>
  <c r="E28" i="29" s="1"/>
  <c r="E29" i="29" s="1"/>
  <c r="E30" i="29" s="1"/>
  <c r="E31" i="29" s="1"/>
  <c r="A64" i="29"/>
  <c r="A75" i="29" s="1"/>
  <c r="C31" i="29"/>
  <c r="B20" i="29"/>
  <c r="B31" i="29" s="1"/>
  <c r="A20" i="29"/>
  <c r="A31" i="29" s="1"/>
  <c r="I30" i="17"/>
  <c r="I31" i="17"/>
  <c r="I32" i="17"/>
  <c r="I42" i="17" s="1"/>
  <c r="I40" i="17" s="1"/>
  <c r="I33" i="17"/>
  <c r="I34" i="17"/>
  <c r="I35" i="17"/>
  <c r="I36" i="17"/>
  <c r="I37" i="17"/>
  <c r="I38" i="17"/>
  <c r="I29" i="17"/>
  <c r="D20" i="29" l="1"/>
  <c r="E16" i="29"/>
  <c r="D31" i="29"/>
  <c r="D64" i="29" l="1"/>
  <c r="E17" i="29"/>
  <c r="E16" i="30"/>
  <c r="F31" i="29"/>
  <c r="F64" i="29"/>
  <c r="D75" i="29"/>
  <c r="F75" i="29" s="1"/>
  <c r="E17" i="30" l="1"/>
  <c r="E18" i="29"/>
  <c r="E18" i="30" l="1"/>
  <c r="E19" i="29"/>
  <c r="E20" i="29" l="1"/>
  <c r="F20" i="29" s="1"/>
  <c r="E19" i="30"/>
  <c r="E26" i="30" l="1"/>
  <c r="E27" i="30" s="1"/>
  <c r="E28" i="30" s="1"/>
  <c r="E29" i="30" s="1"/>
  <c r="E30" i="30" s="1"/>
  <c r="F42" i="30" l="1"/>
  <c r="F42" i="29"/>
  <c r="F53" i="30" l="1"/>
  <c r="D53" i="29"/>
  <c r="F53" i="29" s="1"/>
  <c r="C20" i="31" l="1"/>
  <c r="B20" i="31"/>
  <c r="C18" i="31" l="1"/>
  <c r="B18" i="31"/>
  <c r="D194" i="19"/>
  <c r="O98" i="19" l="1"/>
  <c r="O97" i="19"/>
  <c r="O96" i="19"/>
  <c r="O95" i="19"/>
  <c r="O94" i="19"/>
  <c r="O93" i="19"/>
  <c r="O92" i="19"/>
  <c r="O91" i="19"/>
  <c r="O90" i="19"/>
  <c r="O89" i="19"/>
  <c r="O88" i="19"/>
  <c r="O87" i="19"/>
  <c r="O86" i="19"/>
  <c r="O85" i="19"/>
  <c r="O84" i="19"/>
  <c r="O83" i="19"/>
  <c r="O82" i="19"/>
  <c r="O81" i="19"/>
  <c r="O80" i="19"/>
  <c r="O79" i="19"/>
  <c r="O78" i="19"/>
  <c r="O77" i="19"/>
  <c r="O76" i="19"/>
  <c r="O75" i="19"/>
  <c r="O74" i="19"/>
  <c r="O73" i="19"/>
  <c r="O72" i="19"/>
  <c r="O71" i="19"/>
  <c r="O70" i="19"/>
  <c r="O69" i="19"/>
  <c r="O68" i="19"/>
  <c r="O67" i="19"/>
  <c r="O66" i="19"/>
  <c r="O65" i="19"/>
  <c r="O64" i="19"/>
  <c r="O63" i="19"/>
  <c r="O62" i="19"/>
  <c r="O61" i="19"/>
  <c r="O60" i="19"/>
  <c r="O59" i="19"/>
  <c r="O58" i="19"/>
  <c r="O57" i="19"/>
  <c r="O56" i="19"/>
  <c r="O55" i="19"/>
  <c r="O54" i="19"/>
  <c r="O53" i="19"/>
  <c r="O52" i="19"/>
  <c r="O51" i="19"/>
  <c r="O50" i="19"/>
  <c r="O49" i="19"/>
  <c r="O48" i="19"/>
  <c r="O47" i="19"/>
  <c r="O46" i="19"/>
  <c r="O45" i="19"/>
  <c r="O44" i="19"/>
  <c r="O43" i="19"/>
  <c r="O42" i="19"/>
  <c r="O41" i="19"/>
  <c r="O40" i="19"/>
  <c r="O39" i="19"/>
  <c r="O38" i="19"/>
  <c r="O37" i="19"/>
  <c r="O36" i="19"/>
  <c r="O35" i="19"/>
  <c r="O34" i="19"/>
  <c r="O33" i="19"/>
  <c r="O32" i="19"/>
  <c r="O31" i="19"/>
  <c r="O30" i="19"/>
  <c r="O29" i="19"/>
  <c r="O28" i="19"/>
  <c r="O27" i="19"/>
  <c r="O26" i="19"/>
  <c r="O25" i="19"/>
  <c r="O24" i="19"/>
  <c r="O23" i="19"/>
  <c r="O22" i="19"/>
  <c r="O21" i="19"/>
  <c r="O20" i="19"/>
  <c r="O19" i="19"/>
  <c r="O18" i="19"/>
  <c r="O17" i="19"/>
  <c r="O16" i="19"/>
  <c r="O15" i="19"/>
  <c r="O14" i="19"/>
  <c r="O13" i="19"/>
  <c r="O12" i="19"/>
  <c r="O11" i="19"/>
  <c r="O10" i="19"/>
  <c r="O9" i="19"/>
  <c r="O8" i="19"/>
  <c r="O7" i="19"/>
  <c r="O6" i="19"/>
  <c r="O5" i="19"/>
  <c r="O4" i="19"/>
  <c r="O3" i="19"/>
  <c r="L87" i="9" l="1"/>
  <c r="M87" i="9" l="1"/>
  <c r="J295" i="19"/>
  <c r="J311" i="19" s="1"/>
  <c r="I295" i="19"/>
  <c r="I311" i="19" s="1"/>
  <c r="J294" i="19"/>
  <c r="J310" i="19" s="1"/>
  <c r="I294" i="19"/>
  <c r="I310" i="19" s="1"/>
  <c r="J293" i="19"/>
  <c r="J309" i="19" s="1"/>
  <c r="I293" i="19"/>
  <c r="I309" i="19" s="1"/>
  <c r="J292" i="19"/>
  <c r="J308" i="19" s="1"/>
  <c r="I292" i="19"/>
  <c r="I308" i="19" s="1"/>
  <c r="J291" i="19"/>
  <c r="J307" i="19" s="1"/>
  <c r="I291" i="19"/>
  <c r="I307" i="19" s="1"/>
  <c r="J290" i="19"/>
  <c r="J306" i="19" s="1"/>
  <c r="I290" i="19"/>
  <c r="I306" i="19" s="1"/>
  <c r="J289" i="19"/>
  <c r="J305" i="19" s="1"/>
  <c r="I289" i="19"/>
  <c r="I305" i="19" s="1"/>
  <c r="J288" i="19"/>
  <c r="J304" i="19" s="1"/>
  <c r="I288" i="19"/>
  <c r="I304" i="19" s="1"/>
  <c r="J287" i="19"/>
  <c r="J303" i="19" s="1"/>
  <c r="I287" i="19"/>
  <c r="I303" i="19" s="1"/>
  <c r="J286" i="19"/>
  <c r="J302" i="19" s="1"/>
  <c r="I286" i="19"/>
  <c r="I302" i="19" s="1"/>
  <c r="J285" i="19"/>
  <c r="J301" i="19" s="1"/>
  <c r="I285" i="19"/>
  <c r="I301" i="19" s="1"/>
  <c r="J284" i="19"/>
  <c r="J300" i="19" s="1"/>
  <c r="I284" i="19"/>
  <c r="I300" i="19" s="1"/>
  <c r="E67" i="19" l="1"/>
  <c r="E66" i="19"/>
  <c r="E194" i="19" l="1"/>
  <c r="E193" i="19"/>
  <c r="E192" i="19"/>
  <c r="E191" i="19"/>
  <c r="E190" i="19"/>
  <c r="E189" i="19"/>
  <c r="E188" i="19"/>
  <c r="E187" i="19"/>
  <c r="E186" i="19"/>
  <c r="E185" i="19"/>
  <c r="E184" i="19"/>
  <c r="E183" i="19"/>
  <c r="E182" i="19"/>
  <c r="E181" i="19"/>
  <c r="E180" i="19"/>
  <c r="E179" i="19"/>
  <c r="E178" i="19"/>
  <c r="E177" i="19"/>
  <c r="E176" i="19"/>
  <c r="E175" i="19"/>
  <c r="E174" i="19"/>
  <c r="E173" i="19"/>
  <c r="E172" i="19"/>
  <c r="E171" i="19"/>
  <c r="E170" i="19"/>
  <c r="E169" i="19"/>
  <c r="E168" i="19"/>
  <c r="E167" i="19"/>
  <c r="E166" i="19"/>
  <c r="E165" i="19"/>
  <c r="E164" i="19"/>
  <c r="E163" i="19"/>
  <c r="E162" i="19"/>
  <c r="E161" i="19"/>
  <c r="E160" i="19"/>
  <c r="E159" i="19"/>
  <c r="E158" i="19"/>
  <c r="E157" i="19"/>
  <c r="E156" i="19"/>
  <c r="E155" i="19"/>
  <c r="E154" i="19"/>
  <c r="E153" i="19"/>
  <c r="E152" i="19"/>
  <c r="E151" i="19"/>
  <c r="E150" i="19"/>
  <c r="E149" i="19"/>
  <c r="E148" i="19"/>
  <c r="E147" i="19"/>
  <c r="E146" i="19"/>
  <c r="E145" i="19"/>
  <c r="E144" i="19"/>
  <c r="E143" i="19"/>
  <c r="E142" i="19"/>
  <c r="E141" i="19"/>
  <c r="E140" i="19"/>
  <c r="E139" i="19"/>
  <c r="E138" i="19"/>
  <c r="E137" i="19"/>
  <c r="E136" i="19"/>
  <c r="E135" i="19"/>
  <c r="E134" i="19"/>
  <c r="E133" i="19"/>
  <c r="E132" i="19"/>
  <c r="E131" i="19"/>
  <c r="E130" i="19"/>
  <c r="E129" i="19"/>
  <c r="E128" i="19"/>
  <c r="E127" i="19"/>
  <c r="E126" i="19"/>
  <c r="E125" i="19"/>
  <c r="E124" i="19"/>
  <c r="E123" i="19"/>
  <c r="E122" i="19"/>
  <c r="E121" i="19"/>
  <c r="E120" i="19"/>
  <c r="E119" i="19"/>
  <c r="E118" i="19"/>
  <c r="E117" i="19"/>
  <c r="E116" i="19"/>
  <c r="E115" i="19"/>
  <c r="E114" i="19"/>
  <c r="E113" i="19"/>
  <c r="E112" i="19"/>
  <c r="E111" i="19"/>
  <c r="E110" i="19"/>
  <c r="E109" i="19"/>
  <c r="E108" i="19"/>
  <c r="E107" i="19"/>
  <c r="E106" i="19"/>
  <c r="E105" i="19"/>
  <c r="E104" i="19"/>
  <c r="E103" i="19"/>
  <c r="E102" i="19"/>
  <c r="E101" i="19"/>
  <c r="E100" i="19"/>
  <c r="E99" i="19"/>
  <c r="E98" i="19"/>
  <c r="E97" i="19"/>
  <c r="E96" i="19"/>
  <c r="E95" i="19"/>
  <c r="E94" i="19"/>
  <c r="E93" i="19"/>
  <c r="E92" i="19"/>
  <c r="E91" i="19"/>
  <c r="E90" i="19"/>
  <c r="E89" i="19"/>
  <c r="E88" i="19"/>
  <c r="E87" i="19"/>
  <c r="E86" i="19"/>
  <c r="E85" i="19"/>
  <c r="E84" i="19"/>
  <c r="E83" i="19"/>
  <c r="E82" i="19"/>
  <c r="E81" i="19"/>
  <c r="E80" i="19"/>
  <c r="E79" i="19"/>
  <c r="E78" i="19"/>
  <c r="E77" i="19"/>
  <c r="E76" i="19"/>
  <c r="E75" i="19"/>
  <c r="E74" i="19"/>
  <c r="E73" i="19"/>
  <c r="E72" i="19"/>
  <c r="E71" i="19"/>
  <c r="E70" i="19"/>
  <c r="E69" i="19"/>
  <c r="E68" i="19"/>
  <c r="E65" i="19"/>
  <c r="E64" i="19"/>
  <c r="E63" i="19"/>
  <c r="E62" i="19"/>
  <c r="E61" i="19"/>
  <c r="E60" i="19"/>
  <c r="E59" i="19"/>
  <c r="E58" i="19"/>
  <c r="E57" i="19"/>
  <c r="E56" i="19"/>
  <c r="E55" i="19"/>
  <c r="E54" i="19"/>
  <c r="E53" i="19"/>
  <c r="E52" i="19"/>
  <c r="E51" i="19"/>
  <c r="E50" i="19"/>
  <c r="E49" i="19"/>
  <c r="E48" i="19"/>
  <c r="E47" i="19"/>
  <c r="E46" i="19"/>
  <c r="E45" i="19"/>
  <c r="E44" i="19"/>
  <c r="E43" i="19"/>
  <c r="E42" i="19"/>
  <c r="E41" i="19"/>
  <c r="E40" i="19"/>
  <c r="E39" i="19"/>
  <c r="E38" i="19"/>
  <c r="E37" i="19"/>
  <c r="E36" i="19"/>
  <c r="E35" i="19"/>
  <c r="E34" i="19"/>
  <c r="E33" i="19"/>
  <c r="E32" i="19"/>
  <c r="E31" i="19"/>
  <c r="E30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E10" i="19"/>
  <c r="E9" i="19"/>
  <c r="E8" i="19"/>
  <c r="E7" i="19"/>
  <c r="E6" i="19"/>
  <c r="E5" i="19"/>
  <c r="E4" i="19"/>
  <c r="E3" i="19"/>
  <c r="G32" i="17" l="1"/>
  <c r="G31" i="17"/>
  <c r="G30" i="17"/>
  <c r="G29" i="17"/>
  <c r="G28" i="17"/>
  <c r="G27" i="17"/>
  <c r="I28" i="24" l="1"/>
  <c r="H28" i="24"/>
  <c r="G28" i="24"/>
  <c r="F28" i="24"/>
  <c r="E28" i="24"/>
  <c r="D28" i="24"/>
  <c r="F319" i="24" l="1"/>
  <c r="E319" i="24"/>
  <c r="D319" i="24"/>
  <c r="A241" i="24"/>
  <c r="A240" i="24"/>
  <c r="A176" i="24"/>
  <c r="A193" i="24" s="1"/>
  <c r="A217" i="24" s="1"/>
  <c r="A234" i="24" s="1"/>
  <c r="A319" i="24" s="1"/>
  <c r="A336" i="24" s="1"/>
  <c r="A175" i="24"/>
  <c r="A174" i="24"/>
  <c r="A173" i="24"/>
  <c r="A172" i="24"/>
  <c r="A171" i="24"/>
  <c r="A170" i="24"/>
  <c r="A169" i="24"/>
  <c r="A168" i="24"/>
  <c r="A167" i="24"/>
  <c r="A166" i="24"/>
  <c r="A165" i="24"/>
  <c r="A164" i="24"/>
  <c r="I176" i="24"/>
  <c r="H176" i="24"/>
  <c r="G176" i="24"/>
  <c r="F176" i="24"/>
  <c r="E176" i="24"/>
  <c r="D176" i="24"/>
  <c r="N36" i="11"/>
  <c r="I42" i="24" s="1"/>
  <c r="M36" i="11"/>
  <c r="L36" i="11"/>
  <c r="K36" i="11"/>
  <c r="J36" i="11"/>
  <c r="E379" i="24" l="1"/>
  <c r="G379" i="24"/>
  <c r="F379" i="24"/>
  <c r="G319" i="24"/>
  <c r="J176" i="24"/>
  <c r="I36" i="11"/>
  <c r="H36" i="11"/>
  <c r="G36" i="11"/>
  <c r="F36" i="11"/>
  <c r="E36" i="11"/>
  <c r="D36" i="11"/>
  <c r="C36" i="11"/>
  <c r="B36" i="11"/>
  <c r="N31" i="11"/>
  <c r="M31" i="11"/>
  <c r="L31" i="11"/>
  <c r="K31" i="11"/>
  <c r="J31" i="11"/>
  <c r="I31" i="11"/>
  <c r="H31" i="11"/>
  <c r="G31" i="11"/>
  <c r="F31" i="11"/>
  <c r="E31" i="11"/>
  <c r="D31" i="11"/>
  <c r="C31" i="11"/>
  <c r="B31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B26" i="11"/>
  <c r="E369" i="24" l="1"/>
  <c r="F369" i="24"/>
  <c r="E374" i="24"/>
  <c r="G369" i="24"/>
  <c r="G42" i="24"/>
  <c r="F374" i="24"/>
  <c r="G374" i="24"/>
  <c r="H42" i="24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C32" i="18"/>
  <c r="C31" i="18"/>
  <c r="C30" i="18"/>
  <c r="C29" i="18"/>
  <c r="C28" i="18"/>
  <c r="C27" i="18"/>
  <c r="C26" i="18"/>
  <c r="C25" i="18"/>
  <c r="C24" i="18"/>
  <c r="C23" i="18"/>
  <c r="C22" i="18"/>
  <c r="C21" i="18"/>
  <c r="C20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C34" i="18" l="1"/>
  <c r="D336" i="24"/>
  <c r="E336" i="24"/>
  <c r="F336" i="24"/>
  <c r="N21" i="11"/>
  <c r="M21" i="11"/>
  <c r="L21" i="11"/>
  <c r="K21" i="11"/>
  <c r="J21" i="11"/>
  <c r="I21" i="11"/>
  <c r="H21" i="11"/>
  <c r="G21" i="11"/>
  <c r="F21" i="11"/>
  <c r="E21" i="11"/>
  <c r="D21" i="11"/>
  <c r="C21" i="11"/>
  <c r="B21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B17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I50" i="11" l="1"/>
  <c r="I45" i="11"/>
  <c r="M50" i="11"/>
  <c r="F388" i="24" s="1"/>
  <c r="M45" i="11"/>
  <c r="B45" i="11"/>
  <c r="F45" i="11"/>
  <c r="J45" i="11"/>
  <c r="N45" i="11"/>
  <c r="E50" i="11"/>
  <c r="E45" i="11"/>
  <c r="C50" i="11"/>
  <c r="C45" i="11"/>
  <c r="G50" i="11"/>
  <c r="G45" i="11"/>
  <c r="K50" i="11"/>
  <c r="K45" i="11"/>
  <c r="D45" i="11"/>
  <c r="H45" i="11"/>
  <c r="L45" i="11"/>
  <c r="F50" i="11"/>
  <c r="J50" i="11"/>
  <c r="N50" i="11"/>
  <c r="G388" i="24" s="1"/>
  <c r="D50" i="11"/>
  <c r="H50" i="11"/>
  <c r="L50" i="11"/>
  <c r="E388" i="24" s="1"/>
  <c r="E356" i="24"/>
  <c r="F356" i="24"/>
  <c r="E360" i="24"/>
  <c r="G360" i="24"/>
  <c r="E42" i="24"/>
  <c r="F364" i="24"/>
  <c r="G364" i="24"/>
  <c r="F42" i="24"/>
  <c r="G356" i="24"/>
  <c r="D42" i="24"/>
  <c r="F360" i="24"/>
  <c r="E364" i="24"/>
  <c r="F26" i="17"/>
  <c r="G383" i="24" l="1"/>
  <c r="E383" i="24"/>
  <c r="F383" i="24"/>
  <c r="J42" i="24"/>
  <c r="B11" i="23" l="1"/>
  <c r="E266" i="24" s="1"/>
  <c r="B10" i="23"/>
  <c r="B9" i="23"/>
  <c r="B8" i="23"/>
  <c r="B7" i="23"/>
  <c r="B6" i="23"/>
  <c r="B5" i="23"/>
  <c r="B4" i="23"/>
  <c r="B3" i="23"/>
  <c r="C11" i="23"/>
  <c r="C10" i="23"/>
  <c r="C9" i="23"/>
  <c r="C8" i="23"/>
  <c r="C7" i="23"/>
  <c r="F7" i="23" s="1"/>
  <c r="C6" i="23"/>
  <c r="H111" i="24" s="1"/>
  <c r="C5" i="23"/>
  <c r="G111" i="24" s="1"/>
  <c r="C4" i="23"/>
  <c r="F111" i="24" s="1"/>
  <c r="C3" i="23"/>
  <c r="E111" i="24" s="1"/>
  <c r="F6" i="23"/>
  <c r="C2" i="23"/>
  <c r="F4" i="23" l="1"/>
  <c r="D4" i="23"/>
  <c r="D6" i="23"/>
  <c r="D8" i="23"/>
  <c r="D10" i="23"/>
  <c r="D5" i="23"/>
  <c r="D7" i="23"/>
  <c r="D9" i="23"/>
  <c r="C12" i="23"/>
  <c r="D111" i="24"/>
  <c r="F257" i="24"/>
  <c r="G257" i="24" s="1"/>
  <c r="H257" i="24" s="1"/>
  <c r="H113" i="24"/>
  <c r="F266" i="24"/>
  <c r="G266" i="24" s="1"/>
  <c r="H266" i="24" s="1"/>
  <c r="D2" i="23"/>
  <c r="F2" i="23"/>
  <c r="F3" i="23"/>
  <c r="F5" i="23"/>
  <c r="B12" i="23"/>
  <c r="E258" i="24"/>
  <c r="D11" i="23"/>
  <c r="A23" i="9"/>
  <c r="A24" i="9"/>
  <c r="E2" i="23" l="1"/>
  <c r="G17" i="17"/>
  <c r="G18" i="17"/>
  <c r="H18" i="17" l="1"/>
  <c r="H17" i="17"/>
  <c r="J17" i="17" l="1"/>
  <c r="J18" i="17"/>
  <c r="F2" i="17"/>
  <c r="A84" i="24"/>
  <c r="A104" i="24" s="1"/>
  <c r="A42" i="24"/>
  <c r="A62" i="24" s="1"/>
  <c r="A43" i="24"/>
  <c r="D27" i="23"/>
  <c r="F11" i="23" s="1"/>
  <c r="C27" i="23"/>
  <c r="F10" i="23" s="1"/>
  <c r="B27" i="23"/>
  <c r="F9" i="23" s="1"/>
  <c r="A27" i="23"/>
  <c r="F8" i="23" s="1"/>
  <c r="A21" i="23" l="1"/>
  <c r="B21" i="23"/>
  <c r="C21" i="23"/>
  <c r="D21" i="23"/>
  <c r="B22" i="23"/>
  <c r="E273" i="24" s="1"/>
  <c r="C22" i="23"/>
  <c r="F273" i="24" s="1"/>
  <c r="D22" i="23"/>
  <c r="G273" i="24" s="1"/>
  <c r="E22" i="23" l="1"/>
  <c r="E21" i="23"/>
  <c r="E18" i="27"/>
  <c r="C23" i="23" l="1"/>
  <c r="F274" i="24" s="1"/>
  <c r="U30" i="27"/>
  <c r="T30" i="27"/>
  <c r="S30" i="27"/>
  <c r="R30" i="27"/>
  <c r="Q30" i="27"/>
  <c r="P30" i="27"/>
  <c r="O30" i="27"/>
  <c r="N30" i="27"/>
  <c r="M30" i="27"/>
  <c r="L30" i="27"/>
  <c r="K30" i="27"/>
  <c r="J30" i="27"/>
  <c r="I30" i="27"/>
  <c r="H30" i="27"/>
  <c r="G30" i="27"/>
  <c r="F30" i="27"/>
  <c r="U29" i="27"/>
  <c r="T29" i="27"/>
  <c r="S29" i="27"/>
  <c r="R29" i="27"/>
  <c r="Q29" i="27"/>
  <c r="P29" i="27"/>
  <c r="O29" i="27"/>
  <c r="N29" i="27"/>
  <c r="M29" i="27"/>
  <c r="L29" i="27"/>
  <c r="K29" i="27"/>
  <c r="J29" i="27"/>
  <c r="I29" i="27"/>
  <c r="H29" i="27"/>
  <c r="G29" i="27"/>
  <c r="F29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U27" i="27"/>
  <c r="T27" i="27"/>
  <c r="S27" i="27"/>
  <c r="R27" i="27"/>
  <c r="Q27" i="27"/>
  <c r="P27" i="27"/>
  <c r="O27" i="27"/>
  <c r="N27" i="27"/>
  <c r="M27" i="27"/>
  <c r="L27" i="27"/>
  <c r="K27" i="27"/>
  <c r="J27" i="27"/>
  <c r="I27" i="27"/>
  <c r="H27" i="27"/>
  <c r="G27" i="27"/>
  <c r="F27" i="27"/>
  <c r="U26" i="27"/>
  <c r="T26" i="27"/>
  <c r="S26" i="27"/>
  <c r="R26" i="27"/>
  <c r="Q26" i="27"/>
  <c r="P26" i="27"/>
  <c r="O26" i="27"/>
  <c r="N26" i="27"/>
  <c r="M26" i="27"/>
  <c r="L26" i="27"/>
  <c r="K26" i="27"/>
  <c r="J26" i="27"/>
  <c r="I26" i="27"/>
  <c r="H26" i="27"/>
  <c r="G26" i="27"/>
  <c r="F26" i="27"/>
  <c r="U25" i="27"/>
  <c r="T25" i="27"/>
  <c r="S25" i="27"/>
  <c r="R25" i="27"/>
  <c r="Q25" i="27"/>
  <c r="P25" i="27"/>
  <c r="O25" i="27"/>
  <c r="N25" i="27"/>
  <c r="M25" i="27"/>
  <c r="L25" i="27"/>
  <c r="K25" i="27"/>
  <c r="J25" i="27"/>
  <c r="I25" i="27"/>
  <c r="H25" i="27"/>
  <c r="G25" i="27"/>
  <c r="F25" i="27"/>
  <c r="U24" i="27"/>
  <c r="T24" i="27"/>
  <c r="S24" i="27"/>
  <c r="R24" i="27"/>
  <c r="Q24" i="27"/>
  <c r="P24" i="27"/>
  <c r="O24" i="27"/>
  <c r="N24" i="27"/>
  <c r="M24" i="27"/>
  <c r="L24" i="27"/>
  <c r="K24" i="27"/>
  <c r="J24" i="27"/>
  <c r="I24" i="27"/>
  <c r="H24" i="27"/>
  <c r="G24" i="27"/>
  <c r="F24" i="27"/>
  <c r="U23" i="27"/>
  <c r="T23" i="27"/>
  <c r="S23" i="27"/>
  <c r="R23" i="27"/>
  <c r="Q23" i="27"/>
  <c r="P23" i="27"/>
  <c r="O23" i="27"/>
  <c r="N23" i="27"/>
  <c r="M23" i="27"/>
  <c r="L23" i="27"/>
  <c r="K23" i="27"/>
  <c r="J23" i="27"/>
  <c r="I23" i="27"/>
  <c r="H23" i="27"/>
  <c r="G23" i="27"/>
  <c r="F23" i="27"/>
  <c r="U22" i="27"/>
  <c r="T22" i="27"/>
  <c r="S22" i="27"/>
  <c r="R22" i="27"/>
  <c r="Q22" i="27"/>
  <c r="P22" i="27"/>
  <c r="O22" i="27"/>
  <c r="N22" i="27"/>
  <c r="M22" i="27"/>
  <c r="L22" i="27"/>
  <c r="K22" i="27"/>
  <c r="J22" i="27"/>
  <c r="I22" i="27"/>
  <c r="H22" i="27"/>
  <c r="G22" i="27"/>
  <c r="F22" i="27"/>
  <c r="U21" i="27"/>
  <c r="T21" i="27"/>
  <c r="S21" i="27"/>
  <c r="R21" i="27"/>
  <c r="Q21" i="27"/>
  <c r="P21" i="27"/>
  <c r="O21" i="27"/>
  <c r="N21" i="27"/>
  <c r="M21" i="27"/>
  <c r="L21" i="27"/>
  <c r="K21" i="27"/>
  <c r="J21" i="27"/>
  <c r="I21" i="27"/>
  <c r="H21" i="27"/>
  <c r="G21" i="27"/>
  <c r="F21" i="27"/>
  <c r="U20" i="27"/>
  <c r="T20" i="27"/>
  <c r="S20" i="27"/>
  <c r="R20" i="27"/>
  <c r="Q20" i="27"/>
  <c r="P20" i="27"/>
  <c r="O20" i="27"/>
  <c r="N20" i="27"/>
  <c r="M20" i="27"/>
  <c r="L20" i="27"/>
  <c r="K20" i="27"/>
  <c r="J20" i="27"/>
  <c r="I20" i="27"/>
  <c r="H20" i="27"/>
  <c r="G20" i="27"/>
  <c r="F20" i="27"/>
  <c r="U19" i="27"/>
  <c r="T19" i="27"/>
  <c r="S19" i="27"/>
  <c r="Q19" i="27"/>
  <c r="R19" i="27"/>
  <c r="P19" i="27"/>
  <c r="O19" i="27"/>
  <c r="N19" i="27"/>
  <c r="M19" i="27"/>
  <c r="L19" i="27"/>
  <c r="K19" i="27"/>
  <c r="J19" i="27"/>
  <c r="I19" i="27"/>
  <c r="H19" i="27"/>
  <c r="G19" i="27"/>
  <c r="F19" i="27"/>
  <c r="U16" i="27" l="1"/>
  <c r="U15" i="27"/>
  <c r="U14" i="27"/>
  <c r="U13" i="27"/>
  <c r="U12" i="27"/>
  <c r="U11" i="27"/>
  <c r="U10" i="27"/>
  <c r="U9" i="27"/>
  <c r="U8" i="27"/>
  <c r="U7" i="27"/>
  <c r="U6" i="27"/>
  <c r="U5" i="27"/>
  <c r="T16" i="27"/>
  <c r="T15" i="27"/>
  <c r="T14" i="27"/>
  <c r="T13" i="27"/>
  <c r="T12" i="27"/>
  <c r="T11" i="27"/>
  <c r="T10" i="27"/>
  <c r="T9" i="27"/>
  <c r="T8" i="27"/>
  <c r="T7" i="27"/>
  <c r="T6" i="27"/>
  <c r="T5" i="27"/>
  <c r="S16" i="27"/>
  <c r="S15" i="27"/>
  <c r="S14" i="27"/>
  <c r="S13" i="27"/>
  <c r="S12" i="27"/>
  <c r="S11" i="27"/>
  <c r="S10" i="27"/>
  <c r="S9" i="27"/>
  <c r="S8" i="27"/>
  <c r="S7" i="27"/>
  <c r="S6" i="27"/>
  <c r="S5" i="27"/>
  <c r="R16" i="27"/>
  <c r="R15" i="27"/>
  <c r="R14" i="27"/>
  <c r="R13" i="27"/>
  <c r="R12" i="27"/>
  <c r="R11" i="27"/>
  <c r="R10" i="27"/>
  <c r="R9" i="27"/>
  <c r="R8" i="27"/>
  <c r="R7" i="27"/>
  <c r="R6" i="27"/>
  <c r="R5" i="27"/>
  <c r="Q16" i="27"/>
  <c r="Q15" i="27"/>
  <c r="Q14" i="27"/>
  <c r="Q13" i="27"/>
  <c r="Q12" i="27"/>
  <c r="Q11" i="27"/>
  <c r="Q10" i="27"/>
  <c r="Q9" i="27"/>
  <c r="Q8" i="27"/>
  <c r="Q7" i="27"/>
  <c r="Q6" i="27"/>
  <c r="Q5" i="27"/>
  <c r="P16" i="27"/>
  <c r="P15" i="27"/>
  <c r="P14" i="27"/>
  <c r="P13" i="27"/>
  <c r="P12" i="27"/>
  <c r="P11" i="27"/>
  <c r="P10" i="27"/>
  <c r="P9" i="27"/>
  <c r="P8" i="27"/>
  <c r="P7" i="27"/>
  <c r="P6" i="27"/>
  <c r="P5" i="27"/>
  <c r="O16" i="27"/>
  <c r="O15" i="27"/>
  <c r="O14" i="27"/>
  <c r="O13" i="27"/>
  <c r="O12" i="27"/>
  <c r="O11" i="27"/>
  <c r="O10" i="27"/>
  <c r="O9" i="27"/>
  <c r="O8" i="27"/>
  <c r="O7" i="27"/>
  <c r="O6" i="27"/>
  <c r="O5" i="27"/>
  <c r="N16" i="27"/>
  <c r="N15" i="27"/>
  <c r="N14" i="27"/>
  <c r="N13" i="27"/>
  <c r="N12" i="27"/>
  <c r="N11" i="27"/>
  <c r="N10" i="27"/>
  <c r="N9" i="27"/>
  <c r="N8" i="27"/>
  <c r="N7" i="27"/>
  <c r="N6" i="27"/>
  <c r="N5" i="27"/>
  <c r="M16" i="27"/>
  <c r="M15" i="27"/>
  <c r="M14" i="27"/>
  <c r="M13" i="27"/>
  <c r="M12" i="27"/>
  <c r="M11" i="27"/>
  <c r="M10" i="27"/>
  <c r="M9" i="27"/>
  <c r="M8" i="27"/>
  <c r="M7" i="27"/>
  <c r="M6" i="27"/>
  <c r="M5" i="27"/>
  <c r="L16" i="27"/>
  <c r="L15" i="27"/>
  <c r="L14" i="27"/>
  <c r="L13" i="27"/>
  <c r="L12" i="27"/>
  <c r="L11" i="27"/>
  <c r="L10" i="27"/>
  <c r="L9" i="27"/>
  <c r="L8" i="27"/>
  <c r="L7" i="27"/>
  <c r="L6" i="27"/>
  <c r="L5" i="27"/>
  <c r="K16" i="27"/>
  <c r="K15" i="27"/>
  <c r="K14" i="27"/>
  <c r="K13" i="27"/>
  <c r="K12" i="27"/>
  <c r="K11" i="27"/>
  <c r="K10" i="27"/>
  <c r="K9" i="27"/>
  <c r="K8" i="27"/>
  <c r="K7" i="27"/>
  <c r="K6" i="27"/>
  <c r="K5" i="27"/>
  <c r="J16" i="27"/>
  <c r="J15" i="27"/>
  <c r="J14" i="27"/>
  <c r="J13" i="27"/>
  <c r="J12" i="27"/>
  <c r="J11" i="27"/>
  <c r="J10" i="27"/>
  <c r="J9" i="27"/>
  <c r="J8" i="27"/>
  <c r="J7" i="27"/>
  <c r="J6" i="27"/>
  <c r="J5" i="27"/>
  <c r="I16" i="27"/>
  <c r="I15" i="27"/>
  <c r="I14" i="27"/>
  <c r="I13" i="27"/>
  <c r="I12" i="27"/>
  <c r="I11" i="27"/>
  <c r="I10" i="27"/>
  <c r="I9" i="27"/>
  <c r="I8" i="27"/>
  <c r="I7" i="27"/>
  <c r="I6" i="27"/>
  <c r="I5" i="27"/>
  <c r="H16" i="27"/>
  <c r="H15" i="27"/>
  <c r="H14" i="27"/>
  <c r="H13" i="27"/>
  <c r="H12" i="27"/>
  <c r="H11" i="27"/>
  <c r="H10" i="27"/>
  <c r="H9" i="27"/>
  <c r="H8" i="27"/>
  <c r="H7" i="27"/>
  <c r="H6" i="27"/>
  <c r="H5" i="27"/>
  <c r="G16" i="27"/>
  <c r="G15" i="27"/>
  <c r="G14" i="27"/>
  <c r="G13" i="27"/>
  <c r="G12" i="27"/>
  <c r="G11" i="27"/>
  <c r="G10" i="27"/>
  <c r="G9" i="27"/>
  <c r="G8" i="27"/>
  <c r="G7" i="27"/>
  <c r="G6" i="27"/>
  <c r="G5" i="27"/>
  <c r="F16" i="27"/>
  <c r="F15" i="27"/>
  <c r="F14" i="27"/>
  <c r="F13" i="27"/>
  <c r="F12" i="27"/>
  <c r="F11" i="27"/>
  <c r="F10" i="27"/>
  <c r="F9" i="27"/>
  <c r="F8" i="27"/>
  <c r="F7" i="27"/>
  <c r="F6" i="27"/>
  <c r="F5" i="27"/>
  <c r="F195" i="19" l="1"/>
  <c r="F207" i="19" l="1"/>
  <c r="F197" i="19"/>
  <c r="F199" i="19"/>
  <c r="F201" i="19"/>
  <c r="F203" i="19"/>
  <c r="F205" i="19"/>
  <c r="G195" i="19"/>
  <c r="G197" i="19"/>
  <c r="G209" i="19" s="1"/>
  <c r="G203" i="19"/>
  <c r="G215" i="19" s="1"/>
  <c r="G199" i="19"/>
  <c r="G211" i="19" s="1"/>
  <c r="G201" i="19"/>
  <c r="G213" i="19" s="1"/>
  <c r="F196" i="19"/>
  <c r="F198" i="19"/>
  <c r="F200" i="19"/>
  <c r="F202" i="19"/>
  <c r="F204" i="19"/>
  <c r="F206" i="19"/>
  <c r="G198" i="19"/>
  <c r="G210" i="19" s="1"/>
  <c r="G200" i="19"/>
  <c r="G212" i="19" s="1"/>
  <c r="G206" i="19"/>
  <c r="G218" i="19" s="1"/>
  <c r="G196" i="19"/>
  <c r="G208" i="19" s="1"/>
  <c r="G202" i="19"/>
  <c r="G214" i="19" s="1"/>
  <c r="G204" i="19"/>
  <c r="G216" i="19" s="1"/>
  <c r="F216" i="19" l="1"/>
  <c r="F208" i="19"/>
  <c r="F213" i="19"/>
  <c r="F214" i="19"/>
  <c r="F211" i="19"/>
  <c r="F212" i="19"/>
  <c r="F217" i="19"/>
  <c r="F209" i="19"/>
  <c r="F218" i="19"/>
  <c r="F215" i="19"/>
  <c r="G207" i="19"/>
  <c r="G205" i="19"/>
  <c r="G217" i="19" s="1"/>
  <c r="F210" i="19"/>
  <c r="C52" i="30" l="1"/>
  <c r="C51" i="30"/>
  <c r="C50" i="30"/>
  <c r="C49" i="30"/>
  <c r="C48" i="30"/>
  <c r="C47" i="30"/>
  <c r="C30" i="30"/>
  <c r="C29" i="30"/>
  <c r="C27" i="30"/>
  <c r="C26" i="30"/>
  <c r="C25" i="30"/>
  <c r="A50" i="30"/>
  <c r="A49" i="30"/>
  <c r="A48" i="30"/>
  <c r="A47" i="30"/>
  <c r="A81" i="30" s="1"/>
  <c r="C48" i="29"/>
  <c r="C49" i="29"/>
  <c r="C50" i="29"/>
  <c r="C51" i="29"/>
  <c r="C52" i="29"/>
  <c r="C47" i="29"/>
  <c r="C26" i="29"/>
  <c r="C27" i="29"/>
  <c r="C29" i="29"/>
  <c r="C30" i="29"/>
  <c r="A5" i="29"/>
  <c r="A17" i="29" s="1"/>
  <c r="A28" i="29" s="1"/>
  <c r="A39" i="29" s="1"/>
  <c r="A50" i="29" s="1"/>
  <c r="A61" i="29" s="1"/>
  <c r="A72" i="29" s="1"/>
  <c r="A4" i="29"/>
  <c r="A16" i="29" s="1"/>
  <c r="A27" i="29" s="1"/>
  <c r="A38" i="29" s="1"/>
  <c r="A49" i="29" s="1"/>
  <c r="A60" i="29" s="1"/>
  <c r="A71" i="29" s="1"/>
  <c r="A3" i="29"/>
  <c r="A15" i="29" s="1"/>
  <c r="A26" i="29" s="1"/>
  <c r="A37" i="29" s="1"/>
  <c r="A48" i="29" s="1"/>
  <c r="A59" i="29" s="1"/>
  <c r="A70" i="29" s="1"/>
  <c r="A81" i="29" s="1"/>
  <c r="A2" i="29"/>
  <c r="A14" i="29" s="1"/>
  <c r="A25" i="29" s="1"/>
  <c r="A36" i="29" s="1"/>
  <c r="A47" i="29" s="1"/>
  <c r="A58" i="29" s="1"/>
  <c r="A69" i="29" s="1"/>
  <c r="A80" i="29" s="1"/>
  <c r="E4" i="23"/>
  <c r="E5" i="23"/>
  <c r="E6" i="23"/>
  <c r="E7" i="23"/>
  <c r="E8" i="23"/>
  <c r="E9" i="23"/>
  <c r="E10" i="23"/>
  <c r="E11" i="23"/>
  <c r="C38" i="17"/>
  <c r="D38" i="17"/>
  <c r="E38" i="17"/>
  <c r="F38" i="17"/>
  <c r="G38" i="17"/>
  <c r="B38" i="17"/>
  <c r="E237" i="19"/>
  <c r="N4" i="11" s="1"/>
  <c r="E236" i="19"/>
  <c r="E235" i="19"/>
  <c r="E234" i="19"/>
  <c r="E233" i="19"/>
  <c r="E232" i="19"/>
  <c r="E231" i="19"/>
  <c r="E230" i="19"/>
  <c r="E229" i="19"/>
  <c r="E228" i="19"/>
  <c r="E227" i="19"/>
  <c r="E226" i="19"/>
  <c r="E225" i="19"/>
  <c r="E224" i="19"/>
  <c r="B9" i="9" s="1"/>
  <c r="E223" i="19"/>
  <c r="B8" i="9" s="1"/>
  <c r="E222" i="19"/>
  <c r="B7" i="9" s="1"/>
  <c r="G349" i="24" l="1"/>
  <c r="N70" i="11"/>
  <c r="B20" i="9"/>
  <c r="L4" i="11"/>
  <c r="E349" i="24" s="1"/>
  <c r="B21" i="9"/>
  <c r="M4" i="11"/>
  <c r="F349" i="24" s="1"/>
  <c r="B19" i="9"/>
  <c r="K4" i="11"/>
  <c r="B11" i="9"/>
  <c r="C4" i="11"/>
  <c r="B16" i="9"/>
  <c r="H4" i="11"/>
  <c r="B10" i="9"/>
  <c r="B4" i="11"/>
  <c r="B14" i="9"/>
  <c r="F4" i="11"/>
  <c r="B18" i="9"/>
  <c r="J4" i="11"/>
  <c r="B15" i="9"/>
  <c r="G4" i="11"/>
  <c r="B12" i="9"/>
  <c r="D4" i="11"/>
  <c r="B13" i="9"/>
  <c r="E4" i="11"/>
  <c r="B17" i="9"/>
  <c r="I4" i="11"/>
  <c r="E241" i="19"/>
  <c r="B22" i="9"/>
  <c r="F22" i="9" s="1"/>
  <c r="C25" i="29"/>
  <c r="W30" i="27"/>
  <c r="C311" i="19" s="1"/>
  <c r="W29" i="27"/>
  <c r="C310" i="19" s="1"/>
  <c r="W28" i="27"/>
  <c r="C309" i="19" s="1"/>
  <c r="W27" i="27"/>
  <c r="C308" i="19" s="1"/>
  <c r="W26" i="27"/>
  <c r="C307" i="19" s="1"/>
  <c r="W25" i="27"/>
  <c r="C306" i="19" s="1"/>
  <c r="W24" i="27"/>
  <c r="C305" i="19" s="1"/>
  <c r="W23" i="27"/>
  <c r="C304" i="19" s="1"/>
  <c r="W22" i="27"/>
  <c r="C303" i="19" s="1"/>
  <c r="W21" i="27"/>
  <c r="C302" i="19" s="1"/>
  <c r="W20" i="27"/>
  <c r="C301" i="19" s="1"/>
  <c r="W19" i="27"/>
  <c r="C300" i="19" s="1"/>
  <c r="W6" i="27"/>
  <c r="B301" i="19" s="1"/>
  <c r="W7" i="27"/>
  <c r="B302" i="19" s="1"/>
  <c r="W8" i="27"/>
  <c r="B303" i="19" s="1"/>
  <c r="W9" i="27"/>
  <c r="B304" i="19" s="1"/>
  <c r="W10" i="27"/>
  <c r="B305" i="19" s="1"/>
  <c r="W11" i="27"/>
  <c r="B306" i="19" s="1"/>
  <c r="W12" i="27"/>
  <c r="B307" i="19" s="1"/>
  <c r="W13" i="27"/>
  <c r="B308" i="19" s="1"/>
  <c r="W14" i="27"/>
  <c r="B309" i="19" s="1"/>
  <c r="W15" i="27"/>
  <c r="B310" i="19" s="1"/>
  <c r="W16" i="27"/>
  <c r="B311" i="19" s="1"/>
  <c r="W5" i="27"/>
  <c r="B300" i="19" s="1"/>
  <c r="V29" i="27"/>
  <c r="C294" i="19" s="1"/>
  <c r="V25" i="27"/>
  <c r="C290" i="19" s="1"/>
  <c r="V21" i="27"/>
  <c r="C286" i="19" s="1"/>
  <c r="V7" i="27"/>
  <c r="B286" i="19" s="1"/>
  <c r="V11" i="27"/>
  <c r="B290" i="19" s="1"/>
  <c r="V15" i="27"/>
  <c r="B294" i="19" s="1"/>
  <c r="U18" i="27"/>
  <c r="V30" i="27"/>
  <c r="C295" i="19" s="1"/>
  <c r="V28" i="27"/>
  <c r="C293" i="19" s="1"/>
  <c r="V27" i="27"/>
  <c r="C292" i="19" s="1"/>
  <c r="V24" i="27"/>
  <c r="C289" i="19" s="1"/>
  <c r="V23" i="27"/>
  <c r="C288" i="19" s="1"/>
  <c r="V22" i="27"/>
  <c r="C287" i="19" s="1"/>
  <c r="V19" i="27"/>
  <c r="C284" i="19" s="1"/>
  <c r="T18" i="27"/>
  <c r="S18" i="27"/>
  <c r="R18" i="27"/>
  <c r="Q18" i="27"/>
  <c r="P18" i="27"/>
  <c r="O18" i="27"/>
  <c r="N18" i="27"/>
  <c r="M18" i="27"/>
  <c r="L18" i="27"/>
  <c r="K18" i="27"/>
  <c r="J18" i="27"/>
  <c r="I18" i="27"/>
  <c r="H18" i="27"/>
  <c r="G18" i="27"/>
  <c r="F18" i="27"/>
  <c r="D18" i="27"/>
  <c r="C18" i="27"/>
  <c r="B18" i="27"/>
  <c r="V16" i="27"/>
  <c r="B295" i="19" s="1"/>
  <c r="V14" i="27"/>
  <c r="B293" i="19" s="1"/>
  <c r="V13" i="27"/>
  <c r="B292" i="19" s="1"/>
  <c r="V12" i="27"/>
  <c r="B291" i="19" s="1"/>
  <c r="V10" i="27"/>
  <c r="B289" i="19" s="1"/>
  <c r="V9" i="27"/>
  <c r="B288" i="19" s="1"/>
  <c r="V8" i="27"/>
  <c r="B287" i="19" s="1"/>
  <c r="V6" i="27"/>
  <c r="B285" i="19" s="1"/>
  <c r="V5" i="27"/>
  <c r="B284" i="19" s="1"/>
  <c r="V20" i="27" l="1"/>
  <c r="C285" i="19" s="1"/>
  <c r="V26" i="27"/>
  <c r="C291" i="19" s="1"/>
  <c r="E7" i="18"/>
  <c r="D374" i="24"/>
  <c r="D369" i="24"/>
  <c r="D364" i="24"/>
  <c r="D360" i="24"/>
  <c r="D356" i="24"/>
  <c r="D378" i="24"/>
  <c r="D373" i="24"/>
  <c r="D368" i="24"/>
  <c r="A368" i="24"/>
  <c r="J285" i="24"/>
  <c r="J290" i="24" s="1"/>
  <c r="G305" i="24" s="1"/>
  <c r="G340" i="24" s="1"/>
  <c r="B270" i="24"/>
  <c r="G253" i="24"/>
  <c r="H253" i="24"/>
  <c r="I253" i="24"/>
  <c r="F253" i="24"/>
  <c r="A181" i="24"/>
  <c r="A205" i="24" s="1"/>
  <c r="A222" i="24" s="1"/>
  <c r="A307" i="24" s="1"/>
  <c r="A324" i="24" s="1"/>
  <c r="A182" i="24"/>
  <c r="A206" i="24" s="1"/>
  <c r="A223" i="24" s="1"/>
  <c r="A308" i="24" s="1"/>
  <c r="A325" i="24" s="1"/>
  <c r="D141" i="24"/>
  <c r="D142" i="24"/>
  <c r="D143" i="24"/>
  <c r="D144" i="24"/>
  <c r="D145" i="24"/>
  <c r="D146" i="24"/>
  <c r="D147" i="24"/>
  <c r="D148" i="24"/>
  <c r="D149" i="24"/>
  <c r="D150" i="24"/>
  <c r="D151" i="24"/>
  <c r="D152" i="24"/>
  <c r="D153" i="24"/>
  <c r="D154" i="24"/>
  <c r="D155" i="24"/>
  <c r="D140" i="24"/>
  <c r="E285" i="19"/>
  <c r="E301" i="19" s="1"/>
  <c r="F285" i="19"/>
  <c r="F301" i="19" s="1"/>
  <c r="H285" i="19"/>
  <c r="H301" i="19" s="1"/>
  <c r="E286" i="19"/>
  <c r="E302" i="19" s="1"/>
  <c r="F286" i="19"/>
  <c r="F302" i="19" s="1"/>
  <c r="H286" i="19"/>
  <c r="H302" i="19" s="1"/>
  <c r="E287" i="19"/>
  <c r="E303" i="19" s="1"/>
  <c r="F287" i="19"/>
  <c r="F303" i="19" s="1"/>
  <c r="H287" i="19"/>
  <c r="H303" i="19" s="1"/>
  <c r="E288" i="19"/>
  <c r="E304" i="19" s="1"/>
  <c r="F288" i="19"/>
  <c r="F304" i="19" s="1"/>
  <c r="H288" i="19"/>
  <c r="H304" i="19" s="1"/>
  <c r="E289" i="19"/>
  <c r="E305" i="19" s="1"/>
  <c r="F289" i="19"/>
  <c r="F305" i="19" s="1"/>
  <c r="H289" i="19"/>
  <c r="H305" i="19" s="1"/>
  <c r="E290" i="19"/>
  <c r="E306" i="19" s="1"/>
  <c r="F290" i="19"/>
  <c r="F306" i="19" s="1"/>
  <c r="H290" i="19"/>
  <c r="H306" i="19" s="1"/>
  <c r="E291" i="19"/>
  <c r="E307" i="19" s="1"/>
  <c r="F291" i="19"/>
  <c r="F307" i="19" s="1"/>
  <c r="H291" i="19"/>
  <c r="H307" i="19" s="1"/>
  <c r="E292" i="19"/>
  <c r="E308" i="19" s="1"/>
  <c r="F292" i="19"/>
  <c r="F308" i="19" s="1"/>
  <c r="H292" i="19"/>
  <c r="H308" i="19" s="1"/>
  <c r="E293" i="19"/>
  <c r="E309" i="19" s="1"/>
  <c r="F293" i="19"/>
  <c r="F309" i="19" s="1"/>
  <c r="H293" i="19"/>
  <c r="H309" i="19" s="1"/>
  <c r="E294" i="19"/>
  <c r="E310" i="19" s="1"/>
  <c r="F294" i="19"/>
  <c r="F310" i="19" s="1"/>
  <c r="H294" i="19"/>
  <c r="H310" i="19" s="1"/>
  <c r="E295" i="19"/>
  <c r="E311" i="19" s="1"/>
  <c r="F295" i="19"/>
  <c r="F311" i="19" s="1"/>
  <c r="H295" i="19"/>
  <c r="H311" i="19" s="1"/>
  <c r="F284" i="19"/>
  <c r="F300" i="19" s="1"/>
  <c r="H284" i="19"/>
  <c r="H300" i="19" s="1"/>
  <c r="E284" i="19"/>
  <c r="E300" i="19" s="1"/>
  <c r="D285" i="19"/>
  <c r="D301" i="19" s="1"/>
  <c r="D286" i="19"/>
  <c r="D302" i="19" s="1"/>
  <c r="D287" i="19"/>
  <c r="D303" i="19" s="1"/>
  <c r="D288" i="19"/>
  <c r="D304" i="19" s="1"/>
  <c r="D289" i="19"/>
  <c r="D305" i="19" s="1"/>
  <c r="D290" i="19"/>
  <c r="D306" i="19" s="1"/>
  <c r="D291" i="19"/>
  <c r="D307" i="19" s="1"/>
  <c r="D292" i="19"/>
  <c r="D308" i="19" s="1"/>
  <c r="D293" i="19"/>
  <c r="D309" i="19" s="1"/>
  <c r="D294" i="19"/>
  <c r="D310" i="19" s="1"/>
  <c r="D295" i="19"/>
  <c r="D311" i="19" s="1"/>
  <c r="D284" i="19"/>
  <c r="D300" i="19" s="1"/>
  <c r="E135" i="24"/>
  <c r="A135" i="24"/>
  <c r="E133" i="24"/>
  <c r="A133" i="24"/>
  <c r="E127" i="24"/>
  <c r="E128" i="24"/>
  <c r="E129" i="24"/>
  <c r="E130" i="24"/>
  <c r="E131" i="24"/>
  <c r="E132" i="24"/>
  <c r="E126" i="24"/>
  <c r="A130" i="24"/>
  <c r="A131" i="24"/>
  <c r="A132" i="24"/>
  <c r="A129" i="24"/>
  <c r="A128" i="24"/>
  <c r="A127" i="24"/>
  <c r="A126" i="24"/>
  <c r="E124" i="24"/>
  <c r="E123" i="24"/>
  <c r="E122" i="24"/>
  <c r="A72" i="24"/>
  <c r="A92" i="24" s="1"/>
  <c r="A73" i="24"/>
  <c r="A93" i="24" s="1"/>
  <c r="E70" i="24"/>
  <c r="F70" i="24"/>
  <c r="G70" i="24"/>
  <c r="H70" i="24"/>
  <c r="I70" i="24"/>
  <c r="E67" i="24"/>
  <c r="E162" i="24" s="1"/>
  <c r="E179" i="24" s="1"/>
  <c r="E197" i="24" s="1"/>
  <c r="E203" i="24" s="1"/>
  <c r="E220" i="24" s="1"/>
  <c r="E238" i="24" s="1"/>
  <c r="E244" i="24" s="1"/>
  <c r="F67" i="24"/>
  <c r="F162" i="24" s="1"/>
  <c r="F179" i="24" s="1"/>
  <c r="F197" i="24" s="1"/>
  <c r="F203" i="24" s="1"/>
  <c r="F220" i="24" s="1"/>
  <c r="F238" i="24" s="1"/>
  <c r="F244" i="24" s="1"/>
  <c r="H67" i="24"/>
  <c r="H162" i="24" s="1"/>
  <c r="H179" i="24" s="1"/>
  <c r="H197" i="24" s="1"/>
  <c r="H203" i="24" s="1"/>
  <c r="H220" i="24" s="1"/>
  <c r="H238" i="24" s="1"/>
  <c r="H244" i="24" s="1"/>
  <c r="I67" i="24"/>
  <c r="I162" i="24" s="1"/>
  <c r="I179" i="24" s="1"/>
  <c r="I197" i="24" s="1"/>
  <c r="I203" i="24" s="1"/>
  <c r="I220" i="24" s="1"/>
  <c r="I238" i="24" s="1"/>
  <c r="I244" i="24" s="1"/>
  <c r="J48" i="24"/>
  <c r="G6" i="24" s="1"/>
  <c r="A30" i="24"/>
  <c r="A50" i="24" s="1"/>
  <c r="A31" i="24"/>
  <c r="A51" i="24" s="1"/>
  <c r="D379" i="24"/>
  <c r="D363" i="24"/>
  <c r="D359" i="24"/>
  <c r="D355" i="24"/>
  <c r="A296" i="24"/>
  <c r="A299" i="24" s="1"/>
  <c r="A295" i="24"/>
  <c r="A298" i="24" s="1"/>
  <c r="A235" i="24"/>
  <c r="A192" i="24"/>
  <c r="A216" i="24" s="1"/>
  <c r="A233" i="24" s="1"/>
  <c r="A318" i="24" s="1"/>
  <c r="A335" i="24" s="1"/>
  <c r="A191" i="24"/>
  <c r="A215" i="24" s="1"/>
  <c r="A232" i="24" s="1"/>
  <c r="A317" i="24" s="1"/>
  <c r="A334" i="24" s="1"/>
  <c r="A190" i="24"/>
  <c r="A214" i="24" s="1"/>
  <c r="A231" i="24" s="1"/>
  <c r="A316" i="24" s="1"/>
  <c r="A333" i="24" s="1"/>
  <c r="A189" i="24"/>
  <c r="A213" i="24" s="1"/>
  <c r="A230" i="24" s="1"/>
  <c r="A315" i="24" s="1"/>
  <c r="A332" i="24" s="1"/>
  <c r="A188" i="24"/>
  <c r="A212" i="24" s="1"/>
  <c r="A229" i="24" s="1"/>
  <c r="A314" i="24" s="1"/>
  <c r="A331" i="24" s="1"/>
  <c r="A187" i="24"/>
  <c r="A211" i="24" s="1"/>
  <c r="A228" i="24" s="1"/>
  <c r="A313" i="24" s="1"/>
  <c r="A330" i="24" s="1"/>
  <c r="A186" i="24"/>
  <c r="A210" i="24" s="1"/>
  <c r="A227" i="24" s="1"/>
  <c r="A312" i="24" s="1"/>
  <c r="A329" i="24" s="1"/>
  <c r="A185" i="24"/>
  <c r="A209" i="24" s="1"/>
  <c r="A226" i="24" s="1"/>
  <c r="A311" i="24" s="1"/>
  <c r="A328" i="24" s="1"/>
  <c r="A184" i="24"/>
  <c r="A208" i="24" s="1"/>
  <c r="A225" i="24" s="1"/>
  <c r="A310" i="24" s="1"/>
  <c r="A327" i="24" s="1"/>
  <c r="A183" i="24"/>
  <c r="A207" i="24" s="1"/>
  <c r="A224" i="24" s="1"/>
  <c r="A309" i="24" s="1"/>
  <c r="A326" i="24" s="1"/>
  <c r="A86" i="24"/>
  <c r="A106" i="24" s="1"/>
  <c r="A85" i="24"/>
  <c r="A105" i="24" s="1"/>
  <c r="A83" i="24"/>
  <c r="A103" i="24" s="1"/>
  <c r="A82" i="24"/>
  <c r="A102" i="24" s="1"/>
  <c r="A81" i="24"/>
  <c r="A101" i="24" s="1"/>
  <c r="A80" i="24"/>
  <c r="A100" i="24" s="1"/>
  <c r="A79" i="24"/>
  <c r="A99" i="24" s="1"/>
  <c r="A78" i="24"/>
  <c r="A98" i="24" s="1"/>
  <c r="A77" i="24"/>
  <c r="A97" i="24" s="1"/>
  <c r="A76" i="24"/>
  <c r="A96" i="24" s="1"/>
  <c r="A75" i="24"/>
  <c r="A95" i="24" s="1"/>
  <c r="A74" i="24"/>
  <c r="A94" i="24" s="1"/>
  <c r="D70" i="24"/>
  <c r="D67" i="24"/>
  <c r="D162" i="24" s="1"/>
  <c r="D179" i="24" s="1"/>
  <c r="D197" i="24" s="1"/>
  <c r="D203" i="24" s="1"/>
  <c r="D220" i="24" s="1"/>
  <c r="D238" i="24" s="1"/>
  <c r="D244" i="24" s="1"/>
  <c r="A44" i="24"/>
  <c r="A64" i="24" s="1"/>
  <c r="A63" i="24"/>
  <c r="A41" i="24"/>
  <c r="A61" i="24" s="1"/>
  <c r="A40" i="24"/>
  <c r="A60" i="24" s="1"/>
  <c r="A39" i="24"/>
  <c r="A59" i="24" s="1"/>
  <c r="A38" i="24"/>
  <c r="A58" i="24" s="1"/>
  <c r="A37" i="24"/>
  <c r="A57" i="24" s="1"/>
  <c r="A36" i="24"/>
  <c r="A56" i="24" s="1"/>
  <c r="A35" i="24"/>
  <c r="A55" i="24" s="1"/>
  <c r="A34" i="24"/>
  <c r="A54" i="24" s="1"/>
  <c r="A33" i="24"/>
  <c r="A53" i="24" s="1"/>
  <c r="A32" i="24"/>
  <c r="A52" i="24" s="1"/>
  <c r="J28" i="24"/>
  <c r="D6" i="24" s="1"/>
  <c r="A28" i="24"/>
  <c r="A48" i="24" s="1"/>
  <c r="A70" i="24" s="1"/>
  <c r="E259" i="24"/>
  <c r="E260" i="24"/>
  <c r="F261" i="24"/>
  <c r="E263" i="24"/>
  <c r="G113" i="24"/>
  <c r="F265" i="24"/>
  <c r="F31" i="24"/>
  <c r="E32" i="24"/>
  <c r="I32" i="24"/>
  <c r="F33" i="24"/>
  <c r="H35" i="24"/>
  <c r="I35" i="24"/>
  <c r="E36" i="24"/>
  <c r="E37" i="24"/>
  <c r="F331" i="24"/>
  <c r="I37" i="24"/>
  <c r="G39" i="24"/>
  <c r="I40" i="24"/>
  <c r="D22" i="11"/>
  <c r="D32" i="11"/>
  <c r="B28" i="17"/>
  <c r="H166" i="24"/>
  <c r="I166" i="24"/>
  <c r="C25" i="11"/>
  <c r="G165" i="24"/>
  <c r="C35" i="11"/>
  <c r="O14" i="23"/>
  <c r="D168" i="24"/>
  <c r="G168" i="24"/>
  <c r="F30" i="17"/>
  <c r="H169" i="24"/>
  <c r="H16" i="11"/>
  <c r="E171" i="24"/>
  <c r="E172" i="24"/>
  <c r="J16" i="11"/>
  <c r="F171" i="24"/>
  <c r="G171" i="24"/>
  <c r="F34" i="17"/>
  <c r="K12" i="11"/>
  <c r="F173" i="24"/>
  <c r="H173" i="24"/>
  <c r="K35" i="11"/>
  <c r="D174" i="24"/>
  <c r="E36" i="17"/>
  <c r="H174" i="24"/>
  <c r="H191" i="24" s="1"/>
  <c r="G36" i="17"/>
  <c r="E175" i="24"/>
  <c r="E193" i="24" s="1"/>
  <c r="G37" i="17"/>
  <c r="H167" i="24"/>
  <c r="F34" i="24"/>
  <c r="D311" i="24"/>
  <c r="E311" i="24"/>
  <c r="F311" i="24"/>
  <c r="E312" i="24"/>
  <c r="F312" i="24"/>
  <c r="F313" i="24"/>
  <c r="H32" i="11"/>
  <c r="D331" i="24"/>
  <c r="E331" i="24"/>
  <c r="F333" i="24"/>
  <c r="B22" i="11"/>
  <c r="D307" i="24"/>
  <c r="B32" i="11"/>
  <c r="F307" i="24"/>
  <c r="E31" i="24"/>
  <c r="E30" i="24"/>
  <c r="H30" i="24"/>
  <c r="E164" i="24"/>
  <c r="B25" i="11"/>
  <c r="H164" i="24"/>
  <c r="I164" i="24"/>
  <c r="B35" i="11"/>
  <c r="A34" i="11"/>
  <c r="D26" i="17"/>
  <c r="D253" i="24"/>
  <c r="A7" i="9"/>
  <c r="J32" i="9" s="1"/>
  <c r="A8" i="9"/>
  <c r="J33" i="9" s="1"/>
  <c r="A9" i="9"/>
  <c r="J34" i="9" s="1"/>
  <c r="G2" i="17"/>
  <c r="G2" i="23"/>
  <c r="J49" i="9"/>
  <c r="J48" i="9"/>
  <c r="A10" i="9"/>
  <c r="J35" i="9" s="1"/>
  <c r="A11" i="9"/>
  <c r="J36" i="9" s="1"/>
  <c r="A12" i="9"/>
  <c r="J37" i="9" s="1"/>
  <c r="A13" i="9"/>
  <c r="J38" i="9" s="1"/>
  <c r="A14" i="9"/>
  <c r="J39" i="9" s="1"/>
  <c r="A15" i="9"/>
  <c r="J40" i="9" s="1"/>
  <c r="A16" i="9"/>
  <c r="J41" i="9" s="1"/>
  <c r="A17" i="9"/>
  <c r="J42" i="9" s="1"/>
  <c r="A18" i="9"/>
  <c r="J43" i="9" s="1"/>
  <c r="A19" i="9"/>
  <c r="J44" i="9" s="1"/>
  <c r="A20" i="9"/>
  <c r="J45" i="9" s="1"/>
  <c r="A21" i="9"/>
  <c r="J46" i="9" s="1"/>
  <c r="A22" i="9"/>
  <c r="J47" i="9" s="1"/>
  <c r="A24" i="11"/>
  <c r="E2" i="17"/>
  <c r="C2" i="18" s="1"/>
  <c r="A15" i="11"/>
  <c r="A11" i="11"/>
  <c r="C2" i="17"/>
  <c r="D2" i="17"/>
  <c r="B2" i="18" s="1"/>
  <c r="B2" i="17"/>
  <c r="A29" i="11"/>
  <c r="A19" i="11"/>
  <c r="J70" i="11"/>
  <c r="I70" i="11"/>
  <c r="H70" i="11"/>
  <c r="G70" i="11"/>
  <c r="F70" i="11"/>
  <c r="E70" i="11"/>
  <c r="D70" i="11"/>
  <c r="C70" i="11"/>
  <c r="B70" i="11"/>
  <c r="G32" i="24"/>
  <c r="D3" i="23"/>
  <c r="K30" i="11"/>
  <c r="F30" i="24"/>
  <c r="C22" i="11"/>
  <c r="G32" i="11"/>
  <c r="F25" i="11"/>
  <c r="G30" i="11"/>
  <c r="I25" i="11"/>
  <c r="P46" i="9"/>
  <c r="E22" i="11"/>
  <c r="G33" i="24"/>
  <c r="H37" i="24"/>
  <c r="I36" i="24"/>
  <c r="M16" i="11"/>
  <c r="C33" i="17"/>
  <c r="D30" i="11"/>
  <c r="H31" i="24"/>
  <c r="F38" i="24"/>
  <c r="F36" i="17"/>
  <c r="I16" i="11"/>
  <c r="I33" i="24"/>
  <c r="C34" i="17"/>
  <c r="L12" i="11"/>
  <c r="F35" i="24"/>
  <c r="D328" i="24"/>
  <c r="F22" i="11"/>
  <c r="G38" i="24"/>
  <c r="F329" i="24"/>
  <c r="G36" i="24"/>
  <c r="M32" i="11"/>
  <c r="B20" i="11"/>
  <c r="G27" i="11"/>
  <c r="F12" i="11"/>
  <c r="B30" i="11"/>
  <c r="L30" i="11"/>
  <c r="J22" i="11"/>
  <c r="F37" i="24"/>
  <c r="E327" i="24"/>
  <c r="M12" i="11"/>
  <c r="I20" i="11"/>
  <c r="B27" i="11"/>
  <c r="K20" i="11"/>
  <c r="E30" i="17"/>
  <c r="M27" i="11"/>
  <c r="C12" i="11"/>
  <c r="I39" i="24"/>
  <c r="F39" i="24"/>
  <c r="H32" i="24"/>
  <c r="I30" i="24"/>
  <c r="D335" i="24"/>
  <c r="E262" i="24"/>
  <c r="C29" i="17"/>
  <c r="E16" i="11"/>
  <c r="E167" i="24"/>
  <c r="I173" i="24"/>
  <c r="G35" i="17"/>
  <c r="P45" i="9"/>
  <c r="D172" i="24"/>
  <c r="J12" i="11"/>
  <c r="B35" i="17"/>
  <c r="D166" i="24"/>
  <c r="E334" i="24"/>
  <c r="H33" i="24"/>
  <c r="F260" i="24"/>
  <c r="F32" i="17"/>
  <c r="E316" i="24"/>
  <c r="K27" i="11"/>
  <c r="E333" i="24"/>
  <c r="F315" i="24"/>
  <c r="J32" i="11"/>
  <c r="D313" i="24"/>
  <c r="H22" i="11"/>
  <c r="F27" i="11"/>
  <c r="G167" i="24"/>
  <c r="H5" i="17"/>
  <c r="J5" i="17" s="1"/>
  <c r="E307" i="24"/>
  <c r="E3" i="18"/>
  <c r="D314" i="24"/>
  <c r="I22" i="11"/>
  <c r="B30" i="17"/>
  <c r="I174" i="24"/>
  <c r="L35" i="11"/>
  <c r="E173" i="24"/>
  <c r="H15" i="17"/>
  <c r="F164" i="24"/>
  <c r="G37" i="24"/>
  <c r="E261" i="24"/>
  <c r="F314" i="24"/>
  <c r="I32" i="11"/>
  <c r="D170" i="24"/>
  <c r="D315" i="24"/>
  <c r="D332" i="24"/>
  <c r="J20" i="11"/>
  <c r="F16" i="11"/>
  <c r="G278" i="24"/>
  <c r="I171" i="24"/>
  <c r="I35" i="11"/>
  <c r="E113" i="24"/>
  <c r="E278" i="24"/>
  <c r="E170" i="24"/>
  <c r="D35" i="11"/>
  <c r="F175" i="24"/>
  <c r="F193" i="24" s="1"/>
  <c r="G34" i="24"/>
  <c r="E328" i="24"/>
  <c r="E10" i="18"/>
  <c r="E35" i="24"/>
  <c r="F20" i="11"/>
  <c r="F168" i="24"/>
  <c r="D30" i="17"/>
  <c r="I34" i="24"/>
  <c r="L27" i="11"/>
  <c r="E317" i="24"/>
  <c r="K25" i="11"/>
  <c r="G173" i="24"/>
  <c r="D165" i="24"/>
  <c r="E166" i="24"/>
  <c r="D16" i="11"/>
  <c r="E26" i="17"/>
  <c r="F334" i="24"/>
  <c r="F317" i="24"/>
  <c r="L32" i="11"/>
  <c r="G33" i="17"/>
  <c r="P43" i="9"/>
  <c r="G169" i="24"/>
  <c r="G25" i="11"/>
  <c r="E31" i="17"/>
  <c r="E330" i="24"/>
  <c r="E313" i="24"/>
  <c r="H27" i="11"/>
  <c r="G22" i="11"/>
  <c r="I175" i="24"/>
  <c r="I193" i="24" s="1"/>
  <c r="M35" i="11"/>
  <c r="L20" i="11"/>
  <c r="D36" i="17"/>
  <c r="F174" i="24"/>
  <c r="C35" i="17"/>
  <c r="K16" i="11"/>
  <c r="B16" i="11"/>
  <c r="C26" i="17"/>
  <c r="D327" i="24"/>
  <c r="D310" i="24"/>
  <c r="F318" i="24"/>
  <c r="E335" i="24"/>
  <c r="E318" i="24"/>
  <c r="E30" i="11"/>
  <c r="F29" i="17"/>
  <c r="E169" i="24"/>
  <c r="E310" i="24"/>
  <c r="E27" i="11"/>
  <c r="E14" i="18"/>
  <c r="F167" i="24"/>
  <c r="I170" i="24"/>
  <c r="H35" i="11"/>
  <c r="P42" i="9"/>
  <c r="P61" i="9" s="1"/>
  <c r="F35" i="11"/>
  <c r="I168" i="24"/>
  <c r="I165" i="24"/>
  <c r="F310" i="24"/>
  <c r="E37" i="17"/>
  <c r="G175" i="24"/>
  <c r="G193" i="24" s="1"/>
  <c r="F326" i="24"/>
  <c r="F309" i="24"/>
  <c r="E264" i="24"/>
  <c r="I12" i="11"/>
  <c r="G170" i="24"/>
  <c r="H25" i="11"/>
  <c r="E33" i="17"/>
  <c r="E32" i="17"/>
  <c r="F165" i="24"/>
  <c r="C20" i="11"/>
  <c r="H7" i="17"/>
  <c r="D12" i="11"/>
  <c r="H41" i="24"/>
  <c r="F335" i="24"/>
  <c r="I38" i="24"/>
  <c r="P44" i="9"/>
  <c r="D27" i="17"/>
  <c r="B29" i="17"/>
  <c r="E12" i="11"/>
  <c r="H9" i="17"/>
  <c r="D167" i="24"/>
  <c r="H175" i="24"/>
  <c r="H193" i="24" s="1"/>
  <c r="F37" i="17"/>
  <c r="M30" i="11"/>
  <c r="I30" i="11"/>
  <c r="F33" i="17"/>
  <c r="H171" i="24"/>
  <c r="D171" i="24"/>
  <c r="B33" i="17"/>
  <c r="H13" i="17"/>
  <c r="H170" i="24"/>
  <c r="H30" i="11"/>
  <c r="H12" i="11"/>
  <c r="H12" i="17"/>
  <c r="G20" i="11"/>
  <c r="F169" i="24"/>
  <c r="D32" i="17"/>
  <c r="D31" i="17"/>
  <c r="H10" i="17"/>
  <c r="H165" i="24"/>
  <c r="C30" i="11"/>
  <c r="F27" i="17"/>
  <c r="F166" i="24"/>
  <c r="D28" i="17"/>
  <c r="D20" i="11"/>
  <c r="C32" i="11"/>
  <c r="F325" i="24"/>
  <c r="E308" i="24"/>
  <c r="C27" i="11"/>
  <c r="D309" i="24"/>
  <c r="D326" i="24"/>
  <c r="I41" i="24"/>
  <c r="P47" i="9"/>
  <c r="H38" i="24"/>
  <c r="F332" i="24"/>
  <c r="B34" i="17"/>
  <c r="F308" i="24"/>
  <c r="D164" i="24"/>
  <c r="B12" i="11"/>
  <c r="H6" i="17"/>
  <c r="B26" i="17"/>
  <c r="B27" i="17"/>
  <c r="F327" i="24"/>
  <c r="E6" i="18"/>
  <c r="E32" i="11"/>
  <c r="D318" i="24"/>
  <c r="M22" i="11"/>
  <c r="M46" i="11" s="1"/>
  <c r="E12" i="18"/>
  <c r="D333" i="24"/>
  <c r="D316" i="24"/>
  <c r="K22" i="11"/>
  <c r="E315" i="24"/>
  <c r="J27" i="11"/>
  <c r="E332" i="24"/>
  <c r="E11" i="18"/>
  <c r="E8" i="18"/>
  <c r="D312" i="24"/>
  <c r="D329" i="24"/>
  <c r="M25" i="11"/>
  <c r="D173" i="24"/>
  <c r="B36" i="17"/>
  <c r="H172" i="24"/>
  <c r="J30" i="11"/>
  <c r="F35" i="17"/>
  <c r="F316" i="24"/>
  <c r="K32" i="11"/>
  <c r="E314" i="24"/>
  <c r="I27" i="11"/>
  <c r="G174" i="24"/>
  <c r="L25" i="11"/>
  <c r="I172" i="24"/>
  <c r="J35" i="11"/>
  <c r="G34" i="17"/>
  <c r="F28" i="17"/>
  <c r="D325" i="24"/>
  <c r="D308" i="24"/>
  <c r="E20" i="11"/>
  <c r="D29" i="17"/>
  <c r="J25" i="11"/>
  <c r="G172" i="24"/>
  <c r="E34" i="17"/>
  <c r="H168" i="24"/>
  <c r="F30" i="11"/>
  <c r="F31" i="17"/>
  <c r="G8" i="9"/>
  <c r="E28" i="17"/>
  <c r="E29" i="17"/>
  <c r="D25" i="11"/>
  <c r="H8" i="17"/>
  <c r="G166" i="24"/>
  <c r="E4" i="18"/>
  <c r="H36" i="24"/>
  <c r="F330" i="24"/>
  <c r="H34" i="24"/>
  <c r="E34" i="24"/>
  <c r="F32" i="24"/>
  <c r="I31" i="24"/>
  <c r="G31" i="24"/>
  <c r="E325" i="24"/>
  <c r="B32" i="17"/>
  <c r="H11" i="17"/>
  <c r="G12" i="11"/>
  <c r="D169" i="24"/>
  <c r="B31" i="17"/>
  <c r="C16" i="11"/>
  <c r="C27" i="17"/>
  <c r="C28" i="17"/>
  <c r="E165" i="24"/>
  <c r="E35" i="11"/>
  <c r="I167" i="24"/>
  <c r="D37" i="17"/>
  <c r="M20" i="11"/>
  <c r="F172" i="24"/>
  <c r="D35" i="17"/>
  <c r="D34" i="17"/>
  <c r="H14" i="17"/>
  <c r="G35" i="11"/>
  <c r="I169" i="24"/>
  <c r="L16" i="11"/>
  <c r="C37" i="17"/>
  <c r="E174" i="24"/>
  <c r="H16" i="17"/>
  <c r="C36" i="17"/>
  <c r="D330" i="24"/>
  <c r="F36" i="24"/>
  <c r="G30" i="24"/>
  <c r="G9" i="9"/>
  <c r="D317" i="24"/>
  <c r="G317" i="24" s="1"/>
  <c r="D334" i="24"/>
  <c r="L22" i="11"/>
  <c r="F328" i="24"/>
  <c r="F32" i="11"/>
  <c r="E309" i="24"/>
  <c r="D27" i="11"/>
  <c r="E326" i="24"/>
  <c r="F40" i="24"/>
  <c r="E38" i="24"/>
  <c r="E27" i="17"/>
  <c r="G164" i="24"/>
  <c r="H20" i="11"/>
  <c r="F170" i="24"/>
  <c r="D33" i="17"/>
  <c r="C32" i="17"/>
  <c r="G16" i="11"/>
  <c r="C31" i="17"/>
  <c r="C30" i="17"/>
  <c r="E168" i="24"/>
  <c r="E265" i="24"/>
  <c r="E35" i="17"/>
  <c r="G35" i="24"/>
  <c r="E329" i="24"/>
  <c r="F262" i="24"/>
  <c r="E25" i="11"/>
  <c r="D175" i="24"/>
  <c r="D193" i="24" s="1"/>
  <c r="B37" i="17"/>
  <c r="G7" i="9"/>
  <c r="F263" i="24"/>
  <c r="F258" i="24"/>
  <c r="E5" i="18"/>
  <c r="E9" i="18"/>
  <c r="E13" i="18"/>
  <c r="D382" i="24" l="1"/>
  <c r="D383" i="24"/>
  <c r="H2" i="23"/>
  <c r="F41" i="23" s="1"/>
  <c r="K99" i="19" s="1"/>
  <c r="O99" i="19" s="1"/>
  <c r="F42" i="23"/>
  <c r="D12" i="23"/>
  <c r="E12" i="23" s="1"/>
  <c r="K46" i="11"/>
  <c r="B44" i="11"/>
  <c r="H46" i="11"/>
  <c r="J46" i="11"/>
  <c r="C46" i="11"/>
  <c r="I46" i="11"/>
  <c r="B46" i="11"/>
  <c r="E44" i="11"/>
  <c r="L46" i="11"/>
  <c r="G44" i="11"/>
  <c r="M44" i="11"/>
  <c r="L44" i="11"/>
  <c r="H44" i="11"/>
  <c r="F51" i="11"/>
  <c r="F46" i="11"/>
  <c r="E46" i="11"/>
  <c r="G46" i="11"/>
  <c r="J44" i="11"/>
  <c r="D44" i="11"/>
  <c r="I44" i="11"/>
  <c r="C44" i="11"/>
  <c r="F44" i="11"/>
  <c r="K44" i="11"/>
  <c r="D46" i="11"/>
  <c r="L51" i="11"/>
  <c r="E389" i="24" s="1"/>
  <c r="G49" i="11"/>
  <c r="G51" i="11"/>
  <c r="G66" i="11" s="1"/>
  <c r="I51" i="11"/>
  <c r="I66" i="11" s="1"/>
  <c r="J49" i="11"/>
  <c r="M49" i="11"/>
  <c r="F387" i="24" s="1"/>
  <c r="L49" i="11"/>
  <c r="K51" i="11"/>
  <c r="M51" i="11"/>
  <c r="F389" i="24" s="1"/>
  <c r="E49" i="11"/>
  <c r="H51" i="11"/>
  <c r="H66" i="11" s="1"/>
  <c r="J51" i="11"/>
  <c r="C51" i="11"/>
  <c r="H49" i="11"/>
  <c r="E51" i="11"/>
  <c r="D49" i="11"/>
  <c r="I49" i="11"/>
  <c r="C49" i="11"/>
  <c r="F49" i="11"/>
  <c r="K49" i="11"/>
  <c r="D51" i="11"/>
  <c r="D66" i="11" s="1"/>
  <c r="E267" i="24"/>
  <c r="C8" i="11"/>
  <c r="D9" i="24" s="1"/>
  <c r="M8" i="11"/>
  <c r="D19" i="24" s="1"/>
  <c r="E8" i="11"/>
  <c r="D11" i="24" s="1"/>
  <c r="D8" i="11"/>
  <c r="D10" i="24" s="1"/>
  <c r="J8" i="11"/>
  <c r="D16" i="24" s="1"/>
  <c r="H8" i="11"/>
  <c r="D14" i="24" s="1"/>
  <c r="K8" i="11"/>
  <c r="D17" i="24" s="1"/>
  <c r="N8" i="11"/>
  <c r="D20" i="24" s="1"/>
  <c r="F8" i="11"/>
  <c r="D12" i="24" s="1"/>
  <c r="I8" i="11"/>
  <c r="D15" i="24" s="1"/>
  <c r="B8" i="11"/>
  <c r="D8" i="24" s="1"/>
  <c r="G8" i="11"/>
  <c r="D13" i="24" s="1"/>
  <c r="L8" i="11"/>
  <c r="D18" i="24" s="1"/>
  <c r="A367" i="24"/>
  <c r="B61" i="11"/>
  <c r="C61" i="11"/>
  <c r="E365" i="24"/>
  <c r="E370" i="24"/>
  <c r="F370" i="24"/>
  <c r="E375" i="24"/>
  <c r="F375" i="24"/>
  <c r="F365" i="24"/>
  <c r="F56" i="24"/>
  <c r="F78" i="24" s="1"/>
  <c r="F211" i="24" s="1"/>
  <c r="F368" i="24"/>
  <c r="G56" i="24"/>
  <c r="G78" i="24" s="1"/>
  <c r="G211" i="24" s="1"/>
  <c r="I54" i="24"/>
  <c r="I76" i="24" s="1"/>
  <c r="I209" i="24" s="1"/>
  <c r="E59" i="24"/>
  <c r="E378" i="24"/>
  <c r="F355" i="24"/>
  <c r="G57" i="24"/>
  <c r="G79" i="24" s="1"/>
  <c r="I50" i="24"/>
  <c r="I72" i="24" s="1"/>
  <c r="I205" i="24" s="1"/>
  <c r="G50" i="24"/>
  <c r="G72" i="24" s="1"/>
  <c r="G205" i="24" s="1"/>
  <c r="E58" i="24"/>
  <c r="E80" i="24" s="1"/>
  <c r="E213" i="24" s="1"/>
  <c r="G51" i="24"/>
  <c r="G73" i="24" s="1"/>
  <c r="G206" i="24" s="1"/>
  <c r="G53" i="24"/>
  <c r="G75" i="24" s="1"/>
  <c r="E359" i="24"/>
  <c r="F61" i="24"/>
  <c r="F363" i="24"/>
  <c r="I53" i="24"/>
  <c r="I75" i="24" s="1"/>
  <c r="I208" i="24" s="1"/>
  <c r="G58" i="24"/>
  <c r="G80" i="24" s="1"/>
  <c r="G213" i="24" s="1"/>
  <c r="I58" i="24"/>
  <c r="I80" i="24" s="1"/>
  <c r="I213" i="24" s="1"/>
  <c r="F52" i="24"/>
  <c r="F74" i="24" s="1"/>
  <c r="F207" i="24" s="1"/>
  <c r="F55" i="24"/>
  <c r="F77" i="24" s="1"/>
  <c r="E363" i="24"/>
  <c r="G55" i="24"/>
  <c r="G77" i="24" s="1"/>
  <c r="F54" i="24"/>
  <c r="F76" i="24" s="1"/>
  <c r="F209" i="24" s="1"/>
  <c r="I52" i="24"/>
  <c r="I74" i="24" s="1"/>
  <c r="I207" i="24" s="1"/>
  <c r="I57" i="24"/>
  <c r="I79" i="24" s="1"/>
  <c r="I212" i="24" s="1"/>
  <c r="E53" i="24"/>
  <c r="F50" i="24"/>
  <c r="F72" i="24" s="1"/>
  <c r="F205" i="24" s="1"/>
  <c r="E57" i="24"/>
  <c r="E79" i="24" s="1"/>
  <c r="E212" i="24" s="1"/>
  <c r="F359" i="24"/>
  <c r="I56" i="24"/>
  <c r="I78" i="24" s="1"/>
  <c r="I211" i="24" s="1"/>
  <c r="E50" i="24"/>
  <c r="E72" i="24" s="1"/>
  <c r="E205" i="24" s="1"/>
  <c r="I61" i="24"/>
  <c r="I83" i="24" s="1"/>
  <c r="F378" i="24"/>
  <c r="E52" i="24"/>
  <c r="E74" i="24" s="1"/>
  <c r="E207" i="24" s="1"/>
  <c r="E54" i="24"/>
  <c r="E76" i="24" s="1"/>
  <c r="E355" i="24"/>
  <c r="G54" i="24"/>
  <c r="G76" i="24" s="1"/>
  <c r="G209" i="24" s="1"/>
  <c r="I51" i="24"/>
  <c r="I73" i="24" s="1"/>
  <c r="E55" i="24"/>
  <c r="E77" i="24" s="1"/>
  <c r="E210" i="24" s="1"/>
  <c r="I55" i="24"/>
  <c r="I77" i="24" s="1"/>
  <c r="G52" i="24"/>
  <c r="G74" i="24" s="1"/>
  <c r="G207" i="24" s="1"/>
  <c r="F53" i="24"/>
  <c r="F75" i="24" s="1"/>
  <c r="E368" i="24"/>
  <c r="F51" i="24"/>
  <c r="F73" i="24" s="1"/>
  <c r="F206" i="24" s="1"/>
  <c r="F58" i="24"/>
  <c r="F80" i="24" s="1"/>
  <c r="F213" i="24" s="1"/>
  <c r="F57" i="24"/>
  <c r="F79" i="24" s="1"/>
  <c r="F212" i="24" s="1"/>
  <c r="E56" i="24"/>
  <c r="E78" i="24" s="1"/>
  <c r="E211" i="24" s="1"/>
  <c r="J14" i="17"/>
  <c r="H54" i="24"/>
  <c r="H76" i="24" s="1"/>
  <c r="H209" i="24" s="1"/>
  <c r="J10" i="17"/>
  <c r="H57" i="24"/>
  <c r="H79" i="24" s="1"/>
  <c r="H212" i="24" s="1"/>
  <c r="J16" i="17"/>
  <c r="H51" i="24"/>
  <c r="H73" i="24" s="1"/>
  <c r="H56" i="24"/>
  <c r="H78" i="24" s="1"/>
  <c r="H211" i="24" s="1"/>
  <c r="F373" i="24"/>
  <c r="E373" i="24"/>
  <c r="H55" i="24"/>
  <c r="H77" i="24" s="1"/>
  <c r="J11" i="17"/>
  <c r="J8" i="17"/>
  <c r="H58" i="24"/>
  <c r="H80" i="24" s="1"/>
  <c r="H213" i="24" s="1"/>
  <c r="J9" i="17"/>
  <c r="J7" i="17"/>
  <c r="J15" i="17"/>
  <c r="H50" i="24"/>
  <c r="H72" i="24" s="1"/>
  <c r="H205" i="24" s="1"/>
  <c r="B59" i="11"/>
  <c r="J6" i="17"/>
  <c r="J12" i="17"/>
  <c r="J13" i="17"/>
  <c r="H53" i="24"/>
  <c r="H75" i="24" s="1"/>
  <c r="H208" i="24" s="1"/>
  <c r="H52" i="24"/>
  <c r="H74" i="24" s="1"/>
  <c r="H207" i="24" s="1"/>
  <c r="G316" i="24"/>
  <c r="G318" i="24"/>
  <c r="G315" i="24"/>
  <c r="G311" i="24"/>
  <c r="G307" i="24"/>
  <c r="G309" i="24"/>
  <c r="G314" i="24"/>
  <c r="G310" i="24"/>
  <c r="G312" i="24"/>
  <c r="G313" i="24"/>
  <c r="G308" i="24"/>
  <c r="G186" i="24"/>
  <c r="H190" i="24"/>
  <c r="K222" i="19"/>
  <c r="B49" i="11"/>
  <c r="H184" i="24"/>
  <c r="E42" i="17"/>
  <c r="C42" i="17"/>
  <c r="F42" i="17"/>
  <c r="G42" i="17"/>
  <c r="D42" i="17"/>
  <c r="D37" i="24"/>
  <c r="J37" i="24" s="1"/>
  <c r="D40" i="24"/>
  <c r="D31" i="24"/>
  <c r="J31" i="24" s="1"/>
  <c r="D52" i="24"/>
  <c r="D58" i="24"/>
  <c r="D33" i="24"/>
  <c r="D35" i="24"/>
  <c r="J35" i="24" s="1"/>
  <c r="D32" i="24"/>
  <c r="J32" i="24" s="1"/>
  <c r="B50" i="11"/>
  <c r="D60" i="24"/>
  <c r="D2" i="18"/>
  <c r="A51" i="30"/>
  <c r="A6" i="29"/>
  <c r="A18" i="29" s="1"/>
  <c r="A29" i="29" s="1"/>
  <c r="A40" i="29" s="1"/>
  <c r="A51" i="29" s="1"/>
  <c r="A62" i="29" s="1"/>
  <c r="A73" i="29" s="1"/>
  <c r="B51" i="11"/>
  <c r="D38" i="24"/>
  <c r="J38" i="24" s="1"/>
  <c r="D36" i="24"/>
  <c r="J36" i="24" s="1"/>
  <c r="D55" i="24"/>
  <c r="D51" i="24"/>
  <c r="D34" i="24"/>
  <c r="D57" i="24"/>
  <c r="D54" i="24"/>
  <c r="F66" i="11"/>
  <c r="A52" i="30"/>
  <c r="A7" i="29"/>
  <c r="A19" i="29" s="1"/>
  <c r="A30" i="29" s="1"/>
  <c r="A41" i="29" s="1"/>
  <c r="A52" i="29" s="1"/>
  <c r="A63" i="29" s="1"/>
  <c r="A74" i="29" s="1"/>
  <c r="D59" i="24"/>
  <c r="I187" i="24"/>
  <c r="H183" i="24"/>
  <c r="F185" i="24"/>
  <c r="E191" i="24"/>
  <c r="F186" i="24"/>
  <c r="I185" i="24"/>
  <c r="E184" i="24"/>
  <c r="F187" i="24"/>
  <c r="D182" i="24"/>
  <c r="D192" i="24"/>
  <c r="I189" i="24"/>
  <c r="H188" i="24"/>
  <c r="J174" i="24"/>
  <c r="E183" i="24"/>
  <c r="G192" i="24"/>
  <c r="E185" i="24"/>
  <c r="E182" i="24"/>
  <c r="E192" i="24"/>
  <c r="D187" i="24"/>
  <c r="I188" i="24"/>
  <c r="G261" i="24"/>
  <c r="H261" i="24" s="1"/>
  <c r="G184" i="24"/>
  <c r="D285" i="24"/>
  <c r="D251" i="24"/>
  <c r="D290" i="24" s="1"/>
  <c r="E285" i="24"/>
  <c r="E251" i="24"/>
  <c r="E290" i="24" s="1"/>
  <c r="A358" i="24" s="1"/>
  <c r="H251" i="24"/>
  <c r="H290" i="24" s="1"/>
  <c r="F305" i="24" s="1"/>
  <c r="H285" i="24"/>
  <c r="I285" i="24"/>
  <c r="I251" i="24"/>
  <c r="I290" i="24" s="1"/>
  <c r="F285" i="24"/>
  <c r="F251" i="24"/>
  <c r="F290" i="24" s="1"/>
  <c r="D305" i="24" s="1"/>
  <c r="G272" i="24"/>
  <c r="E272" i="24"/>
  <c r="D324" i="24"/>
  <c r="D337" i="24" s="1"/>
  <c r="B34" i="18"/>
  <c r="F324" i="24"/>
  <c r="F337" i="24" s="1"/>
  <c r="D34" i="18"/>
  <c r="E324" i="24"/>
  <c r="E337" i="24" s="1"/>
  <c r="G25" i="24"/>
  <c r="G67" i="24" s="1"/>
  <c r="G162" i="24" s="1"/>
  <c r="G179" i="24" s="1"/>
  <c r="G197" i="24" s="1"/>
  <c r="G203" i="24" s="1"/>
  <c r="G220" i="24" s="1"/>
  <c r="G238" i="24" s="1"/>
  <c r="G244" i="24" s="1"/>
  <c r="G251" i="24" s="1"/>
  <c r="G290" i="24" s="1"/>
  <c r="E305" i="24" s="1"/>
  <c r="F10" i="9"/>
  <c r="E41" i="24"/>
  <c r="H59" i="24"/>
  <c r="L63" i="9"/>
  <c r="G41" i="24"/>
  <c r="O63" i="9"/>
  <c r="E253" i="24"/>
  <c r="G60" i="24"/>
  <c r="E60" i="24"/>
  <c r="E39" i="24"/>
  <c r="N66" i="9"/>
  <c r="N57" i="9"/>
  <c r="M62" i="9"/>
  <c r="F17" i="9"/>
  <c r="M57" i="9"/>
  <c r="K58" i="9"/>
  <c r="M56" i="9"/>
  <c r="H60" i="24"/>
  <c r="G40" i="24"/>
  <c r="H39" i="24"/>
  <c r="E40" i="24"/>
  <c r="F21" i="9"/>
  <c r="K66" i="9"/>
  <c r="M66" i="9"/>
  <c r="N61" i="9"/>
  <c r="N59" i="9"/>
  <c r="L61" i="9"/>
  <c r="F20" i="9"/>
  <c r="F15" i="9"/>
  <c r="F12" i="9"/>
  <c r="D30" i="24"/>
  <c r="J30" i="24" s="1"/>
  <c r="E33" i="24"/>
  <c r="H40" i="24"/>
  <c r="D41" i="24"/>
  <c r="G59" i="24"/>
  <c r="G81" i="24" s="1"/>
  <c r="G90" i="24" s="1"/>
  <c r="D39" i="24"/>
  <c r="F19" i="9"/>
  <c r="F18" i="9"/>
  <c r="K55" i="9"/>
  <c r="F41" i="24"/>
  <c r="K56" i="9"/>
  <c r="O59" i="9"/>
  <c r="L64" i="9"/>
  <c r="N60" i="9"/>
  <c r="O58" i="9"/>
  <c r="F16" i="9"/>
  <c r="F14" i="9"/>
  <c r="F13" i="9"/>
  <c r="N64" i="9"/>
  <c r="M61" i="9"/>
  <c r="L56" i="9"/>
  <c r="L59" i="9"/>
  <c r="K60" i="9"/>
  <c r="M60" i="9"/>
  <c r="F11" i="9"/>
  <c r="K223" i="19"/>
  <c r="G265" i="24"/>
  <c r="H265" i="24" s="1"/>
  <c r="G263" i="24"/>
  <c r="H263" i="24" s="1"/>
  <c r="G258" i="24"/>
  <c r="G260" i="24"/>
  <c r="H260" i="24" s="1"/>
  <c r="G262" i="24"/>
  <c r="H262" i="24" s="1"/>
  <c r="F278" i="24"/>
  <c r="E3" i="23"/>
  <c r="F113" i="24"/>
  <c r="F264" i="24"/>
  <c r="G264" i="24" s="1"/>
  <c r="H264" i="24" s="1"/>
  <c r="D113" i="24"/>
  <c r="F259" i="24"/>
  <c r="H61" i="24"/>
  <c r="H83" i="24" s="1"/>
  <c r="L60" i="9"/>
  <c r="M65" i="9"/>
  <c r="O62" i="9"/>
  <c r="G61" i="24"/>
  <c r="D191" i="24"/>
  <c r="K57" i="9"/>
  <c r="F192" i="24"/>
  <c r="K63" i="9"/>
  <c r="F188" i="24"/>
  <c r="J168" i="24"/>
  <c r="N63" i="9"/>
  <c r="O57" i="9"/>
  <c r="I183" i="24"/>
  <c r="O60" i="9"/>
  <c r="N58" i="9"/>
  <c r="L65" i="9"/>
  <c r="G189" i="24"/>
  <c r="I192" i="24"/>
  <c r="F183" i="24"/>
  <c r="F184" i="24"/>
  <c r="E186" i="24"/>
  <c r="J169" i="24"/>
  <c r="D190" i="24"/>
  <c r="D189" i="24"/>
  <c r="D188" i="24"/>
  <c r="J171" i="24"/>
  <c r="F60" i="24"/>
  <c r="F82" i="24" s="1"/>
  <c r="L57" i="9"/>
  <c r="F191" i="24"/>
  <c r="E188" i="24"/>
  <c r="J167" i="24"/>
  <c r="I184" i="24"/>
  <c r="D56" i="24"/>
  <c r="J165" i="24"/>
  <c r="D185" i="24"/>
  <c r="D184" i="24"/>
  <c r="I60" i="24"/>
  <c r="I82" i="24" s="1"/>
  <c r="G183" i="24"/>
  <c r="F189" i="24"/>
  <c r="M63" i="9"/>
  <c r="M64" i="9"/>
  <c r="H189" i="24"/>
  <c r="K59" i="9"/>
  <c r="E187" i="24"/>
  <c r="J170" i="24"/>
  <c r="N62" i="9"/>
  <c r="D183" i="24"/>
  <c r="J166" i="24"/>
  <c r="P65" i="9"/>
  <c r="P66" i="9"/>
  <c r="N65" i="9"/>
  <c r="I186" i="24"/>
  <c r="K62" i="9"/>
  <c r="F182" i="24"/>
  <c r="M59" i="9"/>
  <c r="L62" i="9"/>
  <c r="J172" i="24"/>
  <c r="D186" i="24"/>
  <c r="K65" i="9"/>
  <c r="H182" i="24"/>
  <c r="H187" i="24"/>
  <c r="P62" i="9"/>
  <c r="E189" i="24"/>
  <c r="G185" i="24"/>
  <c r="F59" i="24"/>
  <c r="H192" i="24"/>
  <c r="D53" i="24"/>
  <c r="O66" i="9"/>
  <c r="M58" i="9"/>
  <c r="E51" i="24"/>
  <c r="K61" i="9"/>
  <c r="K64" i="9"/>
  <c r="E190" i="24"/>
  <c r="J173" i="24"/>
  <c r="G182" i="24"/>
  <c r="J164" i="24"/>
  <c r="P64" i="9"/>
  <c r="P63" i="9"/>
  <c r="L55" i="9"/>
  <c r="I59" i="24"/>
  <c r="I81" i="24" s="1"/>
  <c r="F190" i="24"/>
  <c r="D50" i="24"/>
  <c r="E61" i="24"/>
  <c r="J175" i="24"/>
  <c r="N55" i="9"/>
  <c r="N56" i="9"/>
  <c r="O61" i="9"/>
  <c r="M55" i="9"/>
  <c r="I190" i="24"/>
  <c r="I191" i="24"/>
  <c r="D61" i="24"/>
  <c r="G190" i="24"/>
  <c r="G191" i="24"/>
  <c r="L66" i="9"/>
  <c r="L58" i="9"/>
  <c r="O65" i="9"/>
  <c r="O64" i="9"/>
  <c r="H185" i="24"/>
  <c r="H186" i="24"/>
  <c r="O56" i="9"/>
  <c r="G188" i="24"/>
  <c r="G187" i="24"/>
  <c r="I182" i="24"/>
  <c r="K70" i="11"/>
  <c r="W31" i="27"/>
  <c r="W17" i="27"/>
  <c r="V31" i="27"/>
  <c r="V17" i="27"/>
  <c r="K228" i="19"/>
  <c r="K224" i="19"/>
  <c r="K225" i="19"/>
  <c r="K229" i="19"/>
  <c r="K227" i="19"/>
  <c r="K226" i="19"/>
  <c r="L70" i="11"/>
  <c r="M70" i="11"/>
  <c r="K100" i="19" l="1"/>
  <c r="O100" i="19" s="1"/>
  <c r="F43" i="23"/>
  <c r="F384" i="24"/>
  <c r="F382" i="24"/>
  <c r="E384" i="24"/>
  <c r="E382" i="24"/>
  <c r="F267" i="24"/>
  <c r="H258" i="24"/>
  <c r="C66" i="11"/>
  <c r="B66" i="11"/>
  <c r="B65" i="11"/>
  <c r="H65" i="11"/>
  <c r="E11" i="24"/>
  <c r="F11" i="24" s="1"/>
  <c r="F83" i="24"/>
  <c r="F103" i="24" s="1"/>
  <c r="E65" i="11"/>
  <c r="E14" i="24"/>
  <c r="F14" i="24" s="1"/>
  <c r="C65" i="11"/>
  <c r="K70" i="9"/>
  <c r="E10" i="24"/>
  <c r="F10" i="24" s="1"/>
  <c r="F65" i="11"/>
  <c r="I65" i="11"/>
  <c r="E66" i="11"/>
  <c r="J66" i="11"/>
  <c r="P70" i="9"/>
  <c r="N70" i="9"/>
  <c r="L70" i="9"/>
  <c r="F64" i="11"/>
  <c r="J58" i="24"/>
  <c r="M70" i="9"/>
  <c r="G64" i="11"/>
  <c r="J52" i="24"/>
  <c r="E81" i="24"/>
  <c r="E101" i="24" s="1"/>
  <c r="I64" i="11"/>
  <c r="J64" i="11"/>
  <c r="B64" i="11"/>
  <c r="G14" i="24"/>
  <c r="G13" i="24"/>
  <c r="O70" i="9"/>
  <c r="G9" i="24"/>
  <c r="G10" i="24"/>
  <c r="H64" i="11"/>
  <c r="C64" i="11"/>
  <c r="G12" i="24"/>
  <c r="G11" i="24"/>
  <c r="G15" i="24"/>
  <c r="J54" i="24"/>
  <c r="E64" i="11"/>
  <c r="D64" i="11"/>
  <c r="G8" i="24"/>
  <c r="G16" i="24"/>
  <c r="C5" i="11"/>
  <c r="C9" i="9"/>
  <c r="D9" i="9" s="1"/>
  <c r="E9" i="9" s="1"/>
  <c r="C7" i="9"/>
  <c r="D7" i="9" s="1"/>
  <c r="E7" i="9" s="1"/>
  <c r="D5" i="11"/>
  <c r="D71" i="11" s="1"/>
  <c r="F5" i="11"/>
  <c r="C13" i="9"/>
  <c r="D13" i="9" s="1"/>
  <c r="E13" i="9" s="1"/>
  <c r="E5" i="11"/>
  <c r="E71" i="11" s="1"/>
  <c r="C10" i="9"/>
  <c r="D10" i="9" s="1"/>
  <c r="E10" i="9" s="1"/>
  <c r="B5" i="11"/>
  <c r="E19" i="24"/>
  <c r="F19" i="24" s="1"/>
  <c r="E20" i="24"/>
  <c r="F20" i="24" s="1"/>
  <c r="I216" i="24"/>
  <c r="H216" i="24"/>
  <c r="J33" i="24"/>
  <c r="L227" i="19"/>
  <c r="M227" i="19" s="1"/>
  <c r="C12" i="9"/>
  <c r="D12" i="9" s="1"/>
  <c r="E12" i="9" s="1"/>
  <c r="L226" i="19"/>
  <c r="M226" i="19" s="1"/>
  <c r="C11" i="9"/>
  <c r="D11" i="9" s="1"/>
  <c r="E11" i="9" s="1"/>
  <c r="C14" i="9"/>
  <c r="D14" i="9" s="1"/>
  <c r="E14" i="9" s="1"/>
  <c r="L223" i="19"/>
  <c r="M223" i="19" s="1"/>
  <c r="C8" i="9"/>
  <c r="D8" i="9" s="1"/>
  <c r="E8" i="9" s="1"/>
  <c r="D77" i="24"/>
  <c r="D210" i="24" s="1"/>
  <c r="J55" i="24"/>
  <c r="D81" i="24"/>
  <c r="D90" i="24" s="1"/>
  <c r="D82" i="24"/>
  <c r="D215" i="24" s="1"/>
  <c r="D76" i="24"/>
  <c r="D209" i="24" s="1"/>
  <c r="D227" i="24" s="1"/>
  <c r="D80" i="24"/>
  <c r="D213" i="24" s="1"/>
  <c r="E9" i="24"/>
  <c r="F9" i="24" s="1"/>
  <c r="D79" i="24"/>
  <c r="D65" i="11"/>
  <c r="D74" i="24"/>
  <c r="D207" i="24" s="1"/>
  <c r="D73" i="24"/>
  <c r="D206" i="24" s="1"/>
  <c r="D78" i="24"/>
  <c r="E16" i="24"/>
  <c r="F16" i="24" s="1"/>
  <c r="G285" i="24"/>
  <c r="F340" i="24"/>
  <c r="F322" i="24"/>
  <c r="D322" i="24"/>
  <c r="D340" i="24"/>
  <c r="E83" i="24"/>
  <c r="H81" i="24"/>
  <c r="H214" i="24" s="1"/>
  <c r="H231" i="24" s="1"/>
  <c r="E230" i="24"/>
  <c r="G223" i="24"/>
  <c r="L66" i="11"/>
  <c r="G97" i="24"/>
  <c r="K65" i="11"/>
  <c r="E229" i="24"/>
  <c r="H97" i="24"/>
  <c r="E17" i="24"/>
  <c r="F17" i="24" s="1"/>
  <c r="G210" i="24"/>
  <c r="G227" i="24" s="1"/>
  <c r="G98" i="24"/>
  <c r="I229" i="24"/>
  <c r="L65" i="11"/>
  <c r="E12" i="24"/>
  <c r="F12" i="24" s="1"/>
  <c r="G101" i="24"/>
  <c r="G83" i="24"/>
  <c r="G99" i="24"/>
  <c r="H82" i="24"/>
  <c r="H215" i="24" s="1"/>
  <c r="E15" i="24"/>
  <c r="F15" i="24" s="1"/>
  <c r="G214" i="24"/>
  <c r="G231" i="24" s="1"/>
  <c r="J34" i="24"/>
  <c r="E18" i="24"/>
  <c r="F18" i="24" s="1"/>
  <c r="E13" i="24"/>
  <c r="F13" i="24" s="1"/>
  <c r="H229" i="24"/>
  <c r="G100" i="24"/>
  <c r="E99" i="24"/>
  <c r="H96" i="24"/>
  <c r="E228" i="24"/>
  <c r="I225" i="24"/>
  <c r="E82" i="24"/>
  <c r="G82" i="24"/>
  <c r="G212" i="24"/>
  <c r="G230" i="24" s="1"/>
  <c r="G94" i="24"/>
  <c r="I98" i="24"/>
  <c r="H93" i="24"/>
  <c r="N229" i="24"/>
  <c r="F94" i="24"/>
  <c r="F96" i="24"/>
  <c r="J39" i="24"/>
  <c r="F95" i="24"/>
  <c r="I94" i="24"/>
  <c r="F93" i="24"/>
  <c r="H230" i="24"/>
  <c r="F230" i="24"/>
  <c r="F100" i="24"/>
  <c r="H98" i="24"/>
  <c r="F99" i="24"/>
  <c r="H100" i="24"/>
  <c r="H99" i="24"/>
  <c r="F98" i="24"/>
  <c r="E100" i="24"/>
  <c r="I99" i="24"/>
  <c r="G95" i="24"/>
  <c r="F208" i="24"/>
  <c r="F226" i="24" s="1"/>
  <c r="I96" i="24"/>
  <c r="I97" i="24"/>
  <c r="H210" i="24"/>
  <c r="H227" i="24" s="1"/>
  <c r="H206" i="24"/>
  <c r="H224" i="24" s="1"/>
  <c r="F224" i="24"/>
  <c r="J65" i="11"/>
  <c r="I95" i="24"/>
  <c r="G93" i="24"/>
  <c r="F223" i="24"/>
  <c r="K66" i="11"/>
  <c r="M65" i="11"/>
  <c r="G208" i="24"/>
  <c r="G226" i="24" s="1"/>
  <c r="I100" i="24"/>
  <c r="G96" i="24"/>
  <c r="I210" i="24"/>
  <c r="I228" i="24" s="1"/>
  <c r="H94" i="24"/>
  <c r="H225" i="24"/>
  <c r="F97" i="24"/>
  <c r="F210" i="24"/>
  <c r="F227" i="24" s="1"/>
  <c r="G65" i="11"/>
  <c r="J40" i="24"/>
  <c r="N232" i="24"/>
  <c r="J56" i="24"/>
  <c r="J41" i="24"/>
  <c r="M66" i="11"/>
  <c r="E98" i="24"/>
  <c r="I226" i="24"/>
  <c r="H95" i="24"/>
  <c r="I93" i="24"/>
  <c r="I206" i="24"/>
  <c r="E75" i="24"/>
  <c r="E96" i="24" s="1"/>
  <c r="E340" i="24"/>
  <c r="E322" i="24"/>
  <c r="L224" i="19"/>
  <c r="M224" i="19" s="1"/>
  <c r="E146" i="24"/>
  <c r="F146" i="24" s="1"/>
  <c r="L228" i="19"/>
  <c r="M228" i="19" s="1"/>
  <c r="E147" i="24"/>
  <c r="F147" i="24" s="1"/>
  <c r="L229" i="19"/>
  <c r="M229" i="19" s="1"/>
  <c r="E142" i="24"/>
  <c r="F142" i="24" s="1"/>
  <c r="L225" i="19"/>
  <c r="M225" i="19" s="1"/>
  <c r="F272" i="24"/>
  <c r="G259" i="24"/>
  <c r="G267" i="24" s="1"/>
  <c r="B25" i="23"/>
  <c r="N227" i="24"/>
  <c r="I230" i="24"/>
  <c r="G19" i="24"/>
  <c r="M64" i="11"/>
  <c r="I215" i="24"/>
  <c r="I103" i="24"/>
  <c r="H226" i="24"/>
  <c r="F215" i="24"/>
  <c r="N230" i="24"/>
  <c r="N228" i="24"/>
  <c r="E73" i="24"/>
  <c r="J51" i="24"/>
  <c r="K64" i="11"/>
  <c r="G17" i="24"/>
  <c r="J60" i="24"/>
  <c r="N233" i="24"/>
  <c r="D83" i="24"/>
  <c r="J61" i="24"/>
  <c r="G224" i="24"/>
  <c r="E194" i="24"/>
  <c r="C40" i="17"/>
  <c r="C19" i="17" s="1"/>
  <c r="C20" i="17" s="1"/>
  <c r="P16" i="11" s="1"/>
  <c r="E40" i="17"/>
  <c r="G194" i="24"/>
  <c r="N224" i="24"/>
  <c r="B19" i="17"/>
  <c r="D194" i="24"/>
  <c r="N223" i="24"/>
  <c r="H194" i="24"/>
  <c r="F40" i="17"/>
  <c r="D40" i="17"/>
  <c r="D19" i="17" s="1"/>
  <c r="D20" i="17" s="1"/>
  <c r="P20" i="11" s="1"/>
  <c r="F194" i="24"/>
  <c r="N225" i="24"/>
  <c r="E209" i="24"/>
  <c r="L64" i="11"/>
  <c r="G18" i="24"/>
  <c r="J50" i="24"/>
  <c r="D72" i="24"/>
  <c r="G40" i="17"/>
  <c r="G19" i="17" s="1"/>
  <c r="G20" i="17" s="1"/>
  <c r="P35" i="11" s="1"/>
  <c r="I194" i="24"/>
  <c r="I101" i="24"/>
  <c r="I102" i="24"/>
  <c r="I214" i="24"/>
  <c r="I90" i="24"/>
  <c r="N226" i="24"/>
  <c r="N231" i="24"/>
  <c r="J57" i="24"/>
  <c r="D75" i="24"/>
  <c r="J53" i="24"/>
  <c r="E97" i="24"/>
  <c r="F81" i="24"/>
  <c r="J59" i="24"/>
  <c r="F229" i="24"/>
  <c r="E143" i="24"/>
  <c r="F143" i="24" s="1"/>
  <c r="E140" i="24"/>
  <c r="F140" i="24" s="1"/>
  <c r="L222" i="19"/>
  <c r="M222" i="19" s="1"/>
  <c r="E141" i="24"/>
  <c r="F141" i="24" s="1"/>
  <c r="E145" i="24"/>
  <c r="F145" i="24" s="1"/>
  <c r="E144" i="24"/>
  <c r="F144" i="24" s="1"/>
  <c r="F44" i="23" l="1"/>
  <c r="K101" i="19"/>
  <c r="O101" i="19" s="1"/>
  <c r="F64" i="24"/>
  <c r="I64" i="24"/>
  <c r="E64" i="24"/>
  <c r="H11" i="24"/>
  <c r="I11" i="24" s="1"/>
  <c r="D80" i="29"/>
  <c r="F216" i="24"/>
  <c r="F233" i="24" s="1"/>
  <c r="E102" i="24"/>
  <c r="E392" i="24"/>
  <c r="E214" i="24"/>
  <c r="E231" i="24" s="1"/>
  <c r="E90" i="24"/>
  <c r="F393" i="24"/>
  <c r="P68" i="9"/>
  <c r="P48" i="9" s="1"/>
  <c r="Q79" i="9" s="1"/>
  <c r="I246" i="24" s="1"/>
  <c r="I378" i="24"/>
  <c r="I359" i="24"/>
  <c r="I363" i="24"/>
  <c r="L68" i="9"/>
  <c r="H14" i="24"/>
  <c r="I14" i="24" s="1"/>
  <c r="H15" i="24"/>
  <c r="I15" i="24" s="1"/>
  <c r="H16" i="24"/>
  <c r="I16" i="24" s="1"/>
  <c r="H17" i="24"/>
  <c r="I17" i="24" s="1"/>
  <c r="H9" i="24"/>
  <c r="I9" i="24" s="1"/>
  <c r="H12" i="24"/>
  <c r="I12" i="24" s="1"/>
  <c r="H10" i="24"/>
  <c r="I10" i="24" s="1"/>
  <c r="H13" i="24"/>
  <c r="I13" i="24" s="1"/>
  <c r="B20" i="17"/>
  <c r="P25" i="11"/>
  <c r="I233" i="24"/>
  <c r="G216" i="24"/>
  <c r="E216" i="24"/>
  <c r="H233" i="24"/>
  <c r="D98" i="24"/>
  <c r="D211" i="24"/>
  <c r="D228" i="24" s="1"/>
  <c r="H90" i="24"/>
  <c r="D224" i="24"/>
  <c r="D100" i="24"/>
  <c r="D214" i="24"/>
  <c r="D231" i="24" s="1"/>
  <c r="D102" i="24"/>
  <c r="D101" i="24"/>
  <c r="D94" i="24"/>
  <c r="D97" i="24"/>
  <c r="D212" i="24"/>
  <c r="D230" i="24" s="1"/>
  <c r="D99" i="24"/>
  <c r="E393" i="24"/>
  <c r="H101" i="24"/>
  <c r="E6" i="11"/>
  <c r="E103" i="24"/>
  <c r="D6" i="11"/>
  <c r="G229" i="24"/>
  <c r="G228" i="24"/>
  <c r="F392" i="24"/>
  <c r="G103" i="24"/>
  <c r="H103" i="24"/>
  <c r="G225" i="24"/>
  <c r="G215" i="24"/>
  <c r="G102" i="24"/>
  <c r="H102" i="24"/>
  <c r="F225" i="24"/>
  <c r="E215" i="24"/>
  <c r="H223" i="24"/>
  <c r="F228" i="24"/>
  <c r="E235" i="24"/>
  <c r="I235" i="24"/>
  <c r="H228" i="24"/>
  <c r="I227" i="24"/>
  <c r="G392" i="24"/>
  <c r="I223" i="24"/>
  <c r="I224" i="24"/>
  <c r="H232" i="24"/>
  <c r="E208" i="24"/>
  <c r="E225" i="24" s="1"/>
  <c r="E95" i="24"/>
  <c r="B31" i="23"/>
  <c r="H259" i="24"/>
  <c r="H267" i="24"/>
  <c r="F391" i="24"/>
  <c r="D205" i="24"/>
  <c r="D223" i="24" s="1"/>
  <c r="D93" i="24"/>
  <c r="H18" i="24"/>
  <c r="I18" i="24" s="1"/>
  <c r="H19" i="24"/>
  <c r="I19" i="24" s="1"/>
  <c r="N68" i="9"/>
  <c r="G235" i="24"/>
  <c r="H235" i="24"/>
  <c r="O68" i="9"/>
  <c r="N30" i="11"/>
  <c r="N25" i="11"/>
  <c r="O25" i="11"/>
  <c r="D216" i="24"/>
  <c r="D103" i="24"/>
  <c r="F101" i="24"/>
  <c r="F214" i="24"/>
  <c r="F90" i="24"/>
  <c r="F102" i="24"/>
  <c r="N20" i="11"/>
  <c r="O20" i="11"/>
  <c r="M68" i="9"/>
  <c r="F235" i="24"/>
  <c r="E206" i="24"/>
  <c r="E94" i="24"/>
  <c r="E93" i="24"/>
  <c r="D208" i="24"/>
  <c r="D96" i="24"/>
  <c r="D95" i="24"/>
  <c r="I231" i="24"/>
  <c r="I232" i="24"/>
  <c r="N35" i="11"/>
  <c r="O35" i="11"/>
  <c r="E227" i="24"/>
  <c r="N12" i="11"/>
  <c r="N16" i="11"/>
  <c r="O16" i="11"/>
  <c r="E391" i="24"/>
  <c r="C6" i="11"/>
  <c r="C71" i="11"/>
  <c r="F71" i="11"/>
  <c r="F6" i="11"/>
  <c r="B6" i="11"/>
  <c r="B71" i="11"/>
  <c r="F45" i="23" l="1"/>
  <c r="K102" i="19"/>
  <c r="O102" i="19" s="1"/>
  <c r="N44" i="11"/>
  <c r="N49" i="11"/>
  <c r="G387" i="24" s="1"/>
  <c r="E63" i="24"/>
  <c r="G64" i="24"/>
  <c r="I63" i="24"/>
  <c r="F63" i="24"/>
  <c r="G63" i="24"/>
  <c r="D80" i="30"/>
  <c r="P12" i="11"/>
  <c r="F80" i="29"/>
  <c r="F82" i="29" s="1"/>
  <c r="B89" i="29" s="1"/>
  <c r="D82" i="29"/>
  <c r="E232" i="24"/>
  <c r="G378" i="24"/>
  <c r="I62" i="24"/>
  <c r="I84" i="24" s="1"/>
  <c r="H359" i="24"/>
  <c r="K359" i="24" s="1"/>
  <c r="M48" i="9"/>
  <c r="N79" i="9" s="1"/>
  <c r="F246" i="24" s="1"/>
  <c r="N48" i="9"/>
  <c r="O79" i="9" s="1"/>
  <c r="G246" i="24" s="1"/>
  <c r="G363" i="24"/>
  <c r="F62" i="24"/>
  <c r="F84" i="24" s="1"/>
  <c r="G368" i="24"/>
  <c r="G62" i="24"/>
  <c r="G84" i="24" s="1"/>
  <c r="G355" i="24"/>
  <c r="D62" i="24"/>
  <c r="D84" i="24" s="1"/>
  <c r="G359" i="24"/>
  <c r="E62" i="24"/>
  <c r="E84" i="24" s="1"/>
  <c r="H378" i="24"/>
  <c r="K378" i="24" s="1"/>
  <c r="H363" i="24"/>
  <c r="K363" i="24" s="1"/>
  <c r="H368" i="24"/>
  <c r="K368" i="24" s="1"/>
  <c r="G233" i="24"/>
  <c r="I368" i="24"/>
  <c r="L48" i="9"/>
  <c r="M79" i="9" s="1"/>
  <c r="E246" i="24" s="1"/>
  <c r="O30" i="11"/>
  <c r="O48" i="9"/>
  <c r="P79" i="9" s="1"/>
  <c r="H246" i="24" s="1"/>
  <c r="G373" i="24"/>
  <c r="H62" i="24"/>
  <c r="P49" i="9"/>
  <c r="Q80" i="9" s="1"/>
  <c r="I247" i="24" s="1"/>
  <c r="J199" i="24"/>
  <c r="J200" i="24"/>
  <c r="D232" i="24"/>
  <c r="D229" i="24"/>
  <c r="M229" i="24" s="1"/>
  <c r="O229" i="24" s="1"/>
  <c r="M230" i="24"/>
  <c r="O230" i="24" s="1"/>
  <c r="E233" i="24"/>
  <c r="E226" i="24"/>
  <c r="G232" i="24"/>
  <c r="M228" i="24"/>
  <c r="O228" i="24" s="1"/>
  <c r="M227" i="24"/>
  <c r="O227" i="24" s="1"/>
  <c r="D226" i="24"/>
  <c r="D225" i="24"/>
  <c r="M225" i="24" s="1"/>
  <c r="O225" i="24" s="1"/>
  <c r="O12" i="11"/>
  <c r="N235" i="24"/>
  <c r="D233" i="24"/>
  <c r="E223" i="24"/>
  <c r="M223" i="24" s="1"/>
  <c r="O223" i="24" s="1"/>
  <c r="E224" i="24"/>
  <c r="M224" i="24" s="1"/>
  <c r="O224" i="24" s="1"/>
  <c r="F231" i="24"/>
  <c r="F232" i="24"/>
  <c r="F46" i="23" l="1"/>
  <c r="K103" i="19"/>
  <c r="O103" i="19" s="1"/>
  <c r="O44" i="11"/>
  <c r="G382" i="24"/>
  <c r="G391" i="24" s="1"/>
  <c r="I355" i="24"/>
  <c r="O49" i="11"/>
  <c r="H387" i="24" s="1"/>
  <c r="H63" i="24"/>
  <c r="D63" i="24"/>
  <c r="D64" i="24"/>
  <c r="F80" i="30"/>
  <c r="F82" i="30" s="1"/>
  <c r="B91" i="30" s="1"/>
  <c r="D82" i="30"/>
  <c r="M49" i="9"/>
  <c r="N80" i="9" s="1"/>
  <c r="F247" i="24" s="1"/>
  <c r="L49" i="9"/>
  <c r="M80" i="9" s="1"/>
  <c r="E247" i="24" s="1"/>
  <c r="E217" i="24"/>
  <c r="E104" i="24"/>
  <c r="G217" i="24"/>
  <c r="G104" i="24"/>
  <c r="N49" i="9"/>
  <c r="D217" i="24"/>
  <c r="D234" i="24" s="1"/>
  <c r="D104" i="24"/>
  <c r="F217" i="24"/>
  <c r="F104" i="24"/>
  <c r="I217" i="24"/>
  <c r="I104" i="24"/>
  <c r="H373" i="24"/>
  <c r="K373" i="24" s="1"/>
  <c r="P30" i="11"/>
  <c r="P49" i="11" s="1"/>
  <c r="I387" i="24" s="1"/>
  <c r="H20" i="17"/>
  <c r="H84" i="24"/>
  <c r="J62" i="24"/>
  <c r="G20" i="24"/>
  <c r="H20" i="24" s="1"/>
  <c r="I20" i="24" s="1"/>
  <c r="O49" i="9"/>
  <c r="P80" i="9" s="1"/>
  <c r="H247" i="24" s="1"/>
  <c r="J19" i="17"/>
  <c r="H355" i="24"/>
  <c r="M233" i="24"/>
  <c r="O233" i="24" s="1"/>
  <c r="M226" i="24"/>
  <c r="O226" i="24" s="1"/>
  <c r="M231" i="24"/>
  <c r="O231" i="24" s="1"/>
  <c r="M232" i="24"/>
  <c r="O232" i="24" s="1"/>
  <c r="E28" i="23"/>
  <c r="N64" i="11"/>
  <c r="F47" i="23" l="1"/>
  <c r="K104" i="19"/>
  <c r="O104" i="19" s="1"/>
  <c r="H382" i="24"/>
  <c r="H391" i="24" s="1"/>
  <c r="K355" i="24"/>
  <c r="P44" i="11"/>
  <c r="J63" i="24"/>
  <c r="H64" i="24"/>
  <c r="J64" i="24" s="1"/>
  <c r="E234" i="24"/>
  <c r="E240" i="24"/>
  <c r="F234" i="24"/>
  <c r="F240" i="24"/>
  <c r="G234" i="24"/>
  <c r="G240" i="24"/>
  <c r="I234" i="24"/>
  <c r="I240" i="24"/>
  <c r="J20" i="17"/>
  <c r="I373" i="24"/>
  <c r="I382" i="24" s="1"/>
  <c r="G21" i="24"/>
  <c r="H21" i="24" s="1"/>
  <c r="I21" i="24" s="1"/>
  <c r="H217" i="24"/>
  <c r="H104" i="24"/>
  <c r="O64" i="11"/>
  <c r="F48" i="23" l="1"/>
  <c r="K105" i="19"/>
  <c r="O105" i="19" s="1"/>
  <c r="G241" i="24"/>
  <c r="G293" i="24" s="1"/>
  <c r="G292" i="24"/>
  <c r="I241" i="24"/>
  <c r="I293" i="24" s="1"/>
  <c r="I292" i="24"/>
  <c r="E292" i="24"/>
  <c r="E241" i="24"/>
  <c r="E293" i="24" s="1"/>
  <c r="F241" i="24"/>
  <c r="F293" i="24" s="1"/>
  <c r="F292" i="24"/>
  <c r="I391" i="24"/>
  <c r="P64" i="11"/>
  <c r="G22" i="24"/>
  <c r="H22" i="24" s="1"/>
  <c r="I22" i="24" s="1"/>
  <c r="H234" i="24"/>
  <c r="H240" i="24"/>
  <c r="F49" i="23" l="1"/>
  <c r="K106" i="19"/>
  <c r="O106" i="19" s="1"/>
  <c r="H241" i="24"/>
  <c r="H293" i="24" s="1"/>
  <c r="H292" i="24"/>
  <c r="F50" i="23" l="1"/>
  <c r="K107" i="19"/>
  <c r="O107" i="19" s="1"/>
  <c r="F51" i="23" l="1"/>
  <c r="K108" i="19"/>
  <c r="O108" i="19" s="1"/>
  <c r="N27" i="11"/>
  <c r="N32" i="11"/>
  <c r="F52" i="23" l="1"/>
  <c r="K109" i="19"/>
  <c r="O109" i="19" s="1"/>
  <c r="G375" i="24"/>
  <c r="G370" i="24"/>
  <c r="E15" i="18"/>
  <c r="N22" i="11"/>
  <c r="K110" i="19" l="1"/>
  <c r="O110" i="19" s="1"/>
  <c r="K230" i="19" s="1"/>
  <c r="H53" i="23"/>
  <c r="G3" i="23" s="1"/>
  <c r="H3" i="23" s="1"/>
  <c r="F53" i="23" s="1"/>
  <c r="G53" i="23"/>
  <c r="K2" i="23" s="1"/>
  <c r="L2" i="23" s="1"/>
  <c r="N51" i="11"/>
  <c r="G389" i="24" s="1"/>
  <c r="N46" i="11"/>
  <c r="G365" i="24"/>
  <c r="G384" i="24" s="1"/>
  <c r="N65" i="11"/>
  <c r="K111" i="19" l="1"/>
  <c r="O111" i="19" s="1"/>
  <c r="F54" i="23"/>
  <c r="L230" i="19"/>
  <c r="M230" i="19" s="1"/>
  <c r="E148" i="24"/>
  <c r="F148" i="24" s="1"/>
  <c r="G5" i="11"/>
  <c r="C15" i="9"/>
  <c r="D15" i="9" s="1"/>
  <c r="E15" i="9" s="1"/>
  <c r="G393" i="24"/>
  <c r="N66" i="11"/>
  <c r="F55" i="23" l="1"/>
  <c r="K112" i="19"/>
  <c r="O112" i="19" s="1"/>
  <c r="G71" i="11"/>
  <c r="G6" i="11"/>
  <c r="E27" i="23"/>
  <c r="A31" i="23"/>
  <c r="E116" i="24"/>
  <c r="D278" i="24"/>
  <c r="D272" i="24" s="1"/>
  <c r="D276" i="24" s="1"/>
  <c r="F56" i="23" l="1"/>
  <c r="K113" i="19"/>
  <c r="O113" i="19" s="1"/>
  <c r="F12" i="23"/>
  <c r="G12" i="23" s="1"/>
  <c r="H12" i="23" s="1"/>
  <c r="D282" i="24"/>
  <c r="H278" i="24"/>
  <c r="H272" i="24"/>
  <c r="C25" i="23"/>
  <c r="C29" i="23"/>
  <c r="K96" i="9" s="1"/>
  <c r="D23" i="23"/>
  <c r="G274" i="24" s="1"/>
  <c r="A25" i="23"/>
  <c r="F57" i="23" l="1"/>
  <c r="K114" i="19"/>
  <c r="O114" i="19" s="1"/>
  <c r="N96" i="9"/>
  <c r="N107" i="9" s="1"/>
  <c r="L96" i="9"/>
  <c r="L107" i="9" s="1"/>
  <c r="M96" i="9"/>
  <c r="M107" i="9" s="1"/>
  <c r="D24" i="23"/>
  <c r="E24" i="23" s="1"/>
  <c r="E23" i="23"/>
  <c r="F276" i="24"/>
  <c r="E276" i="24"/>
  <c r="D29" i="23"/>
  <c r="C31" i="23"/>
  <c r="E282" i="24"/>
  <c r="F58" i="23" l="1"/>
  <c r="K115" i="19"/>
  <c r="O115" i="19" s="1"/>
  <c r="R96" i="9"/>
  <c r="E29" i="23"/>
  <c r="E25" i="23"/>
  <c r="D25" i="23"/>
  <c r="D30" i="23"/>
  <c r="E30" i="23" s="1"/>
  <c r="F280" i="24"/>
  <c r="F59" i="23" l="1"/>
  <c r="K116" i="19"/>
  <c r="O116" i="19" s="1"/>
  <c r="K97" i="9"/>
  <c r="H273" i="24"/>
  <c r="H279" i="24"/>
  <c r="H274" i="24"/>
  <c r="F282" i="24"/>
  <c r="D31" i="23"/>
  <c r="E31" i="23" s="1"/>
  <c r="F60" i="23" l="1"/>
  <c r="K117" i="19"/>
  <c r="O117" i="19" s="1"/>
  <c r="N97" i="9"/>
  <c r="N108" i="9" s="1"/>
  <c r="L97" i="9"/>
  <c r="L108" i="9" s="1"/>
  <c r="M97" i="9"/>
  <c r="M108" i="9" s="1"/>
  <c r="G275" i="24"/>
  <c r="G276" i="24" s="1"/>
  <c r="H276" i="24" s="1"/>
  <c r="G280" i="24"/>
  <c r="H280" i="24" s="1"/>
  <c r="F61" i="23" l="1"/>
  <c r="K118" i="19"/>
  <c r="O118" i="19" s="1"/>
  <c r="R97" i="9"/>
  <c r="G281" i="24"/>
  <c r="H281" i="24" s="1"/>
  <c r="H275" i="24"/>
  <c r="F62" i="23" l="1"/>
  <c r="K119" i="19"/>
  <c r="O119" i="19" s="1"/>
  <c r="G282" i="24"/>
  <c r="F63" i="23" l="1"/>
  <c r="K120" i="19"/>
  <c r="O120" i="19" s="1"/>
  <c r="H282" i="24"/>
  <c r="F286" i="24"/>
  <c r="E286" i="24"/>
  <c r="D286" i="24"/>
  <c r="F64" i="23" l="1"/>
  <c r="K121" i="19"/>
  <c r="O121" i="19" s="1"/>
  <c r="K122" i="19" l="1"/>
  <c r="O122" i="19" s="1"/>
  <c r="K231" i="19" s="1"/>
  <c r="G65" i="23"/>
  <c r="K3" i="23" s="1"/>
  <c r="L3" i="23" s="1"/>
  <c r="H65" i="23"/>
  <c r="G4" i="23" s="1"/>
  <c r="H4" i="23" s="1"/>
  <c r="F65" i="23" s="1"/>
  <c r="K123" i="19" l="1"/>
  <c r="O123" i="19" s="1"/>
  <c r="F66" i="23"/>
  <c r="H5" i="11"/>
  <c r="H6" i="11" s="1"/>
  <c r="E149" i="24"/>
  <c r="F149" i="24" s="1"/>
  <c r="C16" i="9"/>
  <c r="D16" i="9" s="1"/>
  <c r="E16" i="9" s="1"/>
  <c r="L231" i="19"/>
  <c r="M231" i="19" s="1"/>
  <c r="H71" i="11" l="1"/>
  <c r="F67" i="23"/>
  <c r="K124" i="19"/>
  <c r="O124" i="19" s="1"/>
  <c r="F68" i="23" l="1"/>
  <c r="K125" i="19"/>
  <c r="O125" i="19" s="1"/>
  <c r="F69" i="23" l="1"/>
  <c r="K126" i="19"/>
  <c r="O126" i="19" s="1"/>
  <c r="F70" i="23" l="1"/>
  <c r="K127" i="19"/>
  <c r="O127" i="19" s="1"/>
  <c r="F71" i="23" l="1"/>
  <c r="K128" i="19"/>
  <c r="O128" i="19" s="1"/>
  <c r="F72" i="23" l="1"/>
  <c r="K129" i="19"/>
  <c r="O129" i="19" s="1"/>
  <c r="F73" i="23" l="1"/>
  <c r="K130" i="19"/>
  <c r="O130" i="19" s="1"/>
  <c r="F74" i="23" l="1"/>
  <c r="K131" i="19"/>
  <c r="O131" i="19" s="1"/>
  <c r="F75" i="23" l="1"/>
  <c r="K132" i="19"/>
  <c r="O132" i="19" s="1"/>
  <c r="F76" i="23" l="1"/>
  <c r="K133" i="19"/>
  <c r="O133" i="19" s="1"/>
  <c r="K134" i="19" l="1"/>
  <c r="O134" i="19" s="1"/>
  <c r="K232" i="19" s="1"/>
  <c r="H77" i="23"/>
  <c r="G5" i="23" s="1"/>
  <c r="H5" i="23" s="1"/>
  <c r="F77" i="23" s="1"/>
  <c r="G77" i="23"/>
  <c r="K4" i="23" s="1"/>
  <c r="L4" i="23" s="1"/>
  <c r="K135" i="19" l="1"/>
  <c r="O135" i="19" s="1"/>
  <c r="F78" i="23"/>
  <c r="I5" i="11"/>
  <c r="L232" i="19"/>
  <c r="M232" i="19" s="1"/>
  <c r="C17" i="9"/>
  <c r="D17" i="9" s="1"/>
  <c r="E17" i="9" s="1"/>
  <c r="E150" i="24"/>
  <c r="F150" i="24" s="1"/>
  <c r="I6" i="11" l="1"/>
  <c r="I71" i="11"/>
  <c r="K136" i="19"/>
  <c r="O136" i="19" s="1"/>
  <c r="F79" i="23"/>
  <c r="F80" i="23" l="1"/>
  <c r="K137" i="19"/>
  <c r="O137" i="19" s="1"/>
  <c r="F81" i="23" l="1"/>
  <c r="K138" i="19"/>
  <c r="O138" i="19" s="1"/>
  <c r="F82" i="23" l="1"/>
  <c r="K139" i="19"/>
  <c r="O139" i="19" s="1"/>
  <c r="F83" i="23" l="1"/>
  <c r="K140" i="19"/>
  <c r="O140" i="19" s="1"/>
  <c r="F84" i="23" l="1"/>
  <c r="K141" i="19"/>
  <c r="O141" i="19" s="1"/>
  <c r="F85" i="23" l="1"/>
  <c r="K142" i="19"/>
  <c r="O142" i="19" s="1"/>
  <c r="F86" i="23" l="1"/>
  <c r="K143" i="19"/>
  <c r="O143" i="19" s="1"/>
  <c r="F87" i="23" l="1"/>
  <c r="K144" i="19"/>
  <c r="O144" i="19" s="1"/>
  <c r="F88" i="23" l="1"/>
  <c r="K145" i="19"/>
  <c r="O145" i="19" s="1"/>
  <c r="K146" i="19" l="1"/>
  <c r="O146" i="19" s="1"/>
  <c r="K233" i="19" s="1"/>
  <c r="H89" i="23"/>
  <c r="G6" i="23" s="1"/>
  <c r="H6" i="23" s="1"/>
  <c r="F89" i="23" s="1"/>
  <c r="G89" i="23"/>
  <c r="K5" i="23" s="1"/>
  <c r="L5" i="23" s="1"/>
  <c r="K147" i="19" l="1"/>
  <c r="O147" i="19" s="1"/>
  <c r="F90" i="23"/>
  <c r="C18" i="9"/>
  <c r="D18" i="9" s="1"/>
  <c r="E18" i="9" s="1"/>
  <c r="L233" i="19"/>
  <c r="M233" i="19" s="1"/>
  <c r="J5" i="11"/>
  <c r="E151" i="24"/>
  <c r="F151" i="24" s="1"/>
  <c r="J71" i="11" l="1"/>
  <c r="J6" i="11"/>
  <c r="F91" i="23"/>
  <c r="K148" i="19"/>
  <c r="O148" i="19" s="1"/>
  <c r="F92" i="23" l="1"/>
  <c r="K149" i="19"/>
  <c r="O149" i="19" s="1"/>
  <c r="F93" i="23" l="1"/>
  <c r="K150" i="19"/>
  <c r="O150" i="19" s="1"/>
  <c r="F94" i="23" l="1"/>
  <c r="K151" i="19"/>
  <c r="O151" i="19" s="1"/>
  <c r="F95" i="23" l="1"/>
  <c r="K152" i="19"/>
  <c r="O152" i="19" s="1"/>
  <c r="F96" i="23" l="1"/>
  <c r="K153" i="19"/>
  <c r="O153" i="19" s="1"/>
  <c r="F97" i="23" l="1"/>
  <c r="K154" i="19"/>
  <c r="O154" i="19" s="1"/>
  <c r="F98" i="23" l="1"/>
  <c r="K155" i="19"/>
  <c r="O155" i="19" s="1"/>
  <c r="F99" i="23" l="1"/>
  <c r="K156" i="19"/>
  <c r="O156" i="19" s="1"/>
  <c r="F100" i="23" l="1"/>
  <c r="K157" i="19"/>
  <c r="O157" i="19" s="1"/>
  <c r="K158" i="19" l="1"/>
  <c r="O158" i="19" s="1"/>
  <c r="K234" i="19" s="1"/>
  <c r="H101" i="23"/>
  <c r="G7" i="23" s="1"/>
  <c r="H7" i="23" s="1"/>
  <c r="F101" i="23" s="1"/>
  <c r="G101" i="23"/>
  <c r="K6" i="23" s="1"/>
  <c r="L6" i="23" s="1"/>
  <c r="K159" i="19" l="1"/>
  <c r="O159" i="19" s="1"/>
  <c r="F102" i="23"/>
  <c r="E152" i="24"/>
  <c r="F152" i="24" s="1"/>
  <c r="C19" i="9"/>
  <c r="D19" i="9" s="1"/>
  <c r="E19" i="9" s="1"/>
  <c r="L234" i="19"/>
  <c r="M234" i="19" s="1"/>
  <c r="K5" i="11"/>
  <c r="F103" i="23" l="1"/>
  <c r="K160" i="19"/>
  <c r="O160" i="19" s="1"/>
  <c r="K6" i="11"/>
  <c r="K71" i="11"/>
  <c r="F104" i="23" l="1"/>
  <c r="K161" i="19"/>
  <c r="O161" i="19" s="1"/>
  <c r="F105" i="23" l="1"/>
  <c r="K162" i="19"/>
  <c r="O162" i="19" s="1"/>
  <c r="F106" i="23" l="1"/>
  <c r="K163" i="19"/>
  <c r="O163" i="19" s="1"/>
  <c r="F107" i="23" l="1"/>
  <c r="K164" i="19"/>
  <c r="O164" i="19" s="1"/>
  <c r="F108" i="23" l="1"/>
  <c r="K165" i="19"/>
  <c r="O165" i="19" s="1"/>
  <c r="F109" i="23" l="1"/>
  <c r="K166" i="19"/>
  <c r="O166" i="19" s="1"/>
  <c r="F110" i="23" l="1"/>
  <c r="K167" i="19"/>
  <c r="O167" i="19" s="1"/>
  <c r="F111" i="23" l="1"/>
  <c r="K168" i="19"/>
  <c r="O168" i="19" s="1"/>
  <c r="F112" i="23" l="1"/>
  <c r="K169" i="19"/>
  <c r="O169" i="19" s="1"/>
  <c r="K170" i="19" l="1"/>
  <c r="O170" i="19" s="1"/>
  <c r="K235" i="19" s="1"/>
  <c r="H113" i="23"/>
  <c r="G8" i="23" s="1"/>
  <c r="H8" i="23" s="1"/>
  <c r="F113" i="23" s="1"/>
  <c r="G113" i="23"/>
  <c r="K7" i="23" s="1"/>
  <c r="L7" i="23" s="1"/>
  <c r="K171" i="19" l="1"/>
  <c r="O171" i="19" s="1"/>
  <c r="F114" i="23"/>
  <c r="L5" i="11"/>
  <c r="C20" i="9"/>
  <c r="D20" i="9" s="1"/>
  <c r="E20" i="9" s="1"/>
  <c r="E153" i="24"/>
  <c r="F153" i="24" s="1"/>
  <c r="L235" i="19"/>
  <c r="M235" i="19" s="1"/>
  <c r="E350" i="24" l="1"/>
  <c r="E351" i="24" s="1"/>
  <c r="L6" i="11"/>
  <c r="L71" i="11"/>
  <c r="F115" i="23"/>
  <c r="K172" i="19"/>
  <c r="O172" i="19" s="1"/>
  <c r="F116" i="23" l="1"/>
  <c r="K173" i="19"/>
  <c r="O173" i="19" s="1"/>
  <c r="F117" i="23" l="1"/>
  <c r="K174" i="19"/>
  <c r="O174" i="19" s="1"/>
  <c r="F118" i="23" l="1"/>
  <c r="K175" i="19"/>
  <c r="O175" i="19" s="1"/>
  <c r="D298" i="24"/>
  <c r="D299" i="24"/>
  <c r="E298" i="24"/>
  <c r="M88" i="9"/>
  <c r="E299" i="24"/>
  <c r="M89" i="9"/>
  <c r="F298" i="24"/>
  <c r="N88" i="9"/>
  <c r="F299" i="24"/>
  <c r="F119" i="23" l="1"/>
  <c r="K176" i="19"/>
  <c r="O176" i="19" s="1"/>
  <c r="N89" i="9"/>
  <c r="G298" i="24"/>
  <c r="O88" i="9"/>
  <c r="G299" i="24"/>
  <c r="O89" i="9"/>
  <c r="H298" i="24"/>
  <c r="P88" i="9"/>
  <c r="H299" i="24"/>
  <c r="P89" i="9"/>
  <c r="I298" i="24"/>
  <c r="Q88" i="9"/>
  <c r="F120" i="23" l="1"/>
  <c r="K177" i="19"/>
  <c r="O177" i="19" s="1"/>
  <c r="J298" i="24"/>
  <c r="I299" i="24"/>
  <c r="J299" i="24" s="1"/>
  <c r="F121" i="23" l="1"/>
  <c r="K178" i="19"/>
  <c r="O178" i="19" s="1"/>
  <c r="Q89" i="9"/>
  <c r="F122" i="23" l="1"/>
  <c r="K179" i="19"/>
  <c r="O179" i="19" s="1"/>
  <c r="D235" i="24"/>
  <c r="D240" i="24" s="1"/>
  <c r="K68" i="9"/>
  <c r="K48" i="9" s="1"/>
  <c r="L79" i="9" s="1"/>
  <c r="F123" i="23" l="1"/>
  <c r="K180" i="19"/>
  <c r="O180" i="19" s="1"/>
  <c r="R79" i="9"/>
  <c r="D246" i="24"/>
  <c r="J246" i="24" s="1"/>
  <c r="K79" i="9"/>
  <c r="D241" i="24"/>
  <c r="M235" i="24"/>
  <c r="O235" i="24" s="1"/>
  <c r="L88" i="9"/>
  <c r="K49" i="9"/>
  <c r="L80" i="9" s="1"/>
  <c r="F124" i="23" l="1"/>
  <c r="K181" i="19"/>
  <c r="O181" i="19" s="1"/>
  <c r="R80" i="9"/>
  <c r="D247" i="24"/>
  <c r="J247" i="24" s="1"/>
  <c r="K80" i="9"/>
  <c r="D292" i="24"/>
  <c r="J292" i="24" s="1"/>
  <c r="R88" i="9"/>
  <c r="F287" i="24"/>
  <c r="L89" i="9"/>
  <c r="R89" i="9" s="1"/>
  <c r="K182" i="19" l="1"/>
  <c r="O182" i="19" s="1"/>
  <c r="K236" i="19" s="1"/>
  <c r="H125" i="23"/>
  <c r="G9" i="23" s="1"/>
  <c r="H9" i="23" s="1"/>
  <c r="F125" i="23" s="1"/>
  <c r="G125" i="23"/>
  <c r="K8" i="23" s="1"/>
  <c r="D293" i="24"/>
  <c r="J293" i="24" s="1"/>
  <c r="J286" i="24"/>
  <c r="J287" i="24"/>
  <c r="K183" i="19" l="1"/>
  <c r="O183" i="19" s="1"/>
  <c r="F126" i="23"/>
  <c r="L8" i="23"/>
  <c r="M5" i="11"/>
  <c r="L236" i="19"/>
  <c r="M236" i="19" s="1"/>
  <c r="E154" i="24"/>
  <c r="F154" i="24" s="1"/>
  <c r="C21" i="9"/>
  <c r="D21" i="9" s="1"/>
  <c r="E21" i="9" s="1"/>
  <c r="K184" i="19" l="1"/>
  <c r="O184" i="19" s="1"/>
  <c r="F127" i="23"/>
  <c r="F350" i="24"/>
  <c r="F351" i="24" s="1"/>
  <c r="M6" i="11"/>
  <c r="M71" i="11"/>
  <c r="K185" i="19" l="1"/>
  <c r="O185" i="19" s="1"/>
  <c r="F128" i="23"/>
  <c r="K186" i="19" l="1"/>
  <c r="O186" i="19" s="1"/>
  <c r="F129" i="23"/>
  <c r="K187" i="19" l="1"/>
  <c r="O187" i="19" s="1"/>
  <c r="F130" i="23"/>
  <c r="F131" i="23" l="1"/>
  <c r="K188" i="19"/>
  <c r="O188" i="19" s="1"/>
  <c r="K189" i="19" l="1"/>
  <c r="O189" i="19" s="1"/>
  <c r="F132" i="23"/>
  <c r="F133" i="23" l="1"/>
  <c r="K190" i="19"/>
  <c r="O190" i="19" s="1"/>
  <c r="K191" i="19" l="1"/>
  <c r="O191" i="19" s="1"/>
  <c r="F134" i="23"/>
  <c r="F135" i="23" l="1"/>
  <c r="K192" i="19"/>
  <c r="O192" i="19" s="1"/>
  <c r="F136" i="23" l="1"/>
  <c r="K193" i="19"/>
  <c r="O193" i="19" s="1"/>
  <c r="G137" i="23" l="1"/>
  <c r="K9" i="23" s="1"/>
  <c r="K194" i="19"/>
  <c r="O194" i="19" s="1"/>
  <c r="K237" i="19" s="1"/>
  <c r="H137" i="23"/>
  <c r="G10" i="23" s="1"/>
  <c r="H10" i="23" s="1"/>
  <c r="F137" i="23" s="1"/>
  <c r="C22" i="9" l="1"/>
  <c r="D22" i="9" s="1"/>
  <c r="E22" i="9" s="1"/>
  <c r="N5" i="11"/>
  <c r="L237" i="19"/>
  <c r="M237" i="19" s="1"/>
  <c r="E155" i="24"/>
  <c r="F155" i="24" s="1"/>
  <c r="K241" i="19"/>
  <c r="L241" i="19" s="1"/>
  <c r="F138" i="23"/>
  <c r="K195" i="19"/>
  <c r="O195" i="19" s="1"/>
  <c r="L9" i="23"/>
  <c r="G350" i="24" l="1"/>
  <c r="G351" i="24" s="1"/>
  <c r="N6" i="11"/>
  <c r="N71" i="11"/>
  <c r="F139" i="23"/>
  <c r="K196" i="19"/>
  <c r="O196" i="19" s="1"/>
  <c r="F140" i="23" l="1"/>
  <c r="K197" i="19"/>
  <c r="O197" i="19" s="1"/>
  <c r="K198" i="19" l="1"/>
  <c r="O198" i="19" s="1"/>
  <c r="F141" i="23"/>
  <c r="F142" i="23" l="1"/>
  <c r="K199" i="19"/>
  <c r="O199" i="19" s="1"/>
  <c r="F143" i="23" l="1"/>
  <c r="K200" i="19"/>
  <c r="O200" i="19" s="1"/>
  <c r="F144" i="23" l="1"/>
  <c r="K201" i="19"/>
  <c r="O201" i="19" s="1"/>
  <c r="K202" i="19" l="1"/>
  <c r="O202" i="19" s="1"/>
  <c r="F145" i="23"/>
  <c r="F146" i="23" l="1"/>
  <c r="K203" i="19"/>
  <c r="O203" i="19" s="1"/>
  <c r="F147" i="23" l="1"/>
  <c r="K204" i="19"/>
  <c r="O204" i="19" s="1"/>
  <c r="F148" i="23" l="1"/>
  <c r="K205" i="19"/>
  <c r="O205" i="19" s="1"/>
  <c r="K206" i="19" l="1"/>
  <c r="O206" i="19" s="1"/>
  <c r="K238" i="19" s="1"/>
  <c r="H149" i="23"/>
  <c r="G11" i="23" s="1"/>
  <c r="H11" i="23" s="1"/>
  <c r="F149" i="23" s="1"/>
  <c r="G149" i="23"/>
  <c r="K10" i="23" s="1"/>
  <c r="F150" i="23" l="1"/>
  <c r="K207" i="19"/>
  <c r="L10" i="23"/>
  <c r="O5" i="11"/>
  <c r="H350" i="24" s="1"/>
  <c r="C23" i="9"/>
  <c r="E156" i="24"/>
  <c r="G284" i="19" l="1"/>
  <c r="O207" i="19"/>
  <c r="K208" i="19"/>
  <c r="F151" i="23"/>
  <c r="K209" i="19" l="1"/>
  <c r="F152" i="23"/>
  <c r="G285" i="19"/>
  <c r="O208" i="19"/>
  <c r="G300" i="19"/>
  <c r="K300" i="19" s="1"/>
  <c r="K284" i="19"/>
  <c r="G286" i="19" l="1"/>
  <c r="O209" i="19"/>
  <c r="G301" i="19"/>
  <c r="K301" i="19" s="1"/>
  <c r="K285" i="19"/>
  <c r="K210" i="19"/>
  <c r="F153" i="23"/>
  <c r="O210" i="19" l="1"/>
  <c r="G287" i="19"/>
  <c r="F154" i="23"/>
  <c r="K211" i="19"/>
  <c r="K286" i="19"/>
  <c r="G302" i="19"/>
  <c r="K302" i="19" s="1"/>
  <c r="K212" i="19" l="1"/>
  <c r="F155" i="23"/>
  <c r="G288" i="19"/>
  <c r="O211" i="19"/>
  <c r="G303" i="19"/>
  <c r="K303" i="19" s="1"/>
  <c r="K287" i="19"/>
  <c r="O212" i="19" l="1"/>
  <c r="G289" i="19"/>
  <c r="K288" i="19"/>
  <c r="G304" i="19"/>
  <c r="K304" i="19" s="1"/>
  <c r="F156" i="23"/>
  <c r="K213" i="19"/>
  <c r="K214" i="19" l="1"/>
  <c r="F157" i="23"/>
  <c r="G305" i="19"/>
  <c r="K305" i="19" s="1"/>
  <c r="K289" i="19"/>
  <c r="G290" i="19"/>
  <c r="O213" i="19"/>
  <c r="F158" i="23" l="1"/>
  <c r="K215" i="19"/>
  <c r="K290" i="19"/>
  <c r="G306" i="19"/>
  <c r="K306" i="19" s="1"/>
  <c r="O214" i="19"/>
  <c r="G291" i="19"/>
  <c r="K291" i="19" l="1"/>
  <c r="G307" i="19"/>
  <c r="K307" i="19" s="1"/>
  <c r="F159" i="23"/>
  <c r="K216" i="19"/>
  <c r="O215" i="19"/>
  <c r="G292" i="19"/>
  <c r="K292" i="19" l="1"/>
  <c r="G308" i="19"/>
  <c r="K308" i="19" s="1"/>
  <c r="O216" i="19"/>
  <c r="G293" i="19"/>
  <c r="K217" i="19"/>
  <c r="F160" i="23"/>
  <c r="K218" i="19" l="1"/>
  <c r="H161" i="23"/>
  <c r="G161" i="23"/>
  <c r="K11" i="23" s="1"/>
  <c r="O217" i="19"/>
  <c r="G294" i="19"/>
  <c r="K293" i="19"/>
  <c r="G309" i="19"/>
  <c r="K309" i="19" s="1"/>
  <c r="G310" i="19" l="1"/>
  <c r="K310" i="19" s="1"/>
  <c r="K294" i="19"/>
  <c r="L11" i="23"/>
  <c r="L12" i="23" s="1"/>
  <c r="K12" i="23"/>
  <c r="O218" i="19"/>
  <c r="G295" i="19"/>
  <c r="G311" i="19" l="1"/>
  <c r="K311" i="19" s="1"/>
  <c r="K312" i="19" s="1"/>
  <c r="E159" i="24" s="1"/>
  <c r="K295" i="19"/>
  <c r="K296" i="19" s="1"/>
  <c r="E158" i="24" s="1"/>
  <c r="O220" i="19"/>
  <c r="K239" i="19"/>
  <c r="E157" i="24" l="1"/>
  <c r="C24" i="9"/>
  <c r="K243" i="19"/>
  <c r="L243" i="19" s="1"/>
  <c r="G23" i="9" l="1"/>
  <c r="K83" i="9" s="1"/>
  <c r="F27" i="9"/>
  <c r="G24" i="9" s="1"/>
  <c r="K84" i="9" s="1"/>
  <c r="K101" i="9" l="1"/>
  <c r="K89" i="9"/>
  <c r="K100" i="9"/>
  <c r="K88" i="9"/>
  <c r="M93" i="9" l="1"/>
  <c r="P93" i="9"/>
  <c r="L93" i="9"/>
  <c r="N93" i="9"/>
  <c r="Q93" i="9"/>
  <c r="O93" i="9"/>
  <c r="L92" i="9"/>
  <c r="P92" i="9"/>
  <c r="Q92" i="9"/>
  <c r="M92" i="9"/>
  <c r="N92" i="9"/>
  <c r="O92" i="9"/>
  <c r="I296" i="24" l="1"/>
  <c r="I302" i="24" s="1"/>
  <c r="Q84" i="9"/>
  <c r="H295" i="24"/>
  <c r="H301" i="24" s="1"/>
  <c r="P83" i="9"/>
  <c r="F296" i="24"/>
  <c r="F302" i="24" s="1"/>
  <c r="N84" i="9"/>
  <c r="Q83" i="9"/>
  <c r="I295" i="24"/>
  <c r="I301" i="24" s="1"/>
  <c r="E296" i="24"/>
  <c r="E302" i="24" s="1"/>
  <c r="M84" i="9"/>
  <c r="G295" i="24"/>
  <c r="G301" i="24" s="1"/>
  <c r="O83" i="9"/>
  <c r="F295" i="24"/>
  <c r="F301" i="24" s="1"/>
  <c r="N83" i="9"/>
  <c r="R92" i="9"/>
  <c r="D295" i="24"/>
  <c r="L83" i="9"/>
  <c r="D296" i="24"/>
  <c r="R93" i="9"/>
  <c r="L84" i="9"/>
  <c r="E295" i="24"/>
  <c r="E301" i="24" s="1"/>
  <c r="M83" i="9"/>
  <c r="G296" i="24"/>
  <c r="G302" i="24" s="1"/>
  <c r="O84" i="9"/>
  <c r="P84" i="9"/>
  <c r="H296" i="24"/>
  <c r="H302" i="24" s="1"/>
  <c r="D17" i="18" l="1"/>
  <c r="P101" i="9"/>
  <c r="P31" i="11" s="1"/>
  <c r="P105" i="9"/>
  <c r="L100" i="9"/>
  <c r="L104" i="9"/>
  <c r="R83" i="9"/>
  <c r="S83" i="9" s="1"/>
  <c r="O105" i="9"/>
  <c r="O101" i="9"/>
  <c r="P26" i="11" s="1"/>
  <c r="C17" i="18"/>
  <c r="L105" i="9"/>
  <c r="R84" i="9"/>
  <c r="S84" i="9" s="1"/>
  <c r="L101" i="9"/>
  <c r="D301" i="24"/>
  <c r="J301" i="24" s="1"/>
  <c r="J295" i="24"/>
  <c r="C16" i="18"/>
  <c r="O104" i="9"/>
  <c r="O100" i="9"/>
  <c r="O26" i="11" s="1"/>
  <c r="P104" i="9"/>
  <c r="D16" i="18"/>
  <c r="P100" i="9"/>
  <c r="O31" i="11" s="1"/>
  <c r="Q104" i="9"/>
  <c r="Q100" i="9"/>
  <c r="O36" i="11" s="1"/>
  <c r="M104" i="9"/>
  <c r="M100" i="9"/>
  <c r="O17" i="11" s="1"/>
  <c r="D302" i="24"/>
  <c r="J302" i="24" s="1"/>
  <c r="J296" i="24"/>
  <c r="N104" i="9"/>
  <c r="N100" i="9"/>
  <c r="O21" i="11" s="1"/>
  <c r="B16" i="18"/>
  <c r="M105" i="9"/>
  <c r="M101" i="9"/>
  <c r="P17" i="11" s="1"/>
  <c r="N105" i="9"/>
  <c r="N101" i="9"/>
  <c r="P21" i="11" s="1"/>
  <c r="B17" i="18"/>
  <c r="Q105" i="9"/>
  <c r="Q101" i="9"/>
  <c r="P36" i="11" s="1"/>
  <c r="P5" i="11" l="1"/>
  <c r="I350" i="24" s="1"/>
  <c r="H369" i="24"/>
  <c r="G43" i="24"/>
  <c r="G85" i="24" s="1"/>
  <c r="G105" i="24" s="1"/>
  <c r="B5" i="29"/>
  <c r="E343" i="24"/>
  <c r="P27" i="11"/>
  <c r="F343" i="24"/>
  <c r="P32" i="11"/>
  <c r="I379" i="24"/>
  <c r="I44" i="24"/>
  <c r="I86" i="24" s="1"/>
  <c r="B7" i="30"/>
  <c r="F43" i="24"/>
  <c r="F85" i="24" s="1"/>
  <c r="F105" i="24" s="1"/>
  <c r="H364" i="24"/>
  <c r="B4" i="29"/>
  <c r="H360" i="24"/>
  <c r="E43" i="24"/>
  <c r="E85" i="24" s="1"/>
  <c r="E105" i="24" s="1"/>
  <c r="B3" i="29"/>
  <c r="H374" i="24"/>
  <c r="H43" i="24"/>
  <c r="H85" i="24" s="1"/>
  <c r="H105" i="24" s="1"/>
  <c r="B6" i="29"/>
  <c r="R101" i="9"/>
  <c r="P13" i="11"/>
  <c r="B5" i="30"/>
  <c r="I369" i="24"/>
  <c r="G44" i="24"/>
  <c r="G86" i="24" s="1"/>
  <c r="R100" i="9"/>
  <c r="O13" i="11"/>
  <c r="I364" i="24"/>
  <c r="F44" i="24"/>
  <c r="F86" i="24" s="1"/>
  <c r="B4" i="30"/>
  <c r="E16" i="18"/>
  <c r="D342" i="24"/>
  <c r="O22" i="11"/>
  <c r="I360" i="24"/>
  <c r="E44" i="24"/>
  <c r="E86" i="24" s="1"/>
  <c r="B3" i="30"/>
  <c r="F342" i="24"/>
  <c r="O32" i="11"/>
  <c r="O27" i="11"/>
  <c r="E342" i="24"/>
  <c r="D343" i="24"/>
  <c r="P22" i="11"/>
  <c r="E17" i="18"/>
  <c r="I43" i="24"/>
  <c r="I85" i="24" s="1"/>
  <c r="I105" i="24" s="1"/>
  <c r="H379" i="24"/>
  <c r="B7" i="29"/>
  <c r="H44" i="24"/>
  <c r="H86" i="24" s="1"/>
  <c r="H106" i="24" s="1"/>
  <c r="I374" i="24"/>
  <c r="B6" i="30"/>
  <c r="G343" i="24" l="1"/>
  <c r="E106" i="24"/>
  <c r="F106" i="24"/>
  <c r="G106" i="24"/>
  <c r="O46" i="11"/>
  <c r="H365" i="24"/>
  <c r="C4" i="29"/>
  <c r="O51" i="11"/>
  <c r="S101" i="9"/>
  <c r="P55" i="11"/>
  <c r="P60" i="11"/>
  <c r="P8" i="11"/>
  <c r="D22" i="24" s="1"/>
  <c r="B15" i="29"/>
  <c r="D15" i="29" s="1"/>
  <c r="B15" i="30"/>
  <c r="D15" i="30" s="1"/>
  <c r="G342" i="24"/>
  <c r="B18" i="29"/>
  <c r="D18" i="29" s="1"/>
  <c r="I375" i="24"/>
  <c r="C6" i="30"/>
  <c r="D40" i="30" s="1"/>
  <c r="B17" i="29"/>
  <c r="D17" i="29" s="1"/>
  <c r="B18" i="30"/>
  <c r="D18" i="30" s="1"/>
  <c r="P61" i="11"/>
  <c r="P56" i="11"/>
  <c r="C5" i="29"/>
  <c r="D39" i="29" s="1"/>
  <c r="H370" i="24"/>
  <c r="O56" i="11"/>
  <c r="O61" i="11"/>
  <c r="B2" i="29"/>
  <c r="O45" i="11"/>
  <c r="D43" i="24"/>
  <c r="O50" i="11"/>
  <c r="H356" i="24"/>
  <c r="H383" i="24" s="1"/>
  <c r="B17" i="30"/>
  <c r="D17" i="30" s="1"/>
  <c r="B19" i="30"/>
  <c r="D19" i="30" s="1"/>
  <c r="B19" i="29"/>
  <c r="D19" i="29" s="1"/>
  <c r="P46" i="11"/>
  <c r="I365" i="24"/>
  <c r="C4" i="30"/>
  <c r="P51" i="11"/>
  <c r="C6" i="29"/>
  <c r="D40" i="29" s="1"/>
  <c r="H375" i="24"/>
  <c r="B16" i="30"/>
  <c r="D16" i="30" s="1"/>
  <c r="S100" i="9"/>
  <c r="O60" i="11"/>
  <c r="O55" i="11"/>
  <c r="O8" i="11"/>
  <c r="D21" i="24" s="1"/>
  <c r="E21" i="24" s="1"/>
  <c r="F21" i="24" s="1"/>
  <c r="D44" i="24"/>
  <c r="P45" i="11"/>
  <c r="I356" i="24"/>
  <c r="I383" i="24" s="1"/>
  <c r="P50" i="11"/>
  <c r="B2" i="30"/>
  <c r="B16" i="29"/>
  <c r="D16" i="29" s="1"/>
  <c r="I106" i="24"/>
  <c r="I370" i="24"/>
  <c r="C5" i="30"/>
  <c r="D39" i="30" s="1"/>
  <c r="B30" i="30" l="1"/>
  <c r="D30" i="30" s="1"/>
  <c r="F30" i="30" s="1"/>
  <c r="B26" i="29"/>
  <c r="D26" i="29" s="1"/>
  <c r="F26" i="29" s="1"/>
  <c r="B28" i="29"/>
  <c r="D28" i="29" s="1"/>
  <c r="F28" i="29" s="1"/>
  <c r="B27" i="29"/>
  <c r="D27" i="29" s="1"/>
  <c r="F27" i="29" s="1"/>
  <c r="B27" i="30"/>
  <c r="D27" i="30" s="1"/>
  <c r="F27" i="30" s="1"/>
  <c r="C9" i="30"/>
  <c r="D38" i="30"/>
  <c r="F19" i="29"/>
  <c r="F17" i="30"/>
  <c r="F18" i="30"/>
  <c r="F40" i="30"/>
  <c r="D51" i="30"/>
  <c r="F51" i="30" s="1"/>
  <c r="F39" i="30"/>
  <c r="D50" i="30"/>
  <c r="F50" i="30" s="1"/>
  <c r="F16" i="29"/>
  <c r="I384" i="24"/>
  <c r="D41" i="30"/>
  <c r="F19" i="30"/>
  <c r="D63" i="30"/>
  <c r="B9" i="29"/>
  <c r="B14" i="29"/>
  <c r="B25" i="29" s="1"/>
  <c r="D50" i="29"/>
  <c r="F50" i="29" s="1"/>
  <c r="F39" i="29"/>
  <c r="B29" i="30"/>
  <c r="D29" i="30" s="1"/>
  <c r="F29" i="30" s="1"/>
  <c r="B26" i="30"/>
  <c r="D26" i="30" s="1"/>
  <c r="F26" i="30" s="1"/>
  <c r="E22" i="24"/>
  <c r="F22" i="24" s="1"/>
  <c r="H389" i="24"/>
  <c r="O66" i="11"/>
  <c r="B9" i="30"/>
  <c r="B14" i="30"/>
  <c r="J44" i="24"/>
  <c r="D86" i="24"/>
  <c r="D51" i="29"/>
  <c r="F51" i="29" s="1"/>
  <c r="F40" i="29"/>
  <c r="O65" i="11"/>
  <c r="H388" i="24"/>
  <c r="H392" i="24" s="1"/>
  <c r="F18" i="29"/>
  <c r="D59" i="30"/>
  <c r="F15" i="30"/>
  <c r="D38" i="29"/>
  <c r="C9" i="29"/>
  <c r="P65" i="11"/>
  <c r="I388" i="24"/>
  <c r="I392" i="24" s="1"/>
  <c r="F16" i="30"/>
  <c r="P66" i="11"/>
  <c r="I389" i="24"/>
  <c r="B30" i="29"/>
  <c r="D30" i="29" s="1"/>
  <c r="F30" i="29" s="1"/>
  <c r="B28" i="30"/>
  <c r="D28" i="30" s="1"/>
  <c r="F28" i="30" s="1"/>
  <c r="J43" i="24"/>
  <c r="D85" i="24"/>
  <c r="D105" i="24" s="1"/>
  <c r="F17" i="29"/>
  <c r="B29" i="29"/>
  <c r="D29" i="29" s="1"/>
  <c r="F29" i="29" s="1"/>
  <c r="F15" i="29"/>
  <c r="D37" i="29"/>
  <c r="H384" i="24"/>
  <c r="D60" i="30" l="1"/>
  <c r="D37" i="30"/>
  <c r="H393" i="24"/>
  <c r="D59" i="29"/>
  <c r="F59" i="29" s="1"/>
  <c r="D61" i="29"/>
  <c r="D41" i="29"/>
  <c r="F41" i="29" s="1"/>
  <c r="D62" i="30"/>
  <c r="F62" i="30" s="1"/>
  <c r="D60" i="29"/>
  <c r="F60" i="29" s="1"/>
  <c r="I393" i="24"/>
  <c r="D52" i="29"/>
  <c r="F52" i="29" s="1"/>
  <c r="F59" i="30"/>
  <c r="D70" i="30"/>
  <c r="F70" i="30" s="1"/>
  <c r="D106" i="24"/>
  <c r="D14" i="29"/>
  <c r="B21" i="29"/>
  <c r="F63" i="30"/>
  <c r="D74" i="30"/>
  <c r="F74" i="30" s="1"/>
  <c r="D61" i="30"/>
  <c r="D14" i="30"/>
  <c r="B21" i="30"/>
  <c r="F37" i="29"/>
  <c r="D48" i="29"/>
  <c r="F48" i="29" s="1"/>
  <c r="D71" i="30"/>
  <c r="F71" i="30" s="1"/>
  <c r="F60" i="30"/>
  <c r="F37" i="30"/>
  <c r="D48" i="30"/>
  <c r="F48" i="30" s="1"/>
  <c r="F38" i="30"/>
  <c r="D49" i="30"/>
  <c r="F49" i="30" s="1"/>
  <c r="D72" i="29"/>
  <c r="F72" i="29" s="1"/>
  <c r="F61" i="29"/>
  <c r="F38" i="29"/>
  <c r="D49" i="29"/>
  <c r="F49" i="29" s="1"/>
  <c r="D62" i="29"/>
  <c r="B25" i="30"/>
  <c r="D25" i="29"/>
  <c r="B32" i="29"/>
  <c r="F41" i="30"/>
  <c r="D52" i="30"/>
  <c r="F52" i="30" s="1"/>
  <c r="D63" i="29"/>
  <c r="D70" i="29" l="1"/>
  <c r="F70" i="29" s="1"/>
  <c r="D71" i="29"/>
  <c r="F71" i="29" s="1"/>
  <c r="D73" i="30"/>
  <c r="F73" i="30" s="1"/>
  <c r="D36" i="29"/>
  <c r="D21" i="29"/>
  <c r="D58" i="29"/>
  <c r="F14" i="29"/>
  <c r="F21" i="29" s="1"/>
  <c r="D73" i="29"/>
  <c r="F73" i="29" s="1"/>
  <c r="F62" i="29"/>
  <c r="D21" i="30"/>
  <c r="F14" i="30"/>
  <c r="F21" i="30" s="1"/>
  <c r="B32" i="30"/>
  <c r="D25" i="30"/>
  <c r="D58" i="30" s="1"/>
  <c r="F61" i="30"/>
  <c r="D72" i="30"/>
  <c r="F72" i="30" s="1"/>
  <c r="F63" i="29"/>
  <c r="D74" i="29"/>
  <c r="F74" i="29" s="1"/>
  <c r="D32" i="29"/>
  <c r="F25" i="29"/>
  <c r="F32" i="29" s="1"/>
  <c r="D32" i="30" l="1"/>
  <c r="F25" i="30"/>
  <c r="F32" i="30" s="1"/>
  <c r="B86" i="30" s="1"/>
  <c r="B84" i="29"/>
  <c r="F58" i="30"/>
  <c r="F65" i="30" s="1"/>
  <c r="B87" i="30" s="1"/>
  <c r="D65" i="30"/>
  <c r="D69" i="30"/>
  <c r="F58" i="29"/>
  <c r="F65" i="29" s="1"/>
  <c r="B85" i="29" s="1"/>
  <c r="D69" i="29"/>
  <c r="D65" i="29"/>
  <c r="D36" i="30"/>
  <c r="F36" i="29"/>
  <c r="F43" i="29" s="1"/>
  <c r="B86" i="29" s="1"/>
  <c r="D47" i="29"/>
  <c r="F47" i="29" s="1"/>
  <c r="F54" i="29" s="1"/>
  <c r="B87" i="29" s="1"/>
  <c r="D76" i="29" l="1"/>
  <c r="F69" i="29"/>
  <c r="F76" i="29" s="1"/>
  <c r="B88" i="29" s="1"/>
  <c r="B90" i="29" s="1"/>
  <c r="D47" i="30"/>
  <c r="F47" i="30" s="1"/>
  <c r="F54" i="30" s="1"/>
  <c r="B89" i="30" s="1"/>
  <c r="F36" i="30"/>
  <c r="F43" i="30" s="1"/>
  <c r="B88" i="30" s="1"/>
  <c r="D76" i="30"/>
  <c r="F69" i="30"/>
  <c r="F76" i="30" s="1"/>
  <c r="B90" i="30" s="1"/>
  <c r="B92" i="30" l="1"/>
</calcChain>
</file>

<file path=xl/comments1.xml><?xml version="1.0" encoding="utf-8"?>
<comments xmlns="http://schemas.openxmlformats.org/spreadsheetml/2006/main">
  <authors>
    <author>Blakeman, Kelly</author>
  </authors>
  <commentList>
    <comment ref="P5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Less expected decrease due to loss of one large user</t>
        </r>
      </text>
    </comment>
  </commentList>
</comments>
</file>

<file path=xl/comments2.xml><?xml version="1.0" encoding="utf-8"?>
<comments xmlns="http://schemas.openxmlformats.org/spreadsheetml/2006/main">
  <authors>
    <author>Blakeman, Kelly</author>
  </authors>
  <commentList>
    <comment ref="C24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Still includes 2 Large Users - Adjusted Below</t>
        </r>
      </text>
    </comment>
    <comment ref="O80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Adjusted to be Kuntz Electroplating only</t>
        </r>
      </text>
    </comment>
  </commentList>
</comments>
</file>

<file path=xl/comments3.xml><?xml version="1.0" encoding="utf-8"?>
<comments xmlns="http://schemas.openxmlformats.org/spreadsheetml/2006/main">
  <authors>
    <author>Blakeman, Kelly</author>
  </authors>
  <commentList>
    <comment ref="B40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Manual Adjustment</t>
        </r>
      </text>
    </comment>
  </commentList>
</comments>
</file>

<file path=xl/comments4.xml><?xml version="1.0" encoding="utf-8"?>
<comments xmlns="http://schemas.openxmlformats.org/spreadsheetml/2006/main">
  <authors>
    <author>Blakeman, Kelly</author>
  </authors>
  <commentList>
    <comment ref="C38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GS&gt;50 prior to Jun/11</t>
        </r>
      </text>
    </comment>
  </commentList>
</comments>
</file>

<file path=xl/comments5.xml><?xml version="1.0" encoding="utf-8"?>
<comments xmlns="http://schemas.openxmlformats.org/spreadsheetml/2006/main">
  <authors>
    <author>Blakeman, Kelly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Loblaw's becomes Market Participant
</t>
        </r>
      </text>
    </comment>
    <comment ref="B27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Less estimated Loblaw's Consumption</t>
        </r>
      </text>
    </comment>
  </commentList>
</comments>
</file>

<file path=xl/comments6.xml><?xml version="1.0" encoding="utf-8"?>
<comments xmlns="http://schemas.openxmlformats.org/spreadsheetml/2006/main">
  <authors>
    <author>Blakeman, Kelly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Loblaw's becomes Market Participant
</t>
        </r>
      </text>
    </comment>
    <comment ref="B27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Less estimated Loblaw's Consumption</t>
        </r>
      </text>
    </comment>
  </commentList>
</comments>
</file>

<file path=xl/sharedStrings.xml><?xml version="1.0" encoding="utf-8"?>
<sst xmlns="http://schemas.openxmlformats.org/spreadsheetml/2006/main" count="593" uniqueCount="313">
  <si>
    <t>Purchased</t>
  </si>
  <si>
    <t>Loss Factor</t>
  </si>
  <si>
    <t>Total Billed</t>
  </si>
  <si>
    <t>Heating Degree Days</t>
  </si>
  <si>
    <t>Cooling Degree Days</t>
  </si>
  <si>
    <t>Number of Days in Month</t>
  </si>
  <si>
    <t>Ontario Real GDP Monthly %</t>
  </si>
  <si>
    <t>Purchases</t>
  </si>
  <si>
    <t>Modeled Purchases</t>
  </si>
  <si>
    <t>% Difference</t>
  </si>
  <si>
    <t>Total</t>
  </si>
  <si>
    <t xml:space="preserve">Predicted Purchases </t>
  </si>
  <si>
    <t>Average</t>
  </si>
  <si>
    <t xml:space="preserve">Geomean </t>
  </si>
  <si>
    <t>Usage Per Customer</t>
  </si>
  <si>
    <t xml:space="preserve">Total </t>
  </si>
  <si>
    <t xml:space="preserve">Used </t>
  </si>
  <si>
    <t>Spring Fall Flag</t>
  </si>
  <si>
    <t>R Square</t>
  </si>
  <si>
    <t>Adjusted R Square</t>
  </si>
  <si>
    <t>Difference</t>
  </si>
  <si>
    <t xml:space="preserve">Growth Rate in Customer Numbers 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</si>
  <si>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</si>
  <si>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</si>
  <si>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</si>
  <si>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</si>
  <si>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</si>
  <si>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</si>
  <si>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>2000 Actual</t>
  </si>
  <si>
    <t xml:space="preserve">2001 Actual </t>
  </si>
  <si>
    <t xml:space="preserve">2002 Actual </t>
  </si>
  <si>
    <t xml:space="preserve">2003 Actual </t>
  </si>
  <si>
    <t xml:space="preserve">2004 Actual </t>
  </si>
  <si>
    <t xml:space="preserve">2005 Actual </t>
  </si>
  <si>
    <t xml:space="preserve">2006 Actual </t>
  </si>
  <si>
    <t xml:space="preserve">2007 Actual 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</si>
  <si>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</si>
  <si>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</si>
  <si>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</si>
  <si>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</si>
  <si>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</si>
  <si>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Used</t>
  </si>
  <si>
    <t>kW/kWh</t>
  </si>
  <si>
    <t>2008 Actual</t>
  </si>
  <si>
    <t>Weather Normal</t>
  </si>
  <si>
    <t xml:space="preserve">2009 Actual </t>
  </si>
  <si>
    <t xml:space="preserve">  Connections</t>
  </si>
  <si>
    <t>Total of Above</t>
  </si>
  <si>
    <t>Check should all be zero</t>
  </si>
  <si>
    <t>Large User</t>
  </si>
  <si>
    <t xml:space="preserve">2010 Actual </t>
  </si>
  <si>
    <t xml:space="preserve">2011 Actual </t>
  </si>
  <si>
    <t>2013 Weather Normal</t>
  </si>
  <si>
    <t>Number of Peak Hours</t>
  </si>
  <si>
    <t>Total Annual CDM Results</t>
  </si>
  <si>
    <t>Increase over previous year</t>
  </si>
  <si>
    <t>4 Year 2011 to 2014 target</t>
  </si>
  <si>
    <t>Check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</si>
  <si>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</si>
  <si>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</si>
  <si>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</si>
  <si>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</si>
  <si>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</si>
  <si>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</si>
  <si>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</si>
  <si>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</si>
  <si>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</si>
  <si>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</si>
  <si>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</si>
  <si>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CDM Activity Variable</t>
  </si>
  <si>
    <t>Dec</t>
  </si>
  <si>
    <t xml:space="preserve">Residential </t>
  </si>
  <si>
    <t>General Service
&lt; 50 kW</t>
  </si>
  <si>
    <t>General Service
&gt; 50 kW</t>
  </si>
  <si>
    <t xml:space="preserve">Streetlights </t>
  </si>
  <si>
    <t xml:space="preserve">Unmetered Loads </t>
  </si>
  <si>
    <t>Total OPA Annual CDM Results (Gross)</t>
  </si>
  <si>
    <t>Total OPA Annual CDM Results (Net)</t>
  </si>
  <si>
    <t xml:space="preserve"> # Difference</t>
  </si>
  <si>
    <t xml:space="preserve"> % Difference of Net</t>
  </si>
  <si>
    <t>CDM</t>
  </si>
  <si>
    <t>`</t>
  </si>
  <si>
    <t>Year</t>
  </si>
  <si>
    <t>Percent 
Change</t>
  </si>
  <si>
    <t>Customer/
Connection
Count</t>
  </si>
  <si>
    <t xml:space="preserve">Growth </t>
  </si>
  <si>
    <t>Percent 
Change
(%)</t>
  </si>
  <si>
    <t xml:space="preserve">2008 Actual </t>
  </si>
  <si>
    <t>2009 Actual</t>
  </si>
  <si>
    <t>Street Lighting</t>
  </si>
  <si>
    <t>Number of Customers/Connections</t>
  </si>
  <si>
    <t>kWh savings from 2011 programs with presistent impact</t>
  </si>
  <si>
    <t>Statistic</t>
  </si>
  <si>
    <t>Value</t>
  </si>
  <si>
    <t>F Test</t>
  </si>
  <si>
    <t>T-stats by Coefficient</t>
  </si>
  <si>
    <t xml:space="preserve">Actual </t>
  </si>
  <si>
    <t xml:space="preserve">Predicted </t>
  </si>
  <si>
    <t>Geometric Mean</t>
  </si>
  <si>
    <t>2013 (Not Normalized)</t>
  </si>
  <si>
    <t>Weather Sensitivity</t>
  </si>
  <si>
    <t>2011 Programs</t>
  </si>
  <si>
    <t>2012 Programs</t>
  </si>
  <si>
    <t>2013 Programs</t>
  </si>
  <si>
    <t>2014 Programs</t>
  </si>
  <si>
    <t>kWh</t>
  </si>
  <si>
    <t>Billed Annual kW</t>
  </si>
  <si>
    <t>Ratio of kW to kWh</t>
  </si>
  <si>
    <t>Predicted Billed kW</t>
  </si>
  <si>
    <t>2011 
Actual</t>
  </si>
  <si>
    <t>ACTUAL AND PREDICTED KWH PURCHASES</t>
  </si>
  <si>
    <t>% Difference of actual and predicted purchases</t>
  </si>
  <si>
    <t>BILLING DETERMINANTS BY CLASS</t>
  </si>
  <si>
    <t>Residential</t>
  </si>
  <si>
    <t>GS&lt;50</t>
  </si>
  <si>
    <t>GS&gt;50</t>
  </si>
  <si>
    <t>USL</t>
  </si>
  <si>
    <t xml:space="preserve">2000 Actual </t>
  </si>
  <si>
    <t xml:space="preserve">Table 3-6: Total System Purchases </t>
  </si>
  <si>
    <t>Actual</t>
  </si>
  <si>
    <t>Predicted</t>
  </si>
  <si>
    <t>10 Year Average</t>
  </si>
  <si>
    <t>20 Year Trend</t>
  </si>
  <si>
    <t>Table 3-15: Average Net to Gross Percentage</t>
  </si>
  <si>
    <t>Station Name</t>
  </si>
  <si>
    <t>TOTAL</t>
  </si>
  <si>
    <t xml:space="preserve">4730-Rural Rate Assistance </t>
  </si>
  <si>
    <t>4716-Charges-CN</t>
  </si>
  <si>
    <t>4714-Charges-NW</t>
  </si>
  <si>
    <t>4708-Charges-WMS</t>
  </si>
  <si>
    <t>4705-Power Purchased</t>
  </si>
  <si>
    <t>Class per Load Forecast</t>
  </si>
  <si>
    <t>Rural Rate Assistance</t>
  </si>
  <si>
    <t>Wholesale Market Service</t>
  </si>
  <si>
    <t>kW</t>
  </si>
  <si>
    <t>Metric</t>
  </si>
  <si>
    <t>Volume</t>
  </si>
  <si>
    <t>Transmission - Connection</t>
  </si>
  <si>
    <t>Transmission - Network</t>
  </si>
  <si>
    <t>Electricity - Commodity Non-RPP</t>
  </si>
  <si>
    <t>Class per Load Forecast RPP</t>
  </si>
  <si>
    <t>Electricity - Commodity RPP</t>
  </si>
  <si>
    <t>2013 Forecasted Metered kWhs</t>
  </si>
  <si>
    <t>2013  Loss Factor</t>
  </si>
  <si>
    <t>Average Number of Customers or Connections</t>
  </si>
  <si>
    <t>Actual 2011 Results and Presistence</t>
  </si>
  <si>
    <t xml:space="preserve"> Proposed Cost of Service Method</t>
  </si>
  <si>
    <t>Annual kWh at the Meter</t>
  </si>
  <si>
    <t xml:space="preserve">Estimated 2012 Results and Presistence </t>
  </si>
  <si>
    <t xml:space="preserve">2012 Actual </t>
  </si>
  <si>
    <t>2014 Weather Normal</t>
  </si>
  <si>
    <t>Weather Normalization Percentage from 2006 Hydro One Study</t>
  </si>
  <si>
    <t>Annual kW for those classes that charge distribution volumetric charges on a kW basis</t>
  </si>
  <si>
    <t>2012 %RPP</t>
  </si>
  <si>
    <t>2014 Forecasted Metered kWhs</t>
  </si>
  <si>
    <t>2014  Loss Factor</t>
  </si>
  <si>
    <t>2014 Load Foreacst</t>
  </si>
  <si>
    <t>Check totals above should be zero</t>
  </si>
  <si>
    <t>2010 Board Approved</t>
  </si>
  <si>
    <t>2012 Actual</t>
  </si>
  <si>
    <t>2013 Bridge</t>
  </si>
  <si>
    <t>2014 Test</t>
  </si>
  <si>
    <t>2010 Board App. vs. 2010 Actual</t>
  </si>
  <si>
    <t>2013 Normalized Bridge</t>
  </si>
  <si>
    <t>2014 Normalized Test</t>
  </si>
  <si>
    <t>2010
Actual</t>
  </si>
  <si>
    <t>2012
Actual</t>
  </si>
  <si>
    <t xml:space="preserve">2013 Weather Normalized Bridge </t>
  </si>
  <si>
    <t>2014 Weather Normalized Test</t>
  </si>
  <si>
    <t>Connections</t>
  </si>
  <si>
    <t>Total to 2012</t>
  </si>
  <si>
    <t>SUMMARY OUTPUT</t>
  </si>
  <si>
    <t>Regression Statistics</t>
  </si>
  <si>
    <t>Multiple R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</si>
  <si>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</si>
  <si>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</si>
  <si>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</si>
  <si>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</si>
  <si>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</si>
  <si>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</si>
  <si>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</si>
  <si>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</si>
  <si>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</si>
  <si>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</si>
  <si>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</si>
  <si>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</si>
  <si>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</si>
  <si>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</si>
  <si>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</si>
  <si>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</si>
  <si>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</si>
  <si>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</si>
  <si>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Weather Normal Projection</t>
  </si>
  <si>
    <r>
      <t xml:space="preserve">kW </t>
    </r>
    <r>
      <rPr>
        <sz val="10"/>
        <rFont val="Arial"/>
        <family val="2"/>
      </rPr>
      <t>where applicable</t>
    </r>
  </si>
  <si>
    <t>2013 Non-Normalized Bridge</t>
  </si>
  <si>
    <t>2014 Non-Normalized Test</t>
  </si>
  <si>
    <t>2014 (Not Normalized)</t>
  </si>
  <si>
    <t>Average 2000 to 2012</t>
  </si>
  <si>
    <t>Generation</t>
  </si>
  <si>
    <t>IESO</t>
  </si>
  <si>
    <t>Load Transfers</t>
  </si>
  <si>
    <t>Employment Kitchener-Waterloo-Barrie (000's)</t>
  </si>
  <si>
    <t>Unemployment Kitchener-Waterloo-Barrie (000's)</t>
  </si>
  <si>
    <t>Embedded Distributor</t>
  </si>
  <si>
    <t>kW Demand &amp; kWh Consumption</t>
  </si>
  <si>
    <t>Average (2002 ~ 2012)</t>
  </si>
  <si>
    <t>Table 3-5: Statistical Results</t>
  </si>
  <si>
    <t>Table 3-1: Summary of Load and Customer/Connection Forecast for Energy</t>
  </si>
  <si>
    <t>Table 3-2: Billed Energy and Number of Customers / Connections by Rate Class for Energy</t>
  </si>
  <si>
    <t>Number of Customers/Connections for Energy</t>
  </si>
  <si>
    <t>Table 3-3: Annual Usage per Customer/Connection by Rate Class for Energy</t>
  </si>
  <si>
    <t>Energy Usage per Customer/Connection (kWh per customer/connection) for Energy</t>
  </si>
  <si>
    <t>Annual Growth Rate in Usage per Customer/Connection for Energy</t>
  </si>
  <si>
    <t>Table 3-7: Historical Customer/Connection Data for Energy</t>
  </si>
  <si>
    <t>Table 3-8: Growth Rate in Customer/Connections for Energy</t>
  </si>
  <si>
    <t>Growth Rate in Customers/Connections for Energy</t>
  </si>
  <si>
    <t>Table 3-9: Customer/Connection Forecast for Energy</t>
  </si>
  <si>
    <t>Forecast Number of Customers/Connections for Energy</t>
  </si>
  <si>
    <t>Annual kWh Usage Per Customer/Connection  for Energy</t>
  </si>
  <si>
    <t>Table 3-11: Growth Rate in Usage Per Customer/Connection for Energy</t>
  </si>
  <si>
    <t>Growth Rate in Customer/Connection for Energy</t>
  </si>
  <si>
    <t>Table 3-12: Forecast Annual kWh Usage per Customer/Connection for Energy</t>
  </si>
  <si>
    <t>Forecast Annual kWh Usage per Customers/Connection for Energy</t>
  </si>
  <si>
    <t>Table 3-14: Weather Sensitivity by Rate Class for Energy</t>
  </si>
  <si>
    <t>Table 3-18: Alignment of Non-normal to Weather Normal Forecast for Energy</t>
  </si>
  <si>
    <t>Table 3-19: Historical Annual kW per Applicable Rate Class for Energy</t>
  </si>
  <si>
    <t>Table 3-21: kW Forecast by Applicable Rate Class for Energy</t>
  </si>
  <si>
    <t>Table 3-22: Summary of Forecast for Energy</t>
  </si>
  <si>
    <t xml:space="preserve">  Waterloo Airport</t>
  </si>
  <si>
    <t xml:space="preserve">Kuntz Electroplating </t>
  </si>
  <si>
    <t>Board Approved</t>
  </si>
  <si>
    <t>Smart Meter Entity Charge</t>
  </si>
  <si>
    <t xml:space="preserve">4751-Smart Meter Entity </t>
  </si>
  <si>
    <t>2013 (4 mos at $.0052)</t>
  </si>
  <si>
    <t>Initiative</t>
  </si>
  <si>
    <t>Unit</t>
  </si>
  <si>
    <t>Incremental Activity</t>
  </si>
  <si>
    <t>Net Incremental Peak Demand Savings (kW)</t>
  </si>
  <si>
    <t>Net Incremental Energy Savings (kWh)</t>
  </si>
  <si>
    <t>2014 Net Annual Peak Demand Savings (kW)</t>
  </si>
  <si>
    <t>2011-2014 Cumulative Energy Savings (kWh)</t>
  </si>
  <si>
    <t>Consumer Program</t>
  </si>
  <si>
    <t>Consumer</t>
  </si>
  <si>
    <t>&lt;50kW</t>
  </si>
  <si>
    <t>&gt;50kW</t>
  </si>
  <si>
    <t>Appliance Retirement</t>
  </si>
  <si>
    <t>Appliances</t>
  </si>
  <si>
    <t>Appliance Exchange</t>
  </si>
  <si>
    <t>HVAC Incentives</t>
  </si>
  <si>
    <t>Equipment</t>
  </si>
  <si>
    <t>Coupons</t>
  </si>
  <si>
    <t>Bi-Annual Retailer Event</t>
  </si>
  <si>
    <t>Residential Demand Response</t>
  </si>
  <si>
    <t>Devices</t>
  </si>
  <si>
    <t>Consumer Program Total</t>
  </si>
  <si>
    <t>Business Program</t>
  </si>
  <si>
    <t>Retrofit</t>
  </si>
  <si>
    <t>Projects</t>
  </si>
  <si>
    <t>88% &gt;50kW 12%&lt;50kW</t>
  </si>
  <si>
    <t>Direct Install Lighting</t>
  </si>
  <si>
    <t>Small Commercial DR</t>
  </si>
  <si>
    <t>Demand Response 3</t>
  </si>
  <si>
    <t>Facilities</t>
  </si>
  <si>
    <t>Business Program Total</t>
  </si>
  <si>
    <t>Industrial Program Total</t>
  </si>
  <si>
    <t>Pre-2011 Program</t>
  </si>
  <si>
    <t>ERIP</t>
  </si>
  <si>
    <t>HPNC</t>
  </si>
  <si>
    <t>Total Pre-2011 Programs</t>
  </si>
  <si>
    <t>Energy Efficiency Total</t>
  </si>
  <si>
    <t xml:space="preserve"> </t>
  </si>
  <si>
    <t>OEB Target</t>
  </si>
  <si>
    <t>% of OEB Target Achieved</t>
  </si>
  <si>
    <t>Loblaws</t>
  </si>
  <si>
    <t xml:space="preserve"> Weather Normal Load Forecast for 2014 Rate Application</t>
  </si>
  <si>
    <t>Purchased Energy (gWh)</t>
  </si>
  <si>
    <t>Billed (gWh)</t>
  </si>
  <si>
    <t>Growth 
(gWh)</t>
  </si>
  <si>
    <t>Table 3-13: Non-normalized Weather Billed Energy Forecast (gWh) for Energy</t>
  </si>
  <si>
    <t>NON-normalized Weather Billed Energy Forecast (gWh) for Energy</t>
  </si>
  <si>
    <t>Table 3-20: Historical kW/kWh Ratio per Applicable Rate Class for Energy</t>
  </si>
  <si>
    <t>Subtotal</t>
  </si>
  <si>
    <t>Embedded
Distributor</t>
  </si>
  <si>
    <t>Billed Energy (gWh)</t>
  </si>
  <si>
    <t xml:space="preserve"> CDM Results (Gross)</t>
  </si>
  <si>
    <t xml:space="preserve"> Final CDM Results (Net)</t>
  </si>
  <si>
    <t>Billed Energy (gWh) and Customer Count / Connections</t>
  </si>
  <si>
    <t xml:space="preserve">Weather Corrected Forecast before 2013 and 2014 CDM Adjustments        </t>
  </si>
  <si>
    <t xml:space="preserve">Weather Corrected Forecast after 2013 and 2014 CDM Adjustments        </t>
  </si>
  <si>
    <t>Table 3-17: 2014 Expected Savings for LRAM Variance Account</t>
  </si>
  <si>
    <t>CDM
 Activity</t>
  </si>
  <si>
    <t>2014 Weather Normal - 10 year average</t>
  </si>
  <si>
    <t>2014 Weather Normal - 20 year trend</t>
  </si>
  <si>
    <t>Billed kWh (excl Embedded)</t>
  </si>
  <si>
    <t>Total of Above (incl. Embedded)</t>
  </si>
  <si>
    <t>Total from Model (incl. Embedded)</t>
  </si>
  <si>
    <t>Total of Above (excl. Embedded)</t>
  </si>
  <si>
    <t>Total from Model (excl. Embedded)</t>
  </si>
  <si>
    <t>Non-Weather Total</t>
  </si>
  <si>
    <t xml:space="preserve">Weather Total </t>
  </si>
  <si>
    <t>Adj Weather Total</t>
  </si>
  <si>
    <t>2013 Load Forecast</t>
  </si>
  <si>
    <t>Residential (10% &lt;50kW)</t>
  </si>
  <si>
    <t>Conservation Instant Coupon Book</t>
  </si>
  <si>
    <t>Manual Adjustment to the Load Forecast from 2013 and 2014 Programs on a Net Level</t>
  </si>
  <si>
    <t>Table 3-23: Historical Annual Usage per Customer for Energy</t>
  </si>
  <si>
    <t>2008 through 2011 Final Results - kWh</t>
  </si>
  <si>
    <t>Table 3-17
CDM Summary</t>
  </si>
  <si>
    <t>4 Year 2011 to 2014 kWh Net Savings Forecast</t>
  </si>
  <si>
    <t>Non-normalized Weather Billed Energy Forecast (GWh)</t>
  </si>
  <si>
    <t>Weather Adjustment (GWh)</t>
  </si>
  <si>
    <t>CDM Adjustment (GWh)</t>
  </si>
  <si>
    <t>Weather Normalized Billed Energy Forecast (GWh)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</si>
</sst>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#,##0;\(#,##0\)"/>
    <numFmt numFmtId="167" formatCode="0.0000"/>
    <numFmt numFmtId="168" formatCode="#,##0.0000"/>
    <numFmt numFmtId="169" formatCode="0.0000%"/>
    <numFmt numFmtId="170" formatCode="#,##0.0"/>
    <numFmt numFmtId="171" formatCode="_(* #,##0_);_(* \(#,##0\);_(* &quot;-&quot;??_);_(@_)"/>
    <numFmt numFmtId="172" formatCode="0.0"/>
    <numFmt numFmtId="173" formatCode="_-* #,##0_-;\-* #,##0_-;_-* &quot;-&quot;??_-;_-@_-"/>
    <numFmt numFmtId="174" formatCode="#,##0.000"/>
    <numFmt numFmtId="175" formatCode="0.0;\(0.0\)"/>
    <numFmt numFmtId="176" formatCode="0.0%;\(0.0%\)"/>
    <numFmt numFmtId="177" formatCode="0;\(0\)"/>
    <numFmt numFmtId="178" formatCode="#,##0.0;\(#,##0.0\)"/>
    <numFmt numFmtId="179" formatCode="0.0000%;\(0.0%\)"/>
    <numFmt numFmtId="180" formatCode="#,##0.00000_);\(#,##0.00000\)"/>
    <numFmt numFmtId="181" formatCode="&quot;$&quot;#,##0.0000_);\(&quot;$&quot;#,##0.0000\)"/>
    <numFmt numFmtId="182" formatCode="#,##0.0000_);\(#,##0.0000\)"/>
    <numFmt numFmtId="183" formatCode="&quot;$&quot;#,##0.00000_);\(&quot;$&quot;#,##0.00000\)"/>
    <numFmt numFmtId="184" formatCode="#,##0.00000"/>
    <numFmt numFmtId="185" formatCode="#,##0.000000"/>
    <numFmt numFmtId="186" formatCode="_(* #,##0.0000_);_(* \(#,##0.0000\);_(* &quot;-&quot;??_);_(@_)"/>
  </numFmts>
  <fonts count="24" x14ac:knownFonts="1">
    <font>
      <sz val="10"/>
      <name val="Arial"/>
    </font>
    <font>
      <sz val="11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0625"/>
    </fill>
    <fill>
      <patternFill patternType="gray0625">
        <bgColor theme="9" tint="0.39997558519241921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14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5" fillId="0" borderId="0"/>
    <xf numFmtId="0" fontId="5" fillId="0" borderId="0"/>
    <xf numFmtId="0" fontId="13" fillId="0" borderId="0"/>
    <xf numFmtId="0" fontId="3" fillId="4" borderId="17" applyNumberFormat="0" applyFont="0" applyAlignment="0" applyProtection="0"/>
    <xf numFmtId="9" fontId="4" fillId="0" borderId="0" applyFont="0" applyFill="0" applyBorder="0" applyAlignment="0" applyProtection="0"/>
  </cellStyleXfs>
  <cellXfs count="601"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5" fillId="0" borderId="0" xfId="0" applyNumberFormat="1" applyFont="1" applyAlignment="1">
      <alignment horizontal="center" wrapText="1"/>
    </xf>
    <xf numFmtId="37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4" fillId="0" borderId="0" xfId="1" applyNumberFormat="1" applyAlignment="1">
      <alignment horizontal="center"/>
    </xf>
    <xf numFmtId="17" fontId="5" fillId="0" borderId="0" xfId="0" applyNumberFormat="1" applyFont="1"/>
    <xf numFmtId="165" fontId="5" fillId="0" borderId="0" xfId="0" applyNumberFormat="1" applyFont="1" applyAlignment="1">
      <alignment horizontal="center"/>
    </xf>
    <xf numFmtId="0" fontId="5" fillId="0" borderId="0" xfId="0" applyFont="1"/>
    <xf numFmtId="10" fontId="0" fillId="0" borderId="0" xfId="0" applyNumberFormat="1" applyAlignment="1">
      <alignment horizontal="center"/>
    </xf>
    <xf numFmtId="1" fontId="0" fillId="0" borderId="0" xfId="0" applyNumberFormat="1"/>
    <xf numFmtId="37" fontId="5" fillId="0" borderId="0" xfId="0" applyNumberFormat="1" applyFont="1" applyFill="1" applyAlignment="1">
      <alignment horizontal="center"/>
    </xf>
    <xf numFmtId="1" fontId="5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6" fillId="0" borderId="0" xfId="0" applyFont="1"/>
    <xf numFmtId="0" fontId="6" fillId="0" borderId="0" xfId="0" applyFont="1" applyAlignment="1"/>
    <xf numFmtId="3" fontId="0" fillId="2" borderId="0" xfId="0" applyNumberFormat="1" applyFill="1" applyAlignment="1">
      <alignment horizontal="center"/>
    </xf>
    <xf numFmtId="17" fontId="6" fillId="0" borderId="0" xfId="0" applyNumberFormat="1" applyFont="1"/>
    <xf numFmtId="0" fontId="0" fillId="0" borderId="0" xfId="0" applyFill="1" applyAlignment="1">
      <alignment horizontal="center"/>
    </xf>
    <xf numFmtId="167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69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3" fontId="5" fillId="2" borderId="1" xfId="0" applyNumberFormat="1" applyFont="1" applyFill="1" applyBorder="1" applyAlignment="1">
      <alignment horizontal="center"/>
    </xf>
    <xf numFmtId="165" fontId="5" fillId="0" borderId="0" xfId="0" applyNumberFormat="1" applyFont="1" applyFill="1" applyAlignment="1">
      <alignment horizontal="center"/>
    </xf>
    <xf numFmtId="17" fontId="0" fillId="0" borderId="0" xfId="0" applyNumberFormat="1" applyFill="1"/>
    <xf numFmtId="0" fontId="0" fillId="0" borderId="0" xfId="0" applyFill="1"/>
    <xf numFmtId="4" fontId="5" fillId="0" borderId="0" xfId="0" applyNumberFormat="1" applyFont="1" applyFill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 applyFill="1" applyAlignment="1">
      <alignment horizontal="center"/>
    </xf>
    <xf numFmtId="0" fontId="0" fillId="0" borderId="0" xfId="0" applyFill="1" applyBorder="1" applyAlignment="1"/>
    <xf numFmtId="166" fontId="0" fillId="0" borderId="0" xfId="0" applyNumberFormat="1" applyAlignment="1">
      <alignment horizontal="center"/>
    </xf>
    <xf numFmtId="0" fontId="0" fillId="0" borderId="0" xfId="0" applyNumberFormat="1" applyBorder="1"/>
    <xf numFmtId="3" fontId="0" fillId="3" borderId="0" xfId="0" applyNumberFormat="1" applyFill="1" applyAlignment="1">
      <alignment horizontal="center"/>
    </xf>
    <xf numFmtId="3" fontId="5" fillId="3" borderId="0" xfId="0" applyNumberFormat="1" applyFont="1" applyFill="1" applyAlignment="1">
      <alignment horizontal="center"/>
    </xf>
    <xf numFmtId="0" fontId="0" fillId="0" borderId="0" xfId="0" applyAlignment="1">
      <alignment horizontal="center" wrapText="1"/>
    </xf>
    <xf numFmtId="3" fontId="6" fillId="0" borderId="0" xfId="0" applyNumberFormat="1" applyFont="1"/>
    <xf numFmtId="0" fontId="7" fillId="0" borderId="0" xfId="0" applyFont="1"/>
    <xf numFmtId="165" fontId="0" fillId="0" borderId="0" xfId="0" applyNumberFormat="1" applyAlignment="1">
      <alignment horizontal="center" wrapText="1"/>
    </xf>
    <xf numFmtId="0" fontId="6" fillId="0" borderId="0" xfId="0" applyFont="1" applyAlignment="1">
      <alignment horizontal="center" wrapText="1"/>
    </xf>
    <xf numFmtId="3" fontId="0" fillId="3" borderId="1" xfId="0" applyNumberFormat="1" applyFill="1" applyBorder="1" applyAlignment="1">
      <alignment horizontal="center"/>
    </xf>
    <xf numFmtId="3" fontId="5" fillId="3" borderId="1" xfId="0" applyNumberFormat="1" applyFont="1" applyFill="1" applyBorder="1" applyAlignment="1">
      <alignment horizontal="center"/>
    </xf>
    <xf numFmtId="37" fontId="0" fillId="0" borderId="0" xfId="0" applyNumberFormat="1" applyAlignment="1">
      <alignment horizontal="center"/>
    </xf>
    <xf numFmtId="3" fontId="9" fillId="0" borderId="0" xfId="0" applyNumberFormat="1" applyFont="1" applyAlignment="1">
      <alignment horizontal="center"/>
    </xf>
    <xf numFmtId="0" fontId="0" fillId="0" borderId="0" xfId="0" applyFill="1" applyAlignment="1">
      <alignment horizontal="left"/>
    </xf>
    <xf numFmtId="0" fontId="4" fillId="0" borderId="0" xfId="0" applyFont="1" applyFill="1"/>
    <xf numFmtId="167" fontId="0" fillId="0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 wrapText="1"/>
    </xf>
    <xf numFmtId="3" fontId="0" fillId="0" borderId="0" xfId="1" applyNumberFormat="1" applyFont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73" fontId="4" fillId="0" borderId="0" xfId="4" applyNumberFormat="1"/>
    <xf numFmtId="173" fontId="0" fillId="0" borderId="0" xfId="0" applyNumberFormat="1"/>
    <xf numFmtId="3" fontId="4" fillId="0" borderId="0" xfId="0" applyNumberFormat="1" applyFont="1" applyFill="1" applyAlignment="1">
      <alignment horizontal="center"/>
    </xf>
    <xf numFmtId="3" fontId="0" fillId="0" borderId="1" xfId="0" applyNumberFormat="1" applyBorder="1" applyAlignment="1">
      <alignment horizontal="center"/>
    </xf>
    <xf numFmtId="171" fontId="0" fillId="0" borderId="0" xfId="0" applyNumberFormat="1"/>
    <xf numFmtId="165" fontId="0" fillId="0" borderId="0" xfId="13" applyNumberFormat="1" applyFont="1"/>
    <xf numFmtId="3" fontId="0" fillId="0" borderId="0" xfId="0" applyNumberForma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10" fontId="0" fillId="0" borderId="0" xfId="13" applyNumberFormat="1" applyFont="1" applyAlignment="1">
      <alignment horizontal="center"/>
    </xf>
    <xf numFmtId="0" fontId="12" fillId="0" borderId="0" xfId="0" applyFont="1"/>
    <xf numFmtId="0" fontId="11" fillId="0" borderId="1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1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left" vertical="center"/>
    </xf>
    <xf numFmtId="170" fontId="14" fillId="0" borderId="1" xfId="10" applyNumberFormat="1" applyFont="1" applyFill="1" applyBorder="1" applyAlignment="1">
      <alignment horizontal="center" vertical="center"/>
    </xf>
    <xf numFmtId="175" fontId="14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/>
    <xf numFmtId="0" fontId="11" fillId="0" borderId="11" xfId="0" applyFont="1" applyFill="1" applyBorder="1" applyAlignment="1">
      <alignment vertical="center" wrapText="1"/>
    </xf>
    <xf numFmtId="0" fontId="11" fillId="0" borderId="0" xfId="0" applyFont="1" applyFill="1"/>
    <xf numFmtId="0" fontId="11" fillId="0" borderId="0" xfId="0" applyFont="1"/>
    <xf numFmtId="170" fontId="11" fillId="0" borderId="1" xfId="1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3" fontId="11" fillId="0" borderId="1" xfId="1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0" fontId="12" fillId="0" borderId="1" xfId="0" applyFont="1" applyBorder="1"/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0" xfId="0" applyFont="1"/>
    <xf numFmtId="3" fontId="14" fillId="0" borderId="1" xfId="10" applyNumberFormat="1" applyFont="1" applyFill="1" applyBorder="1" applyAlignment="1">
      <alignment horizontal="center" vertical="center"/>
    </xf>
    <xf numFmtId="3" fontId="12" fillId="0" borderId="0" xfId="0" applyNumberFormat="1" applyFont="1"/>
    <xf numFmtId="0" fontId="14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 wrapText="1"/>
    </xf>
    <xf numFmtId="3" fontId="11" fillId="0" borderId="1" xfId="1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left" vertical="center"/>
    </xf>
    <xf numFmtId="176" fontId="14" fillId="0" borderId="1" xfId="0" applyNumberFormat="1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horizontal="left" vertical="center"/>
    </xf>
    <xf numFmtId="167" fontId="11" fillId="0" borderId="0" xfId="0" applyNumberFormat="1" applyFont="1" applyAlignment="1">
      <alignment horizontal="center"/>
    </xf>
    <xf numFmtId="165" fontId="11" fillId="0" borderId="0" xfId="13" applyNumberFormat="1" applyFont="1"/>
    <xf numFmtId="176" fontId="14" fillId="0" borderId="0" xfId="0" applyNumberFormat="1" applyFont="1" applyFill="1" applyBorder="1" applyAlignment="1">
      <alignment horizontal="left" vertical="center"/>
    </xf>
    <xf numFmtId="3" fontId="0" fillId="0" borderId="11" xfId="0" applyNumberFormat="1" applyBorder="1" applyAlignment="1">
      <alignment horizontal="center"/>
    </xf>
    <xf numFmtId="9" fontId="14" fillId="0" borderId="1" xfId="10" applyNumberFormat="1" applyFont="1" applyFill="1" applyBorder="1" applyAlignment="1">
      <alignment horizontal="center" vertical="center"/>
    </xf>
    <xf numFmtId="172" fontId="14" fillId="0" borderId="1" xfId="10" applyNumberFormat="1" applyFont="1" applyFill="1" applyBorder="1" applyAlignment="1">
      <alignment horizontal="center" vertical="center"/>
    </xf>
    <xf numFmtId="175" fontId="14" fillId="0" borderId="1" xfId="10" applyNumberFormat="1" applyFont="1" applyFill="1" applyBorder="1" applyAlignment="1">
      <alignment horizontal="center" vertical="center"/>
    </xf>
    <xf numFmtId="176" fontId="14" fillId="0" borderId="11" xfId="1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 wrapText="1"/>
    </xf>
    <xf numFmtId="176" fontId="11" fillId="0" borderId="11" xfId="1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3" fontId="14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Border="1"/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170" fontId="11" fillId="0" borderId="0" xfId="0" applyNumberFormat="1" applyFont="1" applyFill="1" applyBorder="1" applyAlignment="1">
      <alignment horizontal="center" vertical="center" wrapText="1"/>
    </xf>
    <xf numFmtId="165" fontId="11" fillId="0" borderId="0" xfId="13" applyNumberFormat="1" applyFont="1" applyFill="1" applyBorder="1" applyAlignment="1">
      <alignment vertical="center"/>
    </xf>
    <xf numFmtId="178" fontId="11" fillId="0" borderId="0" xfId="0" applyNumberFormat="1" applyFont="1" applyFill="1" applyBorder="1" applyAlignment="1">
      <alignment horizontal="center" vertical="center" wrapText="1"/>
    </xf>
    <xf numFmtId="165" fontId="14" fillId="0" borderId="1" xfId="0" applyNumberFormat="1" applyFont="1" applyFill="1" applyBorder="1" applyAlignment="1">
      <alignment horizontal="center" vertical="center" wrapText="1"/>
    </xf>
    <xf numFmtId="9" fontId="14" fillId="0" borderId="0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4" fillId="0" borderId="1" xfId="0" applyFont="1" applyBorder="1"/>
    <xf numFmtId="179" fontId="14" fillId="0" borderId="1" xfId="0" applyNumberFormat="1" applyFont="1" applyFill="1" applyBorder="1" applyAlignment="1">
      <alignment horizontal="center" vertical="center" wrapText="1"/>
    </xf>
    <xf numFmtId="179" fontId="11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/>
    </xf>
    <xf numFmtId="3" fontId="11" fillId="0" borderId="0" xfId="0" applyNumberFormat="1" applyFont="1" applyFill="1" applyBorder="1" applyAlignment="1">
      <alignment horizontal="center" vertical="center" wrapText="1"/>
    </xf>
    <xf numFmtId="3" fontId="14" fillId="0" borderId="0" xfId="10" applyNumberFormat="1" applyFont="1" applyFill="1" applyBorder="1" applyAlignment="1">
      <alignment horizontal="center" vertical="center"/>
    </xf>
    <xf numFmtId="0" fontId="14" fillId="0" borderId="1" xfId="0" applyFont="1" applyBorder="1"/>
    <xf numFmtId="176" fontId="11" fillId="0" borderId="1" xfId="10" applyNumberFormat="1" applyFont="1" applyFill="1" applyBorder="1" applyAlignment="1">
      <alignment horizontal="center" vertical="center"/>
    </xf>
    <xf numFmtId="176" fontId="14" fillId="0" borderId="1" xfId="1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left" vertical="center"/>
    </xf>
    <xf numFmtId="3" fontId="14" fillId="0" borderId="1" xfId="0" applyNumberFormat="1" applyFont="1" applyFill="1" applyBorder="1" applyAlignment="1">
      <alignment vertical="center"/>
    </xf>
    <xf numFmtId="3" fontId="14" fillId="0" borderId="1" xfId="0" applyNumberFormat="1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left" vertical="center"/>
    </xf>
    <xf numFmtId="170" fontId="11" fillId="0" borderId="14" xfId="10" applyNumberFormat="1" applyFont="1" applyFill="1" applyBorder="1" applyAlignment="1">
      <alignment horizontal="center" vertical="center"/>
    </xf>
    <xf numFmtId="175" fontId="11" fillId="0" borderId="14" xfId="0" applyNumberFormat="1" applyFont="1" applyFill="1" applyBorder="1" applyAlignment="1">
      <alignment horizontal="center" vertical="center"/>
    </xf>
    <xf numFmtId="176" fontId="11" fillId="0" borderId="14" xfId="0" applyNumberFormat="1" applyFont="1" applyFill="1" applyBorder="1" applyAlignment="1">
      <alignment horizontal="center" vertical="center"/>
    </xf>
    <xf numFmtId="3" fontId="11" fillId="0" borderId="14" xfId="0" applyNumberFormat="1" applyFont="1" applyFill="1" applyBorder="1" applyAlignment="1">
      <alignment horizontal="center" vertical="center"/>
    </xf>
    <xf numFmtId="177" fontId="11" fillId="0" borderId="14" xfId="0" applyNumberFormat="1" applyFont="1" applyFill="1" applyBorder="1" applyAlignment="1">
      <alignment horizontal="center" vertical="center"/>
    </xf>
    <xf numFmtId="3" fontId="11" fillId="0" borderId="0" xfId="0" applyNumberFormat="1" applyFont="1"/>
    <xf numFmtId="0" fontId="11" fillId="0" borderId="1" xfId="0" applyFont="1" applyBorder="1"/>
    <xf numFmtId="0" fontId="4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37" fontId="0" fillId="0" borderId="0" xfId="0" applyNumberFormat="1"/>
    <xf numFmtId="176" fontId="12" fillId="0" borderId="0" xfId="0" applyNumberFormat="1" applyFont="1"/>
    <xf numFmtId="10" fontId="12" fillId="0" borderId="0" xfId="0" applyNumberFormat="1" applyFont="1"/>
    <xf numFmtId="43" fontId="12" fillId="0" borderId="0" xfId="1" applyFont="1"/>
    <xf numFmtId="170" fontId="11" fillId="0" borderId="0" xfId="0" applyNumberFormat="1" applyFont="1"/>
    <xf numFmtId="169" fontId="12" fillId="0" borderId="0" xfId="0" applyNumberFormat="1" applyFont="1"/>
    <xf numFmtId="17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/>
    <xf numFmtId="0" fontId="4" fillId="0" borderId="0" xfId="0" applyFont="1"/>
    <xf numFmtId="0" fontId="16" fillId="0" borderId="0" xfId="0" applyFont="1" applyAlignment="1">
      <alignment horizontal="center"/>
    </xf>
    <xf numFmtId="17" fontId="16" fillId="0" borderId="0" xfId="0" applyNumberFormat="1" applyFont="1"/>
    <xf numFmtId="37" fontId="16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37" fontId="10" fillId="0" borderId="0" xfId="0" applyNumberFormat="1" applyFont="1" applyAlignment="1">
      <alignment horizontal="center"/>
    </xf>
    <xf numFmtId="0" fontId="16" fillId="0" borderId="0" xfId="0" applyFont="1" applyAlignment="1">
      <alignment horizontal="right"/>
    </xf>
    <xf numFmtId="37" fontId="6" fillId="0" borderId="1" xfId="0" applyNumberFormat="1" applyFont="1" applyBorder="1"/>
    <xf numFmtId="0" fontId="6" fillId="0" borderId="9" xfId="0" applyFont="1" applyBorder="1"/>
    <xf numFmtId="0" fontId="0" fillId="0" borderId="15" xfId="0" applyBorder="1"/>
    <xf numFmtId="5" fontId="0" fillId="0" borderId="18" xfId="0" applyNumberFormat="1" applyBorder="1"/>
    <xf numFmtId="5" fontId="0" fillId="0" borderId="18" xfId="0" applyNumberFormat="1" applyFill="1" applyBorder="1"/>
    <xf numFmtId="37" fontId="0" fillId="0" borderId="19" xfId="0" applyNumberFormat="1" applyBorder="1"/>
    <xf numFmtId="0" fontId="0" fillId="0" borderId="13" xfId="0" applyBorder="1"/>
    <xf numFmtId="0" fontId="6" fillId="0" borderId="11" xfId="0" applyFont="1" applyBorder="1" applyAlignment="1">
      <alignment horizontal="center"/>
    </xf>
    <xf numFmtId="5" fontId="6" fillId="0" borderId="1" xfId="0" applyNumberFormat="1" applyFont="1" applyBorder="1"/>
    <xf numFmtId="180" fontId="0" fillId="0" borderId="1" xfId="0" applyNumberFormat="1" applyBorder="1"/>
    <xf numFmtId="0" fontId="6" fillId="0" borderId="1" xfId="0" applyFont="1" applyBorder="1"/>
    <xf numFmtId="0" fontId="6" fillId="0" borderId="1" xfId="0" applyFont="1" applyBorder="1" applyAlignment="1">
      <alignment horizontal="left" indent="1"/>
    </xf>
    <xf numFmtId="5" fontId="0" fillId="0" borderId="1" xfId="0" applyNumberFormat="1" applyBorder="1"/>
    <xf numFmtId="37" fontId="0" fillId="0" borderId="1" xfId="0" applyNumberFormat="1" applyBorder="1"/>
    <xf numFmtId="182" fontId="0" fillId="0" borderId="1" xfId="0" applyNumberFormat="1" applyBorder="1" applyAlignment="1">
      <alignment horizontal="center"/>
    </xf>
    <xf numFmtId="3" fontId="0" fillId="0" borderId="18" xfId="0" applyNumberFormat="1" applyBorder="1"/>
    <xf numFmtId="0" fontId="6" fillId="0" borderId="22" xfId="0" applyFont="1" applyBorder="1" applyAlignment="1">
      <alignment horizontal="center"/>
    </xf>
    <xf numFmtId="0" fontId="6" fillId="0" borderId="20" xfId="0" applyNumberFormat="1" applyFont="1" applyBorder="1" applyAlignment="1">
      <alignment horizontal="center"/>
    </xf>
    <xf numFmtId="0" fontId="6" fillId="0" borderId="23" xfId="0" applyFont="1" applyBorder="1"/>
    <xf numFmtId="0" fontId="6" fillId="0" borderId="14" xfId="0" applyFont="1" applyBorder="1"/>
    <xf numFmtId="0" fontId="6" fillId="0" borderId="13" xfId="0" applyFont="1" applyBorder="1"/>
    <xf numFmtId="0" fontId="6" fillId="0" borderId="19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5" fontId="6" fillId="0" borderId="1" xfId="0" applyNumberFormat="1" applyFont="1" applyFill="1" applyBorder="1"/>
    <xf numFmtId="182" fontId="0" fillId="0" borderId="1" xfId="0" applyNumberFormat="1" applyFill="1" applyBorder="1"/>
    <xf numFmtId="37" fontId="0" fillId="0" borderId="1" xfId="0" applyNumberFormat="1" applyFill="1" applyBorder="1"/>
    <xf numFmtId="0" fontId="6" fillId="0" borderId="11" xfId="0" applyFont="1" applyBorder="1"/>
    <xf numFmtId="0" fontId="6" fillId="0" borderId="10" xfId="0" applyFont="1" applyBorder="1"/>
    <xf numFmtId="5" fontId="6" fillId="0" borderId="0" xfId="0" applyNumberFormat="1" applyFont="1" applyFill="1" applyBorder="1"/>
    <xf numFmtId="180" fontId="0" fillId="0" borderId="0" xfId="0" applyNumberFormat="1" applyBorder="1"/>
    <xf numFmtId="37" fontId="6" fillId="0" borderId="0" xfId="0" applyNumberFormat="1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 indent="1"/>
    </xf>
    <xf numFmtId="171" fontId="4" fillId="0" borderId="1" xfId="1" applyNumberFormat="1" applyFill="1" applyBorder="1"/>
    <xf numFmtId="0" fontId="6" fillId="0" borderId="0" xfId="0" applyFont="1" applyAlignment="1">
      <alignment horizontal="center"/>
    </xf>
    <xf numFmtId="3" fontId="0" fillId="5" borderId="0" xfId="0" applyNumberFormat="1" applyFill="1" applyAlignment="1">
      <alignment horizontal="center"/>
    </xf>
    <xf numFmtId="168" fontId="0" fillId="5" borderId="0" xfId="0" applyNumberFormat="1" applyFill="1" applyAlignment="1">
      <alignment horizontal="center"/>
    </xf>
    <xf numFmtId="173" fontId="4" fillId="5" borderId="0" xfId="4" applyNumberFormat="1" applyFill="1"/>
    <xf numFmtId="172" fontId="4" fillId="6" borderId="0" xfId="0" applyNumberFormat="1" applyFont="1" applyFill="1" applyAlignment="1">
      <alignment horizontal="right" indent="1"/>
    </xf>
    <xf numFmtId="37" fontId="4" fillId="0" borderId="0" xfId="0" applyNumberFormat="1" applyFont="1" applyFill="1" applyAlignment="1">
      <alignment horizontal="center"/>
    </xf>
    <xf numFmtId="172" fontId="0" fillId="0" borderId="0" xfId="0" applyNumberFormat="1" applyFill="1" applyAlignment="1">
      <alignment horizontal="right" indent="1"/>
    </xf>
    <xf numFmtId="172" fontId="4" fillId="0" borderId="0" xfId="0" applyNumberFormat="1" applyFont="1" applyFill="1" applyAlignment="1">
      <alignment horizontal="right" indent="1"/>
    </xf>
    <xf numFmtId="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7" fontId="16" fillId="6" borderId="0" xfId="0" applyNumberFormat="1" applyFont="1" applyFill="1" applyAlignment="1">
      <alignment horizontal="center"/>
    </xf>
    <xf numFmtId="1" fontId="16" fillId="6" borderId="0" xfId="1" applyNumberFormat="1" applyFont="1" applyFill="1" applyAlignment="1">
      <alignment horizontal="center"/>
    </xf>
    <xf numFmtId="1" fontId="10" fillId="6" borderId="0" xfId="0" applyNumberFormat="1" applyFont="1" applyFill="1" applyAlignment="1">
      <alignment horizont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vertical="center"/>
    </xf>
    <xf numFmtId="0" fontId="11" fillId="0" borderId="10" xfId="0" applyFont="1" applyFill="1" applyBorder="1" applyAlignment="1">
      <alignment vertical="center"/>
    </xf>
    <xf numFmtId="0" fontId="11" fillId="0" borderId="11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2" fillId="0" borderId="0" xfId="0" applyFont="1" applyFill="1" applyBorder="1"/>
    <xf numFmtId="172" fontId="14" fillId="0" borderId="0" xfId="0" applyNumberFormat="1" applyFont="1" applyFill="1" applyBorder="1" applyAlignment="1">
      <alignment vertical="center"/>
    </xf>
    <xf numFmtId="3" fontId="11" fillId="0" borderId="0" xfId="11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vertical="center"/>
    </xf>
    <xf numFmtId="0" fontId="11" fillId="0" borderId="22" xfId="11" applyFont="1" applyFill="1" applyBorder="1" applyAlignment="1">
      <alignment horizontal="center" vertical="center" wrapText="1"/>
    </xf>
    <xf numFmtId="0" fontId="0" fillId="0" borderId="29" xfId="0" applyFill="1" applyBorder="1" applyAlignment="1"/>
    <xf numFmtId="0" fontId="8" fillId="0" borderId="30" xfId="0" applyFont="1" applyFill="1" applyBorder="1" applyAlignment="1">
      <alignment horizontal="centerContinuous"/>
    </xf>
    <xf numFmtId="3" fontId="4" fillId="3" borderId="0" xfId="0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166" fontId="0" fillId="0" borderId="0" xfId="0" applyNumberFormat="1" applyFill="1" applyAlignment="1">
      <alignment horizontal="center"/>
    </xf>
    <xf numFmtId="41" fontId="0" fillId="0" borderId="0" xfId="0" applyNumberFormat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17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3" fontId="0" fillId="0" borderId="1" xfId="0" applyNumberFormat="1" applyBorder="1" applyAlignment="1">
      <alignment horizontal="right" indent="1"/>
    </xf>
    <xf numFmtId="0" fontId="11" fillId="0" borderId="0" xfId="0" applyFont="1" applyFill="1" applyBorder="1" applyAlignment="1">
      <alignment vertical="center" wrapText="1"/>
    </xf>
    <xf numFmtId="3" fontId="4" fillId="0" borderId="0" xfId="0" applyNumberFormat="1" applyFont="1" applyAlignment="1">
      <alignment horizontal="center"/>
    </xf>
    <xf numFmtId="3" fontId="4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9" xfId="0" applyBorder="1"/>
    <xf numFmtId="0" fontId="0" fillId="0" borderId="18" xfId="0" applyBorder="1"/>
    <xf numFmtId="43" fontId="0" fillId="0" borderId="19" xfId="0" applyNumberFormat="1" applyBorder="1"/>
    <xf numFmtId="43" fontId="0" fillId="0" borderId="18" xfId="0" applyNumberFormat="1" applyBorder="1"/>
    <xf numFmtId="43" fontId="0" fillId="0" borderId="22" xfId="0" applyNumberFormat="1" applyBorder="1"/>
    <xf numFmtId="0" fontId="8" fillId="0" borderId="15" xfId="0" applyFont="1" applyBorder="1"/>
    <xf numFmtId="43" fontId="8" fillId="0" borderId="18" xfId="0" applyNumberFormat="1" applyFont="1" applyBorder="1"/>
    <xf numFmtId="0" fontId="0" fillId="0" borderId="24" xfId="0" applyBorder="1"/>
    <xf numFmtId="0" fontId="0" fillId="0" borderId="22" xfId="0" applyBorder="1"/>
    <xf numFmtId="0" fontId="4" fillId="0" borderId="22" xfId="0" applyFont="1" applyBorder="1" applyAlignment="1">
      <alignment horizontal="center"/>
    </xf>
    <xf numFmtId="0" fontId="4" fillId="0" borderId="15" xfId="0" applyFont="1" applyBorder="1"/>
    <xf numFmtId="171" fontId="0" fillId="0" borderId="19" xfId="0" applyNumberFormat="1" applyBorder="1"/>
    <xf numFmtId="171" fontId="0" fillId="0" borderId="18" xfId="0" applyNumberFormat="1" applyBorder="1"/>
    <xf numFmtId="171" fontId="0" fillId="0" borderId="22" xfId="0" applyNumberFormat="1" applyBorder="1"/>
    <xf numFmtId="171" fontId="8" fillId="0" borderId="18" xfId="0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0" xfId="0" applyNumberFormat="1" applyAlignment="1">
      <alignment horizontal="right" indent="3"/>
    </xf>
    <xf numFmtId="0" fontId="17" fillId="8" borderId="1" xfId="0" applyFont="1" applyFill="1" applyBorder="1" applyAlignment="1">
      <alignment horizontal="center" wrapText="1"/>
    </xf>
    <xf numFmtId="181" fontId="0" fillId="0" borderId="1" xfId="0" applyNumberFormat="1" applyFill="1" applyBorder="1"/>
    <xf numFmtId="182" fontId="0" fillId="0" borderId="1" xfId="0" applyNumberFormat="1" applyFill="1" applyBorder="1" applyAlignment="1">
      <alignment horizontal="center"/>
    </xf>
    <xf numFmtId="0" fontId="0" fillId="0" borderId="9" xfId="0" applyBorder="1"/>
    <xf numFmtId="184" fontId="0" fillId="0" borderId="0" xfId="0" applyNumberFormat="1" applyAlignment="1">
      <alignment horizontal="center"/>
    </xf>
    <xf numFmtId="185" fontId="0" fillId="0" borderId="0" xfId="0" applyNumberFormat="1" applyAlignment="1">
      <alignment horizontal="center"/>
    </xf>
    <xf numFmtId="0" fontId="6" fillId="0" borderId="0" xfId="0" applyFont="1" applyFill="1" applyBorder="1" applyAlignment="1">
      <alignment horizontal="center"/>
    </xf>
    <xf numFmtId="9" fontId="4" fillId="0" borderId="1" xfId="13" applyFill="1" applyBorder="1"/>
    <xf numFmtId="0" fontId="4" fillId="0" borderId="0" xfId="0" applyFont="1" applyAlignment="1">
      <alignment horizontal="center"/>
    </xf>
    <xf numFmtId="186" fontId="0" fillId="0" borderId="0" xfId="1" applyNumberFormat="1" applyFont="1"/>
    <xf numFmtId="16" fontId="0" fillId="0" borderId="0" xfId="0" applyNumberFormat="1" applyAlignment="1">
      <alignment horizontal="right" indent="1"/>
    </xf>
    <xf numFmtId="16" fontId="4" fillId="0" borderId="0" xfId="0" applyNumberFormat="1" applyFont="1" applyAlignment="1">
      <alignment horizontal="right" indent="1"/>
    </xf>
    <xf numFmtId="16" fontId="6" fillId="0" borderId="0" xfId="0" applyNumberFormat="1" applyFont="1" applyAlignment="1">
      <alignment horizontal="right" indent="1"/>
    </xf>
    <xf numFmtId="186" fontId="6" fillId="0" borderId="0" xfId="0" applyNumberFormat="1" applyFont="1"/>
    <xf numFmtId="0" fontId="11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183" fontId="0" fillId="0" borderId="1" xfId="0" applyNumberFormat="1" applyFill="1" applyBorder="1"/>
    <xf numFmtId="183" fontId="4" fillId="0" borderId="1" xfId="0" applyNumberFormat="1" applyFont="1" applyFill="1" applyBorder="1"/>
    <xf numFmtId="0" fontId="12" fillId="0" borderId="22" xfId="0" applyFont="1" applyFill="1" applyBorder="1"/>
    <xf numFmtId="0" fontId="11" fillId="0" borderId="22" xfId="0" applyFont="1" applyFill="1" applyBorder="1" applyAlignment="1">
      <alignment horizontal="left" vertical="center"/>
    </xf>
    <xf numFmtId="0" fontId="12" fillId="0" borderId="1" xfId="0" applyFont="1" applyFill="1" applyBorder="1"/>
    <xf numFmtId="0" fontId="6" fillId="0" borderId="20" xfId="0" applyNumberFormat="1" applyFont="1" applyBorder="1" applyAlignment="1">
      <alignment horizontal="center"/>
    </xf>
    <xf numFmtId="0" fontId="14" fillId="0" borderId="1" xfId="0" applyFont="1" applyFill="1" applyBorder="1" applyAlignment="1">
      <alignment horizontal="left" vertical="center" indent="1"/>
    </xf>
    <xf numFmtId="0" fontId="14" fillId="0" borderId="9" xfId="0" applyFont="1" applyFill="1" applyBorder="1" applyAlignment="1">
      <alignment horizontal="left" vertical="center" indent="1"/>
    </xf>
    <xf numFmtId="0" fontId="14" fillId="0" borderId="10" xfId="0" applyFont="1" applyFill="1" applyBorder="1" applyAlignment="1">
      <alignment horizontal="left" vertical="center" indent="1"/>
    </xf>
    <xf numFmtId="0" fontId="12" fillId="0" borderId="9" xfId="0" applyFont="1" applyFill="1" applyBorder="1" applyAlignment="1">
      <alignment horizontal="left" vertical="center" indent="1"/>
    </xf>
    <xf numFmtId="5" fontId="6" fillId="0" borderId="0" xfId="0" applyNumberFormat="1" applyFont="1" applyBorder="1"/>
    <xf numFmtId="0" fontId="11" fillId="0" borderId="10" xfId="0" applyFont="1" applyFill="1" applyBorder="1" applyAlignment="1">
      <alignment horizontal="left" vertical="center" indent="1"/>
    </xf>
    <xf numFmtId="0" fontId="11" fillId="0" borderId="10" xfId="0" applyFont="1" applyFill="1" applyBorder="1" applyAlignment="1">
      <alignment horizontal="left" vertical="center" wrapText="1" indent="1"/>
    </xf>
    <xf numFmtId="0" fontId="11" fillId="0" borderId="9" xfId="0" applyFont="1" applyFill="1" applyBorder="1" applyAlignment="1">
      <alignment horizontal="left" vertical="center" indent="1"/>
    </xf>
    <xf numFmtId="0" fontId="11" fillId="0" borderId="1" xfId="0" applyFont="1" applyFill="1" applyBorder="1" applyAlignment="1">
      <alignment horizontal="left" vertical="center" indent="1"/>
    </xf>
    <xf numFmtId="0" fontId="14" fillId="0" borderId="1" xfId="0" applyFont="1" applyFill="1" applyBorder="1" applyAlignment="1">
      <alignment horizontal="left" vertical="center" wrapText="1" indent="1"/>
    </xf>
    <xf numFmtId="0" fontId="11" fillId="0" borderId="1" xfId="0" applyFont="1" applyFill="1" applyBorder="1" applyAlignment="1">
      <alignment horizontal="left" vertical="center" wrapText="1" indent="1"/>
    </xf>
    <xf numFmtId="176" fontId="12" fillId="0" borderId="1" xfId="0" applyNumberFormat="1" applyFont="1" applyFill="1" applyBorder="1" applyAlignment="1">
      <alignment horizontal="left" vertical="center" indent="1"/>
    </xf>
    <xf numFmtId="176" fontId="11" fillId="0" borderId="1" xfId="0" applyNumberFormat="1" applyFont="1" applyFill="1" applyBorder="1" applyAlignment="1">
      <alignment horizontal="left" vertical="center" indent="1"/>
    </xf>
    <xf numFmtId="176" fontId="11" fillId="0" borderId="0" xfId="0" applyNumberFormat="1" applyFont="1" applyFill="1" applyBorder="1" applyAlignment="1">
      <alignment horizontal="left" vertical="center" indent="1"/>
    </xf>
    <xf numFmtId="176" fontId="14" fillId="0" borderId="1" xfId="0" applyNumberFormat="1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left" indent="1"/>
    </xf>
    <xf numFmtId="0" fontId="2" fillId="0" borderId="1" xfId="0" applyFont="1" applyFill="1" applyBorder="1" applyAlignment="1">
      <alignment horizontal="left" vertical="center" inden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166" fontId="0" fillId="9" borderId="0" xfId="0" applyNumberFormat="1" applyFill="1" applyAlignment="1">
      <alignment horizontal="center"/>
    </xf>
    <xf numFmtId="0" fontId="20" fillId="10" borderId="37" xfId="0" applyFont="1" applyFill="1" applyBorder="1" applyAlignment="1">
      <alignment horizontal="center"/>
    </xf>
    <xf numFmtId="0" fontId="20" fillId="10" borderId="38" xfId="0" applyFont="1" applyFill="1" applyBorder="1" applyAlignment="1">
      <alignment horizontal="center"/>
    </xf>
    <xf numFmtId="0" fontId="20" fillId="10" borderId="39" xfId="0" applyFont="1" applyFill="1" applyBorder="1" applyAlignment="1">
      <alignment horizontal="center"/>
    </xf>
    <xf numFmtId="0" fontId="20" fillId="10" borderId="31" xfId="0" applyFont="1" applyFill="1" applyBorder="1" applyAlignment="1">
      <alignment horizontal="center"/>
    </xf>
    <xf numFmtId="0" fontId="0" fillId="11" borderId="26" xfId="0" applyFill="1" applyBorder="1" applyAlignment="1">
      <alignment horizontal="center" vertical="center"/>
    </xf>
    <xf numFmtId="0" fontId="22" fillId="11" borderId="26" xfId="0" applyFont="1" applyFill="1" applyBorder="1" applyAlignment="1">
      <alignment horizontal="center"/>
    </xf>
    <xf numFmtId="0" fontId="0" fillId="0" borderId="1" xfId="0" applyBorder="1"/>
    <xf numFmtId="0" fontId="22" fillId="0" borderId="2" xfId="0" applyFont="1" applyBorder="1"/>
    <xf numFmtId="3" fontId="0" fillId="0" borderId="3" xfId="0" applyNumberFormat="1" applyBorder="1" applyAlignment="1">
      <alignment horizontal="center"/>
    </xf>
    <xf numFmtId="3" fontId="0" fillId="13" borderId="1" xfId="0" applyNumberFormat="1" applyFill="1" applyBorder="1" applyAlignment="1">
      <alignment horizontal="center"/>
    </xf>
    <xf numFmtId="3" fontId="0" fillId="13" borderId="3" xfId="0" applyNumberFormat="1" applyFill="1" applyBorder="1" applyAlignment="1">
      <alignment horizontal="center"/>
    </xf>
    <xf numFmtId="3" fontId="0" fillId="0" borderId="40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41" fontId="0" fillId="0" borderId="1" xfId="0" applyNumberFormat="1" applyBorder="1" applyAlignment="1">
      <alignment horizontal="center"/>
    </xf>
    <xf numFmtId="41" fontId="0" fillId="0" borderId="1" xfId="0" applyNumberFormat="1" applyBorder="1"/>
    <xf numFmtId="0" fontId="22" fillId="14" borderId="2" xfId="0" applyFont="1" applyFill="1" applyBorder="1"/>
    <xf numFmtId="0" fontId="0" fillId="14" borderId="9" xfId="0" applyFill="1" applyBorder="1"/>
    <xf numFmtId="3" fontId="0" fillId="14" borderId="2" xfId="0" applyNumberFormat="1" applyFill="1" applyBorder="1" applyAlignment="1">
      <alignment horizontal="center"/>
    </xf>
    <xf numFmtId="3" fontId="0" fillId="14" borderId="1" xfId="0" applyNumberFormat="1" applyFill="1" applyBorder="1" applyAlignment="1">
      <alignment horizontal="center"/>
    </xf>
    <xf numFmtId="3" fontId="0" fillId="14" borderId="3" xfId="0" applyNumberFormat="1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5" borderId="3" xfId="0" applyFill="1" applyBorder="1" applyAlignment="1">
      <alignment horizontal="center"/>
    </xf>
    <xf numFmtId="3" fontId="0" fillId="14" borderId="11" xfId="0" applyNumberFormat="1" applyFill="1" applyBorder="1" applyAlignment="1">
      <alignment horizontal="center"/>
    </xf>
    <xf numFmtId="0" fontId="0" fillId="14" borderId="41" xfId="0" applyFill="1" applyBorder="1" applyAlignment="1">
      <alignment horizontal="center"/>
    </xf>
    <xf numFmtId="0" fontId="22" fillId="0" borderId="42" xfId="0" applyFont="1" applyBorder="1"/>
    <xf numFmtId="0" fontId="22" fillId="0" borderId="13" xfId="0" applyFont="1" applyBorder="1"/>
    <xf numFmtId="3" fontId="22" fillId="0" borderId="42" xfId="0" applyNumberFormat="1" applyFont="1" applyBorder="1" applyAlignment="1">
      <alignment horizontal="center"/>
    </xf>
    <xf numFmtId="3" fontId="22" fillId="0" borderId="19" xfId="0" applyNumberFormat="1" applyFont="1" applyBorder="1" applyAlignment="1">
      <alignment horizontal="center"/>
    </xf>
    <xf numFmtId="3" fontId="22" fillId="0" borderId="43" xfId="0" applyNumberFormat="1" applyFont="1" applyBorder="1" applyAlignment="1">
      <alignment horizontal="center"/>
    </xf>
    <xf numFmtId="3" fontId="22" fillId="13" borderId="19" xfId="0" applyNumberFormat="1" applyFont="1" applyFill="1" applyBorder="1" applyAlignment="1">
      <alignment horizontal="center"/>
    </xf>
    <xf numFmtId="3" fontId="22" fillId="13" borderId="43" xfId="0" applyNumberFormat="1" applyFont="1" applyFill="1" applyBorder="1" applyAlignment="1">
      <alignment horizontal="center"/>
    </xf>
    <xf numFmtId="3" fontId="22" fillId="0" borderId="44" xfId="0" applyNumberFormat="1" applyFont="1" applyBorder="1" applyAlignment="1">
      <alignment horizontal="center"/>
    </xf>
    <xf numFmtId="3" fontId="22" fillId="0" borderId="45" xfId="0" applyNumberFormat="1" applyFont="1" applyBorder="1" applyAlignment="1">
      <alignment horizontal="center"/>
    </xf>
    <xf numFmtId="10" fontId="0" fillId="0" borderId="0" xfId="13" applyNumberFormat="1" applyFont="1"/>
    <xf numFmtId="0" fontId="0" fillId="11" borderId="26" xfId="0" applyFill="1" applyBorder="1"/>
    <xf numFmtId="3" fontId="0" fillId="11" borderId="26" xfId="0" applyNumberFormat="1" applyFill="1" applyBorder="1" applyAlignment="1">
      <alignment horizontal="center"/>
    </xf>
    <xf numFmtId="0" fontId="0" fillId="11" borderId="26" xfId="0" applyFill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14" borderId="9" xfId="0" applyNumberFormat="1" applyFill="1" applyBorder="1" applyAlignment="1">
      <alignment horizontal="center"/>
    </xf>
    <xf numFmtId="3" fontId="0" fillId="15" borderId="1" xfId="0" applyNumberFormat="1" applyFill="1" applyBorder="1" applyAlignment="1">
      <alignment horizontal="center"/>
    </xf>
    <xf numFmtId="0" fontId="22" fillId="0" borderId="4" xfId="0" applyFont="1" applyBorder="1"/>
    <xf numFmtId="0" fontId="0" fillId="0" borderId="46" xfId="0" applyBorder="1"/>
    <xf numFmtId="3" fontId="22" fillId="0" borderId="47" xfId="0" applyNumberFormat="1" applyFont="1" applyBorder="1" applyAlignment="1">
      <alignment horizontal="center"/>
    </xf>
    <xf numFmtId="3" fontId="22" fillId="0" borderId="5" xfId="0" applyNumberFormat="1" applyFont="1" applyBorder="1" applyAlignment="1">
      <alignment horizontal="center"/>
    </xf>
    <xf numFmtId="3" fontId="22" fillId="0" borderId="46" xfId="0" applyNumberFormat="1" applyFont="1" applyBorder="1" applyAlignment="1">
      <alignment horizontal="center"/>
    </xf>
    <xf numFmtId="3" fontId="22" fillId="0" borderId="4" xfId="0" applyNumberFormat="1" applyFont="1" applyBorder="1" applyAlignment="1">
      <alignment horizontal="center"/>
    </xf>
    <xf numFmtId="3" fontId="22" fillId="13" borderId="5" xfId="0" applyNumberFormat="1" applyFont="1" applyFill="1" applyBorder="1" applyAlignment="1">
      <alignment horizontal="center"/>
    </xf>
    <xf numFmtId="3" fontId="22" fillId="13" borderId="6" xfId="0" applyNumberFormat="1" applyFont="1" applyFill="1" applyBorder="1" applyAlignment="1">
      <alignment horizontal="center"/>
    </xf>
    <xf numFmtId="3" fontId="0" fillId="15" borderId="3" xfId="0" applyNumberFormat="1" applyFill="1" applyBorder="1" applyAlignment="1">
      <alignment horizontal="center"/>
    </xf>
    <xf numFmtId="0" fontId="22" fillId="0" borderId="46" xfId="0" applyFont="1" applyBorder="1"/>
    <xf numFmtId="3" fontId="22" fillId="0" borderId="6" xfId="0" applyNumberFormat="1" applyFont="1" applyBorder="1" applyAlignment="1">
      <alignment horizontal="center"/>
    </xf>
    <xf numFmtId="0" fontId="22" fillId="0" borderId="48" xfId="0" applyFont="1" applyBorder="1"/>
    <xf numFmtId="3" fontId="22" fillId="0" borderId="48" xfId="0" applyNumberFormat="1" applyFont="1" applyBorder="1" applyAlignment="1">
      <alignment horizontal="center"/>
    </xf>
    <xf numFmtId="3" fontId="22" fillId="0" borderId="25" xfId="0" applyNumberFormat="1" applyFont="1" applyBorder="1" applyAlignment="1">
      <alignment horizontal="center"/>
    </xf>
    <xf numFmtId="41" fontId="22" fillId="0" borderId="1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165" fontId="22" fillId="5" borderId="48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11" fillId="8" borderId="10" xfId="11" applyFont="1" applyFill="1" applyBorder="1" applyAlignment="1">
      <alignment horizontal="center" vertical="center"/>
    </xf>
    <xf numFmtId="0" fontId="11" fillId="8" borderId="1" xfId="11" applyFont="1" applyFill="1" applyBorder="1" applyAlignment="1">
      <alignment horizontal="center" vertical="center" wrapText="1"/>
    </xf>
    <xf numFmtId="170" fontId="14" fillId="6" borderId="1" xfId="0" applyNumberFormat="1" applyFont="1" applyFill="1" applyBorder="1" applyAlignment="1">
      <alignment horizontal="center" vertical="center"/>
    </xf>
    <xf numFmtId="37" fontId="14" fillId="6" borderId="1" xfId="0" applyNumberFormat="1" applyFont="1" applyFill="1" applyBorder="1" applyAlignment="1">
      <alignment horizontal="center" vertical="center"/>
    </xf>
    <xf numFmtId="175" fontId="14" fillId="0" borderId="1" xfId="0" applyNumberFormat="1" applyFont="1" applyFill="1" applyBorder="1" applyAlignment="1">
      <alignment horizontal="right" vertical="center" indent="2"/>
    </xf>
    <xf numFmtId="175" fontId="11" fillId="0" borderId="1" xfId="0" applyNumberFormat="1" applyFont="1" applyFill="1" applyBorder="1" applyAlignment="1">
      <alignment horizontal="right" vertical="center" indent="2"/>
    </xf>
    <xf numFmtId="176" fontId="14" fillId="0" borderId="1" xfId="0" applyNumberFormat="1" applyFont="1" applyFill="1" applyBorder="1" applyAlignment="1">
      <alignment horizontal="right" vertical="center" indent="2"/>
    </xf>
    <xf numFmtId="176" fontId="11" fillId="0" borderId="1" xfId="0" applyNumberFormat="1" applyFont="1" applyFill="1" applyBorder="1" applyAlignment="1">
      <alignment horizontal="right" vertical="center" indent="2"/>
    </xf>
    <xf numFmtId="0" fontId="11" fillId="8" borderId="22" xfId="11" applyFont="1" applyFill="1" applyBorder="1" applyAlignment="1">
      <alignment horizontal="center" vertical="center"/>
    </xf>
    <xf numFmtId="3" fontId="11" fillId="8" borderId="22" xfId="11" applyNumberFormat="1" applyFont="1" applyFill="1" applyBorder="1" applyAlignment="1">
      <alignment horizontal="center" vertical="center" wrapText="1"/>
    </xf>
    <xf numFmtId="170" fontId="2" fillId="6" borderId="1" xfId="0" applyNumberFormat="1" applyFont="1" applyFill="1" applyBorder="1" applyAlignment="1">
      <alignment horizontal="center" vertical="center"/>
    </xf>
    <xf numFmtId="172" fontId="12" fillId="6" borderId="1" xfId="0" applyNumberFormat="1" applyFont="1" applyFill="1" applyBorder="1" applyAlignment="1">
      <alignment horizontal="center"/>
    </xf>
    <xf numFmtId="170" fontId="14" fillId="6" borderId="1" xfId="10" applyNumberFormat="1" applyFont="1" applyFill="1" applyBorder="1" applyAlignment="1">
      <alignment horizontal="center" vertical="center"/>
    </xf>
    <xf numFmtId="3" fontId="14" fillId="6" borderId="1" xfId="10" applyNumberFormat="1" applyFont="1" applyFill="1" applyBorder="1" applyAlignment="1">
      <alignment horizontal="center" vertical="center"/>
    </xf>
    <xf numFmtId="170" fontId="14" fillId="6" borderId="1" xfId="0" applyNumberFormat="1" applyFont="1" applyFill="1" applyBorder="1" applyAlignment="1">
      <alignment horizontal="right" vertical="center" indent="2"/>
    </xf>
    <xf numFmtId="0" fontId="11" fillId="0" borderId="1" xfId="0" applyFont="1" applyFill="1" applyBorder="1" applyAlignment="1">
      <alignment horizontal="right" vertical="center" indent="2"/>
    </xf>
    <xf numFmtId="170" fontId="14" fillId="0" borderId="1" xfId="10" applyNumberFormat="1" applyFont="1" applyFill="1" applyBorder="1" applyAlignment="1">
      <alignment horizontal="right" vertical="center" indent="2"/>
    </xf>
    <xf numFmtId="170" fontId="11" fillId="0" borderId="1" xfId="10" applyNumberFormat="1" applyFont="1" applyFill="1" applyBorder="1" applyAlignment="1">
      <alignment horizontal="right" vertical="center" indent="2"/>
    </xf>
    <xf numFmtId="3" fontId="14" fillId="6" borderId="1" xfId="0" applyNumberFormat="1" applyFont="1" applyFill="1" applyBorder="1" applyAlignment="1">
      <alignment horizontal="center" vertical="center"/>
    </xf>
    <xf numFmtId="176" fontId="14" fillId="0" borderId="11" xfId="0" applyNumberFormat="1" applyFont="1" applyFill="1" applyBorder="1" applyAlignment="1">
      <alignment horizontal="right" vertical="center" indent="2"/>
    </xf>
    <xf numFmtId="176" fontId="11" fillId="0" borderId="0" xfId="0" applyNumberFormat="1" applyFont="1" applyFill="1" applyBorder="1" applyAlignment="1">
      <alignment horizontal="right" vertical="center" indent="2"/>
    </xf>
    <xf numFmtId="0" fontId="12" fillId="0" borderId="11" xfId="0" applyFont="1" applyBorder="1" applyAlignment="1">
      <alignment horizontal="right" indent="2"/>
    </xf>
    <xf numFmtId="176" fontId="11" fillId="0" borderId="11" xfId="0" applyNumberFormat="1" applyFont="1" applyFill="1" applyBorder="1" applyAlignment="1">
      <alignment horizontal="right" vertical="center" indent="2"/>
    </xf>
    <xf numFmtId="0" fontId="12" fillId="6" borderId="9" xfId="0" applyFont="1" applyFill="1" applyBorder="1" applyAlignment="1">
      <alignment horizontal="left" vertical="center" indent="1"/>
    </xf>
    <xf numFmtId="0" fontId="11" fillId="6" borderId="10" xfId="0" applyFont="1" applyFill="1" applyBorder="1" applyAlignment="1">
      <alignment horizontal="left" vertical="center" indent="1"/>
    </xf>
    <xf numFmtId="0" fontId="11" fillId="6" borderId="10" xfId="0" applyFont="1" applyFill="1" applyBorder="1" applyAlignment="1">
      <alignment horizontal="left" vertical="center"/>
    </xf>
    <xf numFmtId="0" fontId="14" fillId="6" borderId="1" xfId="0" applyFont="1" applyFill="1" applyBorder="1" applyAlignment="1">
      <alignment horizontal="left" vertical="center" indent="1"/>
    </xf>
    <xf numFmtId="0" fontId="11" fillId="6" borderId="1" xfId="0" applyFont="1" applyFill="1" applyBorder="1" applyAlignment="1">
      <alignment horizontal="left" vertical="center" indent="1"/>
    </xf>
    <xf numFmtId="0" fontId="11" fillId="6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right" indent="2"/>
    </xf>
    <xf numFmtId="0" fontId="11" fillId="0" borderId="10" xfId="0" applyFont="1" applyFill="1" applyBorder="1" applyAlignment="1">
      <alignment horizontal="right" vertical="center" indent="1"/>
    </xf>
    <xf numFmtId="0" fontId="6" fillId="0" borderId="0" xfId="0" applyFont="1" applyAlignment="1">
      <alignment horizontal="center"/>
    </xf>
    <xf numFmtId="0" fontId="11" fillId="0" borderId="9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/>
    </xf>
    <xf numFmtId="0" fontId="11" fillId="8" borderId="10" xfId="1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1" fillId="8" borderId="20" xfId="11" applyFont="1" applyFill="1" applyBorder="1" applyAlignment="1">
      <alignment horizontal="center" vertical="center"/>
    </xf>
    <xf numFmtId="0" fontId="11" fillId="8" borderId="22" xfId="11" applyFont="1" applyFill="1" applyBorder="1" applyAlignment="1">
      <alignment horizontal="center" vertical="center"/>
    </xf>
    <xf numFmtId="0" fontId="11" fillId="8" borderId="22" xfId="11" applyFont="1" applyFill="1" applyBorder="1" applyAlignment="1">
      <alignment horizontal="left" vertical="center"/>
    </xf>
    <xf numFmtId="0" fontId="11" fillId="8" borderId="22" xfId="1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right" vertical="center" wrapText="1" indent="2"/>
    </xf>
    <xf numFmtId="176" fontId="11" fillId="0" borderId="1" xfId="0" applyNumberFormat="1" applyFont="1" applyFill="1" applyBorder="1" applyAlignment="1">
      <alignment horizontal="right" vertical="center" wrapText="1" indent="2"/>
    </xf>
    <xf numFmtId="165" fontId="12" fillId="0" borderId="1" xfId="13" applyNumberFormat="1" applyFont="1" applyBorder="1" applyAlignment="1">
      <alignment horizontal="right" indent="2"/>
    </xf>
    <xf numFmtId="0" fontId="11" fillId="8" borderId="9" xfId="11" applyFont="1" applyFill="1" applyBorder="1" applyAlignment="1">
      <alignment vertical="center"/>
    </xf>
    <xf numFmtId="0" fontId="11" fillId="8" borderId="11" xfId="11" applyFont="1" applyFill="1" applyBorder="1" applyAlignment="1">
      <alignment vertical="center"/>
    </xf>
    <xf numFmtId="0" fontId="11" fillId="8" borderId="1" xfId="11" applyFont="1" applyFill="1" applyBorder="1" applyAlignment="1">
      <alignment horizontal="center" vertical="center"/>
    </xf>
    <xf numFmtId="0" fontId="11" fillId="8" borderId="1" xfId="11" applyNumberFormat="1" applyFont="1" applyFill="1" applyBorder="1" applyAlignment="1">
      <alignment horizontal="center" vertical="center" wrapText="1"/>
    </xf>
    <xf numFmtId="3" fontId="11" fillId="8" borderId="1" xfId="1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23" fillId="0" borderId="1" xfId="0" applyFont="1" applyBorder="1"/>
    <xf numFmtId="0" fontId="23" fillId="0" borderId="19" xfId="0" applyFont="1" applyBorder="1"/>
    <xf numFmtId="3" fontId="4" fillId="0" borderId="0" xfId="0" applyNumberFormat="1" applyFont="1" applyAlignment="1">
      <alignment horizontal="center" vertical="center" wrapText="1"/>
    </xf>
    <xf numFmtId="3" fontId="0" fillId="0" borderId="1" xfId="0" applyNumberFormat="1" applyBorder="1" applyAlignment="1">
      <alignment horizontal="left" indent="1"/>
    </xf>
    <xf numFmtId="3" fontId="4" fillId="0" borderId="1" xfId="0" applyNumberFormat="1" applyFont="1" applyBorder="1" applyAlignment="1">
      <alignment horizontal="left" indent="1"/>
    </xf>
    <xf numFmtId="0" fontId="6" fillId="0" borderId="1" xfId="0" applyFont="1" applyBorder="1" applyAlignment="1">
      <alignment horizontal="left"/>
    </xf>
    <xf numFmtId="3" fontId="14" fillId="0" borderId="0" xfId="0" applyNumberFormat="1" applyFont="1" applyFill="1" applyBorder="1" applyAlignment="1">
      <alignment horizontal="center" vertical="center" wrapText="1"/>
    </xf>
    <xf numFmtId="0" fontId="2" fillId="0" borderId="0" xfId="1" applyNumberFormat="1" applyFont="1" applyFill="1" applyBorder="1" applyAlignment="1">
      <alignment horizontal="center" vertical="center" wrapText="1"/>
    </xf>
    <xf numFmtId="179" fontId="14" fillId="0" borderId="0" xfId="0" applyNumberFormat="1" applyFont="1" applyFill="1" applyBorder="1" applyAlignment="1">
      <alignment horizontal="center" vertical="center" wrapText="1"/>
    </xf>
    <xf numFmtId="179" fontId="11" fillId="0" borderId="0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3" fontId="4" fillId="6" borderId="1" xfId="0" applyNumberFormat="1" applyFont="1" applyFill="1" applyBorder="1" applyAlignment="1">
      <alignment horizontal="left" indent="1"/>
    </xf>
    <xf numFmtId="37" fontId="0" fillId="6" borderId="1" xfId="0" applyNumberFormat="1" applyFill="1" applyBorder="1"/>
    <xf numFmtId="182" fontId="0" fillId="6" borderId="1" xfId="0" applyNumberFormat="1" applyFill="1" applyBorder="1" applyAlignment="1">
      <alignment horizontal="center"/>
    </xf>
    <xf numFmtId="181" fontId="0" fillId="6" borderId="1" xfId="0" applyNumberFormat="1" applyFill="1" applyBorder="1"/>
    <xf numFmtId="5" fontId="0" fillId="6" borderId="1" xfId="0" applyNumberFormat="1" applyFill="1" applyBorder="1"/>
    <xf numFmtId="3" fontId="14" fillId="0" borderId="1" xfId="0" applyNumberFormat="1" applyFont="1" applyFill="1" applyBorder="1" applyAlignment="1">
      <alignment horizontal="right" vertical="center" wrapText="1" indent="2"/>
    </xf>
    <xf numFmtId="3" fontId="14" fillId="0" borderId="1" xfId="0" applyNumberFormat="1" applyFont="1" applyFill="1" applyBorder="1" applyAlignment="1">
      <alignment horizontal="right" vertical="center" wrapText="1" indent="1"/>
    </xf>
    <xf numFmtId="165" fontId="0" fillId="0" borderId="1" xfId="0" applyNumberFormat="1" applyFill="1" applyBorder="1" applyAlignment="1">
      <alignment horizontal="right" indent="2"/>
    </xf>
    <xf numFmtId="165" fontId="0" fillId="0" borderId="1" xfId="0" applyNumberFormat="1" applyBorder="1" applyAlignment="1">
      <alignment horizontal="right" indent="2"/>
    </xf>
    <xf numFmtId="0" fontId="4" fillId="0" borderId="1" xfId="0" applyFont="1" applyBorder="1" applyAlignment="1">
      <alignment horizontal="center" wrapText="1"/>
    </xf>
    <xf numFmtId="3" fontId="1" fillId="0" borderId="1" xfId="0" applyNumberFormat="1" applyFont="1" applyFill="1" applyBorder="1" applyAlignment="1">
      <alignment horizontal="right" indent="1"/>
    </xf>
    <xf numFmtId="170" fontId="1" fillId="0" borderId="1" xfId="0" applyNumberFormat="1" applyFont="1" applyFill="1" applyBorder="1" applyAlignment="1">
      <alignment horizontal="right" vertical="center" wrapText="1" indent="1"/>
    </xf>
    <xf numFmtId="0" fontId="1" fillId="0" borderId="1" xfId="0" applyFont="1" applyFill="1" applyBorder="1" applyAlignment="1">
      <alignment horizontal="right" indent="1"/>
    </xf>
    <xf numFmtId="170" fontId="2" fillId="0" borderId="1" xfId="0" applyNumberFormat="1" applyFont="1" applyFill="1" applyBorder="1" applyAlignment="1">
      <alignment horizontal="right" vertical="center" wrapText="1" indent="1"/>
    </xf>
    <xf numFmtId="0" fontId="11" fillId="0" borderId="11" xfId="0" applyFont="1" applyFill="1" applyBorder="1" applyAlignment="1">
      <alignment horizontal="right" vertical="center" indent="1"/>
    </xf>
    <xf numFmtId="175" fontId="2" fillId="0" borderId="1" xfId="0" applyNumberFormat="1" applyFont="1" applyFill="1" applyBorder="1" applyAlignment="1">
      <alignment horizontal="right" vertical="center" wrapText="1" indent="1"/>
    </xf>
    <xf numFmtId="178" fontId="2" fillId="0" borderId="1" xfId="0" applyNumberFormat="1" applyFont="1" applyFill="1" applyBorder="1" applyAlignment="1">
      <alignment horizontal="right" vertical="center" wrapText="1" indent="1"/>
    </xf>
    <xf numFmtId="3" fontId="1" fillId="0" borderId="1" xfId="0" applyNumberFormat="1" applyFont="1" applyFill="1" applyBorder="1" applyAlignment="1">
      <alignment horizontal="right" vertical="center" wrapText="1" indent="1"/>
    </xf>
    <xf numFmtId="177" fontId="14" fillId="0" borderId="1" xfId="0" applyNumberFormat="1" applyFont="1" applyFill="1" applyBorder="1" applyAlignment="1">
      <alignment horizontal="right" vertical="center" indent="2"/>
    </xf>
    <xf numFmtId="177" fontId="11" fillId="0" borderId="1" xfId="0" applyNumberFormat="1" applyFont="1" applyFill="1" applyBorder="1" applyAlignment="1">
      <alignment horizontal="right" vertical="center" indent="2"/>
    </xf>
    <xf numFmtId="0" fontId="6" fillId="0" borderId="0" xfId="0" applyFont="1" applyAlignment="1">
      <alignment horizontal="left"/>
    </xf>
    <xf numFmtId="165" fontId="0" fillId="0" borderId="2" xfId="0" applyNumberFormat="1" applyFill="1" applyBorder="1" applyAlignment="1">
      <alignment horizontal="right" indent="1"/>
    </xf>
    <xf numFmtId="165" fontId="0" fillId="0" borderId="1" xfId="0" applyNumberFormat="1" applyFill="1" applyBorder="1" applyAlignment="1">
      <alignment horizontal="right" indent="1"/>
    </xf>
    <xf numFmtId="165" fontId="0" fillId="0" borderId="3" xfId="0" applyNumberFormat="1" applyBorder="1" applyAlignment="1">
      <alignment horizontal="right" indent="1"/>
    </xf>
    <xf numFmtId="165" fontId="0" fillId="0" borderId="2" xfId="0" applyNumberFormat="1" applyBorder="1" applyAlignment="1">
      <alignment horizontal="right" indent="1"/>
    </xf>
    <xf numFmtId="165" fontId="0" fillId="0" borderId="1" xfId="0" applyNumberFormat="1" applyBorder="1" applyAlignment="1">
      <alignment horizontal="right" indent="1"/>
    </xf>
    <xf numFmtId="41" fontId="0" fillId="7" borderId="2" xfId="0" applyNumberFormat="1" applyFill="1" applyBorder="1" applyAlignment="1">
      <alignment horizontal="center"/>
    </xf>
    <xf numFmtId="41" fontId="0" fillId="7" borderId="1" xfId="0" applyNumberFormat="1" applyFill="1" applyBorder="1" applyAlignment="1">
      <alignment horizontal="center"/>
    </xf>
    <xf numFmtId="41" fontId="0" fillId="0" borderId="3" xfId="0" applyNumberFormat="1" applyBorder="1"/>
    <xf numFmtId="41" fontId="0" fillId="0" borderId="2" xfId="0" applyNumberFormat="1" applyBorder="1" applyAlignment="1">
      <alignment horizontal="center"/>
    </xf>
    <xf numFmtId="41" fontId="0" fillId="0" borderId="4" xfId="0" applyNumberFormat="1" applyBorder="1" applyAlignment="1">
      <alignment horizontal="center"/>
    </xf>
    <xf numFmtId="41" fontId="0" fillId="0" borderId="5" xfId="0" applyNumberFormat="1" applyBorder="1" applyAlignment="1">
      <alignment horizontal="center"/>
    </xf>
    <xf numFmtId="41" fontId="0" fillId="0" borderId="6" xfId="0" applyNumberFormat="1" applyBorder="1" applyAlignment="1">
      <alignment horizontal="center"/>
    </xf>
    <xf numFmtId="166" fontId="0" fillId="0" borderId="0" xfId="0" applyNumberFormat="1" applyFill="1" applyAlignment="1">
      <alignment horizontal="right" indent="1"/>
    </xf>
    <xf numFmtId="166" fontId="0" fillId="0" borderId="0" xfId="0" applyNumberFormat="1" applyAlignment="1">
      <alignment horizontal="right" indent="1"/>
    </xf>
    <xf numFmtId="3" fontId="0" fillId="0" borderId="0" xfId="0" applyNumberFormat="1" applyAlignment="1">
      <alignment horizontal="right" indent="1"/>
    </xf>
    <xf numFmtId="166" fontId="0" fillId="5" borderId="0" xfId="0" applyNumberFormat="1" applyFill="1" applyAlignment="1">
      <alignment horizontal="right" indent="1"/>
    </xf>
    <xf numFmtId="3" fontId="14" fillId="0" borderId="1" xfId="10" applyNumberFormat="1" applyFont="1" applyFill="1" applyBorder="1" applyAlignment="1">
      <alignment horizontal="right" vertical="center" indent="2"/>
    </xf>
    <xf numFmtId="3" fontId="11" fillId="0" borderId="1" xfId="10" applyNumberFormat="1" applyFont="1" applyFill="1" applyBorder="1" applyAlignment="1">
      <alignment horizontal="right" vertical="center" indent="2"/>
    </xf>
    <xf numFmtId="0" fontId="6" fillId="0" borderId="0" xfId="0" applyFont="1" applyFill="1"/>
    <xf numFmtId="3" fontId="6" fillId="0" borderId="0" xfId="0" applyNumberFormat="1" applyFont="1" applyFill="1"/>
    <xf numFmtId="41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10" fontId="4" fillId="0" borderId="27" xfId="13" applyNumberFormat="1" applyFont="1" applyBorder="1" applyAlignment="1">
      <alignment horizontal="center"/>
    </xf>
    <xf numFmtId="0" fontId="0" fillId="0" borderId="0" xfId="0" applyAlignment="1">
      <alignment horizontal="center"/>
    </xf>
    <xf numFmtId="3" fontId="0" fillId="11" borderId="0" xfId="0" applyNumberFormat="1" applyFill="1" applyAlignment="1">
      <alignment horizontal="center"/>
    </xf>
    <xf numFmtId="3" fontId="0" fillId="0" borderId="1" xfId="0" applyNumberForma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3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10" fontId="4" fillId="0" borderId="25" xfId="13" applyNumberFormat="1" applyFont="1" applyBorder="1" applyAlignment="1">
      <alignment horizontal="left"/>
    </xf>
    <xf numFmtId="10" fontId="4" fillId="0" borderId="26" xfId="13" applyNumberFormat="1" applyFont="1" applyBorder="1" applyAlignment="1">
      <alignment horizontal="left"/>
    </xf>
    <xf numFmtId="166" fontId="4" fillId="0" borderId="25" xfId="0" applyNumberFormat="1" applyFont="1" applyBorder="1" applyAlignment="1">
      <alignment horizontal="left"/>
    </xf>
    <xf numFmtId="166" fontId="4" fillId="0" borderId="26" xfId="0" applyNumberFormat="1" applyFont="1" applyBorder="1" applyAlignment="1">
      <alignment horizontal="left"/>
    </xf>
    <xf numFmtId="166" fontId="4" fillId="0" borderId="27" xfId="0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3" fontId="4" fillId="0" borderId="25" xfId="0" applyNumberFormat="1" applyFon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6" fillId="0" borderId="0" xfId="0" applyNumberFormat="1" applyFont="1" applyBorder="1" applyAlignment="1">
      <alignment horizontal="left"/>
    </xf>
    <xf numFmtId="3" fontId="4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3" fontId="0" fillId="5" borderId="1" xfId="0" applyNumberFormat="1" applyFill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0" borderId="21" xfId="0" applyNumberFormat="1" applyFont="1" applyBorder="1" applyAlignment="1">
      <alignment horizontal="center"/>
    </xf>
    <xf numFmtId="0" fontId="6" fillId="0" borderId="20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12" xfId="0" applyNumberFormat="1" applyFont="1" applyBorder="1" applyAlignment="1">
      <alignment horizontal="center"/>
    </xf>
    <xf numFmtId="0" fontId="6" fillId="0" borderId="19" xfId="0" applyNumberFormat="1" applyFont="1" applyBorder="1" applyAlignment="1">
      <alignment horizontal="center" wrapText="1"/>
    </xf>
    <xf numFmtId="0" fontId="6" fillId="0" borderId="18" xfId="0" applyNumberFormat="1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6" fillId="0" borderId="13" xfId="0" applyNumberFormat="1" applyFont="1" applyBorder="1" applyAlignment="1">
      <alignment horizontal="center"/>
    </xf>
    <xf numFmtId="0" fontId="6" fillId="0" borderId="14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22" fillId="0" borderId="48" xfId="0" applyFont="1" applyBorder="1" applyAlignment="1"/>
    <xf numFmtId="0" fontId="20" fillId="10" borderId="31" xfId="0" applyFont="1" applyFill="1" applyBorder="1" applyAlignment="1">
      <alignment horizontal="center" vertical="center" wrapText="1"/>
    </xf>
    <xf numFmtId="0" fontId="21" fillId="10" borderId="35" xfId="0" applyFont="1" applyFill="1" applyBorder="1" applyAlignment="1">
      <alignment horizontal="center" vertical="center" wrapText="1"/>
    </xf>
    <xf numFmtId="0" fontId="20" fillId="12" borderId="25" xfId="0" applyFont="1" applyFill="1" applyBorder="1" applyAlignment="1"/>
    <xf numFmtId="0" fontId="21" fillId="0" borderId="26" xfId="0" applyFont="1" applyBorder="1" applyAlignment="1"/>
    <xf numFmtId="0" fontId="21" fillId="12" borderId="26" xfId="0" applyFont="1" applyFill="1" applyBorder="1" applyAlignment="1"/>
    <xf numFmtId="3" fontId="20" fillId="12" borderId="25" xfId="0" applyNumberFormat="1" applyFont="1" applyFill="1" applyBorder="1" applyAlignment="1"/>
    <xf numFmtId="0" fontId="22" fillId="12" borderId="25" xfId="0" applyFont="1" applyFill="1" applyBorder="1" applyAlignment="1"/>
    <xf numFmtId="0" fontId="0" fillId="12" borderId="26" xfId="0" applyFill="1" applyBorder="1" applyAlignment="1"/>
    <xf numFmtId="0" fontId="0" fillId="0" borderId="25" xfId="0" applyBorder="1" applyAlignment="1"/>
    <xf numFmtId="0" fontId="0" fillId="0" borderId="26" xfId="0" applyBorder="1" applyAlignment="1"/>
    <xf numFmtId="0" fontId="0" fillId="0" borderId="27" xfId="0" applyBorder="1" applyAlignment="1"/>
    <xf numFmtId="0" fontId="20" fillId="10" borderId="31" xfId="0" applyFont="1" applyFill="1" applyBorder="1" applyAlignment="1">
      <alignment horizontal="center" vertical="center"/>
    </xf>
    <xf numFmtId="0" fontId="21" fillId="10" borderId="35" xfId="0" applyFont="1" applyFill="1" applyBorder="1" applyAlignment="1">
      <alignment horizontal="center" vertical="center"/>
    </xf>
    <xf numFmtId="0" fontId="20" fillId="10" borderId="32" xfId="0" applyFont="1" applyFill="1" applyBorder="1" applyAlignment="1">
      <alignment horizontal="center" vertical="center"/>
    </xf>
    <xf numFmtId="0" fontId="21" fillId="10" borderId="33" xfId="0" applyFont="1" applyFill="1" applyBorder="1" applyAlignment="1">
      <alignment horizontal="center" vertical="center"/>
    </xf>
    <xf numFmtId="0" fontId="21" fillId="10" borderId="34" xfId="0" applyFont="1" applyFill="1" applyBorder="1" applyAlignment="1">
      <alignment horizontal="center" vertical="center"/>
    </xf>
    <xf numFmtId="0" fontId="21" fillId="10" borderId="28" xfId="0" applyFont="1" applyFill="1" applyBorder="1" applyAlignment="1">
      <alignment horizontal="center" vertical="center"/>
    </xf>
    <xf numFmtId="0" fontId="21" fillId="10" borderId="0" xfId="0" applyFont="1" applyFill="1" applyBorder="1" applyAlignment="1">
      <alignment horizontal="center" vertical="center"/>
    </xf>
    <xf numFmtId="0" fontId="21" fillId="10" borderId="36" xfId="0" applyFont="1" applyFill="1" applyBorder="1" applyAlignment="1">
      <alignment horizontal="center" vertical="center"/>
    </xf>
    <xf numFmtId="0" fontId="20" fillId="10" borderId="32" xfId="0" applyFont="1" applyFill="1" applyBorder="1" applyAlignment="1">
      <alignment horizontal="center" vertical="center" wrapText="1"/>
    </xf>
    <xf numFmtId="0" fontId="21" fillId="10" borderId="33" xfId="0" applyFont="1" applyFill="1" applyBorder="1" applyAlignment="1">
      <alignment horizontal="center" vertical="center" wrapText="1"/>
    </xf>
    <xf numFmtId="0" fontId="21" fillId="10" borderId="34" xfId="0" applyFont="1" applyFill="1" applyBorder="1" applyAlignment="1">
      <alignment horizontal="center" vertical="center" wrapText="1"/>
    </xf>
    <xf numFmtId="0" fontId="21" fillId="10" borderId="49" xfId="0" applyFont="1" applyFill="1" applyBorder="1" applyAlignment="1">
      <alignment horizontal="center" vertical="center" wrapText="1"/>
    </xf>
    <xf numFmtId="0" fontId="21" fillId="10" borderId="29" xfId="0" applyFont="1" applyFill="1" applyBorder="1" applyAlignment="1">
      <alignment horizontal="center" vertical="center" wrapText="1"/>
    </xf>
    <xf numFmtId="0" fontId="21" fillId="10" borderId="50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" xfId="0" applyFont="1" applyFill="1" applyBorder="1" applyAlignment="1">
      <alignment horizontal="left" vertical="center" inden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/>
    </xf>
    <xf numFmtId="0" fontId="11" fillId="8" borderId="9" xfId="11" applyFont="1" applyFill="1" applyBorder="1" applyAlignment="1">
      <alignment horizontal="center" vertical="center"/>
    </xf>
    <xf numFmtId="0" fontId="11" fillId="8" borderId="10" xfId="1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left" vertical="center" indent="1"/>
    </xf>
    <xf numFmtId="0" fontId="14" fillId="0" borderId="10" xfId="0" applyFont="1" applyFill="1" applyBorder="1" applyAlignment="1">
      <alignment horizontal="left" vertical="center" indent="1"/>
    </xf>
    <xf numFmtId="0" fontId="11" fillId="0" borderId="1" xfId="0" applyFont="1" applyFill="1" applyBorder="1" applyAlignment="1">
      <alignment horizontal="left" vertical="center" indent="1"/>
    </xf>
    <xf numFmtId="0" fontId="11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 indent="1"/>
    </xf>
    <xf numFmtId="0" fontId="11" fillId="0" borderId="10" xfId="0" applyFont="1" applyFill="1" applyBorder="1" applyAlignment="1">
      <alignment horizontal="left" vertical="center" indent="1"/>
    </xf>
    <xf numFmtId="0" fontId="11" fillId="8" borderId="11" xfId="1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11" fillId="0" borderId="1" xfId="1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1" fontId="14" fillId="0" borderId="13" xfId="0" applyNumberFormat="1" applyFont="1" applyFill="1" applyBorder="1" applyAlignment="1">
      <alignment horizontal="left" vertical="center" indent="1"/>
    </xf>
    <xf numFmtId="1" fontId="14" fillId="0" borderId="14" xfId="0" applyNumberFormat="1" applyFont="1" applyFill="1" applyBorder="1" applyAlignment="1">
      <alignment horizontal="left" vertical="center" indent="1"/>
    </xf>
    <xf numFmtId="1" fontId="14" fillId="0" borderId="23" xfId="0" applyNumberFormat="1" applyFont="1" applyFill="1" applyBorder="1" applyAlignment="1">
      <alignment horizontal="left" vertical="center" indent="1"/>
    </xf>
    <xf numFmtId="0" fontId="14" fillId="0" borderId="11" xfId="0" applyFont="1" applyFill="1" applyBorder="1" applyAlignment="1">
      <alignment horizontal="left" vertical="center" indent="1"/>
    </xf>
    <xf numFmtId="0" fontId="11" fillId="8" borderId="24" xfId="11" applyFont="1" applyFill="1" applyBorder="1" applyAlignment="1">
      <alignment horizontal="center" vertical="center"/>
    </xf>
    <xf numFmtId="0" fontId="11" fillId="8" borderId="20" xfId="11" applyFont="1" applyFill="1" applyBorder="1" applyAlignment="1">
      <alignment horizontal="center" vertical="center"/>
    </xf>
    <xf numFmtId="0" fontId="11" fillId="8" borderId="22" xfId="11" applyFont="1" applyFill="1" applyBorder="1" applyAlignment="1">
      <alignment horizontal="center" vertical="center"/>
    </xf>
    <xf numFmtId="0" fontId="11" fillId="8" borderId="1" xfId="1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 indent="1"/>
    </xf>
    <xf numFmtId="0" fontId="4" fillId="0" borderId="1" xfId="0" applyFont="1" applyBorder="1" applyAlignment="1">
      <alignment horizontal="center"/>
    </xf>
    <xf numFmtId="0" fontId="12" fillId="0" borderId="9" xfId="0" applyFont="1" applyFill="1" applyBorder="1" applyAlignment="1">
      <alignment horizontal="left" vertical="center" indent="1"/>
    </xf>
    <xf numFmtId="0" fontId="14" fillId="0" borderId="1" xfId="0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/>
    </xf>
    <xf numFmtId="0" fontId="14" fillId="0" borderId="9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/>
    </xf>
    <xf numFmtId="3" fontId="4" fillId="0" borderId="11" xfId="0" applyNumberFormat="1" applyFont="1" applyBorder="1" applyAlignment="1">
      <alignment horizontal="center"/>
    </xf>
    <xf numFmtId="1" fontId="14" fillId="0" borderId="1" xfId="0" applyNumberFormat="1" applyFont="1" applyFill="1" applyBorder="1" applyAlignment="1">
      <alignment horizontal="left" vertical="center" indent="1"/>
    </xf>
    <xf numFmtId="3" fontId="0" fillId="0" borderId="1" xfId="0" applyNumberForma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Fill="1" applyBorder="1" applyAlignment="1">
      <alignment wrapText="1"/>
    </xf>
  </cellXfs>
  <cellStyles count="14">
    <cellStyle name="Comma" xfId="1" builtinId="3"/>
    <cellStyle name="Comma 2" xfId="2"/>
    <cellStyle name="Comma 3" xfId="3"/>
    <cellStyle name="Comma_CDM monthly amounts" xfId="4"/>
    <cellStyle name="Comma0" xfId="5"/>
    <cellStyle name="Currency0" xfId="6"/>
    <cellStyle name="Date" xfId="7"/>
    <cellStyle name="Fixed" xfId="8"/>
    <cellStyle name="Normal" xfId="0" builtinId="0"/>
    <cellStyle name="Normal 2" xfId="9"/>
    <cellStyle name="Normal_OEB Trial Balance - Regulatory-July24-07" xfId="10"/>
    <cellStyle name="Normal_Sheet2" xfId="11"/>
    <cellStyle name="Note 2" xfId="12"/>
    <cellStyle name="Percent" xfId="13" builtinId="5"/>
  </cellStyles>
  <dxfs count="0"/>
  <tableStyles count="0" defaultTableStyle="TableStyleMedium9" defaultPivotStyle="PivotStyleLight16"/>
  <colors>
    <mruColors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1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/>
              <a:t>Actual vs. Predicted (GWh)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Summary!$A$70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numRef>
              <c:f>Summary!$B$69:$N$69</c:f>
              <c:numCache>
                <c:formatCode>General</c:formatCod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numCache>
            </c:numRef>
          </c:cat>
          <c:val>
            <c:numRef>
              <c:f>Summary!$B$70:$N$70</c:f>
              <c:numCache>
                <c:formatCode>#,##0</c:formatCode>
                <c:ptCount val="13"/>
                <c:pt idx="0">
                  <c:v>1917.2873059999999</c:v>
                </c:pt>
                <c:pt idx="1">
                  <c:v>1963.8665109999999</c:v>
                </c:pt>
                <c:pt idx="2">
                  <c:v>2036.9125200000001</c:v>
                </c:pt>
                <c:pt idx="3">
                  <c:v>2013.2033730000001</c:v>
                </c:pt>
                <c:pt idx="4">
                  <c:v>2009.748106</c:v>
                </c:pt>
                <c:pt idx="5">
                  <c:v>2086.3640945742</c:v>
                </c:pt>
                <c:pt idx="6">
                  <c:v>1983.6457103185001</c:v>
                </c:pt>
                <c:pt idx="7">
                  <c:v>1978.9901764429999</c:v>
                </c:pt>
                <c:pt idx="8">
                  <c:v>1939.0644042694</c:v>
                </c:pt>
                <c:pt idx="9">
                  <c:v>1837.1331214989998</c:v>
                </c:pt>
                <c:pt idx="10">
                  <c:v>1892.6335194493545</c:v>
                </c:pt>
                <c:pt idx="11">
                  <c:v>1895.1972325334652</c:v>
                </c:pt>
                <c:pt idx="12">
                  <c:v>1885.7381183156619</c:v>
                </c:pt>
              </c:numCache>
            </c:numRef>
          </c:val>
        </c:ser>
        <c:ser>
          <c:idx val="1"/>
          <c:order val="1"/>
          <c:tx>
            <c:strRef>
              <c:f>Summary!$A$71</c:f>
              <c:strCache>
                <c:ptCount val="1"/>
                <c:pt idx="0">
                  <c:v>Predicted</c:v>
                </c:pt>
              </c:strCache>
            </c:strRef>
          </c:tx>
          <c:invertIfNegative val="0"/>
          <c:cat>
            <c:numRef>
              <c:f>Summary!$B$69:$N$69</c:f>
              <c:numCache>
                <c:formatCode>General</c:formatCod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numCache>
            </c:numRef>
          </c:cat>
          <c:val>
            <c:numRef>
              <c:f>Summary!$B$71:$N$71</c:f>
              <c:numCache>
                <c:formatCode>#,##0</c:formatCode>
                <c:ptCount val="13"/>
                <c:pt idx="0">
                  <c:v>1917.2574335265592</c:v>
                </c:pt>
                <c:pt idx="1">
                  <c:v>1953.6410695566638</c:v>
                </c:pt>
                <c:pt idx="2">
                  <c:v>2001.0801729767593</c:v>
                </c:pt>
                <c:pt idx="3">
                  <c:v>1994.3850662226791</c:v>
                </c:pt>
                <c:pt idx="4">
                  <c:v>2002.4798822055197</c:v>
                </c:pt>
                <c:pt idx="5">
                  <c:v>2077.5782514867024</c:v>
                </c:pt>
                <c:pt idx="6">
                  <c:v>2011.4221243310665</c:v>
                </c:pt>
                <c:pt idx="7">
                  <c:v>1990.5979541714844</c:v>
                </c:pt>
                <c:pt idx="8">
                  <c:v>1963.2518616181324</c:v>
                </c:pt>
                <c:pt idx="9">
                  <c:v>1856.1745904812803</c:v>
                </c:pt>
                <c:pt idx="10">
                  <c:v>1889.6918551705751</c:v>
                </c:pt>
                <c:pt idx="11">
                  <c:v>1882.8410422231548</c:v>
                </c:pt>
                <c:pt idx="12">
                  <c:v>1867.9189017622916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22935936"/>
        <c:axId val="140894592"/>
      </c:barChart>
      <c:catAx>
        <c:axId val="122935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40894592"/>
        <c:crosses val="autoZero"/>
        <c:auto val="1"/>
        <c:lblAlgn val="ctr"/>
        <c:lblOffset val="100"/>
        <c:noMultiLvlLbl val="0"/>
      </c:catAx>
      <c:valAx>
        <c:axId val="14089459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29359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Lakeland\2013%20Rate%20Appl\Dummy%20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Lakeland\2013%20Rate%20Appl\Dummy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Norfolk\2011%20Rates\Evidence\Documents%20and%20Settings\dg\Desktop\Dummy%20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London\2013%20Rate%20Applicaiton\Interrogatories\Dummy%20Fil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Norfolk\2011%20Rates\Evidence\LDC%20FTY%20-%20LF\CostAllocat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DC%20FTY%20-%20LF\CostAlloc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/>
      <sheetData sheetId="2"/>
      <sheetData sheetId="3"/>
      <sheetData sheetId="4"/>
      <sheetData sheetId="5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/>
      <sheetData sheetId="2"/>
      <sheetData sheetId="3"/>
      <sheetData sheetId="4"/>
      <sheetData sheetId="5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75"/>
  <sheetViews>
    <sheetView zoomScaleNormal="100" zoomScalePageLayoutView="55" workbookViewId="0">
      <selection activeCell="D15" sqref="D15"/>
    </sheetView>
  </sheetViews>
  <sheetFormatPr defaultRowHeight="12.75" x14ac:dyDescent="0.2"/>
  <cols>
    <col min="1" max="1" width="32.85546875" customWidth="1"/>
    <col min="2" max="2" width="13.5703125" style="1" bestFit="1" customWidth="1"/>
    <col min="3" max="9" width="12.7109375" style="1" bestFit="1" customWidth="1"/>
    <col min="10" max="10" width="13.5703125" style="1" bestFit="1" customWidth="1"/>
    <col min="11" max="13" width="12.7109375" style="1" bestFit="1" customWidth="1"/>
    <col min="14" max="14" width="12.7109375" style="22" bestFit="1" customWidth="1"/>
    <col min="15" max="15" width="12.7109375" style="1" bestFit="1" customWidth="1"/>
    <col min="16" max="16" width="12.7109375" style="161" bestFit="1" customWidth="1"/>
    <col min="18" max="19" width="12.7109375" bestFit="1" customWidth="1"/>
  </cols>
  <sheetData>
    <row r="1" spans="1:19" ht="15.75" x14ac:dyDescent="0.25">
      <c r="A1" s="492" t="s">
        <v>274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492"/>
    </row>
    <row r="3" spans="1:19" ht="38.25" x14ac:dyDescent="0.2">
      <c r="B3" s="45" t="s">
        <v>28</v>
      </c>
      <c r="C3" s="45" t="s">
        <v>29</v>
      </c>
      <c r="D3" s="45" t="s">
        <v>30</v>
      </c>
      <c r="E3" s="45" t="s">
        <v>31</v>
      </c>
      <c r="F3" s="45" t="s">
        <v>32</v>
      </c>
      <c r="G3" s="45" t="s">
        <v>33</v>
      </c>
      <c r="H3" s="45" t="s">
        <v>34</v>
      </c>
      <c r="I3" s="45" t="s">
        <v>35</v>
      </c>
      <c r="J3" s="45" t="s">
        <v>43</v>
      </c>
      <c r="K3" s="45" t="s">
        <v>45</v>
      </c>
      <c r="L3" s="45" t="s">
        <v>50</v>
      </c>
      <c r="M3" s="45" t="s">
        <v>51</v>
      </c>
      <c r="N3" s="45" t="s">
        <v>149</v>
      </c>
      <c r="O3" s="45" t="s">
        <v>52</v>
      </c>
      <c r="P3" s="45" t="s">
        <v>150</v>
      </c>
    </row>
    <row r="4" spans="1:19" x14ac:dyDescent="0.2">
      <c r="A4" s="18" t="s">
        <v>38</v>
      </c>
      <c r="B4" s="28">
        <f>'Purchased Power Model '!E225</f>
        <v>1917287306</v>
      </c>
      <c r="C4" s="28">
        <f>'Purchased Power Model '!E226</f>
        <v>1963866511</v>
      </c>
      <c r="D4" s="5">
        <f>'Purchased Power Model '!E227</f>
        <v>2036912520</v>
      </c>
      <c r="E4" s="28">
        <f>'Purchased Power Model '!E228</f>
        <v>2013203373</v>
      </c>
      <c r="F4" s="28">
        <f>'Purchased Power Model '!E229</f>
        <v>2009748106</v>
      </c>
      <c r="G4" s="28">
        <f>'Purchased Power Model '!E230</f>
        <v>2086364094.5741999</v>
      </c>
      <c r="H4" s="28">
        <f>'Purchased Power Model '!E231</f>
        <v>1983645710.3185</v>
      </c>
      <c r="I4" s="28">
        <f>'Purchased Power Model '!E232</f>
        <v>1978990176.4429998</v>
      </c>
      <c r="J4" s="28">
        <f>'Purchased Power Model '!E233</f>
        <v>1939064404.2694001</v>
      </c>
      <c r="K4" s="28">
        <f>'Purchased Power Model '!E234</f>
        <v>1837133121.4989998</v>
      </c>
      <c r="L4" s="28">
        <f>'Purchased Power Model '!E235</f>
        <v>1892633519.4493544</v>
      </c>
      <c r="M4" s="28">
        <f>'Purchased Power Model '!E236</f>
        <v>1895197232.5334651</v>
      </c>
      <c r="N4" s="54">
        <f>'Purchased Power Model '!E237</f>
        <v>1885738118.3156619</v>
      </c>
    </row>
    <row r="5" spans="1:19" x14ac:dyDescent="0.2">
      <c r="A5" s="18" t="s">
        <v>39</v>
      </c>
      <c r="B5" s="28">
        <f>'Purchased Power Model '!K225</f>
        <v>1917257433.5265591</v>
      </c>
      <c r="C5" s="28">
        <f>'Purchased Power Model '!K226</f>
        <v>1953641069.5566638</v>
      </c>
      <c r="D5" s="28">
        <f>'Purchased Power Model '!K227</f>
        <v>2001080172.9767592</v>
      </c>
      <c r="E5" s="28">
        <f>'Purchased Power Model '!K228</f>
        <v>1994385066.2226791</v>
      </c>
      <c r="F5" s="28">
        <f>'Purchased Power Model '!K229</f>
        <v>2002479882.2055197</v>
      </c>
      <c r="G5" s="28">
        <f>'Purchased Power Model '!K230</f>
        <v>2077578251.4867024</v>
      </c>
      <c r="H5" s="28">
        <f>'Purchased Power Model '!K231</f>
        <v>2011422124.3310664</v>
      </c>
      <c r="I5" s="28">
        <f>'Purchased Power Model '!K232</f>
        <v>1990597954.1714845</v>
      </c>
      <c r="J5" s="28">
        <f>'Purchased Power Model '!K233</f>
        <v>1963251861.6181324</v>
      </c>
      <c r="K5" s="28">
        <f>'Purchased Power Model '!K234</f>
        <v>1856174590.4812803</v>
      </c>
      <c r="L5" s="28">
        <f>'Purchased Power Model '!K235</f>
        <v>1889691855.1705751</v>
      </c>
      <c r="M5" s="28">
        <f>'Purchased Power Model '!K236</f>
        <v>1882841042.2231548</v>
      </c>
      <c r="N5" s="54">
        <f>'Purchased Power Model '!K237</f>
        <v>1867918901.7622917</v>
      </c>
      <c r="O5" s="28">
        <f>'Purchased Power Model '!K238</f>
        <v>1906599024.8943377</v>
      </c>
      <c r="P5" s="28">
        <f>'Purchased Power Model '!K239-(O26-P26)</f>
        <v>1894888272.1082368</v>
      </c>
    </row>
    <row r="6" spans="1:19" x14ac:dyDescent="0.2">
      <c r="A6" s="18" t="s">
        <v>9</v>
      </c>
      <c r="B6" s="44">
        <f t="shared" ref="B6:N6" si="0">(B5-B4)/B4</f>
        <v>-1.558059313666866E-5</v>
      </c>
      <c r="C6" s="44">
        <f t="shared" si="0"/>
        <v>-5.2067904748421302E-3</v>
      </c>
      <c r="D6" s="44">
        <f t="shared" si="0"/>
        <v>-1.759150020995541E-2</v>
      </c>
      <c r="E6" s="44">
        <f t="shared" si="0"/>
        <v>-9.347444490557617E-3</v>
      </c>
      <c r="F6" s="44">
        <f t="shared" si="0"/>
        <v>-3.6164849578817436E-3</v>
      </c>
      <c r="G6" s="44">
        <f t="shared" si="0"/>
        <v>-4.2110785506450877E-3</v>
      </c>
      <c r="H6" s="44">
        <f t="shared" si="0"/>
        <v>1.4002709187472023E-2</v>
      </c>
      <c r="I6" s="44">
        <f t="shared" si="0"/>
        <v>5.8655054818656221E-3</v>
      </c>
      <c r="J6" s="44">
        <f t="shared" si="0"/>
        <v>1.2473777196609193E-2</v>
      </c>
      <c r="K6" s="44">
        <f t="shared" si="0"/>
        <v>1.0364773657090074E-2</v>
      </c>
      <c r="L6" s="44">
        <f t="shared" si="0"/>
        <v>-1.5542704113341078E-3</v>
      </c>
      <c r="M6" s="44">
        <f t="shared" si="0"/>
        <v>-6.5197384727038853E-3</v>
      </c>
      <c r="N6" s="44">
        <f t="shared" si="0"/>
        <v>-9.4494651088064818E-3</v>
      </c>
      <c r="O6" s="49"/>
      <c r="P6" s="49"/>
      <c r="Q6" s="50"/>
      <c r="R6" s="32"/>
      <c r="S6" s="32"/>
    </row>
    <row r="7" spans="1:19" x14ac:dyDescent="0.2">
      <c r="B7"/>
      <c r="C7"/>
      <c r="D7"/>
      <c r="E7"/>
      <c r="F7"/>
      <c r="G7"/>
      <c r="H7"/>
      <c r="I7"/>
      <c r="J7"/>
      <c r="K7"/>
      <c r="L7"/>
      <c r="M7"/>
      <c r="N7"/>
      <c r="O7"/>
      <c r="P7"/>
    </row>
    <row r="8" spans="1:19" x14ac:dyDescent="0.2">
      <c r="A8" s="481" t="s">
        <v>293</v>
      </c>
      <c r="B8" s="28">
        <f>'Rate Class Energy Model'!G10</f>
        <v>1825733379</v>
      </c>
      <c r="C8" s="28">
        <f>'Rate Class Energy Model'!G11</f>
        <v>1864957166</v>
      </c>
      <c r="D8" s="28">
        <f>'Rate Class Energy Model'!G12</f>
        <v>1966638125</v>
      </c>
      <c r="E8" s="28">
        <f>'Rate Class Energy Model'!G13</f>
        <v>1970383029.0000002</v>
      </c>
      <c r="F8" s="28">
        <f>'Rate Class Energy Model'!G14</f>
        <v>1947483902</v>
      </c>
      <c r="G8" s="28">
        <f>'Rate Class Energy Model'!G15</f>
        <v>2040872519</v>
      </c>
      <c r="H8" s="28">
        <f>'Rate Class Energy Model'!G16</f>
        <v>1917735012</v>
      </c>
      <c r="I8" s="28">
        <f>'Rate Class Energy Model'!G17</f>
        <v>1918190356</v>
      </c>
      <c r="J8" s="28">
        <f>'Rate Class Energy Model'!G18</f>
        <v>1877404166</v>
      </c>
      <c r="K8" s="28">
        <f>'Rate Class Energy Model'!G19</f>
        <v>1777401233</v>
      </c>
      <c r="L8" s="28">
        <f>'Rate Class Energy Model'!G20</f>
        <v>1829500492</v>
      </c>
      <c r="M8" s="28">
        <f>'Rate Class Energy Model'!G21</f>
        <v>1833881352</v>
      </c>
      <c r="N8" s="54">
        <f>'Rate Class Energy Model'!G22</f>
        <v>1825234090</v>
      </c>
      <c r="O8" s="54">
        <f>'Rate Class Energy Model'!R100</f>
        <v>1833775364.3420284</v>
      </c>
      <c r="P8" s="54">
        <f>+'Rate Class Energy Model'!R101</f>
        <v>1812076587.5036061</v>
      </c>
      <c r="Q8" s="50"/>
      <c r="R8" s="64"/>
      <c r="S8" s="64"/>
    </row>
    <row r="9" spans="1:19" x14ac:dyDescent="0.2">
      <c r="A9" s="18"/>
      <c r="B9" s="41"/>
      <c r="C9" s="41"/>
      <c r="D9" s="41"/>
      <c r="E9" s="41"/>
      <c r="F9" s="41"/>
      <c r="G9" s="41"/>
      <c r="H9" s="41"/>
      <c r="I9" s="41"/>
      <c r="K9" s="22"/>
      <c r="L9" s="22"/>
      <c r="M9" s="22"/>
    </row>
    <row r="10" spans="1:19" ht="15.75" x14ac:dyDescent="0.25">
      <c r="A10" s="43" t="s">
        <v>40</v>
      </c>
    </row>
    <row r="11" spans="1:19" x14ac:dyDescent="0.2">
      <c r="A11" s="42" t="str">
        <f>'Rate Class Energy Model'!K2</f>
        <v xml:space="preserve">Residential </v>
      </c>
    </row>
    <row r="12" spans="1:19" x14ac:dyDescent="0.2">
      <c r="A12" t="s">
        <v>25</v>
      </c>
      <c r="B12" s="5">
        <f>'Rate Class Customer Model'!B6</f>
        <v>63692</v>
      </c>
      <c r="C12" s="5">
        <f>'Rate Class Customer Model'!B7</f>
        <v>64284</v>
      </c>
      <c r="D12" s="5">
        <f>'Rate Class Customer Model'!B8</f>
        <v>65683</v>
      </c>
      <c r="E12" s="5">
        <f>'Rate Class Customer Model'!B9</f>
        <v>67527</v>
      </c>
      <c r="F12" s="5">
        <f>'Rate Class Customer Model'!B10</f>
        <v>69405</v>
      </c>
      <c r="G12" s="5">
        <f>'Rate Class Customer Model'!B11</f>
        <v>71490</v>
      </c>
      <c r="H12" s="5">
        <f>'Rate Class Customer Model'!B12</f>
        <v>72866</v>
      </c>
      <c r="I12" s="5">
        <f>'Rate Class Customer Model'!B13</f>
        <v>74392</v>
      </c>
      <c r="J12" s="5">
        <f>'Rate Class Customer Model'!B14</f>
        <v>75153.833333333328</v>
      </c>
      <c r="K12" s="5">
        <f>'Rate Class Customer Model'!B15</f>
        <v>76255.166666666672</v>
      </c>
      <c r="L12" s="5">
        <f>'Rate Class Customer Model'!B16</f>
        <v>77505.916666666672</v>
      </c>
      <c r="M12" s="5">
        <f>'Rate Class Customer Model'!B17</f>
        <v>78761</v>
      </c>
      <c r="N12" s="26">
        <f>'Rate Class Customer Model'!B18</f>
        <v>79997</v>
      </c>
      <c r="O12" s="5">
        <f>'Rate Class Customer Model'!B19</f>
        <v>81276.952000000005</v>
      </c>
      <c r="P12" s="5">
        <f>'Rate Class Customer Model'!B20</f>
        <v>82577.383232000007</v>
      </c>
    </row>
    <row r="13" spans="1:19" x14ac:dyDescent="0.2">
      <c r="A13" t="s">
        <v>26</v>
      </c>
      <c r="B13" s="5">
        <f>'Rate Class Energy Model'!K10</f>
        <v>561410965</v>
      </c>
      <c r="C13" s="5">
        <f>'Rate Class Energy Model'!K11</f>
        <v>540863420</v>
      </c>
      <c r="D13" s="5">
        <f>'Rate Class Energy Model'!K12</f>
        <v>609265500</v>
      </c>
      <c r="E13" s="5">
        <f>'Rate Class Energy Model'!K13</f>
        <v>610213276</v>
      </c>
      <c r="F13" s="5">
        <f>'Rate Class Energy Model'!K14</f>
        <v>593383986</v>
      </c>
      <c r="G13" s="5">
        <f>'Rate Class Energy Model'!K15</f>
        <v>640475237</v>
      </c>
      <c r="H13" s="5">
        <f>'Rate Class Energy Model'!K16</f>
        <v>624196150</v>
      </c>
      <c r="I13" s="5">
        <f>'Rate Class Energy Model'!K17</f>
        <v>639510859</v>
      </c>
      <c r="J13" s="5">
        <f>'Rate Class Energy Model'!K18</f>
        <v>638167356</v>
      </c>
      <c r="K13" s="5">
        <f>'Rate Class Energy Model'!K19</f>
        <v>626869704</v>
      </c>
      <c r="L13" s="5">
        <f>'Rate Class Energy Model'!K20</f>
        <v>650651967</v>
      </c>
      <c r="M13" s="5">
        <f>'Rate Class Energy Model'!K21</f>
        <v>647280211</v>
      </c>
      <c r="N13" s="26">
        <f>'Rate Class Energy Model'!K22</f>
        <v>644467300</v>
      </c>
      <c r="O13" s="5">
        <f>'Rate Class Energy Model'!L100</f>
        <v>652738629.43822634</v>
      </c>
      <c r="P13" s="5">
        <f>'Rate Class Energy Model'!L101</f>
        <v>661242417.42946696</v>
      </c>
    </row>
    <row r="14" spans="1:19" x14ac:dyDescent="0.2">
      <c r="J14" s="50"/>
      <c r="K14" s="22"/>
      <c r="L14" s="22"/>
      <c r="M14" s="22"/>
      <c r="O14" s="49"/>
      <c r="P14" s="49"/>
    </row>
    <row r="15" spans="1:19" x14ac:dyDescent="0.2">
      <c r="A15" s="42" t="str">
        <f>'Rate Class Energy Model'!L2</f>
        <v>General Service
&lt; 50 kW</v>
      </c>
    </row>
    <row r="16" spans="1:19" x14ac:dyDescent="0.2">
      <c r="A16" t="s">
        <v>25</v>
      </c>
      <c r="B16" s="5">
        <f>'Rate Class Customer Model'!C6</f>
        <v>6548</v>
      </c>
      <c r="C16" s="5">
        <f>'Rate Class Customer Model'!C7</f>
        <v>6568</v>
      </c>
      <c r="D16" s="5">
        <f>'Rate Class Customer Model'!C8</f>
        <v>6569</v>
      </c>
      <c r="E16" s="5">
        <f>'Rate Class Customer Model'!C9</f>
        <v>6703</v>
      </c>
      <c r="F16" s="5">
        <f>'Rate Class Customer Model'!C10</f>
        <v>6816</v>
      </c>
      <c r="G16" s="5">
        <f>'Rate Class Customer Model'!C11</f>
        <v>6916</v>
      </c>
      <c r="H16" s="5">
        <f>'Rate Class Customer Model'!C12</f>
        <v>7049</v>
      </c>
      <c r="I16" s="5">
        <f>'Rate Class Customer Model'!C13</f>
        <v>7198</v>
      </c>
      <c r="J16" s="5">
        <f>'Rate Class Customer Model'!C14</f>
        <v>7264.916666666667</v>
      </c>
      <c r="K16" s="5">
        <f>'Rate Class Customer Model'!C15</f>
        <v>7370.333333333333</v>
      </c>
      <c r="L16" s="5">
        <f>'Rate Class Customer Model'!C16</f>
        <v>7447.583333333333</v>
      </c>
      <c r="M16" s="5">
        <f>'Rate Class Customer Model'!C17</f>
        <v>7538</v>
      </c>
      <c r="N16" s="5">
        <f>'Rate Class Customer Model'!C18</f>
        <v>7645.333333333333</v>
      </c>
      <c r="O16" s="5">
        <f>'Rate Class Customer Model'!C19</f>
        <v>7736.9966057773026</v>
      </c>
      <c r="P16" s="5">
        <f>'Rate Class Customer Model'!C20</f>
        <v>7829.7588696123348</v>
      </c>
    </row>
    <row r="17" spans="1:16" x14ac:dyDescent="0.2">
      <c r="A17" t="s">
        <v>26</v>
      </c>
      <c r="B17" s="5">
        <f>'Rate Class Energy Model'!L10</f>
        <v>216113166.22</v>
      </c>
      <c r="C17" s="5">
        <f>'Rate Class Energy Model'!L11</f>
        <v>194422245.08000001</v>
      </c>
      <c r="D17" s="5">
        <f>'Rate Class Energy Model'!L12</f>
        <v>219363891.88</v>
      </c>
      <c r="E17" s="5">
        <f>'Rate Class Energy Model'!L13</f>
        <v>225494014.34</v>
      </c>
      <c r="F17" s="5">
        <f>'Rate Class Energy Model'!L14</f>
        <v>218381163.56</v>
      </c>
      <c r="G17" s="5">
        <f>'Rate Class Energy Model'!L15</f>
        <v>229601685.31999999</v>
      </c>
      <c r="H17" s="5">
        <f>'Rate Class Energy Model'!L16</f>
        <v>231128009</v>
      </c>
      <c r="I17" s="5">
        <f>'Rate Class Energy Model'!L17</f>
        <v>233685645</v>
      </c>
      <c r="J17" s="5">
        <f>'Rate Class Energy Model'!L18</f>
        <v>233464130</v>
      </c>
      <c r="K17" s="5">
        <f>'Rate Class Energy Model'!L19</f>
        <v>230572826</v>
      </c>
      <c r="L17" s="5">
        <f>'Rate Class Energy Model'!L20</f>
        <v>236095929</v>
      </c>
      <c r="M17" s="5">
        <f>'Rate Class Energy Model'!L21</f>
        <v>240155523</v>
      </c>
      <c r="N17" s="5">
        <f>'Rate Class Energy Model'!L22</f>
        <v>240981970</v>
      </c>
      <c r="O17" s="5">
        <f>'Rate Class Energy Model'!M100</f>
        <v>242996763.82296205</v>
      </c>
      <c r="P17" s="5">
        <f>'Rate Class Energy Model'!M101</f>
        <v>245096272.02125177</v>
      </c>
    </row>
    <row r="18" spans="1:16" x14ac:dyDescent="0.2">
      <c r="J18" s="50"/>
      <c r="K18" s="22"/>
      <c r="L18" s="22"/>
      <c r="M18" s="22"/>
      <c r="O18" s="49"/>
      <c r="P18" s="49"/>
    </row>
    <row r="19" spans="1:16" x14ac:dyDescent="0.2">
      <c r="A19" s="42" t="str">
        <f>'Rate Class Energy Model'!M2</f>
        <v>General Service
&gt; 50 kW</v>
      </c>
      <c r="O19" s="5"/>
      <c r="P19" s="5"/>
    </row>
    <row r="20" spans="1:16" x14ac:dyDescent="0.2">
      <c r="A20" t="s">
        <v>25</v>
      </c>
      <c r="B20" s="5">
        <f>'Rate Class Customer Model'!D6</f>
        <v>1033</v>
      </c>
      <c r="C20" s="5">
        <f>'Rate Class Customer Model'!D7</f>
        <v>1035</v>
      </c>
      <c r="D20" s="5">
        <f>'Rate Class Customer Model'!D8</f>
        <v>1068</v>
      </c>
      <c r="E20" s="5">
        <f>'Rate Class Customer Model'!D9</f>
        <v>1035</v>
      </c>
      <c r="F20" s="5">
        <f>'Rate Class Customer Model'!D10</f>
        <v>1058</v>
      </c>
      <c r="G20" s="5">
        <f>'Rate Class Customer Model'!D11</f>
        <v>1077</v>
      </c>
      <c r="H20" s="5">
        <f>'Rate Class Customer Model'!D12</f>
        <v>1021</v>
      </c>
      <c r="I20" s="5">
        <f>'Rate Class Customer Model'!D13</f>
        <v>1005</v>
      </c>
      <c r="J20" s="5">
        <f>'Rate Class Customer Model'!D14</f>
        <v>1014.1666666666666</v>
      </c>
      <c r="K20" s="5">
        <f>'Rate Class Customer Model'!D15</f>
        <v>1004.9166666666666</v>
      </c>
      <c r="L20" s="5">
        <f>'Rate Class Customer Model'!D16</f>
        <v>988.91666666666663</v>
      </c>
      <c r="M20" s="26">
        <f>'Rate Class Customer Model'!D17</f>
        <v>975</v>
      </c>
      <c r="N20" s="5">
        <f>'Rate Class Customer Model'!D18</f>
        <v>952.33333333333337</v>
      </c>
      <c r="O20" s="5">
        <f>'Rate Class Customer Model'!D19</f>
        <v>948.47089081750107</v>
      </c>
      <c r="P20" s="5">
        <f>'Rate Class Customer Model'!D20</f>
        <v>944.62411347022476</v>
      </c>
    </row>
    <row r="21" spans="1:16" x14ac:dyDescent="0.2">
      <c r="A21" t="s">
        <v>26</v>
      </c>
      <c r="B21" s="5">
        <f>'Rate Class Energy Model'!M10</f>
        <v>842011205</v>
      </c>
      <c r="C21" s="5">
        <f>'Rate Class Energy Model'!M11</f>
        <v>882753581</v>
      </c>
      <c r="D21" s="5">
        <f>'Rate Class Energy Model'!M12</f>
        <v>863683912</v>
      </c>
      <c r="E21" s="5">
        <f>'Rate Class Energy Model'!M13</f>
        <v>862174714</v>
      </c>
      <c r="F21" s="5">
        <f>'Rate Class Energy Model'!M14</f>
        <v>881507867</v>
      </c>
      <c r="G21" s="5">
        <f>'Rate Class Energy Model'!M15</f>
        <v>918952852</v>
      </c>
      <c r="H21" s="5">
        <f>'Rate Class Energy Model'!M16</f>
        <v>860411209</v>
      </c>
      <c r="I21" s="5">
        <f>'Rate Class Energy Model'!M17</f>
        <v>866794206</v>
      </c>
      <c r="J21" s="5">
        <f>'Rate Class Energy Model'!M18</f>
        <v>838013719</v>
      </c>
      <c r="K21" s="5">
        <f>'Rate Class Energy Model'!M19</f>
        <v>820920003</v>
      </c>
      <c r="L21" s="5">
        <f>'Rate Class Energy Model'!M20</f>
        <v>876884814</v>
      </c>
      <c r="M21" s="5">
        <f>'Rate Class Energy Model'!M21</f>
        <v>871254048</v>
      </c>
      <c r="N21" s="5">
        <f>'Rate Class Energy Model'!M22</f>
        <v>850788483</v>
      </c>
      <c r="O21" s="5">
        <f>'Rate Class Energy Model'!N100</f>
        <v>852512219.66570425</v>
      </c>
      <c r="P21" s="5">
        <f>'Rate Class Energy Model'!N101</f>
        <v>854393254.60555243</v>
      </c>
    </row>
    <row r="22" spans="1:16" x14ac:dyDescent="0.2">
      <c r="A22" t="s">
        <v>27</v>
      </c>
      <c r="B22" s="5">
        <f>'Rate Class Load Model'!B3</f>
        <v>1702404</v>
      </c>
      <c r="C22" s="5">
        <f>'Rate Class Load Model'!B4</f>
        <v>2097765</v>
      </c>
      <c r="D22" s="5">
        <f>'Rate Class Load Model'!B5</f>
        <v>2249449</v>
      </c>
      <c r="E22" s="5">
        <f>'Rate Class Load Model'!B6</f>
        <v>2243396</v>
      </c>
      <c r="F22" s="5">
        <f>'Rate Class Load Model'!B7</f>
        <v>2273819</v>
      </c>
      <c r="G22" s="5">
        <f>'Rate Class Load Model'!B8</f>
        <v>2343889</v>
      </c>
      <c r="H22" s="5">
        <f>'Rate Class Load Model'!B9</f>
        <v>2306337</v>
      </c>
      <c r="I22" s="5">
        <f>'Rate Class Load Model'!B10</f>
        <v>2286676</v>
      </c>
      <c r="J22" s="5">
        <f>'Rate Class Load Model'!B11</f>
        <v>2227288</v>
      </c>
      <c r="K22" s="5">
        <f>'Rate Class Load Model'!B12</f>
        <v>2169096</v>
      </c>
      <c r="L22" s="26">
        <f>'Rate Class Load Model'!B13</f>
        <v>2260312</v>
      </c>
      <c r="M22" s="26">
        <f>'Rate Class Load Model'!B14</f>
        <v>2244883</v>
      </c>
      <c r="N22" s="5">
        <f>'Rate Class Load Model'!B15</f>
        <v>2227931</v>
      </c>
      <c r="O22" s="5">
        <f>'Rate Class Load Model'!B16</f>
        <v>2187519.7565133185</v>
      </c>
      <c r="P22" s="5">
        <f>'Rate Class Load Model'!B17</f>
        <v>2207473.2170931115</v>
      </c>
    </row>
    <row r="23" spans="1:16" x14ac:dyDescent="0.2">
      <c r="J23" s="50"/>
      <c r="K23" s="22"/>
      <c r="L23" s="22"/>
      <c r="M23" s="22"/>
      <c r="O23" s="49"/>
      <c r="P23" s="49"/>
    </row>
    <row r="24" spans="1:16" x14ac:dyDescent="0.2">
      <c r="A24" s="42" t="str">
        <f>'Rate Class Energy Model'!N2</f>
        <v>Large User</v>
      </c>
      <c r="O24" s="5"/>
      <c r="P24" s="5"/>
    </row>
    <row r="25" spans="1:16" x14ac:dyDescent="0.2">
      <c r="A25" t="s">
        <v>25</v>
      </c>
      <c r="B25" s="5">
        <f>'Rate Class Customer Model'!E6</f>
        <v>3</v>
      </c>
      <c r="C25" s="5">
        <f>'Rate Class Customer Model'!E7</f>
        <v>4</v>
      </c>
      <c r="D25" s="5">
        <f>'Rate Class Customer Model'!E8</f>
        <v>4</v>
      </c>
      <c r="E25" s="5">
        <f>'Rate Class Customer Model'!E9</f>
        <v>4</v>
      </c>
      <c r="F25" s="5">
        <f>'Rate Class Customer Model'!E10</f>
        <v>4</v>
      </c>
      <c r="G25" s="5">
        <f>'Rate Class Customer Model'!E11</f>
        <v>4</v>
      </c>
      <c r="H25" s="5">
        <f>'Rate Class Customer Model'!E12</f>
        <v>4</v>
      </c>
      <c r="I25" s="5">
        <f>'Rate Class Customer Model'!E13</f>
        <v>4</v>
      </c>
      <c r="J25" s="5">
        <f>'Rate Class Customer Model'!E14</f>
        <v>4</v>
      </c>
      <c r="K25" s="5">
        <f>'Rate Class Customer Model'!E15</f>
        <v>3</v>
      </c>
      <c r="L25" s="5">
        <f>'Rate Class Customer Model'!E16</f>
        <v>1.3333333333333333</v>
      </c>
      <c r="M25" s="5">
        <f>'Rate Class Customer Model'!E17</f>
        <v>2</v>
      </c>
      <c r="N25" s="26">
        <f>'Rate Class Customer Model'!E18</f>
        <v>2</v>
      </c>
      <c r="O25" s="5">
        <f>'Rate Class Customer Model'!E19</f>
        <v>2</v>
      </c>
      <c r="P25" s="5">
        <f>'Rate Class Customer Model'!E20</f>
        <v>1</v>
      </c>
    </row>
    <row r="26" spans="1:16" x14ac:dyDescent="0.2">
      <c r="A26" t="s">
        <v>26</v>
      </c>
      <c r="B26" s="5">
        <f>'Rate Class Energy Model'!N10</f>
        <v>188086865</v>
      </c>
      <c r="C26" s="5">
        <f>'Rate Class Energy Model'!N11</f>
        <v>229072005</v>
      </c>
      <c r="D26" s="5">
        <f>'Rate Class Energy Model'!N12</f>
        <v>257359194</v>
      </c>
      <c r="E26" s="5">
        <f>'Rate Class Energy Model'!N13</f>
        <v>253072527</v>
      </c>
      <c r="F26" s="5">
        <f>'Rate Class Energy Model'!N14</f>
        <v>234737963</v>
      </c>
      <c r="G26" s="5">
        <f>'Rate Class Energy Model'!N15</f>
        <v>232058404</v>
      </c>
      <c r="H26" s="5">
        <f>'Rate Class Energy Model'!N16</f>
        <v>181975799</v>
      </c>
      <c r="I26" s="5">
        <f>'Rate Class Energy Model'!N17</f>
        <v>157680777</v>
      </c>
      <c r="J26" s="5">
        <f>'Rate Class Energy Model'!N18</f>
        <v>146928777</v>
      </c>
      <c r="K26" s="5">
        <f>'Rate Class Energy Model'!N19</f>
        <v>79822385</v>
      </c>
      <c r="L26" s="5">
        <f>'Rate Class Energy Model'!N20</f>
        <v>46563626</v>
      </c>
      <c r="M26" s="5">
        <f>'Rate Class Energy Model'!N21</f>
        <v>56015269</v>
      </c>
      <c r="N26" s="5">
        <f>'Rate Class Energy Model'!N22</f>
        <v>69356376</v>
      </c>
      <c r="O26" s="5">
        <f>'Rate Class Energy Model'!O100</f>
        <v>66016828.655037299</v>
      </c>
      <c r="P26" s="5">
        <f>'Rate Class Energy Model'!O101</f>
        <v>31798990.292463161</v>
      </c>
    </row>
    <row r="27" spans="1:16" x14ac:dyDescent="0.2">
      <c r="A27" t="s">
        <v>27</v>
      </c>
      <c r="B27" s="5">
        <f>'Rate Class Load Model'!C3</f>
        <v>339080</v>
      </c>
      <c r="C27" s="5">
        <f>'Rate Class Load Model'!C4</f>
        <v>423831</v>
      </c>
      <c r="D27" s="5">
        <f>'Rate Class Load Model'!C5</f>
        <v>475022</v>
      </c>
      <c r="E27" s="5">
        <f>'Rate Class Load Model'!C6</f>
        <v>474685</v>
      </c>
      <c r="F27" s="5">
        <f>'Rate Class Load Model'!C7</f>
        <v>460426</v>
      </c>
      <c r="G27" s="5">
        <f>'Rate Class Load Model'!C8</f>
        <v>445748</v>
      </c>
      <c r="H27" s="5">
        <f>'Rate Class Load Model'!C9</f>
        <v>381847</v>
      </c>
      <c r="I27" s="5">
        <f>'Rate Class Load Model'!C10</f>
        <v>330481</v>
      </c>
      <c r="J27" s="5">
        <f>'Rate Class Load Model'!C11</f>
        <v>329862</v>
      </c>
      <c r="K27" s="5">
        <f>'Rate Class Load Model'!C12</f>
        <v>171311</v>
      </c>
      <c r="L27" s="26">
        <f>'Rate Class Load Model'!C13</f>
        <v>95621</v>
      </c>
      <c r="M27" s="26">
        <f>'Rate Class Load Model'!C14</f>
        <v>105771</v>
      </c>
      <c r="N27" s="5">
        <f>'Rate Class Load Model'!C15</f>
        <v>136790</v>
      </c>
      <c r="O27" s="5">
        <f>'Rate Class Load Model'!C16</f>
        <v>130795.77587097054</v>
      </c>
      <c r="P27" s="5">
        <f>'Rate Class Load Model'!C17</f>
        <v>63001.717773348704</v>
      </c>
    </row>
    <row r="28" spans="1:16" x14ac:dyDescent="0.2">
      <c r="J28" s="50"/>
      <c r="K28" s="22"/>
      <c r="L28" s="22"/>
      <c r="M28" s="22"/>
      <c r="O28" s="49"/>
      <c r="P28" s="49"/>
    </row>
    <row r="29" spans="1:16" x14ac:dyDescent="0.2">
      <c r="A29" s="42" t="str">
        <f>'Rate Class Energy Model'!O2</f>
        <v xml:space="preserve">Streetlights </v>
      </c>
      <c r="O29" s="5"/>
      <c r="P29" s="5"/>
    </row>
    <row r="30" spans="1:16" x14ac:dyDescent="0.2">
      <c r="A30" t="s">
        <v>46</v>
      </c>
      <c r="B30" s="5">
        <f>'Rate Class Customer Model'!F6</f>
        <v>1342.030303030303</v>
      </c>
      <c r="C30" s="5">
        <f>'Rate Class Customer Model'!F7</f>
        <v>1369.6060606060605</v>
      </c>
      <c r="D30" s="5">
        <f>'Rate Class Customer Model'!F8</f>
        <v>1394.3939393939395</v>
      </c>
      <c r="E30" s="5">
        <f>'Rate Class Customer Model'!F9</f>
        <v>1405</v>
      </c>
      <c r="F30" s="5">
        <f>'Rate Class Customer Model'!F10</f>
        <v>1497</v>
      </c>
      <c r="G30" s="5">
        <f>'Rate Class Customer Model'!F11</f>
        <v>1517</v>
      </c>
      <c r="H30" s="5">
        <f>'Rate Class Customer Model'!F12</f>
        <v>1533</v>
      </c>
      <c r="I30" s="5">
        <f>'Rate Class Customer Model'!F13</f>
        <v>1523</v>
      </c>
      <c r="J30" s="5">
        <f>'Rate Class Customer Model'!F14</f>
        <v>1522.2424242424242</v>
      </c>
      <c r="K30" s="5">
        <f>'Rate Class Customer Model'!F15</f>
        <v>1551</v>
      </c>
      <c r="L30" s="26">
        <f>'Rate Class Customer Model'!F16</f>
        <v>1574.2465237166991</v>
      </c>
      <c r="M30" s="26">
        <f>'Rate Class Customer Model'!F17</f>
        <v>1567.6666666666667</v>
      </c>
      <c r="N30" s="5">
        <f>'Rate Class Customer Model'!F18</f>
        <v>1573.4242424242425</v>
      </c>
      <c r="O30" s="5">
        <f>'Rate Class Customer Model'!F19</f>
        <v>1569</v>
      </c>
      <c r="P30" s="5">
        <f>'Rate Class Customer Model'!F20</f>
        <v>1591.6757998109217</v>
      </c>
    </row>
    <row r="31" spans="1:16" x14ac:dyDescent="0.2">
      <c r="A31" t="s">
        <v>26</v>
      </c>
      <c r="B31" s="5">
        <f>'Rate Class Energy Model'!O10</f>
        <v>13700705</v>
      </c>
      <c r="C31" s="5">
        <f>'Rate Class Energy Model'!O11</f>
        <v>13878114</v>
      </c>
      <c r="D31" s="5">
        <f>'Rate Class Energy Model'!O12</f>
        <v>12488813</v>
      </c>
      <c r="E31" s="5">
        <f>'Rate Class Energy Model'!O13</f>
        <v>14826579</v>
      </c>
      <c r="F31" s="5">
        <f>'Rate Class Energy Model'!O14</f>
        <v>15016164</v>
      </c>
      <c r="G31" s="5">
        <f>'Rate Class Energy Model'!O15</f>
        <v>15098592</v>
      </c>
      <c r="H31" s="5">
        <f>'Rate Class Energy Model'!O16</f>
        <v>15290722</v>
      </c>
      <c r="I31" s="5">
        <f>'Rate Class Energy Model'!O17</f>
        <v>15541491</v>
      </c>
      <c r="J31" s="5">
        <f>'Rate Class Energy Model'!O18</f>
        <v>17542402</v>
      </c>
      <c r="K31" s="5">
        <f>'Rate Class Energy Model'!O19</f>
        <v>15920914</v>
      </c>
      <c r="L31" s="5">
        <f>'Rate Class Energy Model'!O20</f>
        <v>16035117</v>
      </c>
      <c r="M31" s="5">
        <f>'Rate Class Energy Model'!O21</f>
        <v>15857518</v>
      </c>
      <c r="N31" s="5">
        <f>'Rate Class Energy Model'!O22</f>
        <v>15943501</v>
      </c>
      <c r="O31" s="55">
        <f>'Rate Class Energy Model'!P100</f>
        <v>15898680.403048243</v>
      </c>
      <c r="P31" s="55">
        <f>'Rate Class Energy Model'!P101</f>
        <v>16128464.711878158</v>
      </c>
    </row>
    <row r="32" spans="1:16" x14ac:dyDescent="0.2">
      <c r="A32" t="s">
        <v>27</v>
      </c>
      <c r="B32" s="5">
        <f>'Rate Class Load Model'!D3</f>
        <v>39194</v>
      </c>
      <c r="C32" s="5">
        <f>'Rate Class Load Model'!D4</f>
        <v>39703</v>
      </c>
      <c r="D32" s="5">
        <f>'Rate Class Load Model'!D5</f>
        <v>36995</v>
      </c>
      <c r="E32" s="5">
        <f>'Rate Class Load Model'!D6</f>
        <v>41407</v>
      </c>
      <c r="F32" s="5">
        <f>'Rate Class Load Model'!D7</f>
        <v>41732</v>
      </c>
      <c r="G32" s="5">
        <f>'Rate Class Load Model'!D8</f>
        <v>42148</v>
      </c>
      <c r="H32" s="5">
        <f>'Rate Class Load Model'!D9</f>
        <v>42692</v>
      </c>
      <c r="I32" s="5">
        <f>'Rate Class Load Model'!D10</f>
        <v>43371</v>
      </c>
      <c r="J32" s="5">
        <f>'Rate Class Load Model'!D11</f>
        <v>45893</v>
      </c>
      <c r="K32" s="5">
        <f>'Rate Class Load Model'!D12</f>
        <v>44226</v>
      </c>
      <c r="L32" s="26">
        <f>'Rate Class Load Model'!D13</f>
        <v>44895</v>
      </c>
      <c r="M32" s="26">
        <f>'Rate Class Load Model'!D14</f>
        <v>44252</v>
      </c>
      <c r="N32" s="5">
        <f>'Rate Class Load Model'!D15</f>
        <v>44229</v>
      </c>
      <c r="O32" s="5">
        <f>'Rate Class Load Model'!D16</f>
        <v>44502.095867100063</v>
      </c>
      <c r="P32" s="5">
        <f>'Rate Class Load Model'!D17</f>
        <v>45145.286564759699</v>
      </c>
    </row>
    <row r="34" spans="1:16" x14ac:dyDescent="0.2">
      <c r="A34" s="42" t="str">
        <f>'Rate Class Energy Model'!P2</f>
        <v xml:space="preserve">Unmetered Loads </v>
      </c>
      <c r="O34" s="5"/>
      <c r="P34" s="5"/>
    </row>
    <row r="35" spans="1:16" x14ac:dyDescent="0.2">
      <c r="A35" t="s">
        <v>46</v>
      </c>
      <c r="B35" s="26">
        <f>'Rate Class Customer Model'!G6</f>
        <v>750</v>
      </c>
      <c r="C35" s="26">
        <f>'Rate Class Customer Model'!G7</f>
        <v>750</v>
      </c>
      <c r="D35" s="26">
        <f>'Rate Class Customer Model'!G8</f>
        <v>765</v>
      </c>
      <c r="E35" s="26">
        <f>'Rate Class Customer Model'!G9</f>
        <v>765</v>
      </c>
      <c r="F35" s="26">
        <f>'Rate Class Customer Model'!G10</f>
        <v>822</v>
      </c>
      <c r="G35" s="26">
        <f>'Rate Class Customer Model'!G11</f>
        <v>807</v>
      </c>
      <c r="H35" s="5">
        <f>'Rate Class Customer Model'!G12</f>
        <v>807</v>
      </c>
      <c r="I35" s="5">
        <f>'Rate Class Customer Model'!G13</f>
        <v>818</v>
      </c>
      <c r="J35" s="5">
        <f>'Rate Class Customer Model'!G14</f>
        <v>820</v>
      </c>
      <c r="K35" s="5">
        <f>'Rate Class Customer Model'!G15</f>
        <v>817</v>
      </c>
      <c r="L35" s="5">
        <f>'Rate Class Customer Model'!G16</f>
        <v>811</v>
      </c>
      <c r="M35" s="5">
        <f>'Rate Class Customer Model'!G17</f>
        <v>841</v>
      </c>
      <c r="N35" s="26">
        <f>'Rate Class Customer Model'!G18</f>
        <v>868.75</v>
      </c>
      <c r="O35" s="5">
        <f>'Rate Class Customer Model'!G19</f>
        <v>879.45633264592357</v>
      </c>
      <c r="P35" s="5">
        <f>'Rate Class Customer Model'!G20</f>
        <v>890.29460838102727</v>
      </c>
    </row>
    <row r="36" spans="1:16" x14ac:dyDescent="0.2">
      <c r="A36" t="s">
        <v>26</v>
      </c>
      <c r="B36" s="5">
        <f>'Rate Class Energy Model'!P10</f>
        <v>4410472.78</v>
      </c>
      <c r="C36" s="5">
        <f>'Rate Class Energy Model'!P11</f>
        <v>3967800.92</v>
      </c>
      <c r="D36" s="5">
        <f>'Rate Class Energy Model'!P12</f>
        <v>4476814.12</v>
      </c>
      <c r="E36" s="5">
        <f>'Rate Class Energy Model'!P13</f>
        <v>4601918.66</v>
      </c>
      <c r="F36" s="5">
        <f>'Rate Class Energy Model'!P14</f>
        <v>4456758.4400000004</v>
      </c>
      <c r="G36" s="5">
        <f>'Rate Class Energy Model'!P15</f>
        <v>4685748.68</v>
      </c>
      <c r="H36" s="5">
        <f>'Rate Class Energy Model'!P16</f>
        <v>4733123</v>
      </c>
      <c r="I36" s="5">
        <f>'Rate Class Energy Model'!P17</f>
        <v>4977378</v>
      </c>
      <c r="J36" s="5">
        <f>'Rate Class Energy Model'!P18</f>
        <v>3287782</v>
      </c>
      <c r="K36" s="5">
        <f>'Rate Class Energy Model'!P19</f>
        <v>3295401</v>
      </c>
      <c r="L36" s="5">
        <f>'Rate Class Energy Model'!P20</f>
        <v>3269039</v>
      </c>
      <c r="M36" s="5">
        <f>'Rate Class Energy Model'!P21</f>
        <v>3318783</v>
      </c>
      <c r="N36" s="5">
        <f>'Rate Class Energy Model'!P22</f>
        <v>3696460</v>
      </c>
      <c r="O36" s="5">
        <f>'Rate Class Energy Model'!Q100</f>
        <v>3612242.357049867</v>
      </c>
      <c r="P36" s="5">
        <f>'Rate Class Energy Model'!Q101</f>
        <v>3417188.4429939534</v>
      </c>
    </row>
    <row r="37" spans="1:16" x14ac:dyDescent="0.2">
      <c r="O37" s="5"/>
      <c r="P37" s="5"/>
    </row>
    <row r="38" spans="1:16" s="32" customFormat="1" x14ac:dyDescent="0.2">
      <c r="A38" s="482" t="s">
        <v>203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6"/>
      <c r="P38" s="26"/>
    </row>
    <row r="39" spans="1:16" s="32" customFormat="1" x14ac:dyDescent="0.2">
      <c r="A39" s="32" t="s">
        <v>46</v>
      </c>
      <c r="B39" s="483">
        <v>0</v>
      </c>
      <c r="C39" s="483">
        <v>0</v>
      </c>
      <c r="D39" s="26">
        <f>1</f>
        <v>1</v>
      </c>
      <c r="E39" s="26">
        <f>D39</f>
        <v>1</v>
      </c>
      <c r="F39" s="26">
        <f t="shared" ref="F39:P39" si="1">E39</f>
        <v>1</v>
      </c>
      <c r="G39" s="26">
        <f t="shared" si="1"/>
        <v>1</v>
      </c>
      <c r="H39" s="26">
        <f t="shared" si="1"/>
        <v>1</v>
      </c>
      <c r="I39" s="26">
        <f t="shared" si="1"/>
        <v>1</v>
      </c>
      <c r="J39" s="26">
        <f t="shared" si="1"/>
        <v>1</v>
      </c>
      <c r="K39" s="26">
        <f t="shared" si="1"/>
        <v>1</v>
      </c>
      <c r="L39" s="26">
        <f t="shared" si="1"/>
        <v>1</v>
      </c>
      <c r="M39" s="26">
        <f t="shared" si="1"/>
        <v>1</v>
      </c>
      <c r="N39" s="26">
        <f t="shared" si="1"/>
        <v>1</v>
      </c>
      <c r="O39" s="26">
        <f t="shared" si="1"/>
        <v>1</v>
      </c>
      <c r="P39" s="26">
        <f t="shared" si="1"/>
        <v>1</v>
      </c>
    </row>
    <row r="40" spans="1:16" s="32" customFormat="1" x14ac:dyDescent="0.2">
      <c r="A40" s="32" t="s">
        <v>26</v>
      </c>
      <c r="B40" s="483">
        <v>0</v>
      </c>
      <c r="C40" s="483">
        <v>0</v>
      </c>
      <c r="D40" s="26">
        <f>+ED!C6</f>
        <v>15328897</v>
      </c>
      <c r="E40" s="26">
        <f>+ED!C7</f>
        <v>20418900.809999999</v>
      </c>
      <c r="F40" s="26">
        <f>+ED!C8</f>
        <v>19486435.960000001</v>
      </c>
      <c r="G40" s="26">
        <f>+ED!C9</f>
        <v>16865800.48</v>
      </c>
      <c r="H40" s="26">
        <f>+ED!C10</f>
        <v>21112323.120000001</v>
      </c>
      <c r="I40" s="26">
        <f>+ED!C11</f>
        <v>22263925.140000001</v>
      </c>
      <c r="J40" s="26">
        <f>+ED!C12</f>
        <v>22427621.300000001</v>
      </c>
      <c r="K40" s="26">
        <f>+ED!C13</f>
        <v>22622441.550000001</v>
      </c>
      <c r="L40" s="26">
        <f>+ED!C14</f>
        <v>24190281.48</v>
      </c>
      <c r="M40" s="26">
        <f>+ED!C15</f>
        <v>21309995.489999998</v>
      </c>
      <c r="N40" s="26">
        <f>+ED!C16</f>
        <v>17590423.550000001</v>
      </c>
      <c r="O40" s="26">
        <f>+ED!C20</f>
        <v>20328822.352727275</v>
      </c>
      <c r="P40" s="26">
        <f>+ED!C20</f>
        <v>20328822.352727275</v>
      </c>
    </row>
    <row r="41" spans="1:16" s="32" customFormat="1" x14ac:dyDescent="0.2">
      <c r="A41" s="32" t="s">
        <v>27</v>
      </c>
      <c r="B41" s="483">
        <v>0</v>
      </c>
      <c r="C41" s="483">
        <v>0</v>
      </c>
      <c r="D41" s="26">
        <f>+ED!B6</f>
        <v>29356.799999999999</v>
      </c>
      <c r="E41" s="26">
        <f>+ED!B7</f>
        <v>43881.599999999999</v>
      </c>
      <c r="F41" s="26">
        <f>+ED!B8</f>
        <v>40502.400000000001</v>
      </c>
      <c r="G41" s="26">
        <f>+ED!B9</f>
        <v>43934.369999999995</v>
      </c>
      <c r="H41" s="26">
        <f>+ED!B10</f>
        <v>45564.29</v>
      </c>
      <c r="I41" s="26">
        <f>+ED!B11</f>
        <v>49751.514999999999</v>
      </c>
      <c r="J41" s="26">
        <f>+ED!B12</f>
        <v>48352.995000000003</v>
      </c>
      <c r="K41" s="26">
        <f>+ED!B13</f>
        <v>49918.169999999991</v>
      </c>
      <c r="L41" s="26">
        <f>+ED!B14</f>
        <v>53143.520000000004</v>
      </c>
      <c r="M41" s="26">
        <f>+ED!B15</f>
        <v>49138.899999999994</v>
      </c>
      <c r="N41" s="26">
        <f>+ED!B16</f>
        <v>37866.879999999997</v>
      </c>
      <c r="O41" s="26">
        <f>+ED!B20</f>
        <v>44673.767272727266</v>
      </c>
      <c r="P41" s="26">
        <f>+ED!B20</f>
        <v>44673.767272727266</v>
      </c>
    </row>
    <row r="42" spans="1:16" s="32" customFormat="1" x14ac:dyDescent="0.2">
      <c r="B42" s="483"/>
      <c r="C42" s="483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</row>
    <row r="43" spans="1:16" x14ac:dyDescent="0.2">
      <c r="A43" s="42" t="s">
        <v>296</v>
      </c>
      <c r="B43" s="5"/>
      <c r="C43" s="5"/>
      <c r="D43" s="5"/>
      <c r="E43" s="5"/>
      <c r="F43" s="5"/>
      <c r="G43" s="5"/>
      <c r="H43" s="5"/>
      <c r="I43" s="484"/>
      <c r="J43" s="5"/>
      <c r="K43" s="5"/>
      <c r="L43" s="5"/>
      <c r="M43" s="5"/>
      <c r="N43" s="26"/>
      <c r="O43" s="484"/>
      <c r="P43" s="484"/>
    </row>
    <row r="44" spans="1:16" x14ac:dyDescent="0.2">
      <c r="A44" t="s">
        <v>37</v>
      </c>
      <c r="B44" s="5">
        <f>SUM(B12+B16+B20+B25+B30+B35)</f>
        <v>73368.030303030304</v>
      </c>
      <c r="C44" s="5">
        <f>SUM(C12+C16+C20+C25+C30+C35)</f>
        <v>74010.606060606064</v>
      </c>
      <c r="D44" s="5">
        <f t="shared" ref="D44:P44" si="2">SUM(D12+D16+D20+D25+D30+D35)</f>
        <v>75483.393939393936</v>
      </c>
      <c r="E44" s="5">
        <f t="shared" si="2"/>
        <v>77439</v>
      </c>
      <c r="F44" s="5">
        <f t="shared" si="2"/>
        <v>79602</v>
      </c>
      <c r="G44" s="5">
        <f t="shared" si="2"/>
        <v>81811</v>
      </c>
      <c r="H44" s="5">
        <f t="shared" si="2"/>
        <v>83280</v>
      </c>
      <c r="I44" s="5">
        <f t="shared" si="2"/>
        <v>84940</v>
      </c>
      <c r="J44" s="5">
        <f t="shared" si="2"/>
        <v>85779.159090909103</v>
      </c>
      <c r="K44" s="5">
        <f t="shared" si="2"/>
        <v>87001.416666666672</v>
      </c>
      <c r="L44" s="5">
        <f t="shared" si="2"/>
        <v>88328.996523716705</v>
      </c>
      <c r="M44" s="5">
        <f t="shared" si="2"/>
        <v>89684.666666666672</v>
      </c>
      <c r="N44" s="5">
        <f t="shared" si="2"/>
        <v>91038.840909090897</v>
      </c>
      <c r="O44" s="5">
        <f t="shared" si="2"/>
        <v>92412.875829240715</v>
      </c>
      <c r="P44" s="5">
        <f t="shared" si="2"/>
        <v>93834.736623274526</v>
      </c>
    </row>
    <row r="45" spans="1:16" x14ac:dyDescent="0.2">
      <c r="A45" t="s">
        <v>26</v>
      </c>
      <c r="B45" s="5">
        <f>SUM(B13+B17+B21+B26+B31+B36)</f>
        <v>1825733379</v>
      </c>
      <c r="C45" s="5">
        <f t="shared" ref="C45:P45" si="3">SUM(C13+C17+C21+C26+C31+C36)</f>
        <v>1864957166</v>
      </c>
      <c r="D45" s="5">
        <f t="shared" si="3"/>
        <v>1966638125</v>
      </c>
      <c r="E45" s="5">
        <f t="shared" si="3"/>
        <v>1970383029.0000002</v>
      </c>
      <c r="F45" s="5">
        <f t="shared" si="3"/>
        <v>1947483902</v>
      </c>
      <c r="G45" s="5">
        <f t="shared" si="3"/>
        <v>2040872519</v>
      </c>
      <c r="H45" s="5">
        <f t="shared" si="3"/>
        <v>1917735012</v>
      </c>
      <c r="I45" s="5">
        <f t="shared" si="3"/>
        <v>1918190356</v>
      </c>
      <c r="J45" s="5">
        <f t="shared" si="3"/>
        <v>1877404166</v>
      </c>
      <c r="K45" s="5">
        <f t="shared" si="3"/>
        <v>1777401233</v>
      </c>
      <c r="L45" s="5">
        <f t="shared" si="3"/>
        <v>1829500492</v>
      </c>
      <c r="M45" s="5">
        <f t="shared" si="3"/>
        <v>1833881352</v>
      </c>
      <c r="N45" s="5">
        <f t="shared" si="3"/>
        <v>1825234090</v>
      </c>
      <c r="O45" s="5">
        <f t="shared" si="3"/>
        <v>1833775364.3420284</v>
      </c>
      <c r="P45" s="5">
        <f t="shared" si="3"/>
        <v>1812076587.5036061</v>
      </c>
    </row>
    <row r="46" spans="1:16" x14ac:dyDescent="0.2">
      <c r="A46" t="s">
        <v>36</v>
      </c>
      <c r="B46" s="5">
        <f>SUM(B22+B27+B32)</f>
        <v>2080678</v>
      </c>
      <c r="C46" s="5">
        <f t="shared" ref="C46:P46" si="4">SUM(C22+C27+C32)</f>
        <v>2561299</v>
      </c>
      <c r="D46" s="5">
        <f t="shared" si="4"/>
        <v>2761466</v>
      </c>
      <c r="E46" s="5">
        <f t="shared" si="4"/>
        <v>2759488</v>
      </c>
      <c r="F46" s="5">
        <f t="shared" si="4"/>
        <v>2775977</v>
      </c>
      <c r="G46" s="5">
        <f t="shared" si="4"/>
        <v>2831785</v>
      </c>
      <c r="H46" s="5">
        <f t="shared" si="4"/>
        <v>2730876</v>
      </c>
      <c r="I46" s="5">
        <f t="shared" si="4"/>
        <v>2660528</v>
      </c>
      <c r="J46" s="5">
        <f t="shared" si="4"/>
        <v>2603043</v>
      </c>
      <c r="K46" s="5">
        <f t="shared" si="4"/>
        <v>2384633</v>
      </c>
      <c r="L46" s="5">
        <f t="shared" si="4"/>
        <v>2400828</v>
      </c>
      <c r="M46" s="5">
        <f t="shared" si="4"/>
        <v>2394906</v>
      </c>
      <c r="N46" s="5">
        <f t="shared" si="4"/>
        <v>2408950</v>
      </c>
      <c r="O46" s="5">
        <f t="shared" si="4"/>
        <v>2362817.6282513891</v>
      </c>
      <c r="P46" s="5">
        <f t="shared" si="4"/>
        <v>2315620.22143122</v>
      </c>
    </row>
    <row r="47" spans="1:16" s="32" customFormat="1" x14ac:dyDescent="0.2">
      <c r="B47" s="483"/>
      <c r="C47" s="483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</row>
    <row r="48" spans="1:16" x14ac:dyDescent="0.2">
      <c r="A48" s="42" t="s">
        <v>294</v>
      </c>
      <c r="B48" s="5"/>
      <c r="C48" s="5"/>
      <c r="D48" s="5"/>
      <c r="E48" s="5"/>
      <c r="F48" s="5"/>
      <c r="G48" s="5"/>
      <c r="H48" s="5"/>
      <c r="J48" s="5"/>
      <c r="K48" s="5"/>
      <c r="L48" s="5"/>
      <c r="M48" s="5"/>
      <c r="N48" s="26"/>
    </row>
    <row r="49" spans="1:16" x14ac:dyDescent="0.2">
      <c r="A49" t="s">
        <v>37</v>
      </c>
      <c r="B49" s="5">
        <f>SUM(B12+B16+B20+B25+B30+B35)</f>
        <v>73368.030303030304</v>
      </c>
      <c r="C49" s="5">
        <f>SUM(C12+C16+C20+C25+C30+C35+C39)</f>
        <v>74010.606060606064</v>
      </c>
      <c r="D49" s="5">
        <f t="shared" ref="D49:P49" si="5">SUM(D12+D16+D20+D25+D30+D35+D39)</f>
        <v>75484.393939393936</v>
      </c>
      <c r="E49" s="5">
        <f t="shared" si="5"/>
        <v>77440</v>
      </c>
      <c r="F49" s="5">
        <f t="shared" si="5"/>
        <v>79603</v>
      </c>
      <c r="G49" s="5">
        <f t="shared" si="5"/>
        <v>81812</v>
      </c>
      <c r="H49" s="5">
        <f t="shared" si="5"/>
        <v>83281</v>
      </c>
      <c r="I49" s="5">
        <f t="shared" si="5"/>
        <v>84941</v>
      </c>
      <c r="J49" s="5">
        <f t="shared" si="5"/>
        <v>85780.159090909103</v>
      </c>
      <c r="K49" s="5">
        <f t="shared" si="5"/>
        <v>87002.416666666672</v>
      </c>
      <c r="L49" s="5">
        <f t="shared" si="5"/>
        <v>88329.996523716705</v>
      </c>
      <c r="M49" s="5">
        <f t="shared" si="5"/>
        <v>89685.666666666672</v>
      </c>
      <c r="N49" s="5">
        <f t="shared" si="5"/>
        <v>91039.840909090897</v>
      </c>
      <c r="O49" s="5">
        <f t="shared" si="5"/>
        <v>92413.875829240715</v>
      </c>
      <c r="P49" s="5">
        <f t="shared" si="5"/>
        <v>93835.736623274526</v>
      </c>
    </row>
    <row r="50" spans="1:16" x14ac:dyDescent="0.2">
      <c r="A50" t="s">
        <v>26</v>
      </c>
      <c r="B50" s="5">
        <f>SUM(B13+B17+B21+B26+B31+B36)</f>
        <v>1825733379</v>
      </c>
      <c r="C50" s="5">
        <f>SUM(C13+C17+C21+C26+C31+C36+C40)</f>
        <v>1864957166</v>
      </c>
      <c r="D50" s="5">
        <f t="shared" ref="D50:P50" si="6">SUM(D13+D17+D21+D26+D31+D36+D40)</f>
        <v>1981967022</v>
      </c>
      <c r="E50" s="5">
        <f t="shared" si="6"/>
        <v>1990801929.8100002</v>
      </c>
      <c r="F50" s="5">
        <f t="shared" si="6"/>
        <v>1966970337.96</v>
      </c>
      <c r="G50" s="5">
        <f t="shared" si="6"/>
        <v>2057738319.48</v>
      </c>
      <c r="H50" s="5">
        <f t="shared" si="6"/>
        <v>1938847335.1199999</v>
      </c>
      <c r="I50" s="5">
        <f t="shared" si="6"/>
        <v>1940454281.1400001</v>
      </c>
      <c r="J50" s="5">
        <f t="shared" si="6"/>
        <v>1899831787.3</v>
      </c>
      <c r="K50" s="5">
        <f t="shared" si="6"/>
        <v>1800023674.55</v>
      </c>
      <c r="L50" s="5">
        <f t="shared" si="6"/>
        <v>1853690773.48</v>
      </c>
      <c r="M50" s="5">
        <f t="shared" si="6"/>
        <v>1855191347.49</v>
      </c>
      <c r="N50" s="5">
        <f t="shared" si="6"/>
        <v>1842824513.55</v>
      </c>
      <c r="O50" s="5">
        <f t="shared" si="6"/>
        <v>1854104186.6947556</v>
      </c>
      <c r="P50" s="5">
        <f t="shared" si="6"/>
        <v>1832405409.8563333</v>
      </c>
    </row>
    <row r="51" spans="1:16" x14ac:dyDescent="0.2">
      <c r="A51" t="s">
        <v>36</v>
      </c>
      <c r="B51" s="5">
        <f>SUM(B22+B27+B32)</f>
        <v>2080678</v>
      </c>
      <c r="C51" s="5">
        <f>SUM(C22+C27+C32+C41)</f>
        <v>2561299</v>
      </c>
      <c r="D51" s="5">
        <f t="shared" ref="D51:P51" si="7">SUM(D22+D27+D32+D41)</f>
        <v>2790822.8</v>
      </c>
      <c r="E51" s="5">
        <f t="shared" si="7"/>
        <v>2803369.6</v>
      </c>
      <c r="F51" s="5">
        <f t="shared" si="7"/>
        <v>2816479.4</v>
      </c>
      <c r="G51" s="5">
        <f t="shared" si="7"/>
        <v>2875719.37</v>
      </c>
      <c r="H51" s="5">
        <f t="shared" si="7"/>
        <v>2776440.29</v>
      </c>
      <c r="I51" s="5">
        <f t="shared" si="7"/>
        <v>2710279.5150000001</v>
      </c>
      <c r="J51" s="5">
        <f t="shared" si="7"/>
        <v>2651395.9950000001</v>
      </c>
      <c r="K51" s="5">
        <f t="shared" si="7"/>
        <v>2434551.17</v>
      </c>
      <c r="L51" s="5">
        <f t="shared" si="7"/>
        <v>2453971.52</v>
      </c>
      <c r="M51" s="5">
        <f t="shared" si="7"/>
        <v>2444044.9</v>
      </c>
      <c r="N51" s="5">
        <f t="shared" si="7"/>
        <v>2446816.88</v>
      </c>
      <c r="O51" s="5">
        <f t="shared" si="7"/>
        <v>2407491.3955241162</v>
      </c>
      <c r="P51" s="5">
        <f t="shared" si="7"/>
        <v>2360293.988703947</v>
      </c>
    </row>
    <row r="53" spans="1:16" x14ac:dyDescent="0.2">
      <c r="A53" s="42" t="s">
        <v>297</v>
      </c>
      <c r="B53" s="484"/>
      <c r="C53" s="484"/>
      <c r="D53" s="484"/>
      <c r="E53" s="484"/>
      <c r="F53" s="484"/>
      <c r="G53" s="484"/>
      <c r="H53" s="484"/>
      <c r="I53" s="484"/>
      <c r="J53" s="484"/>
      <c r="K53" s="484"/>
      <c r="L53" s="484"/>
      <c r="M53" s="484"/>
      <c r="O53" s="5"/>
      <c r="P53" s="5"/>
    </row>
    <row r="54" spans="1:16" x14ac:dyDescent="0.2">
      <c r="A54" t="s">
        <v>37</v>
      </c>
      <c r="B54" s="5">
        <f>'Rate Class Customer Model'!H6</f>
        <v>73368.030303030304</v>
      </c>
      <c r="C54" s="5">
        <f>'Rate Class Customer Model'!H7</f>
        <v>74010.606060606064</v>
      </c>
      <c r="D54" s="5">
        <f>'Rate Class Customer Model'!H8</f>
        <v>75483.393939393936</v>
      </c>
      <c r="E54" s="5">
        <f>'Rate Class Customer Model'!H9</f>
        <v>77439</v>
      </c>
      <c r="F54" s="5">
        <f>'Rate Class Customer Model'!H10</f>
        <v>79602</v>
      </c>
      <c r="G54" s="5">
        <f>'Rate Class Customer Model'!H11</f>
        <v>81811</v>
      </c>
      <c r="H54" s="5">
        <f>'Rate Class Customer Model'!H12</f>
        <v>83280</v>
      </c>
      <c r="I54" s="5">
        <f>'Rate Class Customer Model'!H13</f>
        <v>84940</v>
      </c>
      <c r="J54" s="5">
        <f>'Rate Class Customer Model'!H14</f>
        <v>85779.159090909103</v>
      </c>
      <c r="K54" s="5">
        <f>'Rate Class Customer Model'!H15</f>
        <v>87001.416666666672</v>
      </c>
      <c r="L54" s="5">
        <f>'Rate Class Customer Model'!H16</f>
        <v>88328.996523716705</v>
      </c>
      <c r="M54" s="5">
        <f>'Rate Class Customer Model'!H17</f>
        <v>89684.666666666672</v>
      </c>
      <c r="N54" s="5">
        <f>'Rate Class Customer Model'!H18</f>
        <v>91038.840909090897</v>
      </c>
      <c r="O54" s="5">
        <f>'Rate Class Customer Model'!H19</f>
        <v>92412.875829240715</v>
      </c>
      <c r="P54" s="5">
        <f>'Rate Class Customer Model'!H20</f>
        <v>93834.736623274526</v>
      </c>
    </row>
    <row r="55" spans="1:16" x14ac:dyDescent="0.2">
      <c r="A55" t="s">
        <v>26</v>
      </c>
      <c r="B55" s="5">
        <f>'Rate Class Energy Model'!G10</f>
        <v>1825733379</v>
      </c>
      <c r="C55" s="5">
        <f>'Rate Class Energy Model'!G11</f>
        <v>1864957166</v>
      </c>
      <c r="D55" s="5">
        <f>'Rate Class Energy Model'!G12</f>
        <v>1966638125</v>
      </c>
      <c r="E55" s="5">
        <f>'Rate Class Energy Model'!G13</f>
        <v>1970383029.0000002</v>
      </c>
      <c r="F55" s="5">
        <f>'Rate Class Energy Model'!G14</f>
        <v>1947483902</v>
      </c>
      <c r="G55" s="5">
        <f>'Rate Class Energy Model'!G15</f>
        <v>2040872519</v>
      </c>
      <c r="H55" s="5">
        <f>'Rate Class Energy Model'!G16</f>
        <v>1917735012</v>
      </c>
      <c r="I55" s="5">
        <f>'Rate Class Energy Model'!G17</f>
        <v>1918190356</v>
      </c>
      <c r="J55" s="5">
        <f>'Rate Class Energy Model'!G18</f>
        <v>1877404166</v>
      </c>
      <c r="K55" s="5">
        <f>'Rate Class Energy Model'!G19</f>
        <v>1777401233</v>
      </c>
      <c r="L55" s="5">
        <f>'Rate Class Energy Model'!G20</f>
        <v>1829500492</v>
      </c>
      <c r="M55" s="5">
        <f>'Rate Class Energy Model'!G21</f>
        <v>1833881352</v>
      </c>
      <c r="N55" s="26">
        <f>'Rate Class Energy Model'!G22</f>
        <v>1825234090</v>
      </c>
      <c r="O55" s="5">
        <f>'Rate Class Energy Model'!R100</f>
        <v>1833775364.3420284</v>
      </c>
      <c r="P55" s="5">
        <f>'Rate Class Energy Model'!R101</f>
        <v>1812076587.5036061</v>
      </c>
    </row>
    <row r="56" spans="1:16" x14ac:dyDescent="0.2">
      <c r="A56" t="s">
        <v>36</v>
      </c>
      <c r="B56" s="5">
        <f>'Rate Class Load Model'!E3</f>
        <v>2080678</v>
      </c>
      <c r="C56" s="5">
        <f>'Rate Class Load Model'!E4</f>
        <v>2561299</v>
      </c>
      <c r="D56" s="5">
        <f>'Rate Class Load Model'!E5</f>
        <v>2761466</v>
      </c>
      <c r="E56" s="5">
        <f>'Rate Class Load Model'!E6</f>
        <v>2759488</v>
      </c>
      <c r="F56" s="5">
        <f>'Rate Class Load Model'!E7</f>
        <v>2775977</v>
      </c>
      <c r="G56" s="5">
        <f>'Rate Class Load Model'!E8</f>
        <v>2831785</v>
      </c>
      <c r="H56" s="5">
        <f>'Rate Class Load Model'!E9</f>
        <v>2730876</v>
      </c>
      <c r="I56" s="5">
        <f>'Rate Class Load Model'!E10</f>
        <v>2660528</v>
      </c>
      <c r="J56" s="5">
        <f>'Rate Class Load Model'!E11</f>
        <v>2603043</v>
      </c>
      <c r="K56" s="5">
        <f>'Rate Class Load Model'!E12</f>
        <v>2384633</v>
      </c>
      <c r="L56" s="26">
        <f>'Rate Class Load Model'!E13</f>
        <v>2400828</v>
      </c>
      <c r="M56" s="26">
        <f>'Rate Class Load Model'!E14</f>
        <v>2394906</v>
      </c>
      <c r="N56" s="5">
        <f>'Rate Class Load Model'!E15</f>
        <v>2408950</v>
      </c>
      <c r="O56" s="5">
        <f>'Rate Class Load Model'!E16</f>
        <v>2362817.6282513891</v>
      </c>
      <c r="P56" s="5">
        <f>'Rate Class Load Model'!E17</f>
        <v>2315620.22143122</v>
      </c>
    </row>
    <row r="57" spans="1:16" x14ac:dyDescent="0.2">
      <c r="B57" s="484"/>
      <c r="C57" s="484"/>
      <c r="D57" s="484"/>
      <c r="E57" s="484"/>
      <c r="F57" s="484"/>
      <c r="G57" s="484"/>
      <c r="H57" s="484"/>
      <c r="I57" s="484"/>
      <c r="J57" s="484"/>
      <c r="K57" s="484"/>
      <c r="L57" s="484"/>
      <c r="M57" s="484"/>
      <c r="O57" s="484"/>
      <c r="P57" s="484"/>
    </row>
    <row r="58" spans="1:16" x14ac:dyDescent="0.2">
      <c r="A58" s="42" t="s">
        <v>295</v>
      </c>
      <c r="O58" s="5"/>
      <c r="P58" s="5"/>
    </row>
    <row r="59" spans="1:16" x14ac:dyDescent="0.2">
      <c r="A59" t="s">
        <v>37</v>
      </c>
      <c r="B59" s="5">
        <f>'Rate Class Customer Model'!H6</f>
        <v>73368.030303030304</v>
      </c>
      <c r="C59" s="5">
        <f>'Rate Class Customer Model'!J7</f>
        <v>74010.606060606064</v>
      </c>
      <c r="D59" s="5">
        <f>'Rate Class Customer Model'!J8</f>
        <v>75484.393939393936</v>
      </c>
      <c r="E59" s="5">
        <f>'Rate Class Customer Model'!J9</f>
        <v>77440</v>
      </c>
      <c r="F59" s="5">
        <f>'Rate Class Customer Model'!J10</f>
        <v>79603</v>
      </c>
      <c r="G59" s="5">
        <f>'Rate Class Customer Model'!J11</f>
        <v>81812</v>
      </c>
      <c r="H59" s="5">
        <f>'Rate Class Customer Model'!J12</f>
        <v>83281</v>
      </c>
      <c r="I59" s="5">
        <f>'Rate Class Customer Model'!J13</f>
        <v>84941</v>
      </c>
      <c r="J59" s="5">
        <f>'Rate Class Customer Model'!J14</f>
        <v>85780.159090909103</v>
      </c>
      <c r="K59" s="5">
        <f>'Rate Class Customer Model'!J15</f>
        <v>87002.416666666672</v>
      </c>
      <c r="L59" s="5">
        <f>'Rate Class Customer Model'!J16</f>
        <v>88329.996523716705</v>
      </c>
      <c r="M59" s="5">
        <f>'Rate Class Customer Model'!J17</f>
        <v>89685.666666666672</v>
      </c>
      <c r="N59" s="5">
        <f>'Rate Class Customer Model'!J18</f>
        <v>91039.840909090897</v>
      </c>
      <c r="O59" s="5">
        <f>'Rate Class Customer Model'!J19</f>
        <v>92413.875829240715</v>
      </c>
      <c r="P59" s="5">
        <f>'Rate Class Customer Model'!J20</f>
        <v>93835.736623274526</v>
      </c>
    </row>
    <row r="60" spans="1:16" x14ac:dyDescent="0.2">
      <c r="A60" t="s">
        <v>26</v>
      </c>
      <c r="B60" s="5">
        <f>'Rate Class Energy Model'!G10</f>
        <v>1825733379</v>
      </c>
      <c r="C60" s="5">
        <f>'Rate Class Energy Model'!G11</f>
        <v>1864957166</v>
      </c>
      <c r="D60" s="5">
        <f>'Rate Class Energy Model'!G12+ED!$C$6</f>
        <v>1981967022</v>
      </c>
      <c r="E60" s="5">
        <f>'Rate Class Energy Model'!G13+ED!C7</f>
        <v>1990801929.8100002</v>
      </c>
      <c r="F60" s="5">
        <f>'Rate Class Energy Model'!G14+ED!C8</f>
        <v>1966970337.96</v>
      </c>
      <c r="G60" s="5">
        <f>'Rate Class Energy Model'!G15+ED!C9</f>
        <v>2057738319.48</v>
      </c>
      <c r="H60" s="5">
        <f>'Rate Class Energy Model'!G16+ED!C10</f>
        <v>1938847335.1199999</v>
      </c>
      <c r="I60" s="5">
        <f>'Rate Class Energy Model'!G17+ED!C11</f>
        <v>1940454281.1400001</v>
      </c>
      <c r="J60" s="5">
        <f>'Rate Class Energy Model'!G18+ED!C12</f>
        <v>1899831787.3</v>
      </c>
      <c r="K60" s="5">
        <f>'Rate Class Energy Model'!G19+ED!C13</f>
        <v>1800023674.55</v>
      </c>
      <c r="L60" s="5">
        <f>'Rate Class Energy Model'!G20+ED!C14</f>
        <v>1853690773.48</v>
      </c>
      <c r="M60" s="5">
        <f>'Rate Class Energy Model'!G21+ED!C15</f>
        <v>1855191347.49</v>
      </c>
      <c r="N60" s="26">
        <f>'Rate Class Energy Model'!G22+ED!C16</f>
        <v>1842824513.55</v>
      </c>
      <c r="O60" s="5">
        <f>'Rate Class Energy Model'!R100+ED!C20</f>
        <v>1854104186.6947556</v>
      </c>
      <c r="P60" s="5">
        <f>'Rate Class Energy Model'!R101+ED!C20</f>
        <v>1832405409.8563333</v>
      </c>
    </row>
    <row r="61" spans="1:16" x14ac:dyDescent="0.2">
      <c r="A61" t="s">
        <v>36</v>
      </c>
      <c r="B61" s="5">
        <f>'Rate Class Load Model'!E3</f>
        <v>2080678</v>
      </c>
      <c r="C61" s="5">
        <f>'Rate Class Load Model'!E4</f>
        <v>2561299</v>
      </c>
      <c r="D61" s="5">
        <f>'Rate Class Load Model'!E5+ED!B6</f>
        <v>2790822.8</v>
      </c>
      <c r="E61" s="5">
        <f>'Rate Class Load Model'!E6+ED!B7</f>
        <v>2803369.6</v>
      </c>
      <c r="F61" s="5">
        <f>'Rate Class Load Model'!E7+ED!B8</f>
        <v>2816479.4</v>
      </c>
      <c r="G61" s="5">
        <f>'Rate Class Load Model'!E8+ED!B9</f>
        <v>2875719.37</v>
      </c>
      <c r="H61" s="5">
        <f>'Rate Class Load Model'!E9+ED!B10</f>
        <v>2776440.29</v>
      </c>
      <c r="I61" s="5">
        <f>'Rate Class Load Model'!E10+ED!B11</f>
        <v>2710279.5150000001</v>
      </c>
      <c r="J61" s="5">
        <f>'Rate Class Load Model'!E11+ED!B12</f>
        <v>2651395.9950000001</v>
      </c>
      <c r="K61" s="5">
        <f>'Rate Class Load Model'!E12+ED!B13</f>
        <v>2434551.17</v>
      </c>
      <c r="L61" s="26">
        <f>'Rate Class Load Model'!E13+ED!B14</f>
        <v>2453971.52</v>
      </c>
      <c r="M61" s="26">
        <f>'Rate Class Load Model'!E14+ED!B15</f>
        <v>2444044.9</v>
      </c>
      <c r="N61" s="5">
        <f>'Rate Class Load Model'!E15+ED!B16</f>
        <v>2446816.88</v>
      </c>
      <c r="O61" s="5">
        <f>'Rate Class Load Model'!E16+ED!B20</f>
        <v>2407491.3955241162</v>
      </c>
      <c r="P61" s="5">
        <f>'Rate Class Load Model'!E17+ED!B20</f>
        <v>2360293.988703947</v>
      </c>
    </row>
    <row r="63" spans="1:16" x14ac:dyDescent="0.2">
      <c r="A63" s="42" t="s">
        <v>48</v>
      </c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1:16" x14ac:dyDescent="0.2">
      <c r="A64" t="s">
        <v>37</v>
      </c>
      <c r="B64" s="245">
        <f t="shared" ref="B64:E66" si="8">B49-B59</f>
        <v>0</v>
      </c>
      <c r="C64" s="245">
        <f t="shared" si="8"/>
        <v>0</v>
      </c>
      <c r="D64" s="245">
        <f t="shared" si="8"/>
        <v>0</v>
      </c>
      <c r="E64" s="245">
        <f t="shared" si="8"/>
        <v>0</v>
      </c>
      <c r="F64" s="245">
        <f t="shared" ref="F64:O64" si="9">F49-F59</f>
        <v>0</v>
      </c>
      <c r="G64" s="245">
        <f t="shared" si="9"/>
        <v>0</v>
      </c>
      <c r="H64" s="245">
        <f t="shared" si="9"/>
        <v>0</v>
      </c>
      <c r="I64" s="245">
        <f t="shared" si="9"/>
        <v>0</v>
      </c>
      <c r="J64" s="245">
        <f t="shared" si="9"/>
        <v>0</v>
      </c>
      <c r="K64" s="245">
        <f t="shared" si="9"/>
        <v>0</v>
      </c>
      <c r="L64" s="245">
        <f t="shared" si="9"/>
        <v>0</v>
      </c>
      <c r="M64" s="245">
        <f t="shared" si="9"/>
        <v>0</v>
      </c>
      <c r="N64" s="245">
        <f t="shared" si="9"/>
        <v>0</v>
      </c>
      <c r="O64" s="245">
        <f t="shared" si="9"/>
        <v>0</v>
      </c>
      <c r="P64" s="245">
        <f t="shared" ref="P64" si="10">P49-P59</f>
        <v>0</v>
      </c>
    </row>
    <row r="65" spans="1:19" x14ac:dyDescent="0.2">
      <c r="A65" t="s">
        <v>26</v>
      </c>
      <c r="B65" s="245">
        <f t="shared" si="8"/>
        <v>0</v>
      </c>
      <c r="C65" s="245">
        <f t="shared" si="8"/>
        <v>0</v>
      </c>
      <c r="D65" s="245">
        <f t="shared" si="8"/>
        <v>0</v>
      </c>
      <c r="E65" s="245">
        <f t="shared" si="8"/>
        <v>0</v>
      </c>
      <c r="F65" s="245">
        <f t="shared" ref="F65:O65" si="11">F50-F60</f>
        <v>0</v>
      </c>
      <c r="G65" s="245">
        <f t="shared" si="11"/>
        <v>0</v>
      </c>
      <c r="H65" s="245">
        <f t="shared" si="11"/>
        <v>0</v>
      </c>
      <c r="I65" s="245">
        <f t="shared" si="11"/>
        <v>0</v>
      </c>
      <c r="J65" s="245">
        <f t="shared" si="11"/>
        <v>0</v>
      </c>
      <c r="K65" s="245">
        <f t="shared" si="11"/>
        <v>0</v>
      </c>
      <c r="L65" s="245">
        <f t="shared" si="11"/>
        <v>0</v>
      </c>
      <c r="M65" s="245">
        <f t="shared" si="11"/>
        <v>0</v>
      </c>
      <c r="N65" s="245">
        <f t="shared" si="11"/>
        <v>0</v>
      </c>
      <c r="O65" s="245">
        <f t="shared" si="11"/>
        <v>0</v>
      </c>
      <c r="P65" s="245">
        <f t="shared" ref="P65" si="12">P50-P60</f>
        <v>0</v>
      </c>
    </row>
    <row r="66" spans="1:19" x14ac:dyDescent="0.2">
      <c r="A66" t="s">
        <v>36</v>
      </c>
      <c r="B66" s="245">
        <f t="shared" si="8"/>
        <v>0</v>
      </c>
      <c r="C66" s="245">
        <f t="shared" si="8"/>
        <v>0</v>
      </c>
      <c r="D66" s="245">
        <f t="shared" si="8"/>
        <v>0</v>
      </c>
      <c r="E66" s="245">
        <f t="shared" si="8"/>
        <v>0</v>
      </c>
      <c r="F66" s="245">
        <f t="shared" ref="F66:O66" si="13">F51-F61</f>
        <v>0</v>
      </c>
      <c r="G66" s="245">
        <f t="shared" si="13"/>
        <v>0</v>
      </c>
      <c r="H66" s="245">
        <f t="shared" si="13"/>
        <v>0</v>
      </c>
      <c r="I66" s="245">
        <f t="shared" si="13"/>
        <v>0</v>
      </c>
      <c r="J66" s="245">
        <f t="shared" si="13"/>
        <v>0</v>
      </c>
      <c r="K66" s="245">
        <f t="shared" si="13"/>
        <v>0</v>
      </c>
      <c r="L66" s="245">
        <f t="shared" si="13"/>
        <v>0</v>
      </c>
      <c r="M66" s="245">
        <f t="shared" si="13"/>
        <v>0</v>
      </c>
      <c r="N66" s="245">
        <f t="shared" si="13"/>
        <v>0</v>
      </c>
      <c r="O66" s="245">
        <f t="shared" si="13"/>
        <v>0</v>
      </c>
      <c r="P66" s="245">
        <f t="shared" ref="P66" si="14">P51-P61</f>
        <v>0</v>
      </c>
    </row>
    <row r="69" spans="1:19" x14ac:dyDescent="0.2">
      <c r="B69" s="152">
        <v>2000</v>
      </c>
      <c r="C69" s="152">
        <v>2001</v>
      </c>
      <c r="D69" s="152">
        <v>2002</v>
      </c>
      <c r="E69" s="152">
        <v>2003</v>
      </c>
      <c r="F69" s="152">
        <v>2004</v>
      </c>
      <c r="G69" s="152">
        <v>2005</v>
      </c>
      <c r="H69" s="152">
        <v>2006</v>
      </c>
      <c r="I69" s="152">
        <v>2007</v>
      </c>
      <c r="J69" s="152">
        <v>2008</v>
      </c>
      <c r="K69" s="152">
        <v>2009</v>
      </c>
      <c r="L69" s="152">
        <v>2010</v>
      </c>
      <c r="M69" s="152">
        <v>2011</v>
      </c>
      <c r="N69" s="22">
        <v>2012</v>
      </c>
      <c r="S69" s="1"/>
    </row>
    <row r="70" spans="1:19" x14ac:dyDescent="0.2">
      <c r="A70" t="s">
        <v>119</v>
      </c>
      <c r="B70" s="153">
        <f t="shared" ref="B70:N70" si="15">B4/1000000</f>
        <v>1917.2873059999999</v>
      </c>
      <c r="C70" s="153">
        <f t="shared" si="15"/>
        <v>1963.8665109999999</v>
      </c>
      <c r="D70" s="153">
        <f t="shared" si="15"/>
        <v>2036.9125200000001</v>
      </c>
      <c r="E70" s="153">
        <f t="shared" si="15"/>
        <v>2013.2033730000001</v>
      </c>
      <c r="F70" s="153">
        <f t="shared" si="15"/>
        <v>2009.748106</v>
      </c>
      <c r="G70" s="153">
        <f t="shared" si="15"/>
        <v>2086.3640945742</v>
      </c>
      <c r="H70" s="153">
        <f t="shared" si="15"/>
        <v>1983.6457103185001</v>
      </c>
      <c r="I70" s="153">
        <f t="shared" si="15"/>
        <v>1978.9901764429999</v>
      </c>
      <c r="J70" s="153">
        <f t="shared" si="15"/>
        <v>1939.0644042694</v>
      </c>
      <c r="K70" s="153">
        <f t="shared" si="15"/>
        <v>1837.1331214989998</v>
      </c>
      <c r="L70" s="153">
        <f t="shared" si="15"/>
        <v>1892.6335194493545</v>
      </c>
      <c r="M70" s="153">
        <f t="shared" si="15"/>
        <v>1895.1972325334652</v>
      </c>
      <c r="N70" s="153">
        <f t="shared" si="15"/>
        <v>1885.7381183156619</v>
      </c>
      <c r="S70" s="1"/>
    </row>
    <row r="71" spans="1:19" x14ac:dyDescent="0.2">
      <c r="A71" t="s">
        <v>120</v>
      </c>
      <c r="B71" s="153">
        <f t="shared" ref="B71:N71" si="16">B5/1000000</f>
        <v>1917.2574335265592</v>
      </c>
      <c r="C71" s="153">
        <f t="shared" si="16"/>
        <v>1953.6410695566638</v>
      </c>
      <c r="D71" s="153">
        <f t="shared" si="16"/>
        <v>2001.0801729767593</v>
      </c>
      <c r="E71" s="153">
        <f t="shared" si="16"/>
        <v>1994.3850662226791</v>
      </c>
      <c r="F71" s="153">
        <f t="shared" si="16"/>
        <v>2002.4798822055197</v>
      </c>
      <c r="G71" s="153">
        <f t="shared" si="16"/>
        <v>2077.5782514867024</v>
      </c>
      <c r="H71" s="153">
        <f t="shared" si="16"/>
        <v>2011.4221243310665</v>
      </c>
      <c r="I71" s="153">
        <f t="shared" si="16"/>
        <v>1990.5979541714844</v>
      </c>
      <c r="J71" s="153">
        <f t="shared" si="16"/>
        <v>1963.2518616181324</v>
      </c>
      <c r="K71" s="153">
        <f t="shared" si="16"/>
        <v>1856.1745904812803</v>
      </c>
      <c r="L71" s="153">
        <f t="shared" si="16"/>
        <v>1889.6918551705751</v>
      </c>
      <c r="M71" s="153">
        <f t="shared" si="16"/>
        <v>1882.8410422231548</v>
      </c>
      <c r="N71" s="153">
        <f t="shared" si="16"/>
        <v>1867.9189017622916</v>
      </c>
      <c r="S71" s="1"/>
    </row>
    <row r="75" spans="1:19" x14ac:dyDescent="0.2">
      <c r="B75"/>
    </row>
  </sheetData>
  <mergeCells count="1">
    <mergeCell ref="A1:P1"/>
  </mergeCells>
  <phoneticPr fontId="0" type="noConversion"/>
  <pageMargins left="0.2" right="0.17" top="0.31" bottom="0.28999999999999998" header="0.23" footer="0.18"/>
  <pageSetup scale="61"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W53"/>
  <sheetViews>
    <sheetView workbookViewId="0">
      <selection activeCell="B12" sqref="B12"/>
    </sheetView>
  </sheetViews>
  <sheetFormatPr defaultRowHeight="12.75" x14ac:dyDescent="0.2"/>
  <cols>
    <col min="1" max="1" width="2.28515625" customWidth="1"/>
    <col min="2" max="2" width="33" bestFit="1" customWidth="1"/>
    <col min="3" max="3" width="10.140625" bestFit="1" customWidth="1"/>
    <col min="4" max="11" width="9.7109375" customWidth="1"/>
    <col min="12" max="15" width="10.7109375" customWidth="1"/>
    <col min="16" max="16" width="18.5703125" customWidth="1"/>
    <col min="17" max="17" width="18.28515625" customWidth="1"/>
    <col min="18" max="20" width="11.7109375" customWidth="1"/>
    <col min="21" max="21" width="22.85546875" customWidth="1"/>
  </cols>
  <sheetData>
    <row r="2" spans="2:23" ht="13.5" thickBot="1" x14ac:dyDescent="0.25"/>
    <row r="3" spans="2:23" x14ac:dyDescent="0.2">
      <c r="B3" s="537" t="s">
        <v>234</v>
      </c>
      <c r="C3" s="537" t="s">
        <v>235</v>
      </c>
      <c r="D3" s="539" t="s">
        <v>236</v>
      </c>
      <c r="E3" s="540"/>
      <c r="F3" s="540"/>
      <c r="G3" s="541"/>
      <c r="H3" s="545" t="s">
        <v>237</v>
      </c>
      <c r="I3" s="546"/>
      <c r="J3" s="546"/>
      <c r="K3" s="547"/>
      <c r="L3" s="539" t="s">
        <v>238</v>
      </c>
      <c r="M3" s="540"/>
      <c r="N3" s="540"/>
      <c r="O3" s="541"/>
      <c r="P3" s="526" t="s">
        <v>239</v>
      </c>
      <c r="Q3" s="526" t="s">
        <v>240</v>
      </c>
    </row>
    <row r="4" spans="2:23" ht="55.5" customHeight="1" thickBot="1" x14ac:dyDescent="0.25">
      <c r="B4" s="538"/>
      <c r="C4" s="538"/>
      <c r="D4" s="542"/>
      <c r="E4" s="543"/>
      <c r="F4" s="543"/>
      <c r="G4" s="544"/>
      <c r="H4" s="548"/>
      <c r="I4" s="549"/>
      <c r="J4" s="549"/>
      <c r="K4" s="550"/>
      <c r="L4" s="542"/>
      <c r="M4" s="543"/>
      <c r="N4" s="543"/>
      <c r="O4" s="544"/>
      <c r="P4" s="527"/>
      <c r="Q4" s="527"/>
      <c r="R4" s="315"/>
      <c r="S4" s="315"/>
      <c r="T4" s="315"/>
      <c r="U4" s="315"/>
    </row>
    <row r="5" spans="2:23" ht="16.5" thickBot="1" x14ac:dyDescent="0.3">
      <c r="B5" s="538"/>
      <c r="C5" s="538"/>
      <c r="D5" s="319">
        <v>2011</v>
      </c>
      <c r="E5" s="320">
        <v>2012</v>
      </c>
      <c r="F5" s="320">
        <v>2013</v>
      </c>
      <c r="G5" s="321">
        <v>2014</v>
      </c>
      <c r="H5" s="319">
        <v>2011</v>
      </c>
      <c r="I5" s="320">
        <v>2012</v>
      </c>
      <c r="J5" s="320">
        <v>2013</v>
      </c>
      <c r="K5" s="321">
        <v>2014</v>
      </c>
      <c r="L5" s="319">
        <v>2011</v>
      </c>
      <c r="M5" s="320">
        <v>2012</v>
      </c>
      <c r="N5" s="320">
        <v>2013</v>
      </c>
      <c r="O5" s="321">
        <v>2014</v>
      </c>
      <c r="P5" s="322">
        <v>2014</v>
      </c>
      <c r="Q5" s="322">
        <v>2014</v>
      </c>
      <c r="R5" s="315"/>
      <c r="S5" s="315"/>
      <c r="T5" s="315"/>
      <c r="U5" s="315"/>
    </row>
    <row r="6" spans="2:23" ht="6.6" customHeight="1" thickBot="1" x14ac:dyDescent="0.3">
      <c r="B6" s="323"/>
      <c r="C6" s="323"/>
      <c r="D6" s="324"/>
      <c r="E6" s="324"/>
      <c r="F6" s="324"/>
      <c r="G6" s="324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15"/>
      <c r="S6" s="315"/>
      <c r="T6" s="315"/>
      <c r="U6" s="315"/>
    </row>
    <row r="7" spans="2:23" ht="16.5" thickBot="1" x14ac:dyDescent="0.3">
      <c r="B7" s="528" t="s">
        <v>241</v>
      </c>
      <c r="C7" s="529"/>
      <c r="D7" s="529"/>
      <c r="E7" s="529"/>
      <c r="F7" s="529"/>
      <c r="G7" s="529"/>
      <c r="H7" s="529"/>
      <c r="I7" s="529"/>
      <c r="J7" s="529"/>
      <c r="K7" s="529"/>
      <c r="L7" s="529"/>
      <c r="M7" s="529"/>
      <c r="N7" s="529"/>
      <c r="O7" s="529"/>
      <c r="P7" s="529"/>
      <c r="Q7" s="529"/>
      <c r="R7" s="316" t="s">
        <v>242</v>
      </c>
      <c r="S7" s="316" t="s">
        <v>243</v>
      </c>
      <c r="T7" s="316" t="s">
        <v>244</v>
      </c>
      <c r="U7" s="325"/>
    </row>
    <row r="8" spans="2:23" ht="15" x14ac:dyDescent="0.25">
      <c r="B8" s="326" t="s">
        <v>245</v>
      </c>
      <c r="C8" s="279" t="s">
        <v>246</v>
      </c>
      <c r="D8" s="67">
        <v>631</v>
      </c>
      <c r="E8" s="317">
        <v>335</v>
      </c>
      <c r="F8" s="317"/>
      <c r="G8" s="327"/>
      <c r="H8" s="67">
        <v>36</v>
      </c>
      <c r="I8" s="317">
        <v>21</v>
      </c>
      <c r="J8" s="317">
        <v>25</v>
      </c>
      <c r="K8" s="327">
        <v>20</v>
      </c>
      <c r="L8" s="67">
        <v>262506</v>
      </c>
      <c r="M8" s="317">
        <v>144063</v>
      </c>
      <c r="N8" s="328">
        <v>150000</v>
      </c>
      <c r="O8" s="329">
        <v>130000</v>
      </c>
      <c r="P8" s="330">
        <f>SUM(H8:K8)</f>
        <v>102</v>
      </c>
      <c r="Q8" s="331">
        <f>(L8*4)+(M8*3)+(N8*2)+(O8)</f>
        <v>1912213</v>
      </c>
      <c r="R8" s="332">
        <f>Q8</f>
        <v>1912213</v>
      </c>
      <c r="S8" s="333"/>
      <c r="T8" s="333"/>
      <c r="U8" s="325" t="s">
        <v>113</v>
      </c>
    </row>
    <row r="9" spans="2:23" ht="15" x14ac:dyDescent="0.25">
      <c r="B9" s="326" t="s">
        <v>247</v>
      </c>
      <c r="C9" s="279" t="s">
        <v>246</v>
      </c>
      <c r="D9" s="67">
        <v>69</v>
      </c>
      <c r="E9" s="317">
        <v>2</v>
      </c>
      <c r="F9" s="317"/>
      <c r="G9" s="327"/>
      <c r="H9" s="67">
        <v>7</v>
      </c>
      <c r="I9" s="317">
        <v>0</v>
      </c>
      <c r="J9" s="317">
        <v>5</v>
      </c>
      <c r="K9" s="327">
        <v>5</v>
      </c>
      <c r="L9" s="67">
        <v>8561</v>
      </c>
      <c r="M9" s="317">
        <v>364</v>
      </c>
      <c r="N9" s="328">
        <v>5000</v>
      </c>
      <c r="O9" s="329">
        <v>5000</v>
      </c>
      <c r="P9" s="330">
        <f>SUM(H9:K9)</f>
        <v>17</v>
      </c>
      <c r="Q9" s="331">
        <f>(L9*4)+(M9*3)+(N9*2)+(O9)</f>
        <v>50336</v>
      </c>
      <c r="R9" s="332">
        <f>Q9</f>
        <v>50336</v>
      </c>
      <c r="S9" s="333"/>
      <c r="T9" s="333"/>
      <c r="U9" s="325" t="s">
        <v>113</v>
      </c>
    </row>
    <row r="10" spans="2:23" ht="15" x14ac:dyDescent="0.25">
      <c r="B10" s="326" t="s">
        <v>248</v>
      </c>
      <c r="C10" s="279" t="s">
        <v>249</v>
      </c>
      <c r="D10" s="67">
        <v>2261</v>
      </c>
      <c r="E10" s="317">
        <v>1760</v>
      </c>
      <c r="F10" s="317"/>
      <c r="G10" s="327"/>
      <c r="H10" s="67">
        <v>642</v>
      </c>
      <c r="I10" s="317">
        <v>541</v>
      </c>
      <c r="J10" s="317">
        <v>600</v>
      </c>
      <c r="K10" s="327">
        <v>600</v>
      </c>
      <c r="L10" s="67">
        <v>1178372</v>
      </c>
      <c r="M10" s="317">
        <v>996900</v>
      </c>
      <c r="N10" s="328">
        <v>1200000</v>
      </c>
      <c r="O10" s="329">
        <v>1100000</v>
      </c>
      <c r="P10" s="330">
        <f>SUM(H10:K10)</f>
        <v>2383</v>
      </c>
      <c r="Q10" s="331">
        <f>(L10*4)+(M10*3)+(N10*2)+(O10)</f>
        <v>11204188</v>
      </c>
      <c r="R10" s="332">
        <f>+Q10*90%</f>
        <v>10083769.200000001</v>
      </c>
      <c r="S10" s="333">
        <f>+Q10*10%</f>
        <v>1120418.8</v>
      </c>
      <c r="T10" s="333"/>
      <c r="U10" s="325" t="s">
        <v>302</v>
      </c>
    </row>
    <row r="11" spans="2:23" ht="15" x14ac:dyDescent="0.25">
      <c r="B11" s="326" t="s">
        <v>303</v>
      </c>
      <c r="C11" s="279" t="s">
        <v>250</v>
      </c>
      <c r="D11" s="67">
        <v>8184</v>
      </c>
      <c r="E11" s="317">
        <v>42</v>
      </c>
      <c r="F11" s="317"/>
      <c r="G11" s="327"/>
      <c r="H11" s="67">
        <v>19</v>
      </c>
      <c r="I11" s="317">
        <v>5</v>
      </c>
      <c r="J11" s="317">
        <v>25</v>
      </c>
      <c r="K11" s="327">
        <v>25</v>
      </c>
      <c r="L11" s="67">
        <v>305679</v>
      </c>
      <c r="M11" s="317">
        <v>1789</v>
      </c>
      <c r="N11" s="328">
        <v>300000</v>
      </c>
      <c r="O11" s="329">
        <v>300000</v>
      </c>
      <c r="P11" s="330">
        <f>SUM(H11:K11)</f>
        <v>74</v>
      </c>
      <c r="Q11" s="331">
        <f>(L11*4)+(M11*3)+(N11*2)+(O11)</f>
        <v>2128083</v>
      </c>
      <c r="R11" s="332">
        <f>Q11</f>
        <v>2128083</v>
      </c>
      <c r="S11" s="333"/>
      <c r="T11" s="333"/>
      <c r="U11" s="325" t="s">
        <v>113</v>
      </c>
    </row>
    <row r="12" spans="2:23" ht="15" x14ac:dyDescent="0.25">
      <c r="B12" s="326" t="s">
        <v>251</v>
      </c>
      <c r="C12" s="279" t="s">
        <v>250</v>
      </c>
      <c r="D12" s="67">
        <v>14195</v>
      </c>
      <c r="E12" s="317">
        <v>5138</v>
      </c>
      <c r="F12" s="317"/>
      <c r="G12" s="327"/>
      <c r="H12" s="67">
        <v>27</v>
      </c>
      <c r="I12" s="317">
        <v>11</v>
      </c>
      <c r="J12" s="317">
        <v>10</v>
      </c>
      <c r="K12" s="327">
        <v>10</v>
      </c>
      <c r="L12" s="67">
        <v>479313</v>
      </c>
      <c r="M12" s="317">
        <v>200227</v>
      </c>
      <c r="N12" s="328">
        <v>350000</v>
      </c>
      <c r="O12" s="329">
        <v>300000</v>
      </c>
      <c r="P12" s="330">
        <f>SUM(H12:K12)</f>
        <v>58</v>
      </c>
      <c r="Q12" s="331">
        <f>(L12*4)+(M12*3)+(N12*2)+(O12)</f>
        <v>3517933</v>
      </c>
      <c r="R12" s="332">
        <f>Q12</f>
        <v>3517933</v>
      </c>
      <c r="S12" s="333"/>
      <c r="T12" s="333"/>
      <c r="U12" s="325" t="s">
        <v>113</v>
      </c>
    </row>
    <row r="13" spans="2:23" ht="15" x14ac:dyDescent="0.25">
      <c r="B13" s="334" t="s">
        <v>252</v>
      </c>
      <c r="C13" s="335" t="s">
        <v>253</v>
      </c>
      <c r="D13" s="336">
        <v>271</v>
      </c>
      <c r="E13" s="337">
        <v>271</v>
      </c>
      <c r="F13" s="337"/>
      <c r="G13" s="338"/>
      <c r="H13" s="336">
        <v>152</v>
      </c>
      <c r="I13" s="337">
        <v>152</v>
      </c>
      <c r="J13" s="337">
        <v>750</v>
      </c>
      <c r="K13" s="338">
        <v>2000</v>
      </c>
      <c r="L13" s="336">
        <v>0</v>
      </c>
      <c r="M13" s="337">
        <v>0</v>
      </c>
      <c r="N13" s="339">
        <v>0</v>
      </c>
      <c r="O13" s="340">
        <v>0</v>
      </c>
      <c r="P13" s="341">
        <f>K13</f>
        <v>2000</v>
      </c>
      <c r="Q13" s="342">
        <v>0</v>
      </c>
      <c r="R13" s="333"/>
      <c r="S13" s="333"/>
      <c r="T13" s="333"/>
      <c r="U13" s="325"/>
    </row>
    <row r="14" spans="2:23" ht="15.75" thickBot="1" x14ac:dyDescent="0.3">
      <c r="B14" s="343" t="s">
        <v>254</v>
      </c>
      <c r="C14" s="344"/>
      <c r="D14" s="345"/>
      <c r="E14" s="346"/>
      <c r="F14" s="346"/>
      <c r="G14" s="347"/>
      <c r="H14" s="345">
        <f>SUM(H8:H12)</f>
        <v>731</v>
      </c>
      <c r="I14" s="345">
        <f>SUM(I8:I12)</f>
        <v>578</v>
      </c>
      <c r="J14" s="345">
        <f>SUM(J8:J12)</f>
        <v>665</v>
      </c>
      <c r="K14" s="347">
        <f>SUM(K8:K12)</f>
        <v>660</v>
      </c>
      <c r="L14" s="345">
        <v>2234431</v>
      </c>
      <c r="M14" s="346">
        <f>SUM(M8:M13)</f>
        <v>1343343</v>
      </c>
      <c r="N14" s="348">
        <f>SUM(N8:N13)</f>
        <v>2005000</v>
      </c>
      <c r="O14" s="349">
        <f>SUM(O8:O13)</f>
        <v>1835000</v>
      </c>
      <c r="P14" s="350">
        <f>SUM(P8:P13)</f>
        <v>4634</v>
      </c>
      <c r="Q14" s="351">
        <f>SUM(Q8:Q13)</f>
        <v>18812753</v>
      </c>
      <c r="R14" s="333"/>
      <c r="S14" s="333"/>
      <c r="T14" s="333"/>
      <c r="U14" s="325"/>
      <c r="W14" s="352"/>
    </row>
    <row r="15" spans="2:23" ht="6.6" customHeight="1" thickBot="1" x14ac:dyDescent="0.25">
      <c r="B15" s="353"/>
      <c r="C15" s="353"/>
      <c r="D15" s="354"/>
      <c r="E15" s="354"/>
      <c r="F15" s="354"/>
      <c r="G15" s="354"/>
      <c r="H15" s="354"/>
      <c r="I15" s="354"/>
      <c r="J15" s="354"/>
      <c r="K15" s="354"/>
      <c r="L15" s="354"/>
      <c r="M15" s="354"/>
      <c r="N15" s="355"/>
      <c r="O15" s="355"/>
      <c r="P15" s="355"/>
      <c r="R15" s="333"/>
      <c r="S15" s="333"/>
      <c r="T15" s="333"/>
      <c r="U15" s="325"/>
    </row>
    <row r="16" spans="2:23" ht="16.5" thickBot="1" x14ac:dyDescent="0.3">
      <c r="B16" s="528" t="s">
        <v>255</v>
      </c>
      <c r="C16" s="530"/>
      <c r="D16" s="530"/>
      <c r="E16" s="530"/>
      <c r="F16" s="530"/>
      <c r="G16" s="530"/>
      <c r="H16" s="530"/>
      <c r="I16" s="530"/>
      <c r="J16" s="530"/>
      <c r="K16" s="530"/>
      <c r="L16" s="530"/>
      <c r="M16" s="530"/>
      <c r="N16" s="530"/>
      <c r="O16" s="530"/>
      <c r="P16" s="530"/>
      <c r="Q16" s="530"/>
      <c r="R16" s="333"/>
      <c r="S16" s="333"/>
      <c r="T16" s="333"/>
      <c r="U16" s="325"/>
    </row>
    <row r="17" spans="2:21" ht="15" x14ac:dyDescent="0.25">
      <c r="B17" s="326" t="s">
        <v>256</v>
      </c>
      <c r="C17" s="279" t="s">
        <v>257</v>
      </c>
      <c r="D17" s="67">
        <v>50</v>
      </c>
      <c r="E17" s="317">
        <v>92</v>
      </c>
      <c r="F17" s="317"/>
      <c r="G17" s="327"/>
      <c r="H17" s="109">
        <v>564</v>
      </c>
      <c r="I17" s="317">
        <v>741</v>
      </c>
      <c r="J17" s="317">
        <v>1655</v>
      </c>
      <c r="K17" s="356">
        <v>900</v>
      </c>
      <c r="L17" s="67">
        <v>3057370</v>
      </c>
      <c r="M17" s="317">
        <v>3572196</v>
      </c>
      <c r="N17" s="328">
        <v>7000000</v>
      </c>
      <c r="O17" s="329">
        <v>4850000</v>
      </c>
      <c r="P17" s="109">
        <f>SUM(H17:K17)</f>
        <v>3860</v>
      </c>
      <c r="Q17" s="356">
        <f>(L17*4)+(M17*3)+(N17*2)+(O17)</f>
        <v>41796068</v>
      </c>
      <c r="R17" s="333"/>
      <c r="S17" s="332">
        <f>Q17*0.12</f>
        <v>5015528.16</v>
      </c>
      <c r="T17" s="332">
        <f>Q17*0.88</f>
        <v>36780539.840000004</v>
      </c>
      <c r="U17" s="325" t="s">
        <v>258</v>
      </c>
    </row>
    <row r="18" spans="2:21" ht="15" x14ac:dyDescent="0.25">
      <c r="B18" s="326" t="s">
        <v>259</v>
      </c>
      <c r="C18" s="279" t="s">
        <v>257</v>
      </c>
      <c r="D18" s="67">
        <v>239</v>
      </c>
      <c r="E18" s="317">
        <v>172</v>
      </c>
      <c r="F18" s="317"/>
      <c r="G18" s="327"/>
      <c r="H18" s="109">
        <v>261</v>
      </c>
      <c r="I18" s="317">
        <v>333</v>
      </c>
      <c r="J18" s="317">
        <v>350</v>
      </c>
      <c r="K18" s="356">
        <v>350</v>
      </c>
      <c r="L18" s="67">
        <v>631336</v>
      </c>
      <c r="M18" s="317">
        <v>838891</v>
      </c>
      <c r="N18" s="328">
        <v>1000000</v>
      </c>
      <c r="O18" s="328">
        <v>1000000</v>
      </c>
      <c r="P18" s="109">
        <f>SUM(H18:K18)</f>
        <v>1294</v>
      </c>
      <c r="Q18" s="356">
        <f>(L18*4)+(M18*3)+(N18*2)+(O18)</f>
        <v>8042017</v>
      </c>
      <c r="R18" s="333"/>
      <c r="S18" s="332">
        <f>Q18</f>
        <v>8042017</v>
      </c>
      <c r="T18" s="333"/>
      <c r="U18" s="325" t="s">
        <v>243</v>
      </c>
    </row>
    <row r="19" spans="2:21" ht="15" x14ac:dyDescent="0.25">
      <c r="B19" s="334" t="s">
        <v>260</v>
      </c>
      <c r="C19" s="335"/>
      <c r="D19" s="336">
        <v>9</v>
      </c>
      <c r="E19" s="337">
        <v>9</v>
      </c>
      <c r="F19" s="337"/>
      <c r="G19" s="338"/>
      <c r="H19" s="341">
        <v>6</v>
      </c>
      <c r="I19" s="337">
        <v>6</v>
      </c>
      <c r="J19" s="337">
        <v>100</v>
      </c>
      <c r="K19" s="357">
        <v>150</v>
      </c>
      <c r="L19" s="336">
        <v>0</v>
      </c>
      <c r="M19" s="337">
        <v>0</v>
      </c>
      <c r="N19" s="358">
        <v>0</v>
      </c>
      <c r="O19" s="358">
        <v>0</v>
      </c>
      <c r="P19" s="341">
        <f>K19</f>
        <v>150</v>
      </c>
      <c r="Q19" s="357">
        <v>0</v>
      </c>
      <c r="R19" s="333"/>
      <c r="S19" s="333"/>
      <c r="T19" s="333"/>
      <c r="U19" s="325"/>
    </row>
    <row r="20" spans="2:21" ht="15" x14ac:dyDescent="0.25">
      <c r="B20" s="334" t="s">
        <v>261</v>
      </c>
      <c r="C20" s="335" t="s">
        <v>262</v>
      </c>
      <c r="D20" s="336">
        <v>4</v>
      </c>
      <c r="E20" s="337">
        <v>8</v>
      </c>
      <c r="F20" s="337"/>
      <c r="G20" s="338"/>
      <c r="H20" s="341">
        <v>455</v>
      </c>
      <c r="I20" s="337">
        <v>579</v>
      </c>
      <c r="J20" s="337">
        <v>600</v>
      </c>
      <c r="K20" s="357">
        <v>600</v>
      </c>
      <c r="L20" s="336">
        <v>17768</v>
      </c>
      <c r="M20" s="337">
        <v>22681</v>
      </c>
      <c r="N20" s="358">
        <v>0</v>
      </c>
      <c r="O20" s="358">
        <v>0</v>
      </c>
      <c r="P20" s="341">
        <f>K20</f>
        <v>600</v>
      </c>
      <c r="Q20" s="357">
        <v>40449</v>
      </c>
      <c r="R20" s="333"/>
      <c r="S20" s="333"/>
      <c r="T20" s="332">
        <f>Q20</f>
        <v>40449</v>
      </c>
      <c r="U20" s="325" t="s">
        <v>244</v>
      </c>
    </row>
    <row r="21" spans="2:21" ht="15.75" thickBot="1" x14ac:dyDescent="0.3">
      <c r="B21" s="359" t="s">
        <v>263</v>
      </c>
      <c r="C21" s="360"/>
      <c r="D21" s="68"/>
      <c r="E21" s="69"/>
      <c r="F21" s="69"/>
      <c r="G21" s="70"/>
      <c r="H21" s="361">
        <f>SUM(H17:H18)</f>
        <v>825</v>
      </c>
      <c r="I21" s="361">
        <f>SUM(I17:I18)</f>
        <v>1074</v>
      </c>
      <c r="J21" s="362">
        <f>SUM(J17:J18)</f>
        <v>2005</v>
      </c>
      <c r="K21" s="363">
        <f>SUM(K17:K18)</f>
        <v>1250</v>
      </c>
      <c r="L21" s="364">
        <f>SUM(L17:L20)</f>
        <v>3706474</v>
      </c>
      <c r="M21" s="362">
        <f>SUM(M17:M20)</f>
        <v>4433768</v>
      </c>
      <c r="N21" s="365">
        <f t="shared" ref="N21:Q21" si="0">SUM(N17:N20)</f>
        <v>8000000</v>
      </c>
      <c r="O21" s="366">
        <f t="shared" si="0"/>
        <v>5850000</v>
      </c>
      <c r="P21" s="361">
        <f t="shared" si="0"/>
        <v>5904</v>
      </c>
      <c r="Q21" s="363">
        <f t="shared" si="0"/>
        <v>49878534</v>
      </c>
      <c r="R21" s="333"/>
      <c r="S21" s="333"/>
      <c r="T21" s="333"/>
      <c r="U21" s="325"/>
    </row>
    <row r="22" spans="2:21" ht="7.9" customHeight="1" thickBot="1" x14ac:dyDescent="0.25">
      <c r="B22" s="353"/>
      <c r="C22" s="353"/>
      <c r="D22" s="354"/>
      <c r="E22" s="354"/>
      <c r="F22" s="354"/>
      <c r="G22" s="354"/>
      <c r="H22" s="354"/>
      <c r="I22" s="354"/>
      <c r="J22" s="354"/>
      <c r="K22" s="354"/>
      <c r="L22" s="354"/>
      <c r="M22" s="354"/>
      <c r="N22" s="354"/>
      <c r="O22" s="354"/>
      <c r="P22" s="355"/>
      <c r="R22" s="333"/>
      <c r="S22" s="333"/>
      <c r="T22" s="333"/>
      <c r="U22" s="325"/>
    </row>
    <row r="23" spans="2:21" ht="16.5" thickBot="1" x14ac:dyDescent="0.3">
      <c r="B23" s="531"/>
      <c r="C23" s="530"/>
      <c r="D23" s="530"/>
      <c r="E23" s="530"/>
      <c r="F23" s="530"/>
      <c r="G23" s="530"/>
      <c r="H23" s="530"/>
      <c r="I23" s="530"/>
      <c r="J23" s="530"/>
      <c r="K23" s="530"/>
      <c r="L23" s="530"/>
      <c r="M23" s="530"/>
      <c r="N23" s="530"/>
      <c r="O23" s="530"/>
      <c r="P23" s="530"/>
      <c r="Q23" s="530"/>
      <c r="R23" s="333"/>
      <c r="S23" s="333"/>
      <c r="T23" s="333"/>
      <c r="U23" s="325"/>
    </row>
    <row r="24" spans="2:21" ht="15" x14ac:dyDescent="0.25">
      <c r="B24" s="326" t="s">
        <v>256</v>
      </c>
      <c r="C24" s="279" t="s">
        <v>257</v>
      </c>
      <c r="D24" s="67">
        <v>10</v>
      </c>
      <c r="E24" s="317">
        <v>0</v>
      </c>
      <c r="F24" s="317"/>
      <c r="G24" s="327"/>
      <c r="H24" s="67"/>
      <c r="I24" s="317"/>
      <c r="J24" s="317"/>
      <c r="K24" s="327"/>
      <c r="L24" s="67">
        <v>271185</v>
      </c>
      <c r="M24" s="317">
        <v>0</v>
      </c>
      <c r="N24" s="328">
        <v>0</v>
      </c>
      <c r="O24" s="329">
        <v>0</v>
      </c>
      <c r="P24" s="109">
        <f>SUM(H24:K24)</f>
        <v>0</v>
      </c>
      <c r="Q24" s="356">
        <f>(L24*4)+(M24*3)+(N24*2)+(O24)</f>
        <v>1084740</v>
      </c>
      <c r="R24" s="333"/>
      <c r="S24" s="333"/>
      <c r="T24" s="333">
        <f>Q24</f>
        <v>1084740</v>
      </c>
      <c r="U24" s="325" t="s">
        <v>244</v>
      </c>
    </row>
    <row r="25" spans="2:21" ht="15" x14ac:dyDescent="0.25">
      <c r="B25" s="334" t="s">
        <v>261</v>
      </c>
      <c r="C25" s="335" t="s">
        <v>262</v>
      </c>
      <c r="D25" s="336">
        <v>4</v>
      </c>
      <c r="E25" s="337">
        <v>3</v>
      </c>
      <c r="F25" s="337"/>
      <c r="G25" s="338"/>
      <c r="H25" s="336">
        <v>1453</v>
      </c>
      <c r="I25" s="337">
        <v>1226</v>
      </c>
      <c r="J25" s="337">
        <v>1500</v>
      </c>
      <c r="K25" s="338">
        <v>1500</v>
      </c>
      <c r="L25" s="336">
        <v>85285</v>
      </c>
      <c r="M25" s="337">
        <v>71988</v>
      </c>
      <c r="N25" s="358">
        <v>0</v>
      </c>
      <c r="O25" s="367">
        <v>0</v>
      </c>
      <c r="P25" s="341">
        <f>K25</f>
        <v>1500</v>
      </c>
      <c r="Q25" s="357">
        <v>157273</v>
      </c>
      <c r="R25" s="333"/>
      <c r="S25" s="333"/>
      <c r="T25" s="333">
        <f>Q25</f>
        <v>157273</v>
      </c>
      <c r="U25" s="325" t="s">
        <v>244</v>
      </c>
    </row>
    <row r="26" spans="2:21" ht="15.75" thickBot="1" x14ac:dyDescent="0.3">
      <c r="B26" s="359" t="s">
        <v>264</v>
      </c>
      <c r="C26" s="368"/>
      <c r="D26" s="364"/>
      <c r="E26" s="362"/>
      <c r="F26" s="362"/>
      <c r="G26" s="369"/>
      <c r="H26" s="364"/>
      <c r="I26" s="362"/>
      <c r="J26" s="362"/>
      <c r="K26" s="369"/>
      <c r="L26" s="364">
        <f>SUM(L24:L25)</f>
        <v>356470</v>
      </c>
      <c r="M26" s="364">
        <f>SUM(M24:M25)</f>
        <v>71988</v>
      </c>
      <c r="N26" s="365">
        <v>0</v>
      </c>
      <c r="O26" s="366">
        <v>0</v>
      </c>
      <c r="P26" s="361">
        <f>SUM(P24:P25)</f>
        <v>1500</v>
      </c>
      <c r="Q26" s="363">
        <f>SUM(Q24:Q25)</f>
        <v>1242013</v>
      </c>
      <c r="R26" s="333"/>
      <c r="S26" s="333"/>
      <c r="T26" s="333"/>
      <c r="U26" s="325"/>
    </row>
    <row r="27" spans="2:21" ht="8.4499999999999993" customHeight="1" thickBot="1" x14ac:dyDescent="0.25">
      <c r="B27" s="353"/>
      <c r="C27" s="353"/>
      <c r="D27" s="354"/>
      <c r="E27" s="354"/>
      <c r="F27" s="354"/>
      <c r="G27" s="354"/>
      <c r="H27" s="354"/>
      <c r="I27" s="354"/>
      <c r="J27" s="354"/>
      <c r="K27" s="354"/>
      <c r="L27" s="354"/>
      <c r="M27" s="354"/>
      <c r="N27" s="354"/>
      <c r="O27" s="354"/>
      <c r="P27" s="355"/>
      <c r="Q27" s="355"/>
      <c r="R27" s="333"/>
      <c r="S27" s="333"/>
      <c r="T27" s="333"/>
      <c r="U27" s="325"/>
    </row>
    <row r="28" spans="2:21" ht="15.75" thickBot="1" x14ac:dyDescent="0.3">
      <c r="B28" s="532" t="s">
        <v>265</v>
      </c>
      <c r="C28" s="533"/>
      <c r="D28" s="533"/>
      <c r="E28" s="533"/>
      <c r="F28" s="533"/>
      <c r="G28" s="533"/>
      <c r="H28" s="533"/>
      <c r="I28" s="533"/>
      <c r="J28" s="533"/>
      <c r="K28" s="533"/>
      <c r="L28" s="533"/>
      <c r="M28" s="533"/>
      <c r="N28" s="533"/>
      <c r="O28" s="533"/>
      <c r="P28" s="533"/>
      <c r="Q28" s="533"/>
      <c r="R28" s="333"/>
      <c r="S28" s="333"/>
      <c r="T28" s="333"/>
      <c r="U28" s="325"/>
    </row>
    <row r="29" spans="2:21" ht="15" x14ac:dyDescent="0.25">
      <c r="B29" s="326" t="s">
        <v>266</v>
      </c>
      <c r="C29" s="279"/>
      <c r="D29" s="67">
        <v>68</v>
      </c>
      <c r="E29" s="317">
        <v>0</v>
      </c>
      <c r="F29" s="317"/>
      <c r="G29" s="327"/>
      <c r="H29" s="67">
        <v>964</v>
      </c>
      <c r="I29" s="317">
        <v>0</v>
      </c>
      <c r="J29" s="317">
        <v>0</v>
      </c>
      <c r="K29" s="327">
        <v>0</v>
      </c>
      <c r="L29" s="67">
        <v>6580023</v>
      </c>
      <c r="M29" s="317">
        <v>0</v>
      </c>
      <c r="N29" s="328">
        <v>0</v>
      </c>
      <c r="O29" s="329">
        <v>0</v>
      </c>
      <c r="P29" s="109">
        <f>SUM(H29:K29)</f>
        <v>964</v>
      </c>
      <c r="Q29" s="356">
        <f>(L29*4)+(M29*3)+(N29*2)+(O29)</f>
        <v>26320092</v>
      </c>
      <c r="R29" s="333"/>
      <c r="S29" s="332">
        <f>Q29*0.12</f>
        <v>3158411.04</v>
      </c>
      <c r="T29" s="332">
        <f>Q29*0.88</f>
        <v>23161680.960000001</v>
      </c>
      <c r="U29" s="325" t="s">
        <v>258</v>
      </c>
    </row>
    <row r="30" spans="2:21" ht="15" x14ac:dyDescent="0.25">
      <c r="B30" s="326" t="s">
        <v>267</v>
      </c>
      <c r="C30" s="279"/>
      <c r="D30" s="67">
        <v>0</v>
      </c>
      <c r="E30" s="317">
        <v>1</v>
      </c>
      <c r="F30" s="317"/>
      <c r="G30" s="327"/>
      <c r="H30" s="67">
        <v>1</v>
      </c>
      <c r="I30" s="317">
        <v>134</v>
      </c>
      <c r="J30" s="317">
        <v>15</v>
      </c>
      <c r="K30" s="327">
        <v>0</v>
      </c>
      <c r="L30" s="67">
        <v>5230</v>
      </c>
      <c r="M30" s="317">
        <v>712344</v>
      </c>
      <c r="N30" s="328">
        <v>0</v>
      </c>
      <c r="O30" s="329">
        <v>0</v>
      </c>
      <c r="P30" s="109">
        <f>SUM(H30:K30)</f>
        <v>150</v>
      </c>
      <c r="Q30" s="356">
        <f>(L30*4)+(M30*3)+(N30*2)+(O30)</f>
        <v>2157952</v>
      </c>
      <c r="R30" s="333"/>
      <c r="S30" s="333"/>
      <c r="T30" s="332">
        <f>Q30</f>
        <v>2157952</v>
      </c>
      <c r="U30" s="325" t="s">
        <v>244</v>
      </c>
    </row>
    <row r="31" spans="2:21" ht="15.75" thickBot="1" x14ac:dyDescent="0.3">
      <c r="B31" s="359" t="s">
        <v>268</v>
      </c>
      <c r="C31" s="368"/>
      <c r="D31" s="364"/>
      <c r="E31" s="362"/>
      <c r="F31" s="362"/>
      <c r="G31" s="369"/>
      <c r="H31" s="351">
        <f>SUM(H29:H30)</f>
        <v>965</v>
      </c>
      <c r="I31" s="362">
        <f>SUM(I29:I30)</f>
        <v>134</v>
      </c>
      <c r="J31" s="362">
        <f>SUM(J29:J30)</f>
        <v>15</v>
      </c>
      <c r="K31" s="369">
        <f>SUM(K29:K30)</f>
        <v>0</v>
      </c>
      <c r="L31" s="364">
        <v>6585253</v>
      </c>
      <c r="M31" s="362">
        <v>712344</v>
      </c>
      <c r="N31" s="365">
        <v>0</v>
      </c>
      <c r="O31" s="366">
        <v>0</v>
      </c>
      <c r="P31" s="361">
        <f>SUM(P29:P30)</f>
        <v>1114</v>
      </c>
      <c r="Q31" s="363">
        <f>SUM(Q29:Q30)</f>
        <v>28478044</v>
      </c>
      <c r="R31" s="333"/>
      <c r="S31" s="333"/>
      <c r="T31" s="333"/>
      <c r="U31" s="325"/>
    </row>
    <row r="32" spans="2:21" ht="13.5" thickBot="1" x14ac:dyDescent="0.25">
      <c r="N32" s="64"/>
      <c r="O32" s="64"/>
      <c r="R32" s="333"/>
      <c r="S32" s="333"/>
      <c r="T32" s="333"/>
      <c r="U32" s="325"/>
    </row>
    <row r="33" spans="2:21" ht="15.75" thickBot="1" x14ac:dyDescent="0.3">
      <c r="B33" s="370" t="s">
        <v>269</v>
      </c>
      <c r="C33" s="534"/>
      <c r="D33" s="535"/>
      <c r="E33" s="535"/>
      <c r="F33" s="535"/>
      <c r="G33" s="535"/>
      <c r="H33" s="535"/>
      <c r="I33" s="535"/>
      <c r="J33" s="535"/>
      <c r="K33" s="536"/>
      <c r="L33" s="371">
        <v>12882629</v>
      </c>
      <c r="M33" s="371">
        <f>M31+M26+M21+M14</f>
        <v>6561443</v>
      </c>
      <c r="N33" s="371">
        <f>N31+N26+N21+N14</f>
        <v>10005000</v>
      </c>
      <c r="O33" s="371">
        <f>O31+O26+O21+O14</f>
        <v>7685000</v>
      </c>
      <c r="P33" s="371">
        <f>P31+P26+P21+P14</f>
        <v>13152</v>
      </c>
      <c r="Q33" s="372">
        <f>Q31+Q26+Q21+Q14</f>
        <v>98411344</v>
      </c>
      <c r="R33" s="373">
        <f>SUM(R8:R32)</f>
        <v>17692334.200000003</v>
      </c>
      <c r="S33" s="373">
        <f>SUM(S8:S32)</f>
        <v>17336375</v>
      </c>
      <c r="T33" s="373">
        <f>SUM(T8:T32)</f>
        <v>63382634.800000004</v>
      </c>
      <c r="U33" s="325"/>
    </row>
    <row r="34" spans="2:21" ht="13.5" thickBot="1" x14ac:dyDescent="0.25">
      <c r="L34" s="64" t="s">
        <v>270</v>
      </c>
      <c r="Q34" t="s">
        <v>270</v>
      </c>
      <c r="R34" s="352">
        <f>+R33/Q33</f>
        <v>0.17977941851906831</v>
      </c>
      <c r="S34" s="352">
        <f>+S33/Q33</f>
        <v>0.17616236396486973</v>
      </c>
      <c r="T34" s="352">
        <f>+T33/Q33</f>
        <v>0.64405821751606207</v>
      </c>
    </row>
    <row r="35" spans="2:21" ht="15.75" thickBot="1" x14ac:dyDescent="0.3">
      <c r="M35" s="525" t="s">
        <v>271</v>
      </c>
      <c r="N35" s="525"/>
      <c r="O35" s="525"/>
      <c r="P35" s="371">
        <v>21560</v>
      </c>
      <c r="Q35" s="371">
        <v>90290000</v>
      </c>
      <c r="U35" s="64" t="s">
        <v>270</v>
      </c>
    </row>
    <row r="36" spans="2:21" ht="13.5" thickBot="1" x14ac:dyDescent="0.25"/>
    <row r="37" spans="2:21" ht="15.75" thickBot="1" x14ac:dyDescent="0.3">
      <c r="B37" s="374"/>
      <c r="M37" s="525" t="s">
        <v>272</v>
      </c>
      <c r="N37" s="525"/>
      <c r="O37" s="525"/>
      <c r="P37" s="375">
        <f>P33/P35</f>
        <v>0.61001855287569573</v>
      </c>
      <c r="Q37" s="375">
        <f>Q33/Q35</f>
        <v>1.0899473252851921</v>
      </c>
    </row>
    <row r="38" spans="2:21" x14ac:dyDescent="0.2">
      <c r="B38" s="374"/>
    </row>
    <row r="52" spans="2:2" x14ac:dyDescent="0.2">
      <c r="B52" s="374"/>
    </row>
    <row r="53" spans="2:2" x14ac:dyDescent="0.2">
      <c r="B53" s="374"/>
    </row>
  </sheetData>
  <mergeCells count="14">
    <mergeCell ref="M35:O35"/>
    <mergeCell ref="M37:O37"/>
    <mergeCell ref="Q3:Q4"/>
    <mergeCell ref="B7:Q7"/>
    <mergeCell ref="B16:Q16"/>
    <mergeCell ref="B23:Q23"/>
    <mergeCell ref="B28:Q28"/>
    <mergeCell ref="C33:K33"/>
    <mergeCell ref="B3:B5"/>
    <mergeCell ref="C3:C5"/>
    <mergeCell ref="D3:G4"/>
    <mergeCell ref="H3:K4"/>
    <mergeCell ref="L3:O4"/>
    <mergeCell ref="P3:P4"/>
  </mergeCells>
  <pageMargins left="0.17" right="0.18" top="0.75" bottom="0.75" header="0.3" footer="0.3"/>
  <pageSetup scale="5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750"/>
  <sheetViews>
    <sheetView topLeftCell="A283" workbookViewId="0">
      <selection activeCell="H307" sqref="H307"/>
    </sheetView>
  </sheetViews>
  <sheetFormatPr defaultRowHeight="14.25" x14ac:dyDescent="0.2"/>
  <cols>
    <col min="1" max="1" width="9.140625" style="72"/>
    <col min="2" max="2" width="23.7109375" style="72" customWidth="1"/>
    <col min="3" max="3" width="22.7109375" style="72" hidden="1" customWidth="1"/>
    <col min="4" max="4" width="15.28515625" style="72" customWidth="1"/>
    <col min="5" max="5" width="14.28515625" style="72" bestFit="1" customWidth="1"/>
    <col min="6" max="6" width="15" style="72" customWidth="1"/>
    <col min="7" max="7" width="14.28515625" style="72" bestFit="1" customWidth="1"/>
    <col min="8" max="8" width="14.5703125" style="72" customWidth="1"/>
    <col min="9" max="9" width="14.28515625" style="72" bestFit="1" customWidth="1"/>
    <col min="10" max="10" width="13.5703125" style="72" customWidth="1"/>
    <col min="11" max="12" width="13.140625" style="72" customWidth="1"/>
    <col min="13" max="13" width="10.140625" style="72" bestFit="1" customWidth="1"/>
    <col min="14" max="14" width="9.140625" style="72"/>
    <col min="15" max="15" width="11" style="72" customWidth="1"/>
    <col min="16" max="16384" width="9.140625" style="72"/>
  </cols>
  <sheetData>
    <row r="2" spans="1:17" ht="15" x14ac:dyDescent="0.2">
      <c r="A2" s="559" t="s">
        <v>207</v>
      </c>
      <c r="B2" s="560"/>
      <c r="C2" s="560"/>
      <c r="D2" s="560"/>
      <c r="E2" s="560"/>
      <c r="F2" s="560"/>
      <c r="G2" s="560"/>
      <c r="H2" s="560"/>
      <c r="I2" s="561"/>
      <c r="J2" s="74"/>
    </row>
    <row r="3" spans="1:17" ht="45" x14ac:dyDescent="0.2">
      <c r="A3" s="562" t="s">
        <v>82</v>
      </c>
      <c r="B3" s="563"/>
      <c r="C3" s="377"/>
      <c r="D3" s="378" t="s">
        <v>276</v>
      </c>
      <c r="E3" s="378" t="s">
        <v>277</v>
      </c>
      <c r="F3" s="378" t="s">
        <v>83</v>
      </c>
      <c r="G3" s="378" t="s">
        <v>84</v>
      </c>
      <c r="H3" s="378" t="s">
        <v>85</v>
      </c>
      <c r="I3" s="378" t="s">
        <v>86</v>
      </c>
      <c r="J3" s="75"/>
    </row>
    <row r="4" spans="1:17" ht="15" x14ac:dyDescent="0.2">
      <c r="A4" s="559" t="s">
        <v>286</v>
      </c>
      <c r="B4" s="560"/>
      <c r="C4" s="560"/>
      <c r="D4" s="560"/>
      <c r="E4" s="560"/>
      <c r="F4" s="560"/>
      <c r="G4" s="560"/>
      <c r="H4" s="560"/>
      <c r="I4" s="561"/>
      <c r="J4" s="74"/>
    </row>
    <row r="5" spans="1:17" ht="7.5" customHeight="1" x14ac:dyDescent="0.2">
      <c r="A5" s="567"/>
      <c r="B5" s="568"/>
      <c r="C5" s="73"/>
      <c r="D5" s="76"/>
      <c r="E5" s="76"/>
      <c r="F5" s="76"/>
      <c r="G5" s="76"/>
      <c r="H5" s="76"/>
      <c r="I5" s="76"/>
      <c r="J5" s="74"/>
      <c r="O5"/>
      <c r="P5"/>
      <c r="Q5"/>
    </row>
    <row r="6" spans="1:17" ht="15" x14ac:dyDescent="0.2">
      <c r="A6" s="400" t="s">
        <v>158</v>
      </c>
      <c r="B6" s="401"/>
      <c r="C6" s="402"/>
      <c r="D6" s="379">
        <f>J28</f>
        <v>1861.2111650000002</v>
      </c>
      <c r="E6" s="405"/>
      <c r="F6" s="405"/>
      <c r="G6" s="380">
        <f>+J48</f>
        <v>89033</v>
      </c>
      <c r="H6" s="405"/>
      <c r="I6" s="405"/>
      <c r="J6" s="74"/>
      <c r="O6"/>
      <c r="P6"/>
      <c r="Q6"/>
    </row>
    <row r="7" spans="1:17" ht="7.5" customHeight="1" x14ac:dyDescent="0.2">
      <c r="A7" s="569"/>
      <c r="B7" s="570"/>
      <c r="C7" s="73"/>
      <c r="D7" s="76"/>
      <c r="E7" s="76"/>
      <c r="F7" s="76"/>
      <c r="G7" s="76"/>
      <c r="H7" s="76"/>
      <c r="I7" s="76"/>
      <c r="J7" s="74"/>
      <c r="O7"/>
      <c r="P7"/>
      <c r="Q7"/>
    </row>
    <row r="8" spans="1:17" ht="15" customHeight="1" x14ac:dyDescent="0.2">
      <c r="A8" s="299" t="s">
        <v>117</v>
      </c>
      <c r="B8" s="300"/>
      <c r="C8" s="77"/>
      <c r="D8" s="78">
        <f>Summary!B8/1000000</f>
        <v>1825.733379</v>
      </c>
      <c r="E8" s="79"/>
      <c r="F8" s="80"/>
      <c r="G8" s="81">
        <f>Summary!B59</f>
        <v>73368.030303030304</v>
      </c>
      <c r="H8" s="381"/>
      <c r="I8" s="80"/>
      <c r="J8" s="82"/>
      <c r="K8" s="83"/>
      <c r="O8"/>
      <c r="P8"/>
      <c r="Q8"/>
    </row>
    <row r="9" spans="1:17" ht="15" customHeight="1" x14ac:dyDescent="0.2">
      <c r="A9" s="299" t="s">
        <v>29</v>
      </c>
      <c r="B9" s="300"/>
      <c r="C9" s="77"/>
      <c r="D9" s="78">
        <f>Summary!C8/1000000</f>
        <v>1864.9571659999999</v>
      </c>
      <c r="E9" s="381">
        <f t="shared" ref="E9:E22" si="0">D9-D8</f>
        <v>39.223786999999902</v>
      </c>
      <c r="F9" s="383">
        <f t="shared" ref="F9:F19" si="1">E9/D8</f>
        <v>2.1483852708813242E-2</v>
      </c>
      <c r="G9" s="81">
        <f>Summary!C59</f>
        <v>74010.606060606064</v>
      </c>
      <c r="H9" s="460">
        <f t="shared" ref="H9:H22" si="2">G9-G8</f>
        <v>642.57575757575978</v>
      </c>
      <c r="I9" s="383">
        <f t="shared" ref="I9:I22" si="3">H9/G8</f>
        <v>8.7582528101373819E-3</v>
      </c>
      <c r="J9" s="82"/>
      <c r="K9" s="83"/>
      <c r="O9"/>
      <c r="P9"/>
      <c r="Q9"/>
    </row>
    <row r="10" spans="1:17" ht="15" customHeight="1" x14ac:dyDescent="0.2">
      <c r="A10" s="299" t="s">
        <v>30</v>
      </c>
      <c r="B10" s="300"/>
      <c r="C10" s="77"/>
      <c r="D10" s="78">
        <f>Summary!D8/1000000</f>
        <v>1966.6381249999999</v>
      </c>
      <c r="E10" s="381">
        <f t="shared" si="0"/>
        <v>101.68095900000003</v>
      </c>
      <c r="F10" s="383">
        <f t="shared" si="1"/>
        <v>5.4521873667526387E-2</v>
      </c>
      <c r="G10" s="81">
        <f>Summary!D59</f>
        <v>75484.393939393936</v>
      </c>
      <c r="H10" s="460">
        <f t="shared" si="2"/>
        <v>1473.7878787878726</v>
      </c>
      <c r="I10" s="383">
        <f t="shared" si="3"/>
        <v>1.9913198354044176E-2</v>
      </c>
      <c r="J10" s="82"/>
      <c r="K10" s="83"/>
      <c r="O10"/>
      <c r="P10"/>
      <c r="Q10"/>
    </row>
    <row r="11" spans="1:17" ht="15" customHeight="1" x14ac:dyDescent="0.2">
      <c r="A11" s="299" t="s">
        <v>31</v>
      </c>
      <c r="B11" s="300"/>
      <c r="C11" s="77"/>
      <c r="D11" s="78">
        <f>Summary!E8/1000000</f>
        <v>1970.3830290000003</v>
      </c>
      <c r="E11" s="381">
        <f t="shared" si="0"/>
        <v>3.7449040000003606</v>
      </c>
      <c r="F11" s="383">
        <f t="shared" si="1"/>
        <v>1.9042161099161853E-3</v>
      </c>
      <c r="G11" s="81">
        <f>Summary!E59</f>
        <v>77440</v>
      </c>
      <c r="H11" s="460">
        <f t="shared" si="2"/>
        <v>1955.6060606060637</v>
      </c>
      <c r="I11" s="383">
        <f t="shared" si="3"/>
        <v>2.5907422164324595E-2</v>
      </c>
      <c r="J11" s="82"/>
      <c r="K11" s="83"/>
      <c r="O11"/>
      <c r="P11"/>
      <c r="Q11"/>
    </row>
    <row r="12" spans="1:17" ht="15" customHeight="1" x14ac:dyDescent="0.2">
      <c r="A12" s="299" t="s">
        <v>32</v>
      </c>
      <c r="B12" s="300"/>
      <c r="C12" s="77"/>
      <c r="D12" s="78">
        <f>Summary!F8/1000000</f>
        <v>1947.4839019999999</v>
      </c>
      <c r="E12" s="381">
        <f t="shared" si="0"/>
        <v>-22.899127000000362</v>
      </c>
      <c r="F12" s="383">
        <f t="shared" si="1"/>
        <v>-1.1621662723933439E-2</v>
      </c>
      <c r="G12" s="81">
        <f>Summary!F59</f>
        <v>79603</v>
      </c>
      <c r="H12" s="460">
        <f t="shared" si="2"/>
        <v>2163</v>
      </c>
      <c r="I12" s="383">
        <f t="shared" si="3"/>
        <v>2.7931301652892562E-2</v>
      </c>
      <c r="J12" s="82"/>
      <c r="K12" s="83"/>
      <c r="O12"/>
      <c r="P12"/>
      <c r="Q12"/>
    </row>
    <row r="13" spans="1:17" ht="15" customHeight="1" x14ac:dyDescent="0.2">
      <c r="A13" s="299" t="s">
        <v>33</v>
      </c>
      <c r="B13" s="300"/>
      <c r="C13" s="77"/>
      <c r="D13" s="78">
        <f>Summary!G8/1000000</f>
        <v>2040.872519</v>
      </c>
      <c r="E13" s="381">
        <f t="shared" si="0"/>
        <v>93.388617000000067</v>
      </c>
      <c r="F13" s="383">
        <f t="shared" si="1"/>
        <v>4.795347314763071E-2</v>
      </c>
      <c r="G13" s="81">
        <f>Summary!G59</f>
        <v>81812</v>
      </c>
      <c r="H13" s="460">
        <f t="shared" si="2"/>
        <v>2209</v>
      </c>
      <c r="I13" s="383">
        <f t="shared" si="3"/>
        <v>2.7750210419205307E-2</v>
      </c>
      <c r="J13" s="82"/>
      <c r="K13" s="83"/>
      <c r="O13"/>
      <c r="P13"/>
      <c r="Q13"/>
    </row>
    <row r="14" spans="1:17" ht="15" customHeight="1" x14ac:dyDescent="0.2">
      <c r="A14" s="299" t="s">
        <v>34</v>
      </c>
      <c r="B14" s="300"/>
      <c r="C14" s="77"/>
      <c r="D14" s="78">
        <f>Summary!H8/1000000</f>
        <v>1917.7350120000001</v>
      </c>
      <c r="E14" s="381">
        <f t="shared" si="0"/>
        <v>-123.13750699999991</v>
      </c>
      <c r="F14" s="383">
        <f t="shared" si="1"/>
        <v>-6.033571712766049E-2</v>
      </c>
      <c r="G14" s="81">
        <f>Summary!H59</f>
        <v>83281</v>
      </c>
      <c r="H14" s="460">
        <f t="shared" si="2"/>
        <v>1469</v>
      </c>
      <c r="I14" s="383">
        <f t="shared" si="3"/>
        <v>1.7955801104972375E-2</v>
      </c>
      <c r="J14" s="82"/>
      <c r="K14" s="83"/>
    </row>
    <row r="15" spans="1:17" ht="15" customHeight="1" x14ac:dyDescent="0.2">
      <c r="A15" s="299" t="s">
        <v>35</v>
      </c>
      <c r="B15" s="300"/>
      <c r="C15" s="77"/>
      <c r="D15" s="78">
        <f>Summary!I8/1000000</f>
        <v>1918.1903560000001</v>
      </c>
      <c r="E15" s="381">
        <f t="shared" si="0"/>
        <v>0.45534399999996822</v>
      </c>
      <c r="F15" s="383">
        <f t="shared" si="1"/>
        <v>2.374384350031193E-4</v>
      </c>
      <c r="G15" s="81">
        <f>Summary!I59</f>
        <v>84941</v>
      </c>
      <c r="H15" s="460">
        <f t="shared" si="2"/>
        <v>1660</v>
      </c>
      <c r="I15" s="383">
        <f t="shared" si="3"/>
        <v>1.9932517621066029E-2</v>
      </c>
      <c r="J15" s="82"/>
      <c r="K15" s="83"/>
    </row>
    <row r="16" spans="1:17" ht="15" customHeight="1" x14ac:dyDescent="0.2">
      <c r="A16" s="299" t="s">
        <v>87</v>
      </c>
      <c r="B16" s="300"/>
      <c r="C16" s="77"/>
      <c r="D16" s="78">
        <f>Summary!J8/1000000</f>
        <v>1877.404166</v>
      </c>
      <c r="E16" s="381">
        <f t="shared" si="0"/>
        <v>-40.786190000000033</v>
      </c>
      <c r="F16" s="383">
        <f t="shared" si="1"/>
        <v>-2.1262848013192719E-2</v>
      </c>
      <c r="G16" s="81">
        <f>Summary!J59</f>
        <v>85780.159090909103</v>
      </c>
      <c r="H16" s="460">
        <f t="shared" si="2"/>
        <v>839.15909090910282</v>
      </c>
      <c r="I16" s="383">
        <f t="shared" si="3"/>
        <v>9.8793173015281534E-3</v>
      </c>
      <c r="J16" s="82"/>
      <c r="K16" s="83"/>
    </row>
    <row r="17" spans="1:30" ht="15" customHeight="1" x14ac:dyDescent="0.2">
      <c r="A17" s="299" t="s">
        <v>88</v>
      </c>
      <c r="B17" s="300"/>
      <c r="C17" s="77"/>
      <c r="D17" s="78">
        <f>Summary!K8/1000000</f>
        <v>1777.401233</v>
      </c>
      <c r="E17" s="381">
        <f t="shared" si="0"/>
        <v>-100.00293299999998</v>
      </c>
      <c r="F17" s="383">
        <f t="shared" si="1"/>
        <v>-5.3266598003277245E-2</v>
      </c>
      <c r="G17" s="81">
        <f>Summary!K49</f>
        <v>87002.416666666672</v>
      </c>
      <c r="H17" s="460">
        <f t="shared" si="2"/>
        <v>1222.2575757575687</v>
      </c>
      <c r="I17" s="383">
        <f t="shared" si="3"/>
        <v>1.4248721251055623E-2</v>
      </c>
      <c r="J17" s="82"/>
      <c r="K17" s="83"/>
    </row>
    <row r="18" spans="1:30" ht="15" customHeight="1" x14ac:dyDescent="0.2">
      <c r="A18" s="299" t="s">
        <v>50</v>
      </c>
      <c r="B18" s="300"/>
      <c r="C18" s="84"/>
      <c r="D18" s="78">
        <f>Summary!L8/1000000</f>
        <v>1829.5004919999999</v>
      </c>
      <c r="E18" s="381">
        <f t="shared" si="0"/>
        <v>52.099258999999847</v>
      </c>
      <c r="F18" s="383">
        <f t="shared" si="1"/>
        <v>2.9312041666621172E-2</v>
      </c>
      <c r="G18" s="81">
        <f>Summary!L49</f>
        <v>88329.996523716705</v>
      </c>
      <c r="H18" s="460">
        <f t="shared" si="2"/>
        <v>1327.5798570500338</v>
      </c>
      <c r="I18" s="383">
        <f t="shared" si="3"/>
        <v>1.525911472248415E-2</v>
      </c>
      <c r="J18" s="82"/>
      <c r="K18" s="83"/>
    </row>
    <row r="19" spans="1:30" s="86" customFormat="1" ht="15" customHeight="1" x14ac:dyDescent="0.25">
      <c r="A19" s="299" t="s">
        <v>51</v>
      </c>
      <c r="B19" s="304"/>
      <c r="C19" s="73"/>
      <c r="D19" s="78">
        <f>Summary!M8/1000000</f>
        <v>1833.8813520000001</v>
      </c>
      <c r="E19" s="381">
        <f t="shared" si="0"/>
        <v>4.3808600000002116</v>
      </c>
      <c r="F19" s="383">
        <f t="shared" si="1"/>
        <v>2.3945661775751038E-3</v>
      </c>
      <c r="G19" s="81">
        <f>Summary!M49</f>
        <v>89685.666666666672</v>
      </c>
      <c r="H19" s="460">
        <f t="shared" si="2"/>
        <v>1355.6701429499662</v>
      </c>
      <c r="I19" s="383">
        <f t="shared" si="3"/>
        <v>1.5347788931316976E-2</v>
      </c>
      <c r="J19" s="82"/>
      <c r="K19" s="85"/>
    </row>
    <row r="20" spans="1:30" s="86" customFormat="1" ht="15" customHeight="1" x14ac:dyDescent="0.25">
      <c r="A20" s="301" t="s">
        <v>159</v>
      </c>
      <c r="B20" s="304"/>
      <c r="C20" s="74"/>
      <c r="D20" s="78">
        <f>Summary!N8/1000000</f>
        <v>1825.2340899999999</v>
      </c>
      <c r="E20" s="381">
        <f t="shared" ref="E20" si="4">D20-D19</f>
        <v>-8.6472620000001825</v>
      </c>
      <c r="F20" s="383">
        <f t="shared" ref="F20" si="5">E20/D19</f>
        <v>-4.7152788759041711E-3</v>
      </c>
      <c r="G20" s="81">
        <f>Summary!N49</f>
        <v>91039.840909090897</v>
      </c>
      <c r="H20" s="460">
        <f t="shared" ref="H20" si="6">G20-G19</f>
        <v>1354.1742424242257</v>
      </c>
      <c r="I20" s="383">
        <f t="shared" ref="I20" si="7">H20/G19</f>
        <v>1.5099115530436587E-2</v>
      </c>
      <c r="J20" s="82"/>
      <c r="K20" s="85"/>
    </row>
    <row r="21" spans="1:30" s="86" customFormat="1" ht="15" customHeight="1" x14ac:dyDescent="0.25">
      <c r="A21" s="305" t="s">
        <v>160</v>
      </c>
      <c r="B21" s="303"/>
      <c r="C21" s="74"/>
      <c r="D21" s="87">
        <f>Summary!O8/1000000</f>
        <v>1833.7753643420283</v>
      </c>
      <c r="E21" s="382">
        <f>D21-D20</f>
        <v>8.5412743420283732</v>
      </c>
      <c r="F21" s="384">
        <f>E21/D20</f>
        <v>4.6795500855610107E-3</v>
      </c>
      <c r="G21" s="89">
        <f>Summary!O49</f>
        <v>92413.875829240715</v>
      </c>
      <c r="H21" s="461">
        <f>G21-G20</f>
        <v>1374.0349201498175</v>
      </c>
      <c r="I21" s="384">
        <f>H21/G20</f>
        <v>1.5092677078839354E-2</v>
      </c>
      <c r="J21" s="90"/>
      <c r="K21" s="85"/>
      <c r="L21" s="158"/>
    </row>
    <row r="22" spans="1:30" s="86" customFormat="1" ht="15" customHeight="1" x14ac:dyDescent="0.25">
      <c r="A22" s="306" t="s">
        <v>161</v>
      </c>
      <c r="B22" s="306"/>
      <c r="C22" s="74"/>
      <c r="D22" s="87">
        <f>Summary!P8/1000000</f>
        <v>1812.0765875036061</v>
      </c>
      <c r="E22" s="382">
        <f t="shared" si="0"/>
        <v>-21.698776838422191</v>
      </c>
      <c r="F22" s="384">
        <f>E22/D21</f>
        <v>-1.1832843466194055E-2</v>
      </c>
      <c r="G22" s="89">
        <f>Summary!P49</f>
        <v>93835.736623274526</v>
      </c>
      <c r="H22" s="461">
        <f t="shared" si="2"/>
        <v>1421.8607940338115</v>
      </c>
      <c r="I22" s="384">
        <f t="shared" si="3"/>
        <v>1.5385793326762731E-2</v>
      </c>
      <c r="J22" s="90"/>
      <c r="K22" s="85"/>
      <c r="L22" s="158"/>
    </row>
    <row r="23" spans="1:30" s="86" customFormat="1" ht="15" x14ac:dyDescent="0.25">
      <c r="A23" s="143"/>
      <c r="B23" s="144"/>
      <c r="C23" s="74"/>
      <c r="D23" s="145"/>
      <c r="E23" s="146"/>
      <c r="F23" s="147"/>
      <c r="G23" s="148"/>
      <c r="H23" s="149"/>
      <c r="I23" s="147"/>
      <c r="J23" s="90"/>
      <c r="K23" s="85"/>
    </row>
    <row r="24" spans="1:30" ht="15" x14ac:dyDescent="0.2">
      <c r="A24" s="559" t="s">
        <v>208</v>
      </c>
      <c r="B24" s="560"/>
      <c r="C24" s="560"/>
      <c r="D24" s="560"/>
      <c r="E24" s="560"/>
      <c r="F24" s="560"/>
      <c r="G24" s="560"/>
      <c r="H24" s="560"/>
      <c r="I24" s="560"/>
      <c r="J24" s="561"/>
      <c r="K24" s="121"/>
      <c r="L24" s="121"/>
      <c r="M24" s="91"/>
    </row>
    <row r="25" spans="1:30" ht="30" x14ac:dyDescent="0.2">
      <c r="A25" s="562" t="s">
        <v>82</v>
      </c>
      <c r="B25" s="571"/>
      <c r="C25" s="385"/>
      <c r="D25" s="386" t="s">
        <v>71</v>
      </c>
      <c r="E25" s="386" t="s">
        <v>114</v>
      </c>
      <c r="F25" s="386" t="s">
        <v>115</v>
      </c>
      <c r="G25" s="386" t="str">
        <f>Summary!A24</f>
        <v>Large User</v>
      </c>
      <c r="H25" s="386" t="s">
        <v>89</v>
      </c>
      <c r="I25" s="386" t="s">
        <v>116</v>
      </c>
      <c r="J25" s="386" t="s">
        <v>10</v>
      </c>
    </row>
    <row r="26" spans="1:30" ht="14.25" customHeight="1" x14ac:dyDescent="0.2">
      <c r="A26" s="93" t="s">
        <v>283</v>
      </c>
      <c r="B26" s="93"/>
      <c r="C26" s="93"/>
      <c r="D26" s="93"/>
      <c r="E26" s="93"/>
      <c r="F26" s="93"/>
      <c r="G26" s="93"/>
      <c r="H26" s="93"/>
      <c r="I26" s="93"/>
      <c r="J26" s="93"/>
      <c r="M26"/>
    </row>
    <row r="27" spans="1:30" ht="7.5" customHeight="1" x14ac:dyDescent="0.2">
      <c r="A27" s="572"/>
      <c r="B27" s="572"/>
      <c r="C27" s="76"/>
      <c r="D27" s="76"/>
      <c r="E27" s="76"/>
      <c r="F27" s="76"/>
      <c r="G27" s="76"/>
      <c r="H27" s="76"/>
      <c r="I27" s="76"/>
      <c r="J27" s="94"/>
    </row>
    <row r="28" spans="1:30" ht="15" customHeight="1" x14ac:dyDescent="0.2">
      <c r="A28" s="403" t="str">
        <f>A6</f>
        <v>2010 Board Approved</v>
      </c>
      <c r="B28" s="404"/>
      <c r="C28" s="243"/>
      <c r="D28" s="387">
        <f>650038341/1000000</f>
        <v>650.03834099999995</v>
      </c>
      <c r="E28" s="379">
        <f>235461608/1000000</f>
        <v>235.46160800000001</v>
      </c>
      <c r="F28" s="379">
        <f>884051506/1000000</f>
        <v>884.05150600000002</v>
      </c>
      <c r="G28" s="391">
        <f>71682604/1000000</f>
        <v>71.682603999999998</v>
      </c>
      <c r="H28" s="379">
        <f>16689726/1000000</f>
        <v>16.689726</v>
      </c>
      <c r="I28" s="388">
        <f>3287380/1000000</f>
        <v>3.2873800000000002</v>
      </c>
      <c r="J28" s="389">
        <f>SUM(D28:I28)</f>
        <v>1861.2111650000002</v>
      </c>
    </row>
    <row r="29" spans="1:30" ht="7.5" customHeight="1" x14ac:dyDescent="0.2">
      <c r="A29" s="566"/>
      <c r="B29" s="566"/>
      <c r="C29" s="76"/>
      <c r="D29" s="76"/>
      <c r="E29" s="76"/>
      <c r="F29" s="76"/>
      <c r="G29" s="392"/>
      <c r="H29" s="76"/>
      <c r="I29" s="78"/>
      <c r="J29" s="76"/>
    </row>
    <row r="30" spans="1:30" ht="15" customHeight="1" x14ac:dyDescent="0.2">
      <c r="A30" s="298" t="str">
        <f t="shared" ref="A30:A44" si="8">A8</f>
        <v xml:space="preserve">2000 Actual </v>
      </c>
      <c r="B30" s="306"/>
      <c r="C30" s="76"/>
      <c r="D30" s="78">
        <f>Summary!B13/1000000</f>
        <v>561.41096500000003</v>
      </c>
      <c r="E30" s="78">
        <f>Summary!B17/1000000</f>
        <v>216.11316622000001</v>
      </c>
      <c r="F30" s="78">
        <f>Summary!B21/1000000</f>
        <v>842.01120500000002</v>
      </c>
      <c r="G30" s="393">
        <f>Summary!B26/1000000</f>
        <v>188.08686499999999</v>
      </c>
      <c r="H30" s="78">
        <f>Summary!B31/1000000</f>
        <v>13.700704999999999</v>
      </c>
      <c r="I30" s="78">
        <f>Summary!B36/1000000</f>
        <v>4.4104727800000001</v>
      </c>
      <c r="J30" s="78">
        <f t="shared" ref="J30:J41" si="9">SUM(D30:I30)</f>
        <v>1825.733379</v>
      </c>
      <c r="M30"/>
      <c r="N30"/>
      <c r="W30"/>
      <c r="X30"/>
      <c r="Y30"/>
      <c r="Z30"/>
      <c r="AA30"/>
      <c r="AB30"/>
      <c r="AC30"/>
      <c r="AD30"/>
    </row>
    <row r="31" spans="1:30" ht="15" customHeight="1" x14ac:dyDescent="0.2">
      <c r="A31" s="298" t="str">
        <f t="shared" si="8"/>
        <v xml:space="preserve">2001 Actual </v>
      </c>
      <c r="B31" s="306"/>
      <c r="C31" s="76"/>
      <c r="D31" s="78">
        <f>Summary!C13/1000000</f>
        <v>540.86342000000002</v>
      </c>
      <c r="E31" s="78">
        <f>Summary!C17/1000000</f>
        <v>194.42224508000001</v>
      </c>
      <c r="F31" s="78">
        <f>Summary!C21/1000000</f>
        <v>882.75358100000005</v>
      </c>
      <c r="G31" s="393">
        <f>Summary!C26/1000000</f>
        <v>229.07200499999999</v>
      </c>
      <c r="H31" s="78">
        <f>Summary!C31/1000000</f>
        <v>13.878114</v>
      </c>
      <c r="I31" s="78">
        <f>Summary!C36/1000000</f>
        <v>3.9678009199999997</v>
      </c>
      <c r="J31" s="78">
        <f t="shared" si="9"/>
        <v>1864.9571660000001</v>
      </c>
      <c r="M31"/>
      <c r="N31"/>
    </row>
    <row r="32" spans="1:30" ht="15" customHeight="1" x14ac:dyDescent="0.2">
      <c r="A32" s="298" t="str">
        <f t="shared" si="8"/>
        <v xml:space="preserve">2002 Actual </v>
      </c>
      <c r="B32" s="298"/>
      <c r="C32" s="95"/>
      <c r="D32" s="78">
        <f>Summary!D13/1000000</f>
        <v>609.26549999999997</v>
      </c>
      <c r="E32" s="78">
        <f>Summary!D17/1000000</f>
        <v>219.36389187999998</v>
      </c>
      <c r="F32" s="78">
        <f>Summary!D21/1000000</f>
        <v>863.68391199999996</v>
      </c>
      <c r="G32" s="393">
        <f>Summary!D26/1000000</f>
        <v>257.359194</v>
      </c>
      <c r="H32" s="78">
        <f>Summary!D31/1000000</f>
        <v>12.488813</v>
      </c>
      <c r="I32" s="78">
        <f>Summary!D36/1000000</f>
        <v>4.4768141200000002</v>
      </c>
      <c r="J32" s="78">
        <f t="shared" si="9"/>
        <v>1966.6381249999997</v>
      </c>
      <c r="M32"/>
      <c r="N32"/>
    </row>
    <row r="33" spans="1:14" ht="15" customHeight="1" x14ac:dyDescent="0.2">
      <c r="A33" s="298" t="str">
        <f t="shared" si="8"/>
        <v xml:space="preserve">2003 Actual </v>
      </c>
      <c r="B33" s="298"/>
      <c r="C33" s="95"/>
      <c r="D33" s="78">
        <f>Summary!E13/1000000</f>
        <v>610.21327599999995</v>
      </c>
      <c r="E33" s="78">
        <f>Summary!E17/1000000</f>
        <v>225.49401434000001</v>
      </c>
      <c r="F33" s="78">
        <f>Summary!E21/1000000</f>
        <v>862.17471399999999</v>
      </c>
      <c r="G33" s="393">
        <f>Summary!E26/1000000</f>
        <v>253.07252700000001</v>
      </c>
      <c r="H33" s="78">
        <f>Summary!E31/1000000</f>
        <v>14.826579000000001</v>
      </c>
      <c r="I33" s="78">
        <f>Summary!E36/1000000</f>
        <v>4.6019186599999999</v>
      </c>
      <c r="J33" s="78">
        <f t="shared" si="9"/>
        <v>1970.3830290000001</v>
      </c>
      <c r="M33"/>
      <c r="N33"/>
    </row>
    <row r="34" spans="1:14" ht="15" customHeight="1" x14ac:dyDescent="0.2">
      <c r="A34" s="298" t="str">
        <f t="shared" si="8"/>
        <v xml:space="preserve">2004 Actual </v>
      </c>
      <c r="B34" s="298"/>
      <c r="C34" s="95"/>
      <c r="D34" s="78">
        <f>Summary!F13/1000000</f>
        <v>593.38398600000005</v>
      </c>
      <c r="E34" s="78">
        <f>Summary!F17/1000000</f>
        <v>218.38116356</v>
      </c>
      <c r="F34" s="78">
        <f>Summary!F21/1000000</f>
        <v>881.50786700000003</v>
      </c>
      <c r="G34" s="393">
        <f>Summary!F26/1000000</f>
        <v>234.73796300000001</v>
      </c>
      <c r="H34" s="78">
        <f>Summary!F31/1000000</f>
        <v>15.016164</v>
      </c>
      <c r="I34" s="78">
        <f>Summary!F36/1000000</f>
        <v>4.4567584400000007</v>
      </c>
      <c r="J34" s="78">
        <f t="shared" si="9"/>
        <v>1947.4839019999999</v>
      </c>
      <c r="M34"/>
      <c r="N34"/>
    </row>
    <row r="35" spans="1:14" ht="15" customHeight="1" x14ac:dyDescent="0.2">
      <c r="A35" s="298" t="str">
        <f t="shared" si="8"/>
        <v xml:space="preserve">2005 Actual </v>
      </c>
      <c r="B35" s="298"/>
      <c r="C35" s="95"/>
      <c r="D35" s="78">
        <f>Summary!G13/1000000</f>
        <v>640.47523699999999</v>
      </c>
      <c r="E35" s="78">
        <f>Summary!G17/1000000</f>
        <v>229.60168532</v>
      </c>
      <c r="F35" s="78">
        <f>Summary!G21/1000000</f>
        <v>918.95285200000001</v>
      </c>
      <c r="G35" s="393">
        <f>Summary!G26/1000000</f>
        <v>232.058404</v>
      </c>
      <c r="H35" s="78">
        <f>Summary!G31/1000000</f>
        <v>15.098592</v>
      </c>
      <c r="I35" s="78">
        <f>Summary!G36/1000000</f>
        <v>4.6857486799999997</v>
      </c>
      <c r="J35" s="78">
        <f t="shared" si="9"/>
        <v>2040.8725189999998</v>
      </c>
      <c r="M35"/>
      <c r="N35"/>
    </row>
    <row r="36" spans="1:14" ht="15" customHeight="1" x14ac:dyDescent="0.2">
      <c r="A36" s="298" t="str">
        <f t="shared" si="8"/>
        <v xml:space="preserve">2006 Actual </v>
      </c>
      <c r="B36" s="298"/>
      <c r="C36" s="95"/>
      <c r="D36" s="78">
        <f>Summary!H13/1000000</f>
        <v>624.19614999999999</v>
      </c>
      <c r="E36" s="78">
        <f>Summary!H17/1000000</f>
        <v>231.12800899999999</v>
      </c>
      <c r="F36" s="78">
        <f>Summary!H21/1000000</f>
        <v>860.41120899999999</v>
      </c>
      <c r="G36" s="393">
        <f>Summary!H26/1000000</f>
        <v>181.97579899999999</v>
      </c>
      <c r="H36" s="78">
        <f>Summary!H31/1000000</f>
        <v>15.290722000000001</v>
      </c>
      <c r="I36" s="78">
        <f>Summary!H36/1000000</f>
        <v>4.733123</v>
      </c>
      <c r="J36" s="78">
        <f t="shared" si="9"/>
        <v>1917.7350120000001</v>
      </c>
      <c r="M36"/>
      <c r="N36"/>
    </row>
    <row r="37" spans="1:14" ht="15" customHeight="1" x14ac:dyDescent="0.2">
      <c r="A37" s="298" t="str">
        <f t="shared" si="8"/>
        <v xml:space="preserve">2007 Actual </v>
      </c>
      <c r="B37" s="298"/>
      <c r="C37" s="95"/>
      <c r="D37" s="78">
        <f>Summary!I13/1000000</f>
        <v>639.51085899999998</v>
      </c>
      <c r="E37" s="78">
        <f>Summary!I17/1000000</f>
        <v>233.68564499999999</v>
      </c>
      <c r="F37" s="78">
        <f>Summary!I21/1000000</f>
        <v>866.79420600000003</v>
      </c>
      <c r="G37" s="393">
        <f>Summary!I26/1000000</f>
        <v>157.68077700000001</v>
      </c>
      <c r="H37" s="78">
        <f>Summary!I31/1000000</f>
        <v>15.541491000000001</v>
      </c>
      <c r="I37" s="78">
        <f>Summary!I36/1000000</f>
        <v>4.9773779999999999</v>
      </c>
      <c r="J37" s="78">
        <f t="shared" si="9"/>
        <v>1918.1903560000001</v>
      </c>
      <c r="M37"/>
      <c r="N37"/>
    </row>
    <row r="38" spans="1:14" ht="15" customHeight="1" x14ac:dyDescent="0.2">
      <c r="A38" s="298" t="str">
        <f t="shared" si="8"/>
        <v xml:space="preserve">2008 Actual </v>
      </c>
      <c r="B38" s="298"/>
      <c r="C38" s="95"/>
      <c r="D38" s="78">
        <f>Summary!J13/1000000</f>
        <v>638.16735600000004</v>
      </c>
      <c r="E38" s="78">
        <f>Summary!J17/1000000</f>
        <v>233.46413000000001</v>
      </c>
      <c r="F38" s="78">
        <f>Summary!J21/1000000</f>
        <v>838.01371900000004</v>
      </c>
      <c r="G38" s="393">
        <f>Summary!J26/1000000</f>
        <v>146.928777</v>
      </c>
      <c r="H38" s="78">
        <f>Summary!J31/1000000</f>
        <v>17.542401999999999</v>
      </c>
      <c r="I38" s="78">
        <f>Summary!J36/1000000</f>
        <v>3.287782</v>
      </c>
      <c r="J38" s="78">
        <f t="shared" si="9"/>
        <v>1877.4041660000003</v>
      </c>
      <c r="M38"/>
      <c r="N38"/>
    </row>
    <row r="39" spans="1:14" ht="15" customHeight="1" x14ac:dyDescent="0.2">
      <c r="A39" s="298" t="str">
        <f t="shared" si="8"/>
        <v>2009 Actual</v>
      </c>
      <c r="B39" s="298"/>
      <c r="C39" s="95"/>
      <c r="D39" s="78">
        <f>Summary!K13/1000000</f>
        <v>626.86970399999996</v>
      </c>
      <c r="E39" s="78">
        <f>Summary!K17/1000000</f>
        <v>230.57282599999999</v>
      </c>
      <c r="F39" s="78">
        <f>Summary!K21/1000000</f>
        <v>820.92000299999995</v>
      </c>
      <c r="G39" s="393">
        <f>Summary!K26/1000000</f>
        <v>79.822384999999997</v>
      </c>
      <c r="H39" s="78">
        <f>Summary!K31/1000000</f>
        <v>15.920914</v>
      </c>
      <c r="I39" s="78">
        <f>Summary!K36/1000000</f>
        <v>3.295401</v>
      </c>
      <c r="J39" s="78">
        <f t="shared" si="9"/>
        <v>1777.401233</v>
      </c>
      <c r="M39"/>
      <c r="N39"/>
    </row>
    <row r="40" spans="1:14" s="97" customFormat="1" ht="15" customHeight="1" x14ac:dyDescent="0.2">
      <c r="A40" s="298" t="str">
        <f t="shared" si="8"/>
        <v xml:space="preserve">2010 Actual </v>
      </c>
      <c r="B40" s="298"/>
      <c r="C40" s="96"/>
      <c r="D40" s="78">
        <f>Summary!L13/1000000</f>
        <v>650.65196700000001</v>
      </c>
      <c r="E40" s="78">
        <f>Summary!L17/1000000</f>
        <v>236.09592900000001</v>
      </c>
      <c r="F40" s="78">
        <f>Summary!L21/1000000</f>
        <v>876.88481400000001</v>
      </c>
      <c r="G40" s="393">
        <f>Summary!L26/1000000</f>
        <v>46.563625999999999</v>
      </c>
      <c r="H40" s="78">
        <f>Summary!L31/1000000</f>
        <v>16.035117</v>
      </c>
      <c r="I40" s="78">
        <f>Summary!L36/1000000</f>
        <v>3.2690389999999998</v>
      </c>
      <c r="J40" s="78">
        <f t="shared" si="9"/>
        <v>1829.5004919999999</v>
      </c>
      <c r="M40"/>
      <c r="N40"/>
    </row>
    <row r="41" spans="1:14" s="86" customFormat="1" ht="15" customHeight="1" x14ac:dyDescent="0.25">
      <c r="A41" s="298" t="str">
        <f t="shared" si="8"/>
        <v xml:space="preserve">2011 Actual </v>
      </c>
      <c r="B41" s="298"/>
      <c r="C41" s="76"/>
      <c r="D41" s="78">
        <f>Summary!M13/1000000</f>
        <v>647.28021100000001</v>
      </c>
      <c r="E41" s="78">
        <f>Summary!M17/1000000</f>
        <v>240.15552299999999</v>
      </c>
      <c r="F41" s="78">
        <f>Summary!M21/1000000</f>
        <v>871.25404800000001</v>
      </c>
      <c r="G41" s="393">
        <f>Summary!M26/1000000</f>
        <v>56.015269000000004</v>
      </c>
      <c r="H41" s="78">
        <f>Summary!M31/1000000</f>
        <v>15.857518000000001</v>
      </c>
      <c r="I41" s="78">
        <f>Summary!M36/1000000</f>
        <v>3.3187829999999998</v>
      </c>
      <c r="J41" s="78">
        <f t="shared" si="9"/>
        <v>1833.8813519999999</v>
      </c>
      <c r="M41"/>
      <c r="N41"/>
    </row>
    <row r="42" spans="1:14" s="86" customFormat="1" ht="15" customHeight="1" x14ac:dyDescent="0.25">
      <c r="A42" s="298" t="str">
        <f t="shared" si="8"/>
        <v>2012 Actual</v>
      </c>
      <c r="B42" s="298"/>
      <c r="C42" s="223"/>
      <c r="D42" s="78">
        <f>Summary!N13/1000000</f>
        <v>644.46730000000002</v>
      </c>
      <c r="E42" s="78">
        <f>Summary!N17/1000000</f>
        <v>240.98196999999999</v>
      </c>
      <c r="F42" s="78">
        <f>Summary!N21/1000000</f>
        <v>850.78848300000004</v>
      </c>
      <c r="G42" s="393">
        <f>Summary!N26/1000000</f>
        <v>69.356375999999997</v>
      </c>
      <c r="H42" s="78">
        <f>Summary!N31/1000000</f>
        <v>15.943500999999999</v>
      </c>
      <c r="I42" s="78">
        <f>Summary!N36/1000000</f>
        <v>3.6964600000000001</v>
      </c>
      <c r="J42" s="78">
        <f t="shared" ref="J42" si="10">SUM(D42:I42)</f>
        <v>1825.2340899999999</v>
      </c>
      <c r="M42"/>
      <c r="N42"/>
    </row>
    <row r="43" spans="1:14" s="86" customFormat="1" ht="15" customHeight="1" x14ac:dyDescent="0.25">
      <c r="A43" s="306" t="str">
        <f t="shared" si="8"/>
        <v>2013 Bridge</v>
      </c>
      <c r="B43" s="306"/>
      <c r="C43" s="76"/>
      <c r="D43" s="87">
        <f>Summary!O13/1000000</f>
        <v>652.73862943822633</v>
      </c>
      <c r="E43" s="87">
        <f>Summary!O17/1000000</f>
        <v>242.99676382296204</v>
      </c>
      <c r="F43" s="87">
        <f>Summary!O21/1000000</f>
        <v>852.51221966570427</v>
      </c>
      <c r="G43" s="394">
        <f>Summary!O26/1000000</f>
        <v>66.016828655037301</v>
      </c>
      <c r="H43" s="87">
        <f>Summary!O31/1000000</f>
        <v>15.898680403048244</v>
      </c>
      <c r="I43" s="87">
        <f>Summary!O36/1000000</f>
        <v>3.6122423570498672</v>
      </c>
      <c r="J43" s="87">
        <f>SUM(D43:I43)</f>
        <v>1833.7753643420278</v>
      </c>
      <c r="M43" s="18"/>
      <c r="N43" s="18"/>
    </row>
    <row r="44" spans="1:14" s="86" customFormat="1" ht="15" customHeight="1" x14ac:dyDescent="0.25">
      <c r="A44" s="306" t="str">
        <f t="shared" si="8"/>
        <v>2014 Test</v>
      </c>
      <c r="B44" s="306"/>
      <c r="C44" s="223"/>
      <c r="D44" s="87">
        <f>Summary!P13/1000000</f>
        <v>661.24241742946697</v>
      </c>
      <c r="E44" s="87">
        <f>Summary!P17/1000000</f>
        <v>245.09627202125176</v>
      </c>
      <c r="F44" s="87">
        <f>Summary!P21/1000000</f>
        <v>854.39325460555244</v>
      </c>
      <c r="G44" s="394">
        <f>Summary!P26/1000000</f>
        <v>31.798990292463159</v>
      </c>
      <c r="H44" s="87">
        <f>Summary!P31/1000000</f>
        <v>16.128464711878159</v>
      </c>
      <c r="I44" s="87">
        <f>Summary!P36/1000000</f>
        <v>3.4171884429939534</v>
      </c>
      <c r="J44" s="87">
        <f>SUM(D44:I44)</f>
        <v>1812.0765875036063</v>
      </c>
      <c r="M44" s="18"/>
      <c r="N44" s="18"/>
    </row>
    <row r="45" spans="1:14" s="119" customFormat="1" x14ac:dyDescent="0.2">
      <c r="A45" s="231"/>
      <c r="B45" s="231"/>
      <c r="C45" s="231"/>
      <c r="D45" s="231"/>
      <c r="E45" s="231"/>
      <c r="F45" s="231"/>
      <c r="G45" s="231"/>
      <c r="H45" s="231"/>
      <c r="I45" s="231"/>
      <c r="J45" s="231"/>
      <c r="K45" s="231"/>
      <c r="L45" s="231"/>
    </row>
    <row r="46" spans="1:14" ht="15" x14ac:dyDescent="0.2">
      <c r="A46" s="559" t="s">
        <v>209</v>
      </c>
      <c r="B46" s="560"/>
      <c r="C46" s="560"/>
      <c r="D46" s="560"/>
      <c r="E46" s="560"/>
      <c r="F46" s="560"/>
      <c r="G46" s="560"/>
      <c r="H46" s="560"/>
      <c r="I46" s="560"/>
      <c r="J46" s="561"/>
      <c r="K46" s="121"/>
      <c r="L46" s="121"/>
    </row>
    <row r="47" spans="1:14" ht="7.5" customHeight="1" x14ac:dyDescent="0.2">
      <c r="A47" s="409"/>
      <c r="B47" s="410"/>
      <c r="C47" s="410"/>
      <c r="D47" s="410"/>
      <c r="E47" s="410"/>
      <c r="F47" s="410"/>
      <c r="G47" s="410"/>
      <c r="H47" s="410"/>
      <c r="I47" s="410"/>
      <c r="J47" s="411"/>
      <c r="K47" s="121"/>
      <c r="L47" s="121"/>
    </row>
    <row r="48" spans="1:14" ht="15" customHeight="1" x14ac:dyDescent="0.2">
      <c r="A48" s="403" t="str">
        <f>A28</f>
        <v>2010 Board Approved</v>
      </c>
      <c r="B48" s="403"/>
      <c r="C48" s="242"/>
      <c r="D48" s="390">
        <v>78139</v>
      </c>
      <c r="E48" s="390">
        <v>7484</v>
      </c>
      <c r="F48" s="390">
        <v>1003</v>
      </c>
      <c r="G48" s="390">
        <v>2</v>
      </c>
      <c r="H48" s="390">
        <v>1585</v>
      </c>
      <c r="I48" s="390">
        <v>820</v>
      </c>
      <c r="J48" s="390">
        <f>SUM(D48:I48)</f>
        <v>89033</v>
      </c>
    </row>
    <row r="49" spans="1:20" ht="7.5" customHeight="1" x14ac:dyDescent="0.2">
      <c r="A49" s="553"/>
      <c r="B49" s="553"/>
      <c r="C49" s="95"/>
      <c r="D49" s="98"/>
      <c r="E49" s="98"/>
      <c r="F49" s="98"/>
      <c r="G49" s="98"/>
      <c r="H49" s="94"/>
      <c r="I49" s="94"/>
      <c r="J49" s="98"/>
    </row>
    <row r="50" spans="1:20" ht="15" customHeight="1" x14ac:dyDescent="0.2">
      <c r="A50" s="298" t="str">
        <f t="shared" ref="A50:A64" si="11">A30</f>
        <v xml:space="preserve">2000 Actual </v>
      </c>
      <c r="B50" s="298"/>
      <c r="C50" s="95"/>
      <c r="D50" s="98">
        <f>Summary!B12</f>
        <v>63692</v>
      </c>
      <c r="E50" s="98">
        <f>Summary!B16</f>
        <v>6548</v>
      </c>
      <c r="F50" s="479">
        <f>Summary!B20</f>
        <v>1033</v>
      </c>
      <c r="G50" s="98">
        <f>Summary!B25</f>
        <v>3</v>
      </c>
      <c r="H50" s="98">
        <f>Summary!B30</f>
        <v>1342.030303030303</v>
      </c>
      <c r="I50" s="98">
        <f>Summary!B35</f>
        <v>750</v>
      </c>
      <c r="J50" s="98">
        <f t="shared" ref="J50:J61" si="12">SUM(D50:I50)</f>
        <v>73368.030303030304</v>
      </c>
      <c r="M50" s="99"/>
      <c r="N50" s="99"/>
    </row>
    <row r="51" spans="1:20" ht="15" customHeight="1" x14ac:dyDescent="0.2">
      <c r="A51" s="298" t="str">
        <f t="shared" si="11"/>
        <v xml:space="preserve">2001 Actual </v>
      </c>
      <c r="B51" s="298"/>
      <c r="C51" s="95"/>
      <c r="D51" s="98">
        <f>Summary!C12</f>
        <v>64284</v>
      </c>
      <c r="E51" s="98">
        <f>Summary!C16</f>
        <v>6568</v>
      </c>
      <c r="F51" s="479">
        <f>Summary!C20</f>
        <v>1035</v>
      </c>
      <c r="G51" s="98">
        <f>Summary!C25</f>
        <v>4</v>
      </c>
      <c r="H51" s="98">
        <f>Summary!C30</f>
        <v>1369.6060606060605</v>
      </c>
      <c r="I51" s="98">
        <f>Summary!C35</f>
        <v>750</v>
      </c>
      <c r="J51" s="98">
        <f t="shared" si="12"/>
        <v>74010.606060606064</v>
      </c>
      <c r="M51" s="99"/>
      <c r="N51" s="99"/>
    </row>
    <row r="52" spans="1:20" ht="15" customHeight="1" x14ac:dyDescent="0.2">
      <c r="A52" s="298" t="str">
        <f t="shared" si="11"/>
        <v xml:space="preserve">2002 Actual </v>
      </c>
      <c r="B52" s="307"/>
      <c r="C52" s="95"/>
      <c r="D52" s="98">
        <f>Summary!D12</f>
        <v>65683</v>
      </c>
      <c r="E52" s="98">
        <f>Summary!D16</f>
        <v>6569</v>
      </c>
      <c r="F52" s="479">
        <f>Summary!D20</f>
        <v>1068</v>
      </c>
      <c r="G52" s="98">
        <f>Summary!D25</f>
        <v>4</v>
      </c>
      <c r="H52" s="98">
        <f>Summary!D30</f>
        <v>1394.3939393939395</v>
      </c>
      <c r="I52" s="98">
        <f>Summary!D35</f>
        <v>765</v>
      </c>
      <c r="J52" s="98">
        <f t="shared" si="12"/>
        <v>75483.393939393936</v>
      </c>
      <c r="M52" s="99"/>
      <c r="N52" s="99"/>
    </row>
    <row r="53" spans="1:20" ht="15" customHeight="1" x14ac:dyDescent="0.2">
      <c r="A53" s="298" t="str">
        <f t="shared" si="11"/>
        <v xml:space="preserve">2003 Actual </v>
      </c>
      <c r="B53" s="298"/>
      <c r="C53" s="95"/>
      <c r="D53" s="98">
        <f>Summary!E12</f>
        <v>67527</v>
      </c>
      <c r="E53" s="98">
        <f>Summary!E16</f>
        <v>6703</v>
      </c>
      <c r="F53" s="479">
        <f>Summary!E20</f>
        <v>1035</v>
      </c>
      <c r="G53" s="98">
        <f>Summary!E25</f>
        <v>4</v>
      </c>
      <c r="H53" s="98">
        <f>Summary!E30</f>
        <v>1405</v>
      </c>
      <c r="I53" s="98">
        <f>Summary!E35</f>
        <v>765</v>
      </c>
      <c r="J53" s="98">
        <f t="shared" si="12"/>
        <v>77439</v>
      </c>
      <c r="M53" s="99"/>
      <c r="N53" s="99"/>
    </row>
    <row r="54" spans="1:20" ht="15" customHeight="1" x14ac:dyDescent="0.2">
      <c r="A54" s="298" t="str">
        <f t="shared" si="11"/>
        <v xml:space="preserve">2004 Actual </v>
      </c>
      <c r="B54" s="298"/>
      <c r="C54" s="95"/>
      <c r="D54" s="98">
        <f>Summary!F12</f>
        <v>69405</v>
      </c>
      <c r="E54" s="98">
        <f>Summary!F16</f>
        <v>6816</v>
      </c>
      <c r="F54" s="479">
        <f>Summary!F20</f>
        <v>1058</v>
      </c>
      <c r="G54" s="98">
        <f>Summary!F25</f>
        <v>4</v>
      </c>
      <c r="H54" s="98">
        <f>Summary!F30</f>
        <v>1497</v>
      </c>
      <c r="I54" s="98">
        <f>Summary!F35</f>
        <v>822</v>
      </c>
      <c r="J54" s="98">
        <f t="shared" si="12"/>
        <v>79602</v>
      </c>
      <c r="M54" s="99"/>
      <c r="N54" s="99"/>
    </row>
    <row r="55" spans="1:20" ht="15" customHeight="1" x14ac:dyDescent="0.2">
      <c r="A55" s="298" t="str">
        <f t="shared" si="11"/>
        <v xml:space="preserve">2005 Actual </v>
      </c>
      <c r="B55" s="298"/>
      <c r="C55" s="95"/>
      <c r="D55" s="98">
        <f>Summary!G12</f>
        <v>71490</v>
      </c>
      <c r="E55" s="98">
        <f>Summary!G16</f>
        <v>6916</v>
      </c>
      <c r="F55" s="479">
        <f>Summary!G20</f>
        <v>1077</v>
      </c>
      <c r="G55" s="98">
        <f>Summary!G25</f>
        <v>4</v>
      </c>
      <c r="H55" s="98">
        <f>Summary!G30</f>
        <v>1517</v>
      </c>
      <c r="I55" s="98">
        <f>Summary!G35</f>
        <v>807</v>
      </c>
      <c r="J55" s="98">
        <f t="shared" si="12"/>
        <v>81811</v>
      </c>
      <c r="M55" s="99"/>
      <c r="N55" s="99"/>
    </row>
    <row r="56" spans="1:20" ht="15" customHeight="1" x14ac:dyDescent="0.2">
      <c r="A56" s="298" t="str">
        <f t="shared" si="11"/>
        <v xml:space="preserve">2006 Actual </v>
      </c>
      <c r="B56" s="298"/>
      <c r="C56" s="95"/>
      <c r="D56" s="98">
        <f>Summary!H12</f>
        <v>72866</v>
      </c>
      <c r="E56" s="98">
        <f>Summary!H16</f>
        <v>7049</v>
      </c>
      <c r="F56" s="479">
        <f>Summary!H20</f>
        <v>1021</v>
      </c>
      <c r="G56" s="98">
        <f>Summary!H25</f>
        <v>4</v>
      </c>
      <c r="H56" s="98">
        <f>Summary!H30</f>
        <v>1533</v>
      </c>
      <c r="I56" s="98">
        <f>Summary!H35</f>
        <v>807</v>
      </c>
      <c r="J56" s="98">
        <f t="shared" si="12"/>
        <v>83280</v>
      </c>
      <c r="M56" s="99"/>
      <c r="N56" s="99"/>
    </row>
    <row r="57" spans="1:20" ht="15" customHeight="1" x14ac:dyDescent="0.2">
      <c r="A57" s="298" t="str">
        <f t="shared" si="11"/>
        <v xml:space="preserve">2007 Actual </v>
      </c>
      <c r="B57" s="298"/>
      <c r="C57" s="95"/>
      <c r="D57" s="98">
        <f>Summary!I12</f>
        <v>74392</v>
      </c>
      <c r="E57" s="98">
        <f>Summary!I16</f>
        <v>7198</v>
      </c>
      <c r="F57" s="479">
        <f>Summary!I20</f>
        <v>1005</v>
      </c>
      <c r="G57" s="98">
        <f>Summary!I25</f>
        <v>4</v>
      </c>
      <c r="H57" s="98">
        <f>Summary!I30</f>
        <v>1523</v>
      </c>
      <c r="I57" s="98">
        <f>Summary!I35</f>
        <v>818</v>
      </c>
      <c r="J57" s="98">
        <f t="shared" si="12"/>
        <v>84940</v>
      </c>
      <c r="M57" s="99"/>
      <c r="N57" s="99"/>
      <c r="P57"/>
      <c r="Q57"/>
      <c r="R57"/>
      <c r="S57"/>
      <c r="T57"/>
    </row>
    <row r="58" spans="1:20" ht="15" customHeight="1" x14ac:dyDescent="0.2">
      <c r="A58" s="298" t="str">
        <f t="shared" si="11"/>
        <v xml:space="preserve">2008 Actual </v>
      </c>
      <c r="B58" s="298"/>
      <c r="C58" s="95"/>
      <c r="D58" s="98">
        <f>Summary!J12</f>
        <v>75153.833333333328</v>
      </c>
      <c r="E58" s="98">
        <f>Summary!J16</f>
        <v>7264.916666666667</v>
      </c>
      <c r="F58" s="479">
        <f>Summary!J20</f>
        <v>1014.1666666666666</v>
      </c>
      <c r="G58" s="98">
        <f>Summary!J25</f>
        <v>4</v>
      </c>
      <c r="H58" s="98">
        <f>Summary!J30</f>
        <v>1522.2424242424242</v>
      </c>
      <c r="I58" s="98">
        <f>Summary!J35</f>
        <v>820</v>
      </c>
      <c r="J58" s="98">
        <f t="shared" si="12"/>
        <v>85779.159090909103</v>
      </c>
      <c r="M58" s="99"/>
      <c r="N58" s="99"/>
    </row>
    <row r="59" spans="1:20" ht="15" customHeight="1" x14ac:dyDescent="0.2">
      <c r="A59" s="298" t="str">
        <f t="shared" si="11"/>
        <v>2009 Actual</v>
      </c>
      <c r="B59" s="298"/>
      <c r="C59" s="95"/>
      <c r="D59" s="98">
        <f>Summary!K12</f>
        <v>76255.166666666672</v>
      </c>
      <c r="E59" s="98">
        <f>Summary!K16</f>
        <v>7370.333333333333</v>
      </c>
      <c r="F59" s="479">
        <f>Summary!K20</f>
        <v>1004.9166666666666</v>
      </c>
      <c r="G59" s="98">
        <f>Summary!K25</f>
        <v>3</v>
      </c>
      <c r="H59" s="98">
        <f>Summary!K30</f>
        <v>1551</v>
      </c>
      <c r="I59" s="98">
        <f>Summary!K35</f>
        <v>817</v>
      </c>
      <c r="J59" s="98">
        <f t="shared" si="12"/>
        <v>87001.416666666672</v>
      </c>
      <c r="M59" s="99"/>
      <c r="N59" s="99"/>
      <c r="P59"/>
      <c r="Q59"/>
      <c r="R59"/>
      <c r="S59"/>
    </row>
    <row r="60" spans="1:20" s="97" customFormat="1" ht="15" customHeight="1" x14ac:dyDescent="0.2">
      <c r="A60" s="298" t="str">
        <f t="shared" si="11"/>
        <v xml:space="preserve">2010 Actual </v>
      </c>
      <c r="B60" s="298"/>
      <c r="C60" s="96"/>
      <c r="D60" s="98">
        <f>Summary!L12</f>
        <v>77505.916666666672</v>
      </c>
      <c r="E60" s="98">
        <f>Summary!L16</f>
        <v>7447.583333333333</v>
      </c>
      <c r="F60" s="479">
        <f>Summary!L20</f>
        <v>988.91666666666663</v>
      </c>
      <c r="G60" s="98">
        <f>Summary!L25</f>
        <v>1.3333333333333333</v>
      </c>
      <c r="H60" s="98">
        <f>Summary!L30</f>
        <v>1574.2465237166991</v>
      </c>
      <c r="I60" s="98">
        <f>Summary!L35</f>
        <v>811</v>
      </c>
      <c r="J60" s="98">
        <f t="shared" si="12"/>
        <v>88328.996523716705</v>
      </c>
      <c r="M60" s="99"/>
      <c r="N60" s="99"/>
    </row>
    <row r="61" spans="1:20" s="97" customFormat="1" ht="15" customHeight="1" x14ac:dyDescent="0.2">
      <c r="A61" s="298" t="str">
        <f t="shared" si="11"/>
        <v xml:space="preserve">2011 Actual </v>
      </c>
      <c r="B61" s="307"/>
      <c r="C61" s="96"/>
      <c r="D61" s="98">
        <f>Summary!M12</f>
        <v>78761</v>
      </c>
      <c r="E61" s="98">
        <f>Summary!M16</f>
        <v>7538</v>
      </c>
      <c r="F61" s="479">
        <f>Summary!M20</f>
        <v>975</v>
      </c>
      <c r="G61" s="98">
        <f>Summary!M25</f>
        <v>2</v>
      </c>
      <c r="H61" s="98">
        <f>Summary!M30</f>
        <v>1567.6666666666667</v>
      </c>
      <c r="I61" s="98">
        <f>Summary!M35</f>
        <v>841</v>
      </c>
      <c r="J61" s="98">
        <f t="shared" si="12"/>
        <v>89684.666666666672</v>
      </c>
      <c r="M61" s="99"/>
      <c r="N61" s="99"/>
    </row>
    <row r="62" spans="1:20" s="97" customFormat="1" ht="15" customHeight="1" x14ac:dyDescent="0.2">
      <c r="A62" s="298" t="str">
        <f t="shared" si="11"/>
        <v>2012 Actual</v>
      </c>
      <c r="B62" s="307"/>
      <c r="C62" s="96"/>
      <c r="D62" s="98">
        <f>Summary!N12</f>
        <v>79997</v>
      </c>
      <c r="E62" s="98">
        <f>Summary!N16</f>
        <v>7645.333333333333</v>
      </c>
      <c r="F62" s="479">
        <f>Summary!N20</f>
        <v>952.33333333333337</v>
      </c>
      <c r="G62" s="98">
        <f>Summary!N25</f>
        <v>2</v>
      </c>
      <c r="H62" s="98">
        <f>Summary!N30</f>
        <v>1573.4242424242425</v>
      </c>
      <c r="I62" s="98">
        <f>Summary!N35</f>
        <v>868.75</v>
      </c>
      <c r="J62" s="98">
        <f t="shared" ref="J62" si="13">SUM(D62:I62)</f>
        <v>91038.840909090897</v>
      </c>
      <c r="M62" s="99"/>
      <c r="N62" s="99"/>
    </row>
    <row r="63" spans="1:20" s="86" customFormat="1" ht="15" customHeight="1" x14ac:dyDescent="0.25">
      <c r="A63" s="306" t="str">
        <f t="shared" si="11"/>
        <v>2013 Bridge</v>
      </c>
      <c r="B63" s="308"/>
      <c r="C63" s="76"/>
      <c r="D63" s="102">
        <f>Summary!O12</f>
        <v>81276.952000000005</v>
      </c>
      <c r="E63" s="102">
        <f>Summary!O16</f>
        <v>7736.9966057773026</v>
      </c>
      <c r="F63" s="480">
        <f>Summary!O20</f>
        <v>948.47089081750107</v>
      </c>
      <c r="G63" s="102">
        <f>Summary!O25</f>
        <v>2</v>
      </c>
      <c r="H63" s="102">
        <f>Summary!O30</f>
        <v>1569</v>
      </c>
      <c r="I63" s="102">
        <f>Summary!O35</f>
        <v>879.45633264592357</v>
      </c>
      <c r="J63" s="102">
        <f>SUM(D63:I63)</f>
        <v>92412.875829240715</v>
      </c>
      <c r="M63" s="150"/>
      <c r="N63" s="150"/>
    </row>
    <row r="64" spans="1:20" s="86" customFormat="1" ht="15" customHeight="1" x14ac:dyDescent="0.25">
      <c r="A64" s="306" t="str">
        <f t="shared" si="11"/>
        <v>2014 Test</v>
      </c>
      <c r="B64" s="306"/>
      <c r="C64" s="151"/>
      <c r="D64" s="102">
        <f>Summary!P12</f>
        <v>82577.383232000007</v>
      </c>
      <c r="E64" s="102">
        <f>Summary!P16</f>
        <v>7829.7588696123348</v>
      </c>
      <c r="F64" s="480">
        <f>Summary!P20</f>
        <v>944.62411347022476</v>
      </c>
      <c r="G64" s="102">
        <f>Summary!P25</f>
        <v>1</v>
      </c>
      <c r="H64" s="102">
        <f>Summary!P30</f>
        <v>1591.6757998109217</v>
      </c>
      <c r="I64" s="102">
        <f>Summary!P35</f>
        <v>890.29460838102727</v>
      </c>
      <c r="J64" s="102">
        <f>SUM(D64:I64)</f>
        <v>93834.736623274526</v>
      </c>
      <c r="M64" s="150"/>
      <c r="N64" s="150"/>
    </row>
    <row r="66" spans="1:12" ht="15" x14ac:dyDescent="0.2">
      <c r="A66" s="559" t="s">
        <v>210</v>
      </c>
      <c r="B66" s="560"/>
      <c r="C66" s="560"/>
      <c r="D66" s="560"/>
      <c r="E66" s="560"/>
      <c r="F66" s="560"/>
      <c r="G66" s="560"/>
      <c r="H66" s="560"/>
      <c r="I66" s="561"/>
      <c r="J66" s="121"/>
      <c r="K66" s="121"/>
      <c r="L66" s="121"/>
    </row>
    <row r="67" spans="1:12" ht="30" x14ac:dyDescent="0.2">
      <c r="A67" s="562" t="s">
        <v>82</v>
      </c>
      <c r="B67" s="571"/>
      <c r="C67" s="385"/>
      <c r="D67" s="386" t="str">
        <f t="shared" ref="D67:I67" si="14">D25</f>
        <v xml:space="preserve">Residential </v>
      </c>
      <c r="E67" s="386" t="str">
        <f t="shared" si="14"/>
        <v>GS&lt;50</v>
      </c>
      <c r="F67" s="386" t="str">
        <f t="shared" si="14"/>
        <v>GS&gt;50</v>
      </c>
      <c r="G67" s="386" t="str">
        <f t="shared" si="14"/>
        <v>Large User</v>
      </c>
      <c r="H67" s="386" t="str">
        <f t="shared" si="14"/>
        <v>Street Lighting</v>
      </c>
      <c r="I67" s="386" t="str">
        <f t="shared" si="14"/>
        <v>USL</v>
      </c>
      <c r="J67" s="232"/>
      <c r="L67"/>
    </row>
    <row r="68" spans="1:12" ht="15" x14ac:dyDescent="0.2">
      <c r="A68" s="559" t="s">
        <v>211</v>
      </c>
      <c r="B68" s="560"/>
      <c r="C68" s="560"/>
      <c r="D68" s="560"/>
      <c r="E68" s="560"/>
      <c r="F68" s="560"/>
      <c r="G68" s="560"/>
      <c r="H68" s="560"/>
      <c r="I68" s="561"/>
      <c r="J68" s="121"/>
    </row>
    <row r="69" spans="1:12" ht="7.5" customHeight="1" x14ac:dyDescent="0.2">
      <c r="A69" s="226"/>
      <c r="B69" s="227"/>
      <c r="C69" s="227"/>
      <c r="D69" s="227"/>
      <c r="E69" s="227"/>
      <c r="F69" s="227"/>
      <c r="G69" s="227"/>
      <c r="H69" s="227"/>
      <c r="I69" s="227"/>
      <c r="J69" s="121"/>
    </row>
    <row r="70" spans="1:12" ht="15" x14ac:dyDescent="0.2">
      <c r="A70" s="403" t="str">
        <f>A48</f>
        <v>2010 Board Approved</v>
      </c>
      <c r="B70" s="404"/>
      <c r="C70" s="93"/>
      <c r="D70" s="395">
        <f t="shared" ref="D70:I70" si="15">D28/D48*1000000</f>
        <v>8319</v>
      </c>
      <c r="E70" s="395">
        <f t="shared" si="15"/>
        <v>31462.000000000004</v>
      </c>
      <c r="F70" s="395">
        <f t="shared" si="15"/>
        <v>881407.28414755734</v>
      </c>
      <c r="G70" s="395">
        <f t="shared" si="15"/>
        <v>35841302</v>
      </c>
      <c r="H70" s="395">
        <f t="shared" si="15"/>
        <v>10529.795583596215</v>
      </c>
      <c r="I70" s="395">
        <f t="shared" si="15"/>
        <v>4009.0000000000005</v>
      </c>
      <c r="J70" s="233"/>
    </row>
    <row r="71" spans="1:12" ht="7.5" customHeight="1" x14ac:dyDescent="0.2">
      <c r="A71" s="305"/>
      <c r="B71" s="303"/>
      <c r="C71" s="227"/>
      <c r="D71" s="227"/>
      <c r="E71" s="227"/>
      <c r="F71" s="227"/>
      <c r="G71" s="227"/>
      <c r="H71" s="227"/>
      <c r="I71" s="227"/>
      <c r="J71" s="121"/>
    </row>
    <row r="72" spans="1:12" ht="15" x14ac:dyDescent="0.2">
      <c r="A72" s="298" t="str">
        <f t="shared" ref="A72:A86" si="16">A8</f>
        <v xml:space="preserve">2000 Actual </v>
      </c>
      <c r="B72" s="306"/>
      <c r="C72" s="142"/>
      <c r="D72" s="81">
        <f t="shared" ref="D72:I86" si="17">D30/D50*1000000</f>
        <v>8814.4659454876582</v>
      </c>
      <c r="E72" s="81">
        <f t="shared" si="17"/>
        <v>33004.454218081861</v>
      </c>
      <c r="F72" s="81">
        <f t="shared" si="17"/>
        <v>815112.49273959338</v>
      </c>
      <c r="G72" s="81">
        <f t="shared" si="17"/>
        <v>62695621.666666664</v>
      </c>
      <c r="H72" s="81">
        <f t="shared" si="17"/>
        <v>10208.93862758823</v>
      </c>
      <c r="I72" s="81">
        <f t="shared" si="17"/>
        <v>5880.6303733333334</v>
      </c>
      <c r="J72" s="233"/>
    </row>
    <row r="73" spans="1:12" ht="15" x14ac:dyDescent="0.2">
      <c r="A73" s="298" t="str">
        <f t="shared" si="16"/>
        <v xml:space="preserve">2001 Actual </v>
      </c>
      <c r="B73" s="306"/>
      <c r="C73" s="142"/>
      <c r="D73" s="81">
        <f t="shared" si="17"/>
        <v>8413.6553419202282</v>
      </c>
      <c r="E73" s="81">
        <f t="shared" si="17"/>
        <v>29601.438045066992</v>
      </c>
      <c r="F73" s="81">
        <f t="shared" si="17"/>
        <v>852902.01062801946</v>
      </c>
      <c r="G73" s="81">
        <f t="shared" si="17"/>
        <v>57268001.25</v>
      </c>
      <c r="H73" s="81">
        <f t="shared" si="17"/>
        <v>10132.923910879041</v>
      </c>
      <c r="I73" s="81">
        <f t="shared" si="17"/>
        <v>5290.4012266666668</v>
      </c>
      <c r="J73" s="233"/>
    </row>
    <row r="74" spans="1:12" x14ac:dyDescent="0.2">
      <c r="A74" s="298" t="str">
        <f t="shared" si="16"/>
        <v xml:space="preserve">2002 Actual </v>
      </c>
      <c r="B74" s="298"/>
      <c r="C74" s="95"/>
      <c r="D74" s="81">
        <f t="shared" si="17"/>
        <v>9275.8476318073172</v>
      </c>
      <c r="E74" s="81">
        <f t="shared" si="17"/>
        <v>33393.802995889782</v>
      </c>
      <c r="F74" s="81">
        <f t="shared" si="17"/>
        <v>808692.80149812729</v>
      </c>
      <c r="G74" s="81">
        <f t="shared" si="17"/>
        <v>64339798.5</v>
      </c>
      <c r="H74" s="81">
        <f t="shared" si="17"/>
        <v>8956.4452678474408</v>
      </c>
      <c r="I74" s="81">
        <f t="shared" si="17"/>
        <v>5852.0446013071896</v>
      </c>
      <c r="J74" s="233"/>
    </row>
    <row r="75" spans="1:12" x14ac:dyDescent="0.2">
      <c r="A75" s="298" t="str">
        <f t="shared" si="16"/>
        <v xml:space="preserve">2003 Actual </v>
      </c>
      <c r="B75" s="298"/>
      <c r="C75" s="95"/>
      <c r="D75" s="81">
        <f t="shared" si="17"/>
        <v>9036.5820486620159</v>
      </c>
      <c r="E75" s="81">
        <f t="shared" si="17"/>
        <v>33640.760008951213</v>
      </c>
      <c r="F75" s="81">
        <f t="shared" si="17"/>
        <v>833019.04734299518</v>
      </c>
      <c r="G75" s="81">
        <f t="shared" si="17"/>
        <v>63268131.75</v>
      </c>
      <c r="H75" s="81">
        <f t="shared" si="17"/>
        <v>10552.725266903915</v>
      </c>
      <c r="I75" s="81">
        <f t="shared" si="17"/>
        <v>6015.5799477124183</v>
      </c>
      <c r="J75" s="233"/>
    </row>
    <row r="76" spans="1:12" x14ac:dyDescent="0.2">
      <c r="A76" s="298" t="str">
        <f t="shared" si="16"/>
        <v xml:space="preserve">2004 Actual </v>
      </c>
      <c r="B76" s="298"/>
      <c r="C76" s="95"/>
      <c r="D76" s="81">
        <f t="shared" si="17"/>
        <v>8549.5855629997841</v>
      </c>
      <c r="E76" s="81">
        <f t="shared" si="17"/>
        <v>32039.489958920192</v>
      </c>
      <c r="F76" s="81">
        <f t="shared" si="17"/>
        <v>833183.23913043481</v>
      </c>
      <c r="G76" s="81">
        <f t="shared" si="17"/>
        <v>58684490.75</v>
      </c>
      <c r="H76" s="81">
        <f t="shared" si="17"/>
        <v>10030.837675350702</v>
      </c>
      <c r="I76" s="81">
        <f t="shared" si="17"/>
        <v>5421.8472506082735</v>
      </c>
      <c r="J76" s="233"/>
    </row>
    <row r="77" spans="1:12" x14ac:dyDescent="0.2">
      <c r="A77" s="298" t="str">
        <f t="shared" si="16"/>
        <v xml:space="preserve">2005 Actual </v>
      </c>
      <c r="B77" s="298"/>
      <c r="C77" s="95"/>
      <c r="D77" s="81">
        <f t="shared" si="17"/>
        <v>8958.948622184922</v>
      </c>
      <c r="E77" s="81">
        <f t="shared" si="17"/>
        <v>33198.624251012145</v>
      </c>
      <c r="F77" s="81">
        <f t="shared" si="17"/>
        <v>853252.41597028787</v>
      </c>
      <c r="G77" s="81">
        <f t="shared" si="17"/>
        <v>58014601</v>
      </c>
      <c r="H77" s="81">
        <f t="shared" si="17"/>
        <v>9952.9281476598553</v>
      </c>
      <c r="I77" s="81">
        <f t="shared" si="17"/>
        <v>5806.3800247831468</v>
      </c>
      <c r="J77" s="233"/>
    </row>
    <row r="78" spans="1:12" x14ac:dyDescent="0.2">
      <c r="A78" s="298" t="str">
        <f t="shared" si="16"/>
        <v xml:space="preserve">2006 Actual </v>
      </c>
      <c r="B78" s="298"/>
      <c r="C78" s="95"/>
      <c r="D78" s="81">
        <f t="shared" si="17"/>
        <v>8566.3567370241271</v>
      </c>
      <c r="E78" s="81">
        <f t="shared" si="17"/>
        <v>32788.765640516387</v>
      </c>
      <c r="F78" s="81">
        <f t="shared" si="17"/>
        <v>842714.21057786478</v>
      </c>
      <c r="G78" s="81">
        <f t="shared" si="17"/>
        <v>45493949.75</v>
      </c>
      <c r="H78" s="81">
        <f t="shared" si="17"/>
        <v>9974.3783431180691</v>
      </c>
      <c r="I78" s="81">
        <f t="shared" si="17"/>
        <v>5865.0842627013626</v>
      </c>
      <c r="J78" s="233"/>
    </row>
    <row r="79" spans="1:12" x14ac:dyDescent="0.2">
      <c r="A79" s="298" t="str">
        <f t="shared" si="16"/>
        <v xml:space="preserve">2007 Actual </v>
      </c>
      <c r="B79" s="298"/>
      <c r="C79" s="95"/>
      <c r="D79" s="81">
        <f t="shared" si="17"/>
        <v>8596.5004167114748</v>
      </c>
      <c r="E79" s="81">
        <f t="shared" si="17"/>
        <v>32465.357738260627</v>
      </c>
      <c r="F79" s="81">
        <f t="shared" si="17"/>
        <v>862481.7970149254</v>
      </c>
      <c r="G79" s="81">
        <f t="shared" si="17"/>
        <v>39420194.25</v>
      </c>
      <c r="H79" s="81">
        <f t="shared" si="17"/>
        <v>10204.524622455679</v>
      </c>
      <c r="I79" s="81">
        <f t="shared" si="17"/>
        <v>6084.8141809290955</v>
      </c>
      <c r="J79" s="233"/>
    </row>
    <row r="80" spans="1:12" x14ac:dyDescent="0.2">
      <c r="A80" s="298" t="str">
        <f t="shared" si="16"/>
        <v xml:space="preserve">2008 Actual </v>
      </c>
      <c r="B80" s="298"/>
      <c r="C80" s="95"/>
      <c r="D80" s="81">
        <f t="shared" si="17"/>
        <v>8491.4811087480575</v>
      </c>
      <c r="E80" s="81">
        <f t="shared" si="17"/>
        <v>32135.830417875863</v>
      </c>
      <c r="F80" s="81">
        <f t="shared" si="17"/>
        <v>826307.69334428932</v>
      </c>
      <c r="G80" s="81">
        <f t="shared" si="17"/>
        <v>36732194.25</v>
      </c>
      <c r="H80" s="81">
        <f t="shared" si="17"/>
        <v>11524.052753115418</v>
      </c>
      <c r="I80" s="81">
        <f t="shared" si="17"/>
        <v>4009.490243902439</v>
      </c>
      <c r="J80" s="233"/>
    </row>
    <row r="81" spans="1:11" x14ac:dyDescent="0.2">
      <c r="A81" s="298" t="str">
        <f t="shared" si="16"/>
        <v>2009 Actual</v>
      </c>
      <c r="B81" s="298"/>
      <c r="C81" s="95"/>
      <c r="D81" s="81">
        <f t="shared" si="17"/>
        <v>8220.6849896509721</v>
      </c>
      <c r="E81" s="81">
        <f t="shared" si="17"/>
        <v>31283.907466871693</v>
      </c>
      <c r="F81" s="81">
        <f t="shared" si="17"/>
        <v>816903.56049423665</v>
      </c>
      <c r="G81" s="81">
        <f t="shared" si="17"/>
        <v>26607461.666666664</v>
      </c>
      <c r="H81" s="81">
        <f t="shared" si="17"/>
        <v>10264.934880722114</v>
      </c>
      <c r="I81" s="81">
        <f t="shared" si="17"/>
        <v>4033.5385556915539</v>
      </c>
      <c r="J81" s="233"/>
    </row>
    <row r="82" spans="1:11" s="97" customFormat="1" x14ac:dyDescent="0.2">
      <c r="A82" s="298" t="str">
        <f t="shared" si="16"/>
        <v xml:space="preserve">2010 Actual </v>
      </c>
      <c r="B82" s="298"/>
      <c r="C82" s="95"/>
      <c r="D82" s="81">
        <f t="shared" si="17"/>
        <v>8394.8683530612179</v>
      </c>
      <c r="E82" s="81">
        <f t="shared" si="17"/>
        <v>31701.012050888996</v>
      </c>
      <c r="F82" s="81">
        <f t="shared" si="17"/>
        <v>886712.54470380046</v>
      </c>
      <c r="G82" s="81">
        <f t="shared" si="17"/>
        <v>34922719.5</v>
      </c>
      <c r="H82" s="81">
        <f t="shared" si="17"/>
        <v>10185.89957698752</v>
      </c>
      <c r="I82" s="81">
        <f t="shared" si="17"/>
        <v>4030.8742293464857</v>
      </c>
      <c r="J82" s="233"/>
    </row>
    <row r="83" spans="1:11" s="86" customFormat="1" ht="15" x14ac:dyDescent="0.25">
      <c r="A83" s="298" t="str">
        <f t="shared" si="16"/>
        <v xml:space="preserve">2011 Actual </v>
      </c>
      <c r="B83" s="298"/>
      <c r="C83" s="76"/>
      <c r="D83" s="81">
        <f t="shared" si="17"/>
        <v>8218.2833001104609</v>
      </c>
      <c r="E83" s="81">
        <f t="shared" si="17"/>
        <v>31859.315866277528</v>
      </c>
      <c r="F83" s="81">
        <f t="shared" si="17"/>
        <v>893593.8953846154</v>
      </c>
      <c r="G83" s="81">
        <f t="shared" si="17"/>
        <v>28007634.5</v>
      </c>
      <c r="H83" s="81">
        <f t="shared" si="17"/>
        <v>10115.363385073357</v>
      </c>
      <c r="I83" s="81">
        <f t="shared" si="17"/>
        <v>3946.2342449464918</v>
      </c>
      <c r="J83" s="233"/>
    </row>
    <row r="84" spans="1:11" s="86" customFormat="1" ht="15" x14ac:dyDescent="0.25">
      <c r="A84" s="298" t="str">
        <f t="shared" si="16"/>
        <v>2012 Actual</v>
      </c>
      <c r="B84" s="298"/>
      <c r="C84" s="223"/>
      <c r="D84" s="81">
        <f t="shared" si="17"/>
        <v>8056.1433553758279</v>
      </c>
      <c r="E84" s="81">
        <f t="shared" si="17"/>
        <v>31520.139082664809</v>
      </c>
      <c r="F84" s="81">
        <f t="shared" si="17"/>
        <v>893372.57577878889</v>
      </c>
      <c r="G84" s="81">
        <f t="shared" si="17"/>
        <v>34678188</v>
      </c>
      <c r="H84" s="81">
        <f t="shared" si="17"/>
        <v>10132.995647400958</v>
      </c>
      <c r="I84" s="81">
        <f t="shared" si="17"/>
        <v>4254.9179856115115</v>
      </c>
      <c r="J84" s="233"/>
    </row>
    <row r="85" spans="1:11" s="86" customFormat="1" ht="15" x14ac:dyDescent="0.25">
      <c r="A85" s="306" t="str">
        <f t="shared" si="16"/>
        <v>2013 Bridge</v>
      </c>
      <c r="B85" s="306"/>
      <c r="C85" s="76"/>
      <c r="D85" s="89">
        <f t="shared" si="17"/>
        <v>8031.0421758707962</v>
      </c>
      <c r="E85" s="89">
        <f t="shared" si="17"/>
        <v>31407.117800919495</v>
      </c>
      <c r="F85" s="89">
        <f t="shared" si="17"/>
        <v>898828.02721642982</v>
      </c>
      <c r="G85" s="89">
        <f t="shared" si="17"/>
        <v>33008414.327518649</v>
      </c>
      <c r="H85" s="89">
        <f t="shared" si="17"/>
        <v>10133.002168928137</v>
      </c>
      <c r="I85" s="89">
        <f t="shared" si="17"/>
        <v>4107.3584019596638</v>
      </c>
      <c r="J85" s="234"/>
    </row>
    <row r="86" spans="1:11" s="86" customFormat="1" ht="15" x14ac:dyDescent="0.25">
      <c r="A86" s="306" t="str">
        <f t="shared" si="16"/>
        <v>2014 Test</v>
      </c>
      <c r="B86" s="306"/>
      <c r="C86" s="223"/>
      <c r="D86" s="89">
        <f t="shared" si="17"/>
        <v>8007.5486961328816</v>
      </c>
      <c r="E86" s="89">
        <f t="shared" si="17"/>
        <v>31303.169880809743</v>
      </c>
      <c r="F86" s="89">
        <f t="shared" si="17"/>
        <v>904479.61514215951</v>
      </c>
      <c r="G86" s="89">
        <f t="shared" si="17"/>
        <v>31798990.292463161</v>
      </c>
      <c r="H86" s="89">
        <f t="shared" si="17"/>
        <v>10133.00869045951</v>
      </c>
      <c r="I86" s="89">
        <f t="shared" si="17"/>
        <v>3838.2670307394123</v>
      </c>
      <c r="J86" s="234"/>
    </row>
    <row r="87" spans="1:11" x14ac:dyDescent="0.2">
      <c r="A87" s="229"/>
      <c r="B87" s="229"/>
      <c r="C87" s="229"/>
      <c r="D87" s="229"/>
      <c r="E87" s="229"/>
      <c r="F87" s="229"/>
      <c r="G87" s="229"/>
      <c r="H87" s="229"/>
      <c r="I87" s="229"/>
      <c r="J87" s="229"/>
      <c r="K87" s="229"/>
    </row>
    <row r="88" spans="1:11" ht="15" x14ac:dyDescent="0.2">
      <c r="A88" s="235" t="s">
        <v>212</v>
      </c>
      <c r="B88" s="235"/>
      <c r="C88" s="235"/>
      <c r="D88" s="235"/>
      <c r="E88" s="235"/>
      <c r="F88" s="235"/>
      <c r="G88" s="235"/>
      <c r="H88" s="235"/>
      <c r="I88" s="235"/>
      <c r="J88" s="235"/>
      <c r="K88" s="235"/>
    </row>
    <row r="89" spans="1:11" ht="7.5" customHeight="1" x14ac:dyDescent="0.2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</row>
    <row r="90" spans="1:11" ht="15" x14ac:dyDescent="0.2">
      <c r="A90" s="309" t="s">
        <v>162</v>
      </c>
      <c r="B90" s="310"/>
      <c r="C90" s="224"/>
      <c r="D90" s="383">
        <f t="shared" ref="D90:G90" si="18">D70/D81-1</f>
        <v>1.1959466938922692E-2</v>
      </c>
      <c r="E90" s="383">
        <f t="shared" si="18"/>
        <v>5.6927841676077673E-3</v>
      </c>
      <c r="F90" s="383">
        <f t="shared" si="18"/>
        <v>7.8961246801636076E-2</v>
      </c>
      <c r="G90" s="383">
        <f t="shared" si="18"/>
        <v>0.34703950527161043</v>
      </c>
      <c r="H90" s="383">
        <f>H70/H81-1</f>
        <v>2.580247278251302E-2</v>
      </c>
      <c r="I90" s="396">
        <f>I70/I81-1</f>
        <v>-6.083629882979058E-3</v>
      </c>
      <c r="J90" s="82"/>
    </row>
    <row r="91" spans="1:11" ht="7.5" customHeight="1" x14ac:dyDescent="0.2">
      <c r="A91" s="311"/>
      <c r="B91" s="311"/>
      <c r="C91" s="235"/>
      <c r="D91" s="397"/>
      <c r="E91" s="397"/>
      <c r="F91" s="397"/>
      <c r="G91" s="397"/>
      <c r="H91" s="397"/>
      <c r="I91" s="397"/>
      <c r="J91" s="235"/>
    </row>
    <row r="92" spans="1:11" ht="15" x14ac:dyDescent="0.2">
      <c r="A92" s="312" t="str">
        <f t="shared" ref="A92:A106" si="19">A72</f>
        <v xml:space="preserve">2000 Actual </v>
      </c>
      <c r="B92" s="310"/>
      <c r="C92" s="225"/>
      <c r="D92" s="383"/>
      <c r="E92" s="384"/>
      <c r="F92" s="384"/>
      <c r="G92" s="384"/>
      <c r="H92" s="384"/>
      <c r="I92" s="398"/>
      <c r="J92" s="90"/>
    </row>
    <row r="93" spans="1:11" ht="15" x14ac:dyDescent="0.2">
      <c r="A93" s="312" t="str">
        <f t="shared" si="19"/>
        <v xml:space="preserve">2001 Actual </v>
      </c>
      <c r="B93" s="310"/>
      <c r="C93" s="88"/>
      <c r="D93" s="383">
        <f t="shared" ref="D93:G93" si="20">D73/D72-1</f>
        <v>-4.5471910158393025E-2</v>
      </c>
      <c r="E93" s="383">
        <f t="shared" si="20"/>
        <v>-0.10310778510466889</v>
      </c>
      <c r="F93" s="383">
        <f t="shared" si="20"/>
        <v>4.6361107485195729E-2</v>
      </c>
      <c r="G93" s="383">
        <f t="shared" si="20"/>
        <v>-8.6570964165945341E-2</v>
      </c>
      <c r="H93" s="383">
        <f t="shared" ref="H93:I104" si="21">H73/H72-1</f>
        <v>-7.4458980979442702E-3</v>
      </c>
      <c r="I93" s="396">
        <f t="shared" si="21"/>
        <v>-0.10036834645196469</v>
      </c>
      <c r="J93" s="82"/>
    </row>
    <row r="94" spans="1:11" x14ac:dyDescent="0.2">
      <c r="A94" s="312" t="str">
        <f t="shared" si="19"/>
        <v xml:space="preserve">2002 Actual </v>
      </c>
      <c r="B94" s="312"/>
      <c r="C94" s="104"/>
      <c r="D94" s="383">
        <f t="shared" ref="D94:G94" si="22">D74/D73-1</f>
        <v>0.10247535165735866</v>
      </c>
      <c r="E94" s="383">
        <f t="shared" si="22"/>
        <v>0.12811421340574958</v>
      </c>
      <c r="F94" s="383">
        <f t="shared" si="22"/>
        <v>-5.1833866703326792E-2</v>
      </c>
      <c r="G94" s="383">
        <f t="shared" si="22"/>
        <v>0.12348601480132859</v>
      </c>
      <c r="H94" s="383">
        <f t="shared" si="21"/>
        <v>-0.11610455712279588</v>
      </c>
      <c r="I94" s="396">
        <f t="shared" si="21"/>
        <v>0.10616271820925727</v>
      </c>
      <c r="J94" s="82"/>
    </row>
    <row r="95" spans="1:11" x14ac:dyDescent="0.2">
      <c r="A95" s="312" t="str">
        <f t="shared" si="19"/>
        <v xml:space="preserve">2003 Actual </v>
      </c>
      <c r="B95" s="312"/>
      <c r="C95" s="104"/>
      <c r="D95" s="383">
        <f t="shared" ref="D95:G95" si="23">D75/D74-1</f>
        <v>-2.5794471043794287E-2</v>
      </c>
      <c r="E95" s="383">
        <f t="shared" si="23"/>
        <v>7.3952946626603122E-3</v>
      </c>
      <c r="F95" s="383">
        <f t="shared" si="23"/>
        <v>3.0080947672345815E-2</v>
      </c>
      <c r="G95" s="383">
        <f t="shared" si="23"/>
        <v>-1.6656358505692248E-2</v>
      </c>
      <c r="H95" s="383">
        <f t="shared" si="21"/>
        <v>0.1782269584995877</v>
      </c>
      <c r="I95" s="396">
        <f t="shared" si="21"/>
        <v>2.7944993168490084E-2</v>
      </c>
      <c r="J95" s="82"/>
    </row>
    <row r="96" spans="1:11" x14ac:dyDescent="0.2">
      <c r="A96" s="312" t="str">
        <f t="shared" si="19"/>
        <v xml:space="preserve">2004 Actual </v>
      </c>
      <c r="B96" s="312"/>
      <c r="C96" s="104"/>
      <c r="D96" s="383">
        <f t="shared" ref="D96:G96" si="24">D76/D75-1</f>
        <v>-5.389166866850259E-2</v>
      </c>
      <c r="E96" s="383">
        <f t="shared" si="24"/>
        <v>-4.7599104467465958E-2</v>
      </c>
      <c r="F96" s="383">
        <f t="shared" si="24"/>
        <v>1.9710448154008908E-4</v>
      </c>
      <c r="G96" s="383">
        <f t="shared" si="24"/>
        <v>-7.2447863927956102E-2</v>
      </c>
      <c r="H96" s="383">
        <f t="shared" si="21"/>
        <v>-4.9455242920991127E-2</v>
      </c>
      <c r="I96" s="396">
        <f t="shared" si="21"/>
        <v>-9.8699161554643977E-2</v>
      </c>
      <c r="J96" s="82"/>
    </row>
    <row r="97" spans="1:17" x14ac:dyDescent="0.2">
      <c r="A97" s="312" t="str">
        <f t="shared" si="19"/>
        <v xml:space="preserve">2005 Actual </v>
      </c>
      <c r="B97" s="312"/>
      <c r="C97" s="104"/>
      <c r="D97" s="383">
        <f t="shared" ref="D97:G97" si="25">D77/D76-1</f>
        <v>4.788104127020465E-2</v>
      </c>
      <c r="E97" s="383">
        <f t="shared" si="25"/>
        <v>3.6178300390491636E-2</v>
      </c>
      <c r="F97" s="383">
        <f t="shared" si="25"/>
        <v>2.4087350653859252E-2</v>
      </c>
      <c r="G97" s="383">
        <f t="shared" si="25"/>
        <v>-1.1415107150776427E-2</v>
      </c>
      <c r="H97" s="383">
        <f t="shared" si="21"/>
        <v>-7.7670011431146824E-3</v>
      </c>
      <c r="I97" s="396">
        <f t="shared" si="21"/>
        <v>7.0922834303702054E-2</v>
      </c>
      <c r="J97" s="82"/>
    </row>
    <row r="98" spans="1:17" x14ac:dyDescent="0.2">
      <c r="A98" s="312" t="str">
        <f t="shared" si="19"/>
        <v xml:space="preserve">2006 Actual </v>
      </c>
      <c r="B98" s="312"/>
      <c r="C98" s="104"/>
      <c r="D98" s="383">
        <f t="shared" ref="D98:G98" si="26">D78/D77-1</f>
        <v>-4.3821200647208181E-2</v>
      </c>
      <c r="E98" s="383">
        <f t="shared" si="26"/>
        <v>-1.2345650452164847E-2</v>
      </c>
      <c r="F98" s="383">
        <f t="shared" si="26"/>
        <v>-1.2350630593221834E-2</v>
      </c>
      <c r="G98" s="383">
        <f t="shared" si="26"/>
        <v>-0.21581896684939705</v>
      </c>
      <c r="H98" s="383">
        <f t="shared" si="21"/>
        <v>2.155164303407231E-3</v>
      </c>
      <c r="I98" s="396">
        <f t="shared" si="21"/>
        <v>1.0110298958671438E-2</v>
      </c>
      <c r="J98" s="82"/>
    </row>
    <row r="99" spans="1:17" x14ac:dyDescent="0.2">
      <c r="A99" s="312" t="str">
        <f t="shared" si="19"/>
        <v xml:space="preserve">2007 Actual </v>
      </c>
      <c r="B99" s="312"/>
      <c r="C99" s="104"/>
      <c r="D99" s="383">
        <f t="shared" ref="D99:G99" si="27">D79/D78-1</f>
        <v>3.5188447799594513E-3</v>
      </c>
      <c r="E99" s="383">
        <f t="shared" si="27"/>
        <v>-9.8633753341459407E-3</v>
      </c>
      <c r="F99" s="383">
        <f t="shared" si="27"/>
        <v>2.345704651581193E-2</v>
      </c>
      <c r="G99" s="383">
        <f t="shared" si="27"/>
        <v>-0.13350688461601423</v>
      </c>
      <c r="H99" s="383">
        <f t="shared" si="21"/>
        <v>2.3073746695843278E-2</v>
      </c>
      <c r="I99" s="396">
        <f t="shared" si="21"/>
        <v>3.7464068440600462E-2</v>
      </c>
      <c r="J99" s="82"/>
    </row>
    <row r="100" spans="1:17" x14ac:dyDescent="0.2">
      <c r="A100" s="312" t="str">
        <f t="shared" si="19"/>
        <v xml:space="preserve">2008 Actual </v>
      </c>
      <c r="B100" s="312"/>
      <c r="C100" s="104"/>
      <c r="D100" s="383">
        <f t="shared" ref="D100:G100" si="28">D80/D79-1</f>
        <v>-1.2216518684657007E-2</v>
      </c>
      <c r="E100" s="383">
        <f t="shared" si="28"/>
        <v>-1.0150121339843277E-2</v>
      </c>
      <c r="F100" s="383">
        <f t="shared" si="28"/>
        <v>-4.1941874942561963E-2</v>
      </c>
      <c r="G100" s="383">
        <f t="shared" si="28"/>
        <v>-6.818840066979126E-2</v>
      </c>
      <c r="H100" s="383">
        <f t="shared" si="21"/>
        <v>0.12930814315015104</v>
      </c>
      <c r="I100" s="396">
        <f t="shared" si="21"/>
        <v>-0.34106611563112244</v>
      </c>
      <c r="J100" s="82"/>
    </row>
    <row r="101" spans="1:17" s="86" customFormat="1" ht="15" x14ac:dyDescent="0.25">
      <c r="A101" s="312" t="str">
        <f t="shared" si="19"/>
        <v>2009 Actual</v>
      </c>
      <c r="B101" s="312"/>
      <c r="C101" s="105"/>
      <c r="D101" s="383">
        <f t="shared" ref="D101:G101" si="29">D81/D80-1</f>
        <v>-3.1890328157016978E-2</v>
      </c>
      <c r="E101" s="383">
        <f t="shared" si="29"/>
        <v>-2.6510064931456689E-2</v>
      </c>
      <c r="F101" s="383">
        <f t="shared" si="29"/>
        <v>-1.1380909225220504E-2</v>
      </c>
      <c r="G101" s="383">
        <f t="shared" si="29"/>
        <v>-0.27563647612294051</v>
      </c>
      <c r="H101" s="383">
        <f t="shared" si="21"/>
        <v>-0.1092599885967126</v>
      </c>
      <c r="I101" s="396">
        <f t="shared" si="21"/>
        <v>5.9978476879167797E-3</v>
      </c>
      <c r="J101" s="82"/>
    </row>
    <row r="102" spans="1:17" s="86" customFormat="1" ht="15" x14ac:dyDescent="0.25">
      <c r="A102" s="312" t="str">
        <f t="shared" si="19"/>
        <v xml:space="preserve">2010 Actual </v>
      </c>
      <c r="B102" s="310"/>
      <c r="C102" s="105"/>
      <c r="D102" s="383">
        <f t="shared" ref="D102:G102" si="30">D82/D81-1</f>
        <v>2.1188424520526716E-2</v>
      </c>
      <c r="E102" s="383">
        <f t="shared" si="30"/>
        <v>1.3332879994578661E-2</v>
      </c>
      <c r="F102" s="383">
        <f t="shared" si="30"/>
        <v>8.5455600373841589E-2</v>
      </c>
      <c r="G102" s="383">
        <f t="shared" si="30"/>
        <v>0.31251601289538034</v>
      </c>
      <c r="H102" s="383">
        <f t="shared" si="21"/>
        <v>-7.6995426325621175E-3</v>
      </c>
      <c r="I102" s="396">
        <f t="shared" si="21"/>
        <v>-6.6054317029118348E-4</v>
      </c>
      <c r="J102" s="82"/>
      <c r="L102" s="106"/>
      <c r="M102" s="106"/>
      <c r="N102" s="106"/>
      <c r="O102" s="106"/>
      <c r="P102" s="106"/>
      <c r="Q102" s="106"/>
    </row>
    <row r="103" spans="1:17" s="86" customFormat="1" ht="15" x14ac:dyDescent="0.25">
      <c r="A103" s="312" t="str">
        <f t="shared" si="19"/>
        <v xml:space="preserve">2011 Actual </v>
      </c>
      <c r="B103" s="310"/>
      <c r="C103" s="105"/>
      <c r="D103" s="383">
        <f t="shared" ref="D103:G104" si="31">D83/D82-1</f>
        <v>-2.1034880539414824E-2</v>
      </c>
      <c r="E103" s="383">
        <f t="shared" si="31"/>
        <v>4.9936517841893124E-3</v>
      </c>
      <c r="F103" s="383">
        <f t="shared" si="31"/>
        <v>7.760520274485927E-3</v>
      </c>
      <c r="G103" s="383">
        <f t="shared" si="31"/>
        <v>-0.19801106841063743</v>
      </c>
      <c r="H103" s="383">
        <f t="shared" si="21"/>
        <v>-6.9248858562793725E-3</v>
      </c>
      <c r="I103" s="396">
        <f t="shared" si="21"/>
        <v>-2.099792243175902E-2</v>
      </c>
      <c r="J103" s="82"/>
      <c r="L103" s="107"/>
      <c r="M103" s="107"/>
      <c r="N103" s="107"/>
      <c r="O103" s="107"/>
      <c r="P103" s="107"/>
      <c r="Q103" s="107"/>
    </row>
    <row r="104" spans="1:17" s="86" customFormat="1" ht="15" x14ac:dyDescent="0.25">
      <c r="A104" s="312" t="str">
        <f t="shared" si="19"/>
        <v>2012 Actual</v>
      </c>
      <c r="B104" s="310"/>
      <c r="C104" s="224"/>
      <c r="D104" s="383">
        <f t="shared" si="31"/>
        <v>-1.9729174428977592E-2</v>
      </c>
      <c r="E104" s="383">
        <f t="shared" si="31"/>
        <v>-1.0646078686571192E-2</v>
      </c>
      <c r="F104" s="383">
        <f t="shared" si="31"/>
        <v>-2.4767358748711832E-4</v>
      </c>
      <c r="G104" s="383">
        <f t="shared" si="31"/>
        <v>0.23816911421062703</v>
      </c>
      <c r="H104" s="383">
        <f t="shared" si="21"/>
        <v>1.7431170444770494E-3</v>
      </c>
      <c r="I104" s="396">
        <f t="shared" si="21"/>
        <v>7.8222356176731456E-2</v>
      </c>
      <c r="J104" s="82"/>
      <c r="L104" s="107"/>
      <c r="M104" s="107"/>
      <c r="N104" s="107"/>
      <c r="O104" s="107"/>
      <c r="P104" s="107"/>
      <c r="Q104" s="107"/>
    </row>
    <row r="105" spans="1:17" s="86" customFormat="1" ht="15" x14ac:dyDescent="0.25">
      <c r="A105" s="310" t="str">
        <f t="shared" si="19"/>
        <v>2013 Bridge</v>
      </c>
      <c r="B105" s="310"/>
      <c r="C105" s="105"/>
      <c r="D105" s="384">
        <f t="shared" ref="D105:I105" si="32">D85/D84-1</f>
        <v>-3.1157811371718136E-3</v>
      </c>
      <c r="E105" s="384">
        <f t="shared" si="32"/>
        <v>-3.5856847410763448E-3</v>
      </c>
      <c r="F105" s="384">
        <f t="shared" si="32"/>
        <v>6.1065803736870539E-3</v>
      </c>
      <c r="G105" s="384">
        <f t="shared" si="32"/>
        <v>-4.8150545596019945E-2</v>
      </c>
      <c r="H105" s="384">
        <f t="shared" si="32"/>
        <v>6.4359320828266675E-7</v>
      </c>
      <c r="I105" s="399">
        <f t="shared" si="32"/>
        <v>-3.4679771537509563E-2</v>
      </c>
      <c r="J105" s="90"/>
    </row>
    <row r="106" spans="1:17" s="86" customFormat="1" ht="15" x14ac:dyDescent="0.25">
      <c r="A106" s="310" t="str">
        <f t="shared" si="19"/>
        <v>2014 Test</v>
      </c>
      <c r="B106" s="310"/>
      <c r="C106" s="105"/>
      <c r="D106" s="384">
        <f t="shared" ref="D106:I106" si="33">D86/D85-1</f>
        <v>-2.9253338761562331E-3</v>
      </c>
      <c r="E106" s="384">
        <f t="shared" si="33"/>
        <v>-3.3096930692160242E-3</v>
      </c>
      <c r="F106" s="384">
        <f t="shared" si="33"/>
        <v>6.2877299712515988E-3</v>
      </c>
      <c r="G106" s="384">
        <f t="shared" si="33"/>
        <v>-3.6639870763110483E-2</v>
      </c>
      <c r="H106" s="384">
        <f t="shared" si="33"/>
        <v>6.4359320806062215E-7</v>
      </c>
      <c r="I106" s="399">
        <f t="shared" si="33"/>
        <v>-6.5514460849548706E-2</v>
      </c>
      <c r="J106" s="90"/>
    </row>
    <row r="107" spans="1:17" s="86" customFormat="1" ht="15" x14ac:dyDescent="0.25">
      <c r="A107" s="108"/>
      <c r="B107" s="103"/>
      <c r="C107" s="103"/>
      <c r="D107" s="82"/>
      <c r="E107" s="82"/>
      <c r="F107" s="82"/>
      <c r="G107" s="82"/>
      <c r="H107" s="82"/>
      <c r="I107" s="82"/>
      <c r="J107" s="82"/>
      <c r="K107" s="83"/>
    </row>
    <row r="108" spans="1:17" ht="30.75" customHeight="1" x14ac:dyDescent="0.2">
      <c r="D108" s="556" t="s">
        <v>307</v>
      </c>
      <c r="E108" s="557"/>
      <c r="F108" s="557"/>
      <c r="G108" s="557"/>
      <c r="H108" s="558"/>
      <c r="J108" s="83"/>
    </row>
    <row r="109" spans="1:17" x14ac:dyDescent="0.2">
      <c r="D109" s="573" t="s">
        <v>306</v>
      </c>
      <c r="E109" s="574"/>
      <c r="F109" s="574"/>
      <c r="G109" s="574"/>
      <c r="H109" s="575"/>
      <c r="L109"/>
    </row>
    <row r="110" spans="1:17" x14ac:dyDescent="0.2">
      <c r="D110" s="186">
        <v>2005</v>
      </c>
      <c r="E110" s="186">
        <v>2006</v>
      </c>
      <c r="F110" s="186">
        <v>2007</v>
      </c>
      <c r="G110" s="186">
        <v>2008</v>
      </c>
      <c r="H110" s="186">
        <v>2009</v>
      </c>
      <c r="L110"/>
    </row>
    <row r="111" spans="1:17" x14ac:dyDescent="0.2">
      <c r="D111" s="61">
        <f>'CDM Activity'!C2</f>
        <v>292583</v>
      </c>
      <c r="E111" s="61">
        <f>'CDM Activity'!C3</f>
        <v>10724826.971235819</v>
      </c>
      <c r="F111" s="61">
        <f>'CDM Activity'!C4</f>
        <v>21463789.011532571</v>
      </c>
      <c r="G111" s="61">
        <f>'CDM Activity'!C5</f>
        <v>27058909.442072801</v>
      </c>
      <c r="H111" s="376">
        <f>'CDM Activity'!C6</f>
        <v>36655514.888181098</v>
      </c>
      <c r="L111"/>
    </row>
    <row r="112" spans="1:17" x14ac:dyDescent="0.2">
      <c r="D112" s="490">
        <v>2010</v>
      </c>
      <c r="E112" s="490">
        <v>2011</v>
      </c>
      <c r="F112" s="490">
        <v>2012</v>
      </c>
      <c r="G112" s="490">
        <v>2013</v>
      </c>
      <c r="H112" s="490">
        <v>2014</v>
      </c>
      <c r="L112"/>
    </row>
    <row r="113" spans="1:12" x14ac:dyDescent="0.2">
      <c r="D113" s="376">
        <f>'CDM Activity'!C7</f>
        <v>39643598.152045503</v>
      </c>
      <c r="E113" s="376">
        <f>'CDM Activity'!C8</f>
        <v>37374960.879255295</v>
      </c>
      <c r="F113" s="61">
        <f>'CDM Activity'!C9</f>
        <v>36539763.596583202</v>
      </c>
      <c r="G113" s="61">
        <f>'CDM Activity'!C10</f>
        <v>31270273.197305299</v>
      </c>
      <c r="H113" s="376">
        <f>'CDM Activity'!C11</f>
        <v>30516052.283574499</v>
      </c>
      <c r="L113"/>
    </row>
    <row r="114" spans="1:12" x14ac:dyDescent="0.2">
      <c r="D114" s="573" t="s">
        <v>91</v>
      </c>
      <c r="E114" s="594"/>
      <c r="F114" s="594"/>
      <c r="G114" s="594"/>
      <c r="H114" s="595"/>
      <c r="J114" s="83"/>
      <c r="L114"/>
    </row>
    <row r="115" spans="1:12" x14ac:dyDescent="0.2">
      <c r="D115" s="489"/>
      <c r="E115" s="490">
        <v>2011</v>
      </c>
      <c r="F115" s="490">
        <v>2012</v>
      </c>
      <c r="G115" s="490">
        <v>2013</v>
      </c>
      <c r="H115" s="490">
        <v>2014</v>
      </c>
      <c r="J115" s="83"/>
      <c r="L115"/>
    </row>
    <row r="116" spans="1:12" x14ac:dyDescent="0.2">
      <c r="D116" s="94"/>
      <c r="E116" s="488">
        <f>'CDM Activity'!A27</f>
        <v>12882628.587043101</v>
      </c>
      <c r="F116" s="488">
        <f>'CDM Activity'!B27</f>
        <v>12777283.2059868</v>
      </c>
      <c r="G116" s="488">
        <f>'CDM Activity'!C27</f>
        <v>12766732.7844238</v>
      </c>
      <c r="H116" s="488">
        <f>'CDM Activity'!D27</f>
        <v>12588174.119054999</v>
      </c>
      <c r="L116"/>
    </row>
    <row r="117" spans="1:12" x14ac:dyDescent="0.2">
      <c r="L117"/>
    </row>
    <row r="118" spans="1:12" x14ac:dyDescent="0.2">
      <c r="D118" s="56"/>
      <c r="E118" s="56"/>
      <c r="F118" s="56"/>
      <c r="G118" s="56"/>
      <c r="H118" s="56"/>
      <c r="L118"/>
    </row>
    <row r="119" spans="1:12" x14ac:dyDescent="0.2">
      <c r="A119" s="119"/>
      <c r="B119" s="119"/>
      <c r="C119" s="119"/>
      <c r="D119" s="56"/>
      <c r="E119" s="56"/>
      <c r="F119" s="56"/>
      <c r="G119" s="56"/>
      <c r="H119" s="56"/>
      <c r="L119"/>
    </row>
    <row r="120" spans="1:12" ht="15" x14ac:dyDescent="0.2">
      <c r="A120" s="554" t="s">
        <v>206</v>
      </c>
      <c r="B120" s="554"/>
      <c r="C120" s="554"/>
      <c r="D120" s="554"/>
      <c r="E120" s="554"/>
      <c r="L120"/>
    </row>
    <row r="121" spans="1:12" ht="15" x14ac:dyDescent="0.2">
      <c r="A121" s="576" t="s">
        <v>92</v>
      </c>
      <c r="B121" s="576"/>
      <c r="C121" s="576"/>
      <c r="D121" s="576"/>
      <c r="E121" s="236" t="s">
        <v>93</v>
      </c>
      <c r="K121" s="91"/>
    </row>
    <row r="122" spans="1:12" x14ac:dyDescent="0.2">
      <c r="A122" s="577" t="s">
        <v>18</v>
      </c>
      <c r="B122" s="577"/>
      <c r="C122" s="577"/>
      <c r="D122" s="577"/>
      <c r="E122" s="110">
        <f>'Purchased Power Model '!B249</f>
        <v>0.90127572977519887</v>
      </c>
      <c r="K122"/>
    </row>
    <row r="123" spans="1:12" x14ac:dyDescent="0.2">
      <c r="A123" s="577" t="s">
        <v>19</v>
      </c>
      <c r="B123" s="577"/>
      <c r="C123" s="577"/>
      <c r="D123" s="577"/>
      <c r="E123" s="110">
        <f>'Purchased Power Model '!B250</f>
        <v>0.89639376036847795</v>
      </c>
      <c r="K123"/>
    </row>
    <row r="124" spans="1:12" x14ac:dyDescent="0.2">
      <c r="A124" s="577" t="s">
        <v>94</v>
      </c>
      <c r="B124" s="577"/>
      <c r="C124" s="577"/>
      <c r="D124" s="577"/>
      <c r="E124" s="111">
        <f>'Purchased Power Model '!E256</f>
        <v>184.6131457797394</v>
      </c>
      <c r="K124"/>
    </row>
    <row r="125" spans="1:12" x14ac:dyDescent="0.2">
      <c r="A125" s="577" t="s">
        <v>95</v>
      </c>
      <c r="B125" s="577"/>
      <c r="C125" s="577"/>
      <c r="D125" s="577"/>
      <c r="E125" s="111"/>
      <c r="K125"/>
    </row>
    <row r="126" spans="1:12" x14ac:dyDescent="0.2">
      <c r="A126" s="578" t="str">
        <f>'Purchased Power Model '!A262</f>
        <v>Heating Degree Days</v>
      </c>
      <c r="B126" s="579"/>
      <c r="C126" s="579"/>
      <c r="D126" s="580"/>
      <c r="E126" s="112">
        <f>'Purchased Power Model '!D262</f>
        <v>23.718225930666719</v>
      </c>
      <c r="K126"/>
    </row>
    <row r="127" spans="1:12" x14ac:dyDescent="0.2">
      <c r="A127" s="578" t="str">
        <f>'Purchased Power Model '!A263</f>
        <v>Cooling Degree Days</v>
      </c>
      <c r="B127" s="579"/>
      <c r="C127" s="579"/>
      <c r="D127" s="580"/>
      <c r="E127" s="112">
        <f>'Purchased Power Model '!D263</f>
        <v>17.560312924504089</v>
      </c>
      <c r="K127"/>
    </row>
    <row r="128" spans="1:12" x14ac:dyDescent="0.2">
      <c r="A128" s="578" t="str">
        <f>'Purchased Power Model '!A264</f>
        <v>Ontario Real GDP Monthly %</v>
      </c>
      <c r="B128" s="579"/>
      <c r="C128" s="579"/>
      <c r="D128" s="580"/>
      <c r="E128" s="112">
        <f>'Purchased Power Model '!D264</f>
        <v>1.9726061190367565</v>
      </c>
      <c r="K128"/>
    </row>
    <row r="129" spans="1:11" x14ac:dyDescent="0.2">
      <c r="A129" s="578" t="str">
        <f>'Purchased Power Model '!A265</f>
        <v>Number of Days in Month</v>
      </c>
      <c r="B129" s="579"/>
      <c r="C129" s="579"/>
      <c r="D129" s="580"/>
      <c r="E129" s="112">
        <f>'Purchased Power Model '!D265</f>
        <v>9.3156432007877683</v>
      </c>
      <c r="K129"/>
    </row>
    <row r="130" spans="1:11" ht="14.25" customHeight="1" x14ac:dyDescent="0.2">
      <c r="A130" s="578" t="str">
        <f>'Purchased Power Model '!A266</f>
        <v>Spring Fall Flag</v>
      </c>
      <c r="B130" s="579"/>
      <c r="C130" s="579"/>
      <c r="D130" s="580"/>
      <c r="E130" s="112">
        <f>'Purchased Power Model '!D266</f>
        <v>-5.967795519685172</v>
      </c>
    </row>
    <row r="131" spans="1:11" x14ac:dyDescent="0.2">
      <c r="A131" s="578" t="str">
        <f>'Purchased Power Model '!A267</f>
        <v>CDM
 Activity</v>
      </c>
      <c r="B131" s="579"/>
      <c r="C131" s="579"/>
      <c r="D131" s="580"/>
      <c r="E131" s="112">
        <f>'Purchased Power Model '!D267</f>
        <v>-9.3562094710358714</v>
      </c>
    </row>
    <row r="132" spans="1:11" x14ac:dyDescent="0.2">
      <c r="A132" s="578" t="str">
        <f>'Purchased Power Model '!A268</f>
        <v>Number of Peak Hours</v>
      </c>
      <c r="B132" s="579"/>
      <c r="C132" s="579"/>
      <c r="D132" s="580"/>
      <c r="E132" s="112">
        <f>'Purchased Power Model '!D268</f>
        <v>4.1745784219562374</v>
      </c>
    </row>
    <row r="133" spans="1:11" x14ac:dyDescent="0.2">
      <c r="A133" s="578" t="str">
        <f>'Purchased Power Model '!A269</f>
        <v>Employment Kitchener-Waterloo-Barrie (000's)</v>
      </c>
      <c r="B133" s="579"/>
      <c r="C133" s="579"/>
      <c r="D133" s="580"/>
      <c r="E133" s="112">
        <f>'Purchased Power Model '!D269</f>
        <v>3.5195886052926331</v>
      </c>
    </row>
    <row r="134" spans="1:11" x14ac:dyDescent="0.2">
      <c r="A134" s="578" t="str">
        <f>'Purchased Power Model '!A270</f>
        <v>Unemployment Kitchener-Waterloo-Barrie (000's)</v>
      </c>
      <c r="B134" s="579"/>
      <c r="C134" s="579"/>
      <c r="D134" s="580"/>
      <c r="E134" s="112">
        <f>'Purchased Power Model '!D270</f>
        <v>-2.6581000113986644</v>
      </c>
    </row>
    <row r="135" spans="1:11" x14ac:dyDescent="0.2">
      <c r="A135" s="596" t="str">
        <f>'Purchased Power Model '!A261</f>
        <v>Intercept</v>
      </c>
      <c r="B135" s="596"/>
      <c r="C135" s="596"/>
      <c r="D135" s="596"/>
      <c r="E135" s="112">
        <f>'Purchased Power Model '!D261</f>
        <v>-3.6602568352830707</v>
      </c>
    </row>
    <row r="136" spans="1:11" x14ac:dyDescent="0.2">
      <c r="K136" s="91"/>
    </row>
    <row r="137" spans="1:11" ht="15" x14ac:dyDescent="0.2">
      <c r="A137" s="559" t="s">
        <v>118</v>
      </c>
      <c r="B137" s="560"/>
      <c r="C137" s="560"/>
      <c r="D137" s="560"/>
      <c r="E137" s="560"/>
      <c r="F137" s="561"/>
      <c r="K137" s="83"/>
    </row>
    <row r="138" spans="1:11" ht="15" x14ac:dyDescent="0.2">
      <c r="A138" s="562" t="s">
        <v>82</v>
      </c>
      <c r="B138" s="563"/>
      <c r="C138" s="412"/>
      <c r="D138" s="378" t="s">
        <v>96</v>
      </c>
      <c r="E138" s="378" t="s">
        <v>97</v>
      </c>
      <c r="F138" s="378" t="s">
        <v>9</v>
      </c>
      <c r="K138" s="83"/>
    </row>
    <row r="139" spans="1:11" ht="15" x14ac:dyDescent="0.2">
      <c r="A139" s="559" t="s">
        <v>275</v>
      </c>
      <c r="B139" s="560"/>
      <c r="C139" s="560"/>
      <c r="D139" s="560"/>
      <c r="E139" s="560"/>
      <c r="F139" s="561"/>
      <c r="K139" s="83"/>
    </row>
    <row r="140" spans="1:11" ht="15" customHeight="1" x14ac:dyDescent="0.2">
      <c r="A140" s="564">
        <v>1997</v>
      </c>
      <c r="B140" s="565"/>
      <c r="C140" s="73"/>
      <c r="D140" s="78">
        <f>'Purchased Power Model '!E222/1000000</f>
        <v>1835.0953099999999</v>
      </c>
      <c r="E140" s="78">
        <f>'Purchased Power Model '!K222/1000000</f>
        <v>1823.3025051213237</v>
      </c>
      <c r="F140" s="113">
        <f t="shared" ref="F140:F155" si="34">E140/D140-1</f>
        <v>-6.4262628836843083E-3</v>
      </c>
      <c r="G140"/>
      <c r="H140"/>
      <c r="I140"/>
      <c r="J140"/>
      <c r="K140"/>
    </row>
    <row r="141" spans="1:11" ht="15" customHeight="1" x14ac:dyDescent="0.2">
      <c r="A141" s="564">
        <v>1998</v>
      </c>
      <c r="B141" s="565"/>
      <c r="C141" s="73"/>
      <c r="D141" s="78">
        <f>'Purchased Power Model '!E223/1000000</f>
        <v>1835.3451239999999</v>
      </c>
      <c r="E141" s="78">
        <f>'Purchased Power Model '!K223/1000000</f>
        <v>1855.0558883889723</v>
      </c>
      <c r="F141" s="113">
        <f t="shared" si="34"/>
        <v>1.0739541098414351E-2</v>
      </c>
      <c r="K141" s="83"/>
    </row>
    <row r="142" spans="1:11" ht="15" customHeight="1" x14ac:dyDescent="0.2">
      <c r="A142" s="564">
        <v>1999</v>
      </c>
      <c r="B142" s="565"/>
      <c r="C142" s="73"/>
      <c r="D142" s="78">
        <f>'Purchased Power Model '!E224/1000000</f>
        <v>1899.849275</v>
      </c>
      <c r="E142" s="78">
        <f>'Purchased Power Model '!K224/1000000</f>
        <v>1923.3953031594185</v>
      </c>
      <c r="F142" s="113">
        <f t="shared" si="34"/>
        <v>1.239362957328205E-2</v>
      </c>
      <c r="K142" s="83"/>
    </row>
    <row r="143" spans="1:11" ht="15" customHeight="1" x14ac:dyDescent="0.2">
      <c r="A143" s="564">
        <v>2000</v>
      </c>
      <c r="B143" s="565"/>
      <c r="C143" s="73"/>
      <c r="D143" s="78">
        <f>'Purchased Power Model '!E225/1000000</f>
        <v>1917.2873059999999</v>
      </c>
      <c r="E143" s="78">
        <f>'Purchased Power Model '!K225/1000000</f>
        <v>1917.2574335265592</v>
      </c>
      <c r="F143" s="113">
        <f t="shared" si="34"/>
        <v>-1.558059313655491E-5</v>
      </c>
      <c r="K143" s="83"/>
    </row>
    <row r="144" spans="1:11" ht="15" customHeight="1" x14ac:dyDescent="0.2">
      <c r="A144" s="564">
        <v>2001</v>
      </c>
      <c r="B144" s="565"/>
      <c r="C144" s="73"/>
      <c r="D144" s="78">
        <f>'Purchased Power Model '!E226/1000000</f>
        <v>1963.8665109999999</v>
      </c>
      <c r="E144" s="78">
        <f>'Purchased Power Model '!K226/1000000</f>
        <v>1953.6410695566638</v>
      </c>
      <c r="F144" s="113">
        <f t="shared" si="34"/>
        <v>-5.2067904748420712E-3</v>
      </c>
      <c r="K144" s="83"/>
    </row>
    <row r="145" spans="1:12" ht="15" customHeight="1" x14ac:dyDescent="0.2">
      <c r="A145" s="564">
        <v>2002</v>
      </c>
      <c r="B145" s="565"/>
      <c r="C145" s="77"/>
      <c r="D145" s="78">
        <f>'Purchased Power Model '!E227/1000000</f>
        <v>2036.9125200000001</v>
      </c>
      <c r="E145" s="78">
        <f>'Purchased Power Model '!K227/1000000</f>
        <v>2001.0801729767593</v>
      </c>
      <c r="F145" s="113">
        <f t="shared" si="34"/>
        <v>-1.7591500209955369E-2</v>
      </c>
      <c r="K145" s="83"/>
    </row>
    <row r="146" spans="1:12" ht="15" customHeight="1" x14ac:dyDescent="0.2">
      <c r="A146" s="564">
        <v>2003</v>
      </c>
      <c r="B146" s="565"/>
      <c r="C146" s="73"/>
      <c r="D146" s="78">
        <f>'Purchased Power Model '!E228/1000000</f>
        <v>2013.2033730000001</v>
      </c>
      <c r="E146" s="78">
        <f>'Purchased Power Model '!K228/1000000</f>
        <v>1994.3850662226791</v>
      </c>
      <c r="F146" s="113">
        <f t="shared" si="34"/>
        <v>-9.3474444905576881E-3</v>
      </c>
      <c r="K146" s="83"/>
    </row>
    <row r="147" spans="1:12" ht="15" customHeight="1" x14ac:dyDescent="0.2">
      <c r="A147" s="564">
        <v>2004</v>
      </c>
      <c r="B147" s="565"/>
      <c r="C147" s="77"/>
      <c r="D147" s="78">
        <f>'Purchased Power Model '!E229/1000000</f>
        <v>2009.748106</v>
      </c>
      <c r="E147" s="78">
        <f>'Purchased Power Model '!K229/1000000</f>
        <v>2002.4798822055197</v>
      </c>
      <c r="F147" s="113">
        <f t="shared" si="34"/>
        <v>-3.6164849578816938E-3</v>
      </c>
      <c r="G147"/>
      <c r="K147" s="83"/>
    </row>
    <row r="148" spans="1:12" ht="15" customHeight="1" x14ac:dyDescent="0.2">
      <c r="A148" s="564">
        <v>2005</v>
      </c>
      <c r="B148" s="565"/>
      <c r="C148" s="77"/>
      <c r="D148" s="78">
        <f>'Purchased Power Model '!E230/1000000</f>
        <v>2086.3640945742</v>
      </c>
      <c r="E148" s="78">
        <f>'Purchased Power Model '!K230/1000000</f>
        <v>2077.5782514867024</v>
      </c>
      <c r="F148" s="113">
        <f t="shared" si="34"/>
        <v>-4.2110785506451753E-3</v>
      </c>
      <c r="G148"/>
      <c r="K148" s="83"/>
    </row>
    <row r="149" spans="1:12" ht="15" customHeight="1" x14ac:dyDescent="0.2">
      <c r="A149" s="564">
        <v>2006</v>
      </c>
      <c r="B149" s="565"/>
      <c r="C149" s="77"/>
      <c r="D149" s="78">
        <f>'Purchased Power Model '!E231/1000000</f>
        <v>1983.6457103185001</v>
      </c>
      <c r="E149" s="78">
        <f>'Purchased Power Model '!K231/1000000</f>
        <v>2011.4221243310665</v>
      </c>
      <c r="F149" s="113">
        <f t="shared" si="34"/>
        <v>1.4002709187472151E-2</v>
      </c>
      <c r="G149"/>
      <c r="K149" s="83"/>
    </row>
    <row r="150" spans="1:12" ht="15" customHeight="1" x14ac:dyDescent="0.2">
      <c r="A150" s="564">
        <v>2007</v>
      </c>
      <c r="B150" s="565"/>
      <c r="C150" s="77"/>
      <c r="D150" s="78">
        <f>'Purchased Power Model '!E232/1000000</f>
        <v>1978.9901764429999</v>
      </c>
      <c r="E150" s="78">
        <f>'Purchased Power Model '!K232/1000000</f>
        <v>1990.5979541714844</v>
      </c>
      <c r="F150" s="113">
        <f t="shared" si="34"/>
        <v>5.865505481865485E-3</v>
      </c>
      <c r="G150"/>
      <c r="K150" s="83"/>
    </row>
    <row r="151" spans="1:12" ht="15" customHeight="1" x14ac:dyDescent="0.2">
      <c r="A151" s="564">
        <v>2008</v>
      </c>
      <c r="B151" s="565"/>
      <c r="C151" s="77"/>
      <c r="D151" s="78">
        <f>'Purchased Power Model '!E233/1000000</f>
        <v>1939.0644042694</v>
      </c>
      <c r="E151" s="78">
        <f>'Purchased Power Model '!K233/1000000</f>
        <v>1963.2518616181324</v>
      </c>
      <c r="F151" s="113">
        <f t="shared" si="34"/>
        <v>1.2473777196609248E-2</v>
      </c>
      <c r="G151"/>
      <c r="K151" s="83"/>
    </row>
    <row r="152" spans="1:12" ht="15" customHeight="1" x14ac:dyDescent="0.2">
      <c r="A152" s="564">
        <v>2009</v>
      </c>
      <c r="B152" s="565"/>
      <c r="C152" s="77"/>
      <c r="D152" s="78">
        <f>'Purchased Power Model '!E234/1000000</f>
        <v>1837.1331214989998</v>
      </c>
      <c r="E152" s="78">
        <f>'Purchased Power Model '!K234/1000000</f>
        <v>1856.1745904812803</v>
      </c>
      <c r="F152" s="113">
        <f t="shared" si="34"/>
        <v>1.0364773657090209E-2</v>
      </c>
      <c r="G152"/>
      <c r="K152" s="83"/>
    </row>
    <row r="153" spans="1:12" ht="15" customHeight="1" x14ac:dyDescent="0.2">
      <c r="A153" s="564">
        <v>2010</v>
      </c>
      <c r="B153" s="565"/>
      <c r="C153" s="77"/>
      <c r="D153" s="78">
        <f>'Purchased Power Model '!E235/1000000</f>
        <v>1892.6335194493545</v>
      </c>
      <c r="E153" s="78">
        <f>'Purchased Power Model '!K235/1000000</f>
        <v>1889.6918551705751</v>
      </c>
      <c r="F153" s="113">
        <f t="shared" si="34"/>
        <v>-1.5542704113341577E-3</v>
      </c>
      <c r="G153"/>
      <c r="K153" s="83"/>
    </row>
    <row r="154" spans="1:12" ht="15" customHeight="1" x14ac:dyDescent="0.2">
      <c r="A154" s="564">
        <v>2011</v>
      </c>
      <c r="B154" s="565"/>
      <c r="C154" s="77"/>
      <c r="D154" s="78">
        <f>'Purchased Power Model '!E236/1000000</f>
        <v>1895.1972325334652</v>
      </c>
      <c r="E154" s="78">
        <f>'Purchased Power Model '!K236/1000000</f>
        <v>1882.8410422231548</v>
      </c>
      <c r="F154" s="113">
        <f t="shared" si="34"/>
        <v>-6.5197384727039287E-3</v>
      </c>
      <c r="G154"/>
      <c r="K154" s="83"/>
    </row>
    <row r="155" spans="1:12" ht="15" customHeight="1" x14ac:dyDescent="0.2">
      <c r="A155" s="564">
        <v>2012</v>
      </c>
      <c r="B155" s="565"/>
      <c r="C155" s="114"/>
      <c r="D155" s="78">
        <f>'Purchased Power Model '!E237/1000000</f>
        <v>1885.7381183156619</v>
      </c>
      <c r="E155" s="78">
        <f>'Purchased Power Model '!K237/1000000</f>
        <v>1867.9189017622916</v>
      </c>
      <c r="F155" s="113">
        <f t="shared" si="34"/>
        <v>-9.4494651088065096E-3</v>
      </c>
      <c r="G155"/>
    </row>
    <row r="156" spans="1:12" s="86" customFormat="1" ht="15" customHeight="1" x14ac:dyDescent="0.25">
      <c r="A156" s="559" t="s">
        <v>52</v>
      </c>
      <c r="B156" s="560"/>
      <c r="C156" s="560"/>
      <c r="D156" s="561"/>
      <c r="E156" s="87">
        <f>'Purchased Power Model '!K238/1000000</f>
        <v>1906.5990248943376</v>
      </c>
      <c r="F156" s="115"/>
      <c r="K156" s="116"/>
    </row>
    <row r="157" spans="1:12" s="86" customFormat="1" ht="15" customHeight="1" x14ac:dyDescent="0.25">
      <c r="A157" s="559" t="s">
        <v>150</v>
      </c>
      <c r="B157" s="560"/>
      <c r="C157" s="560"/>
      <c r="D157" s="561"/>
      <c r="E157" s="87">
        <f>'Purchased Power Model '!K239/1000000</f>
        <v>1929.1061104708108</v>
      </c>
      <c r="F157" s="115"/>
      <c r="K157" s="116"/>
    </row>
    <row r="158" spans="1:12" s="86" customFormat="1" ht="15" customHeight="1" x14ac:dyDescent="0.25">
      <c r="A158" s="559" t="s">
        <v>291</v>
      </c>
      <c r="B158" s="560"/>
      <c r="C158" s="560"/>
      <c r="D158" s="561"/>
      <c r="E158" s="87">
        <f>'Purchased Power Model '!K296/1000000</f>
        <v>1928.4484380943611</v>
      </c>
      <c r="F158" s="115"/>
      <c r="K158" s="116"/>
    </row>
    <row r="159" spans="1:12" s="83" customFormat="1" ht="15" customHeight="1" x14ac:dyDescent="0.2">
      <c r="A159" s="559" t="s">
        <v>292</v>
      </c>
      <c r="B159" s="560"/>
      <c r="C159" s="560"/>
      <c r="D159" s="561"/>
      <c r="E159" s="87">
        <f>'Purchased Power Model '!K312/1000000</f>
        <v>1929.2844977512996</v>
      </c>
      <c r="F159" s="113"/>
      <c r="K159" s="229"/>
      <c r="L159" s="230"/>
    </row>
    <row r="160" spans="1:12" x14ac:dyDescent="0.2">
      <c r="K160"/>
    </row>
    <row r="161" spans="1:16" ht="15" x14ac:dyDescent="0.2">
      <c r="A161" s="559" t="s">
        <v>213</v>
      </c>
      <c r="B161" s="560"/>
      <c r="C161" s="560"/>
      <c r="D161" s="560"/>
      <c r="E161" s="560"/>
      <c r="F161" s="560"/>
      <c r="G161" s="560"/>
      <c r="H161" s="560"/>
      <c r="I161" s="560"/>
      <c r="J161" s="561"/>
      <c r="K161" s="121"/>
      <c r="L161" s="121"/>
    </row>
    <row r="162" spans="1:16" ht="30" x14ac:dyDescent="0.2">
      <c r="A162" s="582" t="s">
        <v>82</v>
      </c>
      <c r="B162" s="583"/>
      <c r="C162" s="416"/>
      <c r="D162" s="386" t="str">
        <f t="shared" ref="D162:I162" si="35">D67</f>
        <v xml:space="preserve">Residential </v>
      </c>
      <c r="E162" s="386" t="str">
        <f t="shared" si="35"/>
        <v>GS&lt;50</v>
      </c>
      <c r="F162" s="386" t="str">
        <f t="shared" si="35"/>
        <v>GS&gt;50</v>
      </c>
      <c r="G162" s="386" t="str">
        <f t="shared" si="35"/>
        <v>Large User</v>
      </c>
      <c r="H162" s="386" t="str">
        <f t="shared" si="35"/>
        <v>Street Lighting</v>
      </c>
      <c r="I162" s="386" t="str">
        <f t="shared" si="35"/>
        <v>USL</v>
      </c>
      <c r="J162" s="386" t="s">
        <v>10</v>
      </c>
    </row>
    <row r="163" spans="1:16" ht="15" x14ac:dyDescent="0.2">
      <c r="A163" s="226" t="s">
        <v>90</v>
      </c>
      <c r="B163" s="227"/>
      <c r="C163" s="227"/>
      <c r="D163" s="227"/>
      <c r="E163" s="227"/>
      <c r="F163" s="227"/>
      <c r="G163" s="227"/>
      <c r="H163" s="227"/>
      <c r="I163" s="227"/>
      <c r="J163" s="228"/>
    </row>
    <row r="164" spans="1:16" ht="15" x14ac:dyDescent="0.2">
      <c r="A164" s="564">
        <f t="shared" ref="A164:A176" si="36">+A143</f>
        <v>2000</v>
      </c>
      <c r="B164" s="581"/>
      <c r="C164" s="76"/>
      <c r="D164" s="117">
        <f>'Rate Class Customer Model'!B6</f>
        <v>63692</v>
      </c>
      <c r="E164" s="117">
        <f>'Rate Class Customer Model'!C6</f>
        <v>6548</v>
      </c>
      <c r="F164" s="447">
        <f>'Rate Class Customer Model'!D6</f>
        <v>1033</v>
      </c>
      <c r="G164" s="117">
        <f>'Rate Class Customer Model'!E6</f>
        <v>3</v>
      </c>
      <c r="H164" s="117">
        <f>'Rate Class Customer Model'!F6</f>
        <v>1342.030303030303</v>
      </c>
      <c r="I164" s="117">
        <f>'Rate Class Customer Model'!G6</f>
        <v>750</v>
      </c>
      <c r="J164" s="117">
        <f t="shared" ref="J164:J175" si="37">SUM(D164:I164)</f>
        <v>73368.030303030304</v>
      </c>
      <c r="N164"/>
      <c r="O164"/>
      <c r="P164"/>
    </row>
    <row r="165" spans="1:16" ht="15" x14ac:dyDescent="0.2">
      <c r="A165" s="564">
        <f t="shared" si="36"/>
        <v>2001</v>
      </c>
      <c r="B165" s="581"/>
      <c r="C165" s="76"/>
      <c r="D165" s="117">
        <f>'Rate Class Customer Model'!B7</f>
        <v>64284</v>
      </c>
      <c r="E165" s="117">
        <f>'Rate Class Customer Model'!C7</f>
        <v>6568</v>
      </c>
      <c r="F165" s="447">
        <f>'Rate Class Customer Model'!D7</f>
        <v>1035</v>
      </c>
      <c r="G165" s="117">
        <f>'Rate Class Customer Model'!E7</f>
        <v>4</v>
      </c>
      <c r="H165" s="117">
        <f>'Rate Class Customer Model'!F7</f>
        <v>1369.6060606060605</v>
      </c>
      <c r="I165" s="117">
        <f>'Rate Class Customer Model'!G7</f>
        <v>750</v>
      </c>
      <c r="J165" s="117">
        <f t="shared" si="37"/>
        <v>74010.606060606064</v>
      </c>
      <c r="N165"/>
      <c r="O165"/>
      <c r="P165"/>
    </row>
    <row r="166" spans="1:16" x14ac:dyDescent="0.2">
      <c r="A166" s="564">
        <f t="shared" si="36"/>
        <v>2002</v>
      </c>
      <c r="B166" s="581"/>
      <c r="C166" s="95"/>
      <c r="D166" s="117">
        <f>'Rate Class Customer Model'!B8</f>
        <v>65683</v>
      </c>
      <c r="E166" s="117">
        <f>'Rate Class Customer Model'!C8</f>
        <v>6569</v>
      </c>
      <c r="F166" s="447">
        <f>'Rate Class Customer Model'!D8</f>
        <v>1068</v>
      </c>
      <c r="G166" s="117">
        <f>'Rate Class Customer Model'!E8</f>
        <v>4</v>
      </c>
      <c r="H166" s="117">
        <f>'Rate Class Customer Model'!F8</f>
        <v>1394.3939393939395</v>
      </c>
      <c r="I166" s="117">
        <f>'Rate Class Customer Model'!G8</f>
        <v>765</v>
      </c>
      <c r="J166" s="117">
        <f t="shared" si="37"/>
        <v>75483.393939393936</v>
      </c>
      <c r="N166"/>
      <c r="O166"/>
      <c r="P166"/>
    </row>
    <row r="167" spans="1:16" x14ac:dyDescent="0.2">
      <c r="A167" s="564">
        <f t="shared" si="36"/>
        <v>2003</v>
      </c>
      <c r="B167" s="581"/>
      <c r="C167" s="95"/>
      <c r="D167" s="117">
        <f>'Rate Class Customer Model'!B9</f>
        <v>67527</v>
      </c>
      <c r="E167" s="117">
        <f>'Rate Class Customer Model'!C9</f>
        <v>6703</v>
      </c>
      <c r="F167" s="447">
        <f>'Rate Class Customer Model'!D9</f>
        <v>1035</v>
      </c>
      <c r="G167" s="117">
        <f>'Rate Class Customer Model'!E9</f>
        <v>4</v>
      </c>
      <c r="H167" s="117">
        <f>'Rate Class Customer Model'!F9</f>
        <v>1405</v>
      </c>
      <c r="I167" s="117">
        <f>'Rate Class Customer Model'!G9</f>
        <v>765</v>
      </c>
      <c r="J167" s="117">
        <f t="shared" si="37"/>
        <v>77439</v>
      </c>
      <c r="N167"/>
      <c r="O167"/>
      <c r="P167"/>
    </row>
    <row r="168" spans="1:16" x14ac:dyDescent="0.2">
      <c r="A168" s="564">
        <f t="shared" si="36"/>
        <v>2004</v>
      </c>
      <c r="B168" s="581"/>
      <c r="C168" s="95"/>
      <c r="D168" s="117">
        <f>'Rate Class Customer Model'!B10</f>
        <v>69405</v>
      </c>
      <c r="E168" s="117">
        <f>'Rate Class Customer Model'!C10</f>
        <v>6816</v>
      </c>
      <c r="F168" s="447">
        <f>'Rate Class Customer Model'!D10</f>
        <v>1058</v>
      </c>
      <c r="G168" s="117">
        <f>'Rate Class Customer Model'!E10</f>
        <v>4</v>
      </c>
      <c r="H168" s="117">
        <f>'Rate Class Customer Model'!F10</f>
        <v>1497</v>
      </c>
      <c r="I168" s="117">
        <f>'Rate Class Customer Model'!G10</f>
        <v>822</v>
      </c>
      <c r="J168" s="117">
        <f t="shared" si="37"/>
        <v>79602</v>
      </c>
      <c r="N168"/>
      <c r="O168"/>
      <c r="P168"/>
    </row>
    <row r="169" spans="1:16" x14ac:dyDescent="0.2">
      <c r="A169" s="564">
        <f t="shared" si="36"/>
        <v>2005</v>
      </c>
      <c r="B169" s="581"/>
      <c r="C169" s="95"/>
      <c r="D169" s="117">
        <f>'Rate Class Customer Model'!B11</f>
        <v>71490</v>
      </c>
      <c r="E169" s="117">
        <f>'Rate Class Customer Model'!C11</f>
        <v>6916</v>
      </c>
      <c r="F169" s="447">
        <f>'Rate Class Customer Model'!D11</f>
        <v>1077</v>
      </c>
      <c r="G169" s="117">
        <f>'Rate Class Customer Model'!E11</f>
        <v>4</v>
      </c>
      <c r="H169" s="117">
        <f>'Rate Class Customer Model'!F11</f>
        <v>1517</v>
      </c>
      <c r="I169" s="117">
        <f>'Rate Class Customer Model'!G11</f>
        <v>807</v>
      </c>
      <c r="J169" s="117">
        <f t="shared" si="37"/>
        <v>81811</v>
      </c>
      <c r="N169"/>
      <c r="O169"/>
      <c r="P169"/>
    </row>
    <row r="170" spans="1:16" x14ac:dyDescent="0.2">
      <c r="A170" s="564">
        <f t="shared" si="36"/>
        <v>2006</v>
      </c>
      <c r="B170" s="581"/>
      <c r="C170" s="95"/>
      <c r="D170" s="117">
        <f>'Rate Class Customer Model'!B12</f>
        <v>72866</v>
      </c>
      <c r="E170" s="117">
        <f>'Rate Class Customer Model'!C12</f>
        <v>7049</v>
      </c>
      <c r="F170" s="447">
        <f>'Rate Class Customer Model'!D12</f>
        <v>1021</v>
      </c>
      <c r="G170" s="117">
        <f>'Rate Class Customer Model'!E12</f>
        <v>4</v>
      </c>
      <c r="H170" s="117">
        <f>'Rate Class Customer Model'!F12</f>
        <v>1533</v>
      </c>
      <c r="I170" s="117">
        <f>'Rate Class Customer Model'!G12</f>
        <v>807</v>
      </c>
      <c r="J170" s="117">
        <f t="shared" si="37"/>
        <v>83280</v>
      </c>
      <c r="N170"/>
      <c r="O170"/>
      <c r="P170"/>
    </row>
    <row r="171" spans="1:16" x14ac:dyDescent="0.2">
      <c r="A171" s="564">
        <f t="shared" si="36"/>
        <v>2007</v>
      </c>
      <c r="B171" s="581"/>
      <c r="C171" s="95"/>
      <c r="D171" s="117">
        <f>'Rate Class Customer Model'!B13</f>
        <v>74392</v>
      </c>
      <c r="E171" s="117">
        <f>'Rate Class Customer Model'!C13</f>
        <v>7198</v>
      </c>
      <c r="F171" s="447">
        <f>'Rate Class Customer Model'!D13</f>
        <v>1005</v>
      </c>
      <c r="G171" s="117">
        <f>'Rate Class Customer Model'!E13</f>
        <v>4</v>
      </c>
      <c r="H171" s="117">
        <f>'Rate Class Customer Model'!F13</f>
        <v>1523</v>
      </c>
      <c r="I171" s="117">
        <f>'Rate Class Customer Model'!G13</f>
        <v>818</v>
      </c>
      <c r="J171" s="117">
        <f t="shared" si="37"/>
        <v>84940</v>
      </c>
      <c r="N171"/>
      <c r="O171"/>
      <c r="P171"/>
    </row>
    <row r="172" spans="1:16" x14ac:dyDescent="0.2">
      <c r="A172" s="564">
        <f t="shared" si="36"/>
        <v>2008</v>
      </c>
      <c r="B172" s="581"/>
      <c r="C172" s="95"/>
      <c r="D172" s="117">
        <f>'Rate Class Customer Model'!B14</f>
        <v>75153.833333333328</v>
      </c>
      <c r="E172" s="117">
        <f>'Rate Class Customer Model'!C14</f>
        <v>7264.916666666667</v>
      </c>
      <c r="F172" s="447">
        <f>'Rate Class Customer Model'!D14</f>
        <v>1014.1666666666666</v>
      </c>
      <c r="G172" s="117">
        <f>'Rate Class Customer Model'!E14</f>
        <v>4</v>
      </c>
      <c r="H172" s="117">
        <f>'Rate Class Customer Model'!F14</f>
        <v>1522.2424242424242</v>
      </c>
      <c r="I172" s="117">
        <f>'Rate Class Customer Model'!G14</f>
        <v>820</v>
      </c>
      <c r="J172" s="117">
        <f t="shared" si="37"/>
        <v>85779.159090909103</v>
      </c>
      <c r="N172"/>
      <c r="O172"/>
      <c r="P172"/>
    </row>
    <row r="173" spans="1:16" x14ac:dyDescent="0.2">
      <c r="A173" s="564">
        <f t="shared" si="36"/>
        <v>2009</v>
      </c>
      <c r="B173" s="581"/>
      <c r="C173" s="95"/>
      <c r="D173" s="117">
        <f>'Rate Class Customer Model'!B15</f>
        <v>76255.166666666672</v>
      </c>
      <c r="E173" s="117">
        <f>'Rate Class Customer Model'!C15</f>
        <v>7370.333333333333</v>
      </c>
      <c r="F173" s="447">
        <f>'Rate Class Customer Model'!D15</f>
        <v>1004.9166666666666</v>
      </c>
      <c r="G173" s="117">
        <f>'Rate Class Customer Model'!E15</f>
        <v>3</v>
      </c>
      <c r="H173" s="117">
        <f>'Rate Class Customer Model'!F15</f>
        <v>1551</v>
      </c>
      <c r="I173" s="117">
        <f>'Rate Class Customer Model'!G15</f>
        <v>817</v>
      </c>
      <c r="J173" s="117">
        <f t="shared" si="37"/>
        <v>87001.416666666672</v>
      </c>
      <c r="N173"/>
      <c r="O173"/>
      <c r="P173"/>
    </row>
    <row r="174" spans="1:16" x14ac:dyDescent="0.2">
      <c r="A174" s="564">
        <f t="shared" si="36"/>
        <v>2010</v>
      </c>
      <c r="B174" s="581"/>
      <c r="C174" s="95"/>
      <c r="D174" s="117">
        <f>'Rate Class Customer Model'!B16</f>
        <v>77505.916666666672</v>
      </c>
      <c r="E174" s="117">
        <f>'Rate Class Customer Model'!C16</f>
        <v>7447.583333333333</v>
      </c>
      <c r="F174" s="447">
        <f>'Rate Class Customer Model'!D16</f>
        <v>988.91666666666663</v>
      </c>
      <c r="G174" s="117">
        <f>'Rate Class Customer Model'!E16</f>
        <v>1.3333333333333333</v>
      </c>
      <c r="H174" s="117">
        <f>'Rate Class Customer Model'!F16</f>
        <v>1574.2465237166991</v>
      </c>
      <c r="I174" s="117">
        <f>'Rate Class Customer Model'!G16</f>
        <v>811</v>
      </c>
      <c r="J174" s="117">
        <f t="shared" si="37"/>
        <v>88328.996523716705</v>
      </c>
      <c r="N174"/>
      <c r="O174"/>
      <c r="P174"/>
    </row>
    <row r="175" spans="1:16" x14ac:dyDescent="0.2">
      <c r="A175" s="564">
        <f t="shared" si="36"/>
        <v>2011</v>
      </c>
      <c r="B175" s="581"/>
      <c r="C175" s="95"/>
      <c r="D175" s="117">
        <f>'Rate Class Customer Model'!B17</f>
        <v>78761</v>
      </c>
      <c r="E175" s="117">
        <f>'Rate Class Customer Model'!C17</f>
        <v>7538</v>
      </c>
      <c r="F175" s="447">
        <f>'Rate Class Customer Model'!D17</f>
        <v>975</v>
      </c>
      <c r="G175" s="117">
        <f>'Rate Class Customer Model'!E17</f>
        <v>2</v>
      </c>
      <c r="H175" s="117">
        <f>'Rate Class Customer Model'!F17</f>
        <v>1567.6666666666667</v>
      </c>
      <c r="I175" s="117">
        <f>'Rate Class Customer Model'!G17</f>
        <v>841</v>
      </c>
      <c r="J175" s="117">
        <f t="shared" si="37"/>
        <v>89684.666666666672</v>
      </c>
      <c r="N175"/>
      <c r="O175"/>
      <c r="P175"/>
    </row>
    <row r="176" spans="1:16" x14ac:dyDescent="0.2">
      <c r="A176" s="564">
        <f t="shared" si="36"/>
        <v>2012</v>
      </c>
      <c r="B176" s="581"/>
      <c r="C176" s="241"/>
      <c r="D176" s="117">
        <f>'Rate Class Customer Model'!B18</f>
        <v>79997</v>
      </c>
      <c r="E176" s="117">
        <f>'Rate Class Customer Model'!C18</f>
        <v>7645.333333333333</v>
      </c>
      <c r="F176" s="447">
        <f>'Rate Class Customer Model'!D18</f>
        <v>952.33333333333337</v>
      </c>
      <c r="G176" s="117">
        <f>'Rate Class Customer Model'!E18</f>
        <v>2</v>
      </c>
      <c r="H176" s="117">
        <f>'Rate Class Customer Model'!F18</f>
        <v>1573.4242424242425</v>
      </c>
      <c r="I176" s="117">
        <f>'Rate Class Customer Model'!G18</f>
        <v>868.75</v>
      </c>
      <c r="J176" s="117">
        <f t="shared" ref="J176" si="38">SUM(D176:I176)</f>
        <v>91038.840909090897</v>
      </c>
      <c r="N176"/>
      <c r="O176"/>
      <c r="P176"/>
    </row>
    <row r="178" spans="1:14" ht="15" x14ac:dyDescent="0.2">
      <c r="A178" s="559" t="s">
        <v>214</v>
      </c>
      <c r="B178" s="560"/>
      <c r="C178" s="560"/>
      <c r="D178" s="560"/>
      <c r="E178" s="560"/>
      <c r="F178" s="560"/>
      <c r="G178" s="560"/>
      <c r="H178" s="560"/>
      <c r="I178" s="561"/>
      <c r="J178" s="121"/>
      <c r="K178" s="121"/>
    </row>
    <row r="179" spans="1:14" ht="30" x14ac:dyDescent="0.2">
      <c r="A179" s="584" t="s">
        <v>82</v>
      </c>
      <c r="B179" s="584"/>
      <c r="C179" s="416"/>
      <c r="D179" s="386" t="str">
        <f>D162</f>
        <v xml:space="preserve">Residential </v>
      </c>
      <c r="E179" s="386" t="str">
        <f t="shared" ref="E179:G179" si="39">E162</f>
        <v>GS&lt;50</v>
      </c>
      <c r="F179" s="386" t="str">
        <f t="shared" si="39"/>
        <v>GS&gt;50</v>
      </c>
      <c r="G179" s="386" t="str">
        <f t="shared" si="39"/>
        <v>Large User</v>
      </c>
      <c r="H179" s="386" t="str">
        <f>H162</f>
        <v>Street Lighting</v>
      </c>
      <c r="I179" s="386" t="str">
        <f>I162</f>
        <v>USL</v>
      </c>
    </row>
    <row r="180" spans="1:14" ht="15" customHeight="1" x14ac:dyDescent="0.2">
      <c r="A180" s="226" t="s">
        <v>215</v>
      </c>
      <c r="B180" s="227"/>
      <c r="C180" s="227"/>
      <c r="D180" s="227"/>
      <c r="E180" s="227"/>
      <c r="F180" s="227"/>
      <c r="G180" s="227"/>
      <c r="H180" s="227"/>
      <c r="I180" s="228"/>
    </row>
    <row r="181" spans="1:14" ht="15" customHeight="1" x14ac:dyDescent="0.2">
      <c r="A181" s="553">
        <f t="shared" ref="A181:A193" si="40">A164</f>
        <v>2000</v>
      </c>
      <c r="B181" s="553"/>
      <c r="C181" s="76"/>
      <c r="D181" s="118"/>
      <c r="E181" s="76"/>
      <c r="F181" s="76"/>
      <c r="G181" s="76"/>
      <c r="H181" s="76"/>
      <c r="I181" s="94"/>
    </row>
    <row r="182" spans="1:14" ht="15" customHeight="1" x14ac:dyDescent="0.2">
      <c r="A182" s="553">
        <f t="shared" si="40"/>
        <v>2001</v>
      </c>
      <c r="B182" s="553"/>
      <c r="C182" s="76"/>
      <c r="D182" s="118">
        <f t="shared" ref="D182:G182" si="41">D165/D164-1</f>
        <v>9.2947308924198335E-3</v>
      </c>
      <c r="E182" s="118">
        <f t="shared" si="41"/>
        <v>3.0543677458765295E-3</v>
      </c>
      <c r="F182" s="118">
        <f t="shared" si="41"/>
        <v>1.9361084220717029E-3</v>
      </c>
      <c r="G182" s="118">
        <f t="shared" si="41"/>
        <v>0.33333333333333326</v>
      </c>
      <c r="H182" s="118">
        <f t="shared" ref="H182:I193" si="42">H165/H164-1</f>
        <v>2.0547790548016254E-2</v>
      </c>
      <c r="I182" s="118">
        <f t="shared" si="42"/>
        <v>0</v>
      </c>
      <c r="L182" s="155"/>
      <c r="M182" s="156"/>
      <c r="N182" s="156"/>
    </row>
    <row r="183" spans="1:14" ht="15" customHeight="1" x14ac:dyDescent="0.2">
      <c r="A183" s="553">
        <f t="shared" si="40"/>
        <v>2002</v>
      </c>
      <c r="B183" s="553"/>
      <c r="C183" s="76"/>
      <c r="D183" s="118">
        <f t="shared" ref="D183:G183" si="43">D166/D165-1</f>
        <v>2.176280256362384E-2</v>
      </c>
      <c r="E183" s="118">
        <f t="shared" si="43"/>
        <v>1.5225334957369441E-4</v>
      </c>
      <c r="F183" s="118">
        <f t="shared" si="43"/>
        <v>3.1884057971014457E-2</v>
      </c>
      <c r="G183" s="118">
        <f t="shared" si="43"/>
        <v>0</v>
      </c>
      <c r="H183" s="118">
        <f t="shared" si="42"/>
        <v>1.8098546363696899E-2</v>
      </c>
      <c r="I183" s="118">
        <f t="shared" si="42"/>
        <v>2.0000000000000018E-2</v>
      </c>
      <c r="L183" s="155"/>
      <c r="M183" s="156"/>
      <c r="N183" s="156"/>
    </row>
    <row r="184" spans="1:14" ht="15" customHeight="1" x14ac:dyDescent="0.2">
      <c r="A184" s="553">
        <f t="shared" si="40"/>
        <v>2003</v>
      </c>
      <c r="B184" s="553"/>
      <c r="C184" s="95"/>
      <c r="D184" s="118">
        <f t="shared" ref="D184:G184" si="44">D167/D166-1</f>
        <v>2.8074235342478326E-2</v>
      </c>
      <c r="E184" s="118">
        <f t="shared" si="44"/>
        <v>2.0398843050692728E-2</v>
      </c>
      <c r="F184" s="118">
        <f t="shared" si="44"/>
        <v>-3.0898876404494402E-2</v>
      </c>
      <c r="G184" s="118">
        <f t="shared" si="44"/>
        <v>0</v>
      </c>
      <c r="H184" s="118">
        <f t="shared" si="42"/>
        <v>7.606215364554858E-3</v>
      </c>
      <c r="I184" s="118">
        <f t="shared" si="42"/>
        <v>0</v>
      </c>
      <c r="L184" s="155"/>
      <c r="M184" s="156"/>
      <c r="N184" s="156"/>
    </row>
    <row r="185" spans="1:14" ht="15" customHeight="1" x14ac:dyDescent="0.2">
      <c r="A185" s="553">
        <f t="shared" si="40"/>
        <v>2004</v>
      </c>
      <c r="B185" s="553"/>
      <c r="C185" s="95"/>
      <c r="D185" s="118">
        <f t="shared" ref="D185:G185" si="45">D168/D167-1</f>
        <v>2.7811097783108973E-2</v>
      </c>
      <c r="E185" s="118">
        <f t="shared" si="45"/>
        <v>1.6858123228405297E-2</v>
      </c>
      <c r="F185" s="118">
        <f t="shared" si="45"/>
        <v>2.2222222222222143E-2</v>
      </c>
      <c r="G185" s="118">
        <f t="shared" si="45"/>
        <v>0</v>
      </c>
      <c r="H185" s="118">
        <f t="shared" si="42"/>
        <v>6.5480427046263445E-2</v>
      </c>
      <c r="I185" s="118">
        <f t="shared" si="42"/>
        <v>7.4509803921568585E-2</v>
      </c>
      <c r="L185" s="155"/>
      <c r="M185" s="156"/>
      <c r="N185" s="156"/>
    </row>
    <row r="186" spans="1:14" ht="15" customHeight="1" x14ac:dyDescent="0.2">
      <c r="A186" s="553">
        <f t="shared" si="40"/>
        <v>2005</v>
      </c>
      <c r="B186" s="553"/>
      <c r="C186" s="95"/>
      <c r="D186" s="118">
        <f t="shared" ref="D186:G186" si="46">D169/D168-1</f>
        <v>3.0041063323968054E-2</v>
      </c>
      <c r="E186" s="118">
        <f t="shared" si="46"/>
        <v>1.4671361502347491E-2</v>
      </c>
      <c r="F186" s="118">
        <f t="shared" si="46"/>
        <v>1.7958412098298737E-2</v>
      </c>
      <c r="G186" s="118">
        <f t="shared" si="46"/>
        <v>0</v>
      </c>
      <c r="H186" s="118">
        <f t="shared" si="42"/>
        <v>1.3360053440213848E-2</v>
      </c>
      <c r="I186" s="118">
        <f t="shared" si="42"/>
        <v>-1.8248175182481785E-2</v>
      </c>
      <c r="L186" s="155"/>
      <c r="M186" s="156"/>
      <c r="N186" s="156"/>
    </row>
    <row r="187" spans="1:14" ht="15" customHeight="1" x14ac:dyDescent="0.2">
      <c r="A187" s="553">
        <f t="shared" si="40"/>
        <v>2006</v>
      </c>
      <c r="B187" s="553"/>
      <c r="C187" s="95"/>
      <c r="D187" s="118">
        <f t="shared" ref="D187:G187" si="47">D170/D169-1</f>
        <v>1.9247447195412049E-2</v>
      </c>
      <c r="E187" s="118">
        <f t="shared" si="47"/>
        <v>1.9230769230769162E-2</v>
      </c>
      <c r="F187" s="118">
        <f t="shared" si="47"/>
        <v>-5.1996285979572843E-2</v>
      </c>
      <c r="G187" s="118">
        <f t="shared" si="47"/>
        <v>0</v>
      </c>
      <c r="H187" s="118">
        <f t="shared" si="42"/>
        <v>1.054713249835193E-2</v>
      </c>
      <c r="I187" s="118">
        <f t="shared" si="42"/>
        <v>0</v>
      </c>
      <c r="L187" s="155"/>
      <c r="M187" s="156"/>
      <c r="N187" s="156"/>
    </row>
    <row r="188" spans="1:14" ht="15" customHeight="1" x14ac:dyDescent="0.2">
      <c r="A188" s="553">
        <f t="shared" si="40"/>
        <v>2007</v>
      </c>
      <c r="B188" s="553"/>
      <c r="C188" s="95"/>
      <c r="D188" s="118">
        <f t="shared" ref="D188:G188" si="48">D171/D170-1</f>
        <v>2.0942552081903765E-2</v>
      </c>
      <c r="E188" s="118">
        <f t="shared" si="48"/>
        <v>2.1137750035465919E-2</v>
      </c>
      <c r="F188" s="118">
        <f t="shared" si="48"/>
        <v>-1.5670910871694366E-2</v>
      </c>
      <c r="G188" s="118">
        <f t="shared" si="48"/>
        <v>0</v>
      </c>
      <c r="H188" s="118">
        <f t="shared" si="42"/>
        <v>-6.5231572080887146E-3</v>
      </c>
      <c r="I188" s="118">
        <f t="shared" si="42"/>
        <v>1.3630731102850069E-2</v>
      </c>
      <c r="L188" s="155"/>
      <c r="M188" s="156"/>
      <c r="N188" s="156"/>
    </row>
    <row r="189" spans="1:14" ht="15" customHeight="1" x14ac:dyDescent="0.2">
      <c r="A189" s="553">
        <f t="shared" si="40"/>
        <v>2008</v>
      </c>
      <c r="B189" s="553"/>
      <c r="C189" s="95"/>
      <c r="D189" s="118">
        <f t="shared" ref="D189:G189" si="49">D172/D171-1</f>
        <v>1.0240796501415961E-2</v>
      </c>
      <c r="E189" s="118">
        <f t="shared" si="49"/>
        <v>9.2965638603315082E-3</v>
      </c>
      <c r="F189" s="118">
        <f t="shared" si="49"/>
        <v>9.121061359867344E-3</v>
      </c>
      <c r="G189" s="118">
        <f t="shared" si="49"/>
        <v>0</v>
      </c>
      <c r="H189" s="118">
        <f t="shared" si="42"/>
        <v>-4.9742334706226465E-4</v>
      </c>
      <c r="I189" s="118">
        <f t="shared" si="42"/>
        <v>2.4449877750611915E-3</v>
      </c>
      <c r="L189" s="155"/>
      <c r="M189" s="156"/>
      <c r="N189" s="156"/>
    </row>
    <row r="190" spans="1:14" ht="15" customHeight="1" x14ac:dyDescent="0.2">
      <c r="A190" s="553">
        <f t="shared" si="40"/>
        <v>2009</v>
      </c>
      <c r="B190" s="553"/>
      <c r="C190" s="95"/>
      <c r="D190" s="118">
        <f t="shared" ref="D190:G190" si="50">D173/D172-1</f>
        <v>1.4654386669121111E-2</v>
      </c>
      <c r="E190" s="118">
        <f t="shared" si="50"/>
        <v>1.4510375205037729E-2</v>
      </c>
      <c r="F190" s="118">
        <f t="shared" si="50"/>
        <v>-9.1207888249794644E-3</v>
      </c>
      <c r="G190" s="118">
        <f t="shared" si="50"/>
        <v>-0.25</v>
      </c>
      <c r="H190" s="118">
        <f t="shared" si="42"/>
        <v>1.8891587371103302E-2</v>
      </c>
      <c r="I190" s="118">
        <f t="shared" si="42"/>
        <v>-3.6585365853658569E-3</v>
      </c>
      <c r="L190" s="155"/>
      <c r="M190" s="156"/>
      <c r="N190" s="156"/>
    </row>
    <row r="191" spans="1:14" ht="15" customHeight="1" x14ac:dyDescent="0.2">
      <c r="A191" s="553">
        <f t="shared" si="40"/>
        <v>2010</v>
      </c>
      <c r="B191" s="553"/>
      <c r="C191" s="95"/>
      <c r="D191" s="118">
        <f t="shared" ref="D191:G191" si="51">D174/D173-1</f>
        <v>1.6402167284839786E-2</v>
      </c>
      <c r="E191" s="118">
        <f t="shared" si="51"/>
        <v>1.0481208448283708E-2</v>
      </c>
      <c r="F191" s="118">
        <f t="shared" si="51"/>
        <v>-1.5921718218757763E-2</v>
      </c>
      <c r="G191" s="118">
        <f t="shared" si="51"/>
        <v>-0.55555555555555558</v>
      </c>
      <c r="H191" s="118">
        <f t="shared" si="42"/>
        <v>1.4988087502707303E-2</v>
      </c>
      <c r="I191" s="118">
        <f t="shared" si="42"/>
        <v>-7.3439412484700428E-3</v>
      </c>
      <c r="L191" s="155"/>
      <c r="M191" s="156"/>
      <c r="N191" s="156"/>
    </row>
    <row r="192" spans="1:14" ht="15" customHeight="1" x14ac:dyDescent="0.2">
      <c r="A192" s="553">
        <f t="shared" si="40"/>
        <v>2011</v>
      </c>
      <c r="B192" s="553"/>
      <c r="C192" s="95"/>
      <c r="D192" s="118">
        <f t="shared" ref="D192:G193" si="52">D175/D174-1</f>
        <v>1.6193387386554292E-2</v>
      </c>
      <c r="E192" s="118">
        <f t="shared" si="52"/>
        <v>1.2140403486589735E-2</v>
      </c>
      <c r="F192" s="118">
        <f t="shared" si="52"/>
        <v>-1.4072638409033389E-2</v>
      </c>
      <c r="G192" s="118">
        <f t="shared" si="52"/>
        <v>0.5</v>
      </c>
      <c r="H192" s="118">
        <f t="shared" si="42"/>
        <v>-4.1796865680845396E-3</v>
      </c>
      <c r="I192" s="118">
        <f t="shared" si="42"/>
        <v>3.6991368680641123E-2</v>
      </c>
      <c r="L192" s="155"/>
      <c r="M192" s="156"/>
      <c r="N192" s="156"/>
    </row>
    <row r="193" spans="1:14" ht="15" customHeight="1" x14ac:dyDescent="0.2">
      <c r="A193" s="553">
        <f t="shared" si="40"/>
        <v>2012</v>
      </c>
      <c r="B193" s="553"/>
      <c r="C193" s="241"/>
      <c r="D193" s="118">
        <f t="shared" si="52"/>
        <v>1.5693046050710313E-2</v>
      </c>
      <c r="E193" s="118">
        <f t="shared" si="52"/>
        <v>1.4238967011585668E-2</v>
      </c>
      <c r="F193" s="118">
        <f t="shared" si="52"/>
        <v>-2.324786324786321E-2</v>
      </c>
      <c r="G193" s="118">
        <f t="shared" si="52"/>
        <v>0</v>
      </c>
      <c r="H193" s="118">
        <f t="shared" si="42"/>
        <v>3.6727040767015051E-3</v>
      </c>
      <c r="I193" s="118">
        <f t="shared" si="42"/>
        <v>3.2996432818073629E-2</v>
      </c>
      <c r="L193" s="155"/>
      <c r="M193" s="156"/>
      <c r="N193" s="156"/>
    </row>
    <row r="194" spans="1:14" ht="15" customHeight="1" x14ac:dyDescent="0.2">
      <c r="A194" s="554" t="s">
        <v>98</v>
      </c>
      <c r="B194" s="554"/>
      <c r="C194" s="76"/>
      <c r="D194" s="120">
        <f>'Rate Class Customer Model'!B42-1</f>
        <v>1.8946055149189567E-2</v>
      </c>
      <c r="E194" s="120">
        <f>'Rate Class Customer Model'!C42-1</f>
        <v>1.1989440937038243E-2</v>
      </c>
      <c r="F194" s="120">
        <f>'Rate Class Customer Model'!D42-1</f>
        <v>-4.0557674299953606E-3</v>
      </c>
      <c r="G194" s="120">
        <f>'Rate Class Customer Model'!E42-1</f>
        <v>-3.0708245041122573E-2</v>
      </c>
      <c r="H194" s="120">
        <f>'Rate Class Customer Model'!F42-1</f>
        <v>1.3334882458073682E-2</v>
      </c>
      <c r="I194" s="120">
        <f>'Rate Class Customer Model'!G42-1</f>
        <v>1.2323836139192634E-2</v>
      </c>
    </row>
    <row r="195" spans="1:14" x14ac:dyDescent="0.2">
      <c r="I195"/>
      <c r="J195"/>
      <c r="L195" s="83"/>
    </row>
    <row r="196" spans="1:14" ht="15" x14ac:dyDescent="0.2">
      <c r="A196" s="559" t="s">
        <v>216</v>
      </c>
      <c r="B196" s="560"/>
      <c r="C196" s="560"/>
      <c r="D196" s="560"/>
      <c r="E196" s="560"/>
      <c r="F196" s="560"/>
      <c r="G196" s="560"/>
      <c r="H196" s="560"/>
      <c r="I196" s="560"/>
      <c r="J196" s="561"/>
      <c r="K196" s="121"/>
      <c r="L196" s="121"/>
    </row>
    <row r="197" spans="1:14" ht="30" x14ac:dyDescent="0.2">
      <c r="A197" s="562" t="s">
        <v>82</v>
      </c>
      <c r="B197" s="571"/>
      <c r="C197" s="417"/>
      <c r="D197" s="386" t="str">
        <f t="shared" ref="D197:G197" si="53">D179</f>
        <v xml:space="preserve">Residential </v>
      </c>
      <c r="E197" s="386" t="str">
        <f t="shared" si="53"/>
        <v>GS&lt;50</v>
      </c>
      <c r="F197" s="386" t="str">
        <f t="shared" si="53"/>
        <v>GS&gt;50</v>
      </c>
      <c r="G197" s="386" t="str">
        <f t="shared" si="53"/>
        <v>Large User</v>
      </c>
      <c r="H197" s="386" t="str">
        <f>H179</f>
        <v>Street Lighting</v>
      </c>
      <c r="I197" s="386" t="str">
        <f>I179</f>
        <v>USL</v>
      </c>
      <c r="J197" s="386" t="s">
        <v>10</v>
      </c>
    </row>
    <row r="198" spans="1:14" ht="15" customHeight="1" x14ac:dyDescent="0.2">
      <c r="A198" s="226" t="s">
        <v>217</v>
      </c>
      <c r="B198" s="227"/>
      <c r="C198" s="227"/>
      <c r="D198" s="227"/>
      <c r="E198" s="227"/>
      <c r="F198" s="227"/>
      <c r="G198" s="227"/>
      <c r="H198" s="227"/>
      <c r="I198" s="227"/>
      <c r="J198" s="228"/>
    </row>
    <row r="199" spans="1:14" ht="15" customHeight="1" x14ac:dyDescent="0.2">
      <c r="A199" s="553">
        <v>2013</v>
      </c>
      <c r="B199" s="553"/>
      <c r="C199" s="248"/>
      <c r="D199" s="249">
        <f>+'Rate Class Customer Model'!B19</f>
        <v>81276.952000000005</v>
      </c>
      <c r="E199" s="249">
        <f>+'Rate Class Customer Model'!C19</f>
        <v>7736.9966057773026</v>
      </c>
      <c r="F199" s="249">
        <f>+'Rate Class Customer Model'!D19</f>
        <v>948.47089081750107</v>
      </c>
      <c r="G199" s="249">
        <f>+'Rate Class Customer Model'!E19</f>
        <v>2</v>
      </c>
      <c r="H199" s="249">
        <f>+'Rate Class Customer Model'!F19</f>
        <v>1569</v>
      </c>
      <c r="I199" s="249">
        <f>+'Rate Class Customer Model'!G19</f>
        <v>879.45633264592357</v>
      </c>
      <c r="J199" s="249">
        <f>SUM(D199:I199)</f>
        <v>92412.875829240715</v>
      </c>
      <c r="M199"/>
      <c r="N199"/>
    </row>
    <row r="200" spans="1:14" ht="15" customHeight="1" x14ac:dyDescent="0.2">
      <c r="A200" s="553">
        <v>2014</v>
      </c>
      <c r="B200" s="553"/>
      <c r="C200" s="246"/>
      <c r="D200" s="249">
        <f>+'Rate Class Customer Model'!B20</f>
        <v>82577.383232000007</v>
      </c>
      <c r="E200" s="249">
        <f>+'Rate Class Customer Model'!C20</f>
        <v>7829.7588696123348</v>
      </c>
      <c r="F200" s="249">
        <f>+'Rate Class Customer Model'!D20</f>
        <v>944.62411347022476</v>
      </c>
      <c r="G200" s="249">
        <f>+'Rate Class Customer Model'!E20</f>
        <v>1</v>
      </c>
      <c r="H200" s="249">
        <f>+'Rate Class Customer Model'!F20</f>
        <v>1591.6757998109217</v>
      </c>
      <c r="I200" s="249">
        <f>+'Rate Class Customer Model'!G20</f>
        <v>890.29460838102727</v>
      </c>
      <c r="J200" s="249">
        <f>SUM(D200:I200)</f>
        <v>93834.736623274526</v>
      </c>
      <c r="L200" s="250"/>
      <c r="M200"/>
      <c r="N200"/>
    </row>
    <row r="201" spans="1:14" x14ac:dyDescent="0.2">
      <c r="K201"/>
    </row>
    <row r="202" spans="1:14" ht="15" x14ac:dyDescent="0.2">
      <c r="A202" s="554" t="s">
        <v>305</v>
      </c>
      <c r="B202" s="554"/>
      <c r="C202" s="554"/>
      <c r="D202" s="554"/>
      <c r="E202" s="554"/>
      <c r="F202" s="554"/>
      <c r="G202" s="554"/>
      <c r="H202" s="554"/>
      <c r="I202" s="554"/>
      <c r="J202" s="554"/>
      <c r="K202" s="121"/>
    </row>
    <row r="203" spans="1:14" ht="30" x14ac:dyDescent="0.2">
      <c r="A203" s="585" t="s">
        <v>82</v>
      </c>
      <c r="B203" s="585"/>
      <c r="C203" s="427"/>
      <c r="D203" s="378" t="str">
        <f t="shared" ref="D203:G203" si="54">D197</f>
        <v xml:space="preserve">Residential </v>
      </c>
      <c r="E203" s="378" t="str">
        <f t="shared" si="54"/>
        <v>GS&lt;50</v>
      </c>
      <c r="F203" s="378" t="str">
        <f t="shared" si="54"/>
        <v>GS&gt;50</v>
      </c>
      <c r="G203" s="378" t="str">
        <f t="shared" si="54"/>
        <v>Large User</v>
      </c>
      <c r="H203" s="378" t="str">
        <f>H197</f>
        <v>Street Lighting</v>
      </c>
      <c r="I203" s="378" t="str">
        <f>I197</f>
        <v>USL</v>
      </c>
      <c r="J203" s="378" t="s">
        <v>282</v>
      </c>
    </row>
    <row r="204" spans="1:14" ht="15" x14ac:dyDescent="0.2">
      <c r="A204" s="554" t="s">
        <v>218</v>
      </c>
      <c r="B204" s="554"/>
      <c r="C204" s="554"/>
      <c r="D204" s="554"/>
      <c r="E204" s="554"/>
      <c r="F204" s="554"/>
      <c r="G204" s="554"/>
      <c r="H204" s="554"/>
      <c r="I204" s="554"/>
      <c r="J204" s="554"/>
    </row>
    <row r="205" spans="1:14" ht="15" customHeight="1" x14ac:dyDescent="0.2">
      <c r="A205" s="553">
        <f t="shared" ref="A205:A217" si="55">A181</f>
        <v>2000</v>
      </c>
      <c r="B205" s="553"/>
      <c r="C205" s="413"/>
      <c r="D205" s="117">
        <f t="shared" ref="D205:I217" si="56">D72</f>
        <v>8814.4659454876582</v>
      </c>
      <c r="E205" s="117">
        <f t="shared" si="56"/>
        <v>33004.454218081861</v>
      </c>
      <c r="F205" s="117">
        <f t="shared" si="56"/>
        <v>815112.49273959338</v>
      </c>
      <c r="G205" s="117">
        <f t="shared" si="56"/>
        <v>62695621.666666664</v>
      </c>
      <c r="H205" s="447">
        <f t="shared" si="56"/>
        <v>10208.93862758823</v>
      </c>
      <c r="I205" s="117">
        <f t="shared" si="56"/>
        <v>5880.6303733333334</v>
      </c>
      <c r="J205" s="406"/>
    </row>
    <row r="206" spans="1:14" ht="15" customHeight="1" x14ac:dyDescent="0.2">
      <c r="A206" s="553">
        <f t="shared" si="55"/>
        <v>2001</v>
      </c>
      <c r="B206" s="553"/>
      <c r="C206" s="413"/>
      <c r="D206" s="117">
        <f t="shared" si="56"/>
        <v>8413.6553419202282</v>
      </c>
      <c r="E206" s="117">
        <f t="shared" si="56"/>
        <v>29601.438045066992</v>
      </c>
      <c r="F206" s="117">
        <f t="shared" si="56"/>
        <v>852902.01062801946</v>
      </c>
      <c r="G206" s="117">
        <f t="shared" si="56"/>
        <v>57268001.25</v>
      </c>
      <c r="H206" s="447">
        <f t="shared" si="56"/>
        <v>10132.923910879041</v>
      </c>
      <c r="I206" s="117">
        <f t="shared" si="56"/>
        <v>5290.4012266666668</v>
      </c>
      <c r="J206" s="406"/>
    </row>
    <row r="207" spans="1:14" ht="15" customHeight="1" x14ac:dyDescent="0.2">
      <c r="A207" s="553">
        <f t="shared" si="55"/>
        <v>2002</v>
      </c>
      <c r="B207" s="553"/>
      <c r="C207" s="413"/>
      <c r="D207" s="117">
        <f t="shared" si="56"/>
        <v>9275.8476318073172</v>
      </c>
      <c r="E207" s="117">
        <f t="shared" si="56"/>
        <v>33393.802995889782</v>
      </c>
      <c r="F207" s="117">
        <f t="shared" si="56"/>
        <v>808692.80149812729</v>
      </c>
      <c r="G207" s="117">
        <f t="shared" si="56"/>
        <v>64339798.5</v>
      </c>
      <c r="H207" s="447">
        <f t="shared" si="56"/>
        <v>8956.4452678474408</v>
      </c>
      <c r="I207" s="117">
        <f t="shared" si="56"/>
        <v>5852.0446013071896</v>
      </c>
      <c r="J207" s="117">
        <f>+ED!C6</f>
        <v>15328897</v>
      </c>
    </row>
    <row r="208" spans="1:14" ht="15" customHeight="1" x14ac:dyDescent="0.2">
      <c r="A208" s="553">
        <f t="shared" si="55"/>
        <v>2003</v>
      </c>
      <c r="B208" s="553"/>
      <c r="C208" s="414"/>
      <c r="D208" s="117">
        <f t="shared" si="56"/>
        <v>9036.5820486620159</v>
      </c>
      <c r="E208" s="117">
        <f t="shared" si="56"/>
        <v>33640.760008951213</v>
      </c>
      <c r="F208" s="117">
        <f t="shared" si="56"/>
        <v>833019.04734299518</v>
      </c>
      <c r="G208" s="117">
        <f t="shared" si="56"/>
        <v>63268131.75</v>
      </c>
      <c r="H208" s="447">
        <f t="shared" si="56"/>
        <v>10552.725266903915</v>
      </c>
      <c r="I208" s="117">
        <f t="shared" si="56"/>
        <v>6015.5799477124183</v>
      </c>
      <c r="J208" s="117">
        <f>+ED!C7</f>
        <v>20418900.809999999</v>
      </c>
    </row>
    <row r="209" spans="1:22" ht="15" customHeight="1" x14ac:dyDescent="0.2">
      <c r="A209" s="553">
        <f t="shared" si="55"/>
        <v>2004</v>
      </c>
      <c r="B209" s="553"/>
      <c r="C209" s="414"/>
      <c r="D209" s="117">
        <f t="shared" si="56"/>
        <v>8549.5855629997841</v>
      </c>
      <c r="E209" s="117">
        <f t="shared" si="56"/>
        <v>32039.489958920192</v>
      </c>
      <c r="F209" s="117">
        <f t="shared" si="56"/>
        <v>833183.23913043481</v>
      </c>
      <c r="G209" s="117">
        <f t="shared" si="56"/>
        <v>58684490.75</v>
      </c>
      <c r="H209" s="447">
        <f t="shared" si="56"/>
        <v>10030.837675350702</v>
      </c>
      <c r="I209" s="117">
        <f t="shared" si="56"/>
        <v>5421.8472506082735</v>
      </c>
      <c r="J209" s="117">
        <f>+ED!C8</f>
        <v>19486435.960000001</v>
      </c>
    </row>
    <row r="210" spans="1:22" ht="15" customHeight="1" x14ac:dyDescent="0.2">
      <c r="A210" s="553">
        <f t="shared" si="55"/>
        <v>2005</v>
      </c>
      <c r="B210" s="553"/>
      <c r="C210" s="414"/>
      <c r="D210" s="117">
        <f t="shared" si="56"/>
        <v>8958.948622184922</v>
      </c>
      <c r="E210" s="117">
        <f t="shared" si="56"/>
        <v>33198.624251012145</v>
      </c>
      <c r="F210" s="117">
        <f t="shared" si="56"/>
        <v>853252.41597028787</v>
      </c>
      <c r="G210" s="117">
        <f t="shared" si="56"/>
        <v>58014601</v>
      </c>
      <c r="H210" s="447">
        <f t="shared" si="56"/>
        <v>9952.9281476598553</v>
      </c>
      <c r="I210" s="117">
        <f t="shared" si="56"/>
        <v>5806.3800247831468</v>
      </c>
      <c r="J210" s="117">
        <f>+ED!C9</f>
        <v>16865800.48</v>
      </c>
    </row>
    <row r="211" spans="1:22" ht="15" customHeight="1" x14ac:dyDescent="0.2">
      <c r="A211" s="553">
        <f t="shared" si="55"/>
        <v>2006</v>
      </c>
      <c r="B211" s="553"/>
      <c r="C211" s="414"/>
      <c r="D211" s="117">
        <f t="shared" si="56"/>
        <v>8566.3567370241271</v>
      </c>
      <c r="E211" s="117">
        <f t="shared" si="56"/>
        <v>32788.765640516387</v>
      </c>
      <c r="F211" s="117">
        <f t="shared" si="56"/>
        <v>842714.21057786478</v>
      </c>
      <c r="G211" s="117">
        <f t="shared" si="56"/>
        <v>45493949.75</v>
      </c>
      <c r="H211" s="447">
        <f t="shared" si="56"/>
        <v>9974.3783431180691</v>
      </c>
      <c r="I211" s="117">
        <f t="shared" si="56"/>
        <v>5865.0842627013626</v>
      </c>
      <c r="J211" s="117">
        <f>+ED!C10</f>
        <v>21112323.120000001</v>
      </c>
    </row>
    <row r="212" spans="1:22" ht="15" customHeight="1" x14ac:dyDescent="0.2">
      <c r="A212" s="553">
        <f t="shared" si="55"/>
        <v>2007</v>
      </c>
      <c r="B212" s="553"/>
      <c r="C212" s="414"/>
      <c r="D212" s="117">
        <f t="shared" si="56"/>
        <v>8596.5004167114748</v>
      </c>
      <c r="E212" s="117">
        <f t="shared" si="56"/>
        <v>32465.357738260627</v>
      </c>
      <c r="F212" s="117">
        <f t="shared" si="56"/>
        <v>862481.7970149254</v>
      </c>
      <c r="G212" s="117">
        <f t="shared" si="56"/>
        <v>39420194.25</v>
      </c>
      <c r="H212" s="447">
        <f t="shared" si="56"/>
        <v>10204.524622455679</v>
      </c>
      <c r="I212" s="117">
        <f t="shared" si="56"/>
        <v>6084.8141809290955</v>
      </c>
      <c r="J212" s="117">
        <f>+ED!C11</f>
        <v>22263925.140000001</v>
      </c>
    </row>
    <row r="213" spans="1:22" ht="15" customHeight="1" x14ac:dyDescent="0.2">
      <c r="A213" s="553">
        <f t="shared" si="55"/>
        <v>2008</v>
      </c>
      <c r="B213" s="553"/>
      <c r="C213" s="414"/>
      <c r="D213" s="117">
        <f t="shared" si="56"/>
        <v>8491.4811087480575</v>
      </c>
      <c r="E213" s="117">
        <f t="shared" si="56"/>
        <v>32135.830417875863</v>
      </c>
      <c r="F213" s="117">
        <f t="shared" si="56"/>
        <v>826307.69334428932</v>
      </c>
      <c r="G213" s="117">
        <f t="shared" si="56"/>
        <v>36732194.25</v>
      </c>
      <c r="H213" s="447">
        <f t="shared" si="56"/>
        <v>11524.052753115418</v>
      </c>
      <c r="I213" s="117">
        <f t="shared" si="56"/>
        <v>4009.490243902439</v>
      </c>
      <c r="J213" s="117">
        <f>+ED!C12</f>
        <v>22427621.300000001</v>
      </c>
    </row>
    <row r="214" spans="1:22" ht="15" customHeight="1" x14ac:dyDescent="0.2">
      <c r="A214" s="553">
        <f t="shared" si="55"/>
        <v>2009</v>
      </c>
      <c r="B214" s="553"/>
      <c r="C214" s="414"/>
      <c r="D214" s="117">
        <f t="shared" si="56"/>
        <v>8220.6849896509721</v>
      </c>
      <c r="E214" s="117">
        <f t="shared" si="56"/>
        <v>31283.907466871693</v>
      </c>
      <c r="F214" s="117">
        <f t="shared" si="56"/>
        <v>816903.56049423665</v>
      </c>
      <c r="G214" s="117">
        <f t="shared" si="56"/>
        <v>26607461.666666664</v>
      </c>
      <c r="H214" s="447">
        <f t="shared" si="56"/>
        <v>10264.934880722114</v>
      </c>
      <c r="I214" s="117">
        <f t="shared" si="56"/>
        <v>4033.5385556915539</v>
      </c>
      <c r="J214" s="117">
        <f>+ED!C13</f>
        <v>22622441.550000001</v>
      </c>
    </row>
    <row r="215" spans="1:22" ht="15" customHeight="1" x14ac:dyDescent="0.2">
      <c r="A215" s="553">
        <f t="shared" si="55"/>
        <v>2010</v>
      </c>
      <c r="B215" s="553"/>
      <c r="C215" s="414"/>
      <c r="D215" s="117">
        <f t="shared" si="56"/>
        <v>8394.8683530612179</v>
      </c>
      <c r="E215" s="117">
        <f t="shared" si="56"/>
        <v>31701.012050888996</v>
      </c>
      <c r="F215" s="117">
        <f t="shared" si="56"/>
        <v>886712.54470380046</v>
      </c>
      <c r="G215" s="117">
        <f t="shared" si="56"/>
        <v>34922719.5</v>
      </c>
      <c r="H215" s="447">
        <f t="shared" si="56"/>
        <v>10185.89957698752</v>
      </c>
      <c r="I215" s="117">
        <f t="shared" si="56"/>
        <v>4030.8742293464857</v>
      </c>
      <c r="J215" s="117">
        <f>+ED!C14</f>
        <v>24190281.48</v>
      </c>
    </row>
    <row r="216" spans="1:22" ht="15" customHeight="1" x14ac:dyDescent="0.2">
      <c r="A216" s="553">
        <f t="shared" si="55"/>
        <v>2011</v>
      </c>
      <c r="B216" s="553"/>
      <c r="C216" s="414"/>
      <c r="D216" s="117">
        <f t="shared" si="56"/>
        <v>8218.2833001104609</v>
      </c>
      <c r="E216" s="117">
        <f t="shared" si="56"/>
        <v>31859.315866277528</v>
      </c>
      <c r="F216" s="117">
        <f t="shared" si="56"/>
        <v>893593.8953846154</v>
      </c>
      <c r="G216" s="117">
        <f t="shared" si="56"/>
        <v>28007634.5</v>
      </c>
      <c r="H216" s="447">
        <f t="shared" si="56"/>
        <v>10115.363385073357</v>
      </c>
      <c r="I216" s="117">
        <f t="shared" si="56"/>
        <v>3946.2342449464918</v>
      </c>
      <c r="J216" s="117">
        <f>+ED!C15</f>
        <v>21309995.489999998</v>
      </c>
      <c r="M216" s="99"/>
      <c r="N216" s="99"/>
      <c r="O216" s="99"/>
      <c r="P216" s="99"/>
      <c r="Q216" s="99"/>
      <c r="R216" s="99"/>
      <c r="S216" s="99"/>
      <c r="T216" s="99"/>
      <c r="U216" s="99"/>
      <c r="V216" s="99"/>
    </row>
    <row r="217" spans="1:22" ht="15" customHeight="1" x14ac:dyDescent="0.2">
      <c r="A217" s="553">
        <f t="shared" si="55"/>
        <v>2012</v>
      </c>
      <c r="B217" s="553"/>
      <c r="C217" s="414"/>
      <c r="D217" s="117">
        <f t="shared" si="56"/>
        <v>8056.1433553758279</v>
      </c>
      <c r="E217" s="117">
        <f t="shared" si="56"/>
        <v>31520.139082664809</v>
      </c>
      <c r="F217" s="117">
        <f t="shared" si="56"/>
        <v>893372.57577878889</v>
      </c>
      <c r="G217" s="117">
        <f t="shared" si="56"/>
        <v>34678188</v>
      </c>
      <c r="H217" s="447">
        <f t="shared" si="56"/>
        <v>10132.995647400958</v>
      </c>
      <c r="I217" s="117">
        <f t="shared" si="56"/>
        <v>4254.9179856115115</v>
      </c>
      <c r="J217" s="117">
        <f>+ED!C16</f>
        <v>17590423.550000001</v>
      </c>
      <c r="M217" s="99"/>
      <c r="N217" s="99"/>
      <c r="O217" s="99"/>
      <c r="P217" s="99"/>
      <c r="Q217" s="99"/>
      <c r="R217" s="99"/>
      <c r="S217" s="99"/>
      <c r="T217" s="99"/>
      <c r="U217" s="99"/>
      <c r="V217" s="99"/>
    </row>
    <row r="218" spans="1:22" x14ac:dyDescent="0.2">
      <c r="M218" s="99"/>
      <c r="N218" s="99"/>
      <c r="O218" s="99"/>
      <c r="P218" s="99"/>
      <c r="Q218" s="99"/>
      <c r="R218" s="99"/>
      <c r="S218" s="99"/>
      <c r="T218" s="99"/>
    </row>
    <row r="219" spans="1:22" ht="15" x14ac:dyDescent="0.2">
      <c r="A219" s="559" t="s">
        <v>219</v>
      </c>
      <c r="B219" s="560"/>
      <c r="C219" s="560"/>
      <c r="D219" s="560"/>
      <c r="E219" s="560"/>
      <c r="F219" s="560"/>
      <c r="G219" s="560"/>
      <c r="H219" s="560"/>
      <c r="I219" s="561"/>
      <c r="J219" s="121"/>
      <c r="K219" s="121"/>
      <c r="M219" s="99"/>
      <c r="N219" s="99"/>
      <c r="O219" s="99"/>
      <c r="P219" s="99"/>
      <c r="Q219" s="99"/>
      <c r="R219" s="99"/>
      <c r="S219" s="99"/>
      <c r="T219" s="99"/>
    </row>
    <row r="220" spans="1:22" ht="30" x14ac:dyDescent="0.2">
      <c r="A220" s="562" t="s">
        <v>82</v>
      </c>
      <c r="B220" s="571"/>
      <c r="C220" s="416"/>
      <c r="D220" s="418" t="str">
        <f t="shared" ref="D220:G220" si="57">D203</f>
        <v xml:space="preserve">Residential </v>
      </c>
      <c r="E220" s="418" t="str">
        <f t="shared" si="57"/>
        <v>GS&lt;50</v>
      </c>
      <c r="F220" s="418" t="str">
        <f t="shared" si="57"/>
        <v>GS&gt;50</v>
      </c>
      <c r="G220" s="418" t="str">
        <f t="shared" si="57"/>
        <v>Large User</v>
      </c>
      <c r="H220" s="418" t="str">
        <f>H203</f>
        <v>Street Lighting</v>
      </c>
      <c r="I220" s="418" t="str">
        <f>I203</f>
        <v>USL</v>
      </c>
    </row>
    <row r="221" spans="1:22" ht="15" customHeight="1" x14ac:dyDescent="0.2">
      <c r="A221" s="226" t="s">
        <v>220</v>
      </c>
      <c r="B221" s="227"/>
      <c r="C221" s="227"/>
      <c r="D221" s="227"/>
      <c r="E221" s="227"/>
      <c r="F221" s="227"/>
      <c r="G221" s="227"/>
      <c r="H221" s="227"/>
      <c r="I221" s="228"/>
    </row>
    <row r="222" spans="1:22" ht="15" customHeight="1" x14ac:dyDescent="0.2">
      <c r="A222" s="553">
        <f t="shared" ref="A222:A234" si="58">A205</f>
        <v>2000</v>
      </c>
      <c r="B222" s="553"/>
      <c r="C222" s="76"/>
      <c r="D222" s="76"/>
      <c r="E222" s="76"/>
      <c r="F222" s="76"/>
      <c r="G222" s="76"/>
      <c r="H222" s="76"/>
      <c r="I222" s="92"/>
    </row>
    <row r="223" spans="1:22" ht="15" customHeight="1" x14ac:dyDescent="0.2">
      <c r="A223" s="553">
        <f t="shared" si="58"/>
        <v>2001</v>
      </c>
      <c r="B223" s="553"/>
      <c r="C223" s="76"/>
      <c r="D223" s="422">
        <f t="shared" ref="D223:I224" si="59">D206/D205-1</f>
        <v>-4.5471910158393025E-2</v>
      </c>
      <c r="E223" s="422">
        <f t="shared" si="59"/>
        <v>-0.10310778510466889</v>
      </c>
      <c r="F223" s="422">
        <f t="shared" si="59"/>
        <v>4.6361107485195729E-2</v>
      </c>
      <c r="G223" s="422">
        <f t="shared" si="59"/>
        <v>-8.6570964165945341E-2</v>
      </c>
      <c r="H223" s="422">
        <f t="shared" si="59"/>
        <v>-7.4458980979442702E-3</v>
      </c>
      <c r="I223" s="422">
        <f t="shared" si="59"/>
        <v>-0.10036834645196469</v>
      </c>
      <c r="M223" s="155">
        <f t="shared" ref="M223:M235" si="60">SUM(D223:I223)</f>
        <v>-0.29660379649372048</v>
      </c>
      <c r="N223" s="156">
        <f>'Rate Class Energy Model'!Z55</f>
        <v>0</v>
      </c>
      <c r="O223" s="157">
        <f>M223-N223</f>
        <v>-0.29660379649372048</v>
      </c>
    </row>
    <row r="224" spans="1:22" ht="15" customHeight="1" x14ac:dyDescent="0.2">
      <c r="A224" s="553">
        <f t="shared" si="58"/>
        <v>2002</v>
      </c>
      <c r="B224" s="553"/>
      <c r="C224" s="76"/>
      <c r="D224" s="422">
        <f t="shared" si="59"/>
        <v>0.10247535165735866</v>
      </c>
      <c r="E224" s="422">
        <f t="shared" si="59"/>
        <v>0.12811421340574958</v>
      </c>
      <c r="F224" s="422">
        <f t="shared" si="59"/>
        <v>-5.1833866703326792E-2</v>
      </c>
      <c r="G224" s="422">
        <f t="shared" si="59"/>
        <v>0.12348601480132859</v>
      </c>
      <c r="H224" s="422">
        <f t="shared" si="59"/>
        <v>-0.11610455712279588</v>
      </c>
      <c r="I224" s="422">
        <f t="shared" si="59"/>
        <v>0.10616271820925727</v>
      </c>
      <c r="M224" s="155">
        <f t="shared" si="60"/>
        <v>0.29229987424757142</v>
      </c>
      <c r="N224" s="156">
        <f>'Rate Class Energy Model'!Z56</f>
        <v>0</v>
      </c>
      <c r="O224" s="157">
        <f t="shared" ref="O224:O235" si="61">M224-N224</f>
        <v>0.29229987424757142</v>
      </c>
    </row>
    <row r="225" spans="1:20" ht="15" customHeight="1" x14ac:dyDescent="0.2">
      <c r="A225" s="553">
        <f t="shared" si="58"/>
        <v>2003</v>
      </c>
      <c r="B225" s="553"/>
      <c r="C225" s="95"/>
      <c r="D225" s="422">
        <f>D208/D207-1</f>
        <v>-2.5794471043794287E-2</v>
      </c>
      <c r="E225" s="422">
        <f t="shared" ref="E225:G225" si="62">E208/E207-1</f>
        <v>7.3952946626603122E-3</v>
      </c>
      <c r="F225" s="422">
        <f t="shared" si="62"/>
        <v>3.0080947672345815E-2</v>
      </c>
      <c r="G225" s="422">
        <f t="shared" si="62"/>
        <v>-1.6656358505692248E-2</v>
      </c>
      <c r="H225" s="422">
        <f t="shared" ref="H225:I234" si="63">H208/H207-1</f>
        <v>0.1782269584995877</v>
      </c>
      <c r="I225" s="422">
        <f t="shared" si="63"/>
        <v>2.7944993168490084E-2</v>
      </c>
      <c r="M225" s="155">
        <f t="shared" si="60"/>
        <v>0.20119736445359737</v>
      </c>
      <c r="N225" s="156">
        <f>'Rate Class Energy Model'!Z57</f>
        <v>0</v>
      </c>
      <c r="O225" s="157">
        <f t="shared" si="61"/>
        <v>0.20119736445359737</v>
      </c>
    </row>
    <row r="226" spans="1:20" ht="15" customHeight="1" x14ac:dyDescent="0.2">
      <c r="A226" s="553">
        <f t="shared" si="58"/>
        <v>2004</v>
      </c>
      <c r="B226" s="553"/>
      <c r="C226" s="95"/>
      <c r="D226" s="422">
        <f t="shared" ref="D226:G226" si="64">D209/D208-1</f>
        <v>-5.389166866850259E-2</v>
      </c>
      <c r="E226" s="422">
        <f t="shared" si="64"/>
        <v>-4.7599104467465958E-2</v>
      </c>
      <c r="F226" s="422">
        <f t="shared" si="64"/>
        <v>1.9710448154008908E-4</v>
      </c>
      <c r="G226" s="422">
        <f t="shared" si="64"/>
        <v>-7.2447863927956102E-2</v>
      </c>
      <c r="H226" s="422">
        <f t="shared" si="63"/>
        <v>-4.9455242920991127E-2</v>
      </c>
      <c r="I226" s="422">
        <f t="shared" si="63"/>
        <v>-9.8699161554643977E-2</v>
      </c>
      <c r="M226" s="155">
        <f t="shared" si="60"/>
        <v>-0.32189593705801967</v>
      </c>
      <c r="N226" s="156">
        <f>'Rate Class Energy Model'!Z58</f>
        <v>0</v>
      </c>
      <c r="O226" s="157">
        <f t="shared" si="61"/>
        <v>-0.32189593705801967</v>
      </c>
    </row>
    <row r="227" spans="1:20" ht="15" customHeight="1" x14ac:dyDescent="0.2">
      <c r="A227" s="553">
        <f t="shared" si="58"/>
        <v>2005</v>
      </c>
      <c r="B227" s="553"/>
      <c r="C227" s="95"/>
      <c r="D227" s="422">
        <f t="shared" ref="D227:G227" si="65">D210/D209-1</f>
        <v>4.788104127020465E-2</v>
      </c>
      <c r="E227" s="422">
        <f t="shared" si="65"/>
        <v>3.6178300390491636E-2</v>
      </c>
      <c r="F227" s="422">
        <f t="shared" si="65"/>
        <v>2.4087350653859252E-2</v>
      </c>
      <c r="G227" s="422">
        <f t="shared" si="65"/>
        <v>-1.1415107150776427E-2</v>
      </c>
      <c r="H227" s="422">
        <f t="shared" si="63"/>
        <v>-7.7670011431146824E-3</v>
      </c>
      <c r="I227" s="422">
        <f t="shared" si="63"/>
        <v>7.0922834303702054E-2</v>
      </c>
      <c r="M227" s="155">
        <f t="shared" si="60"/>
        <v>0.15988741832436648</v>
      </c>
      <c r="N227" s="156">
        <f>'Rate Class Energy Model'!Z59</f>
        <v>0</v>
      </c>
      <c r="O227" s="157">
        <f t="shared" si="61"/>
        <v>0.15988741832436648</v>
      </c>
    </row>
    <row r="228" spans="1:20" ht="15" customHeight="1" x14ac:dyDescent="0.2">
      <c r="A228" s="553">
        <f t="shared" si="58"/>
        <v>2006</v>
      </c>
      <c r="B228" s="553"/>
      <c r="C228" s="95"/>
      <c r="D228" s="422">
        <f t="shared" ref="D228:G228" si="66">D211/D210-1</f>
        <v>-4.3821200647208181E-2</v>
      </c>
      <c r="E228" s="422">
        <f t="shared" si="66"/>
        <v>-1.2345650452164847E-2</v>
      </c>
      <c r="F228" s="422">
        <f t="shared" si="66"/>
        <v>-1.2350630593221834E-2</v>
      </c>
      <c r="G228" s="422">
        <f t="shared" si="66"/>
        <v>-0.21581896684939705</v>
      </c>
      <c r="H228" s="422">
        <f t="shared" si="63"/>
        <v>2.155164303407231E-3</v>
      </c>
      <c r="I228" s="422">
        <f t="shared" si="63"/>
        <v>1.0110298958671438E-2</v>
      </c>
      <c r="M228" s="155">
        <f t="shared" si="60"/>
        <v>-0.27207098527991325</v>
      </c>
      <c r="N228" s="156">
        <f>'Rate Class Energy Model'!Z60</f>
        <v>0</v>
      </c>
      <c r="O228" s="157">
        <f t="shared" si="61"/>
        <v>-0.27207098527991325</v>
      </c>
    </row>
    <row r="229" spans="1:20" ht="15" customHeight="1" x14ac:dyDescent="0.2">
      <c r="A229" s="553">
        <f t="shared" si="58"/>
        <v>2007</v>
      </c>
      <c r="B229" s="553"/>
      <c r="C229" s="95"/>
      <c r="D229" s="422">
        <f t="shared" ref="D229:G229" si="67">D212/D211-1</f>
        <v>3.5188447799594513E-3</v>
      </c>
      <c r="E229" s="422">
        <f t="shared" si="67"/>
        <v>-9.8633753341459407E-3</v>
      </c>
      <c r="F229" s="422">
        <f t="shared" si="67"/>
        <v>2.345704651581193E-2</v>
      </c>
      <c r="G229" s="422">
        <f t="shared" si="67"/>
        <v>-0.13350688461601423</v>
      </c>
      <c r="H229" s="422">
        <f t="shared" si="63"/>
        <v>2.3073746695843278E-2</v>
      </c>
      <c r="I229" s="422">
        <f t="shared" si="63"/>
        <v>3.7464068440600462E-2</v>
      </c>
      <c r="M229" s="155">
        <f t="shared" si="60"/>
        <v>-5.5856553517945051E-2</v>
      </c>
      <c r="N229" s="156">
        <f>'Rate Class Energy Model'!Z61</f>
        <v>0</v>
      </c>
      <c r="O229" s="157">
        <f t="shared" si="61"/>
        <v>-5.5856553517945051E-2</v>
      </c>
    </row>
    <row r="230" spans="1:20" ht="15" customHeight="1" x14ac:dyDescent="0.2">
      <c r="A230" s="553">
        <f t="shared" si="58"/>
        <v>2008</v>
      </c>
      <c r="B230" s="553"/>
      <c r="C230" s="95"/>
      <c r="D230" s="422">
        <f t="shared" ref="D230:G230" si="68">D213/D212-1</f>
        <v>-1.2216518684657007E-2</v>
      </c>
      <c r="E230" s="422">
        <f t="shared" si="68"/>
        <v>-1.0150121339843277E-2</v>
      </c>
      <c r="F230" s="422">
        <f t="shared" si="68"/>
        <v>-4.1941874942561963E-2</v>
      </c>
      <c r="G230" s="422">
        <f t="shared" si="68"/>
        <v>-6.818840066979126E-2</v>
      </c>
      <c r="H230" s="422">
        <f t="shared" si="63"/>
        <v>0.12930814315015104</v>
      </c>
      <c r="I230" s="422">
        <f t="shared" si="63"/>
        <v>-0.34106611563112244</v>
      </c>
      <c r="M230" s="155">
        <f t="shared" si="60"/>
        <v>-0.3442548881178249</v>
      </c>
      <c r="N230" s="156">
        <f>'Rate Class Energy Model'!Z62</f>
        <v>0</v>
      </c>
      <c r="O230" s="157">
        <f t="shared" si="61"/>
        <v>-0.3442548881178249</v>
      </c>
    </row>
    <row r="231" spans="1:20" ht="15" customHeight="1" x14ac:dyDescent="0.2">
      <c r="A231" s="553">
        <f t="shared" si="58"/>
        <v>2009</v>
      </c>
      <c r="B231" s="553"/>
      <c r="C231" s="95"/>
      <c r="D231" s="422">
        <f t="shared" ref="D231:G231" si="69">D214/D213-1</f>
        <v>-3.1890328157016978E-2</v>
      </c>
      <c r="E231" s="422">
        <f t="shared" si="69"/>
        <v>-2.6510064931456689E-2</v>
      </c>
      <c r="F231" s="422">
        <f t="shared" si="69"/>
        <v>-1.1380909225220504E-2</v>
      </c>
      <c r="G231" s="422">
        <f t="shared" si="69"/>
        <v>-0.27563647612294051</v>
      </c>
      <c r="H231" s="422">
        <f t="shared" si="63"/>
        <v>-0.1092599885967126</v>
      </c>
      <c r="I231" s="422">
        <f t="shared" si="63"/>
        <v>5.9978476879167797E-3</v>
      </c>
      <c r="M231" s="155">
        <f t="shared" si="60"/>
        <v>-0.4486799193454305</v>
      </c>
      <c r="N231" s="156">
        <f>'Rate Class Energy Model'!Z63</f>
        <v>0</v>
      </c>
      <c r="O231" s="157">
        <f t="shared" si="61"/>
        <v>-0.4486799193454305</v>
      </c>
    </row>
    <row r="232" spans="1:20" ht="15" customHeight="1" x14ac:dyDescent="0.2">
      <c r="A232" s="553">
        <f t="shared" si="58"/>
        <v>2010</v>
      </c>
      <c r="B232" s="553"/>
      <c r="C232" s="95"/>
      <c r="D232" s="422">
        <f t="shared" ref="D232:G232" si="70">D215/D214-1</f>
        <v>2.1188424520526716E-2</v>
      </c>
      <c r="E232" s="422">
        <f t="shared" si="70"/>
        <v>1.3332879994578661E-2</v>
      </c>
      <c r="F232" s="422">
        <f t="shared" si="70"/>
        <v>8.5455600373841589E-2</v>
      </c>
      <c r="G232" s="422">
        <f t="shared" si="70"/>
        <v>0.31251601289538034</v>
      </c>
      <c r="H232" s="422">
        <f t="shared" si="63"/>
        <v>-7.6995426325621175E-3</v>
      </c>
      <c r="I232" s="422">
        <f t="shared" si="63"/>
        <v>-6.6054317029118348E-4</v>
      </c>
      <c r="L232" s="123"/>
      <c r="M232" s="155">
        <f t="shared" si="60"/>
        <v>0.424132831981474</v>
      </c>
      <c r="N232" s="156">
        <f>'Rate Class Energy Model'!Z64</f>
        <v>0</v>
      </c>
      <c r="O232" s="157">
        <f t="shared" si="61"/>
        <v>0.424132831981474</v>
      </c>
      <c r="P232" s="123"/>
      <c r="Q232" s="123"/>
      <c r="R232" s="123"/>
      <c r="S232" s="123"/>
      <c r="T232" s="123"/>
    </row>
    <row r="233" spans="1:20" ht="15" customHeight="1" x14ac:dyDescent="0.2">
      <c r="A233" s="553">
        <f t="shared" si="58"/>
        <v>2011</v>
      </c>
      <c r="B233" s="553"/>
      <c r="C233" s="95"/>
      <c r="D233" s="422">
        <f t="shared" ref="D233:G234" si="71">D216/D215-1</f>
        <v>-2.1034880539414824E-2</v>
      </c>
      <c r="E233" s="422">
        <f t="shared" si="71"/>
        <v>4.9936517841893124E-3</v>
      </c>
      <c r="F233" s="422">
        <f t="shared" si="71"/>
        <v>7.760520274485927E-3</v>
      </c>
      <c r="G233" s="422">
        <f t="shared" si="71"/>
        <v>-0.19801106841063743</v>
      </c>
      <c r="H233" s="422">
        <f t="shared" si="63"/>
        <v>-6.9248858562793725E-3</v>
      </c>
      <c r="I233" s="422">
        <f t="shared" si="63"/>
        <v>-2.099792243175902E-2</v>
      </c>
      <c r="L233" s="123"/>
      <c r="M233" s="155">
        <f t="shared" si="60"/>
        <v>-0.2342145851794154</v>
      </c>
      <c r="N233" s="156">
        <f>'Rate Class Energy Model'!Z65</f>
        <v>0</v>
      </c>
      <c r="O233" s="157">
        <f t="shared" si="61"/>
        <v>-0.2342145851794154</v>
      </c>
      <c r="P233" s="123"/>
      <c r="Q233" s="123"/>
      <c r="R233" s="123"/>
      <c r="S233" s="123"/>
      <c r="T233" s="123"/>
    </row>
    <row r="234" spans="1:20" ht="15" customHeight="1" x14ac:dyDescent="0.2">
      <c r="A234" s="553">
        <f t="shared" si="58"/>
        <v>2012</v>
      </c>
      <c r="B234" s="553"/>
      <c r="C234" s="241"/>
      <c r="D234" s="422">
        <f t="shared" si="71"/>
        <v>-1.9729174428977592E-2</v>
      </c>
      <c r="E234" s="422">
        <f t="shared" si="71"/>
        <v>-1.0646078686571192E-2</v>
      </c>
      <c r="F234" s="422">
        <f t="shared" si="71"/>
        <v>-2.4767358748711832E-4</v>
      </c>
      <c r="G234" s="422">
        <f t="shared" si="71"/>
        <v>0.23816911421062703</v>
      </c>
      <c r="H234" s="422">
        <f t="shared" si="63"/>
        <v>1.7431170444770494E-3</v>
      </c>
      <c r="I234" s="422">
        <f t="shared" si="63"/>
        <v>7.8222356176731456E-2</v>
      </c>
      <c r="L234" s="123"/>
      <c r="M234" s="155"/>
      <c r="N234" s="156"/>
      <c r="O234" s="157"/>
      <c r="P234" s="123"/>
      <c r="Q234" s="123"/>
      <c r="R234" s="123"/>
      <c r="S234" s="123"/>
      <c r="T234" s="123"/>
    </row>
    <row r="235" spans="1:20" ht="15" customHeight="1" x14ac:dyDescent="0.2">
      <c r="A235" s="554" t="str">
        <f>A194</f>
        <v>Geometric Mean</v>
      </c>
      <c r="B235" s="554"/>
      <c r="C235" s="76"/>
      <c r="D235" s="423">
        <f>'Rate Class Energy Model'!K70-1</f>
        <v>-7.468577126746867E-3</v>
      </c>
      <c r="E235" s="423">
        <f>'Rate Class Energy Model'!L70-1</f>
        <v>-3.8273113657024682E-3</v>
      </c>
      <c r="F235" s="423">
        <f>'Rate Class Energy Model'!M70-1</f>
        <v>7.6690560835313004E-3</v>
      </c>
      <c r="G235" s="423">
        <f>'Rate Class Energy Model'!N70-1</f>
        <v>-4.8150545596019945E-2</v>
      </c>
      <c r="H235" s="423">
        <f>'Rate Class Energy Model'!O70-1</f>
        <v>6.4359320806062215E-7</v>
      </c>
      <c r="I235" s="423">
        <f>'Rate Class Energy Model'!P70-1</f>
        <v>-6.5514460849548706E-2</v>
      </c>
      <c r="M235" s="155">
        <f t="shared" si="60"/>
        <v>-0.11729119526127862</v>
      </c>
      <c r="N235" s="156">
        <f>'Rate Class Energy Model'!Z70</f>
        <v>0</v>
      </c>
      <c r="O235" s="157">
        <f t="shared" si="61"/>
        <v>-0.11729119526127862</v>
      </c>
    </row>
    <row r="236" spans="1:20" ht="15" x14ac:dyDescent="0.2">
      <c r="K236" s="124"/>
    </row>
    <row r="237" spans="1:20" ht="15" customHeight="1" x14ac:dyDescent="0.2">
      <c r="A237" s="559" t="s">
        <v>221</v>
      </c>
      <c r="B237" s="560"/>
      <c r="C237" s="560"/>
      <c r="D237" s="560"/>
      <c r="E237" s="560"/>
      <c r="F237" s="560"/>
      <c r="G237" s="560"/>
      <c r="H237" s="560"/>
      <c r="I237" s="561"/>
      <c r="J237" s="121"/>
      <c r="K237" s="121"/>
    </row>
    <row r="238" spans="1:20" ht="30" x14ac:dyDescent="0.2">
      <c r="A238" s="562" t="s">
        <v>82</v>
      </c>
      <c r="B238" s="571"/>
      <c r="C238" s="416"/>
      <c r="D238" s="418" t="str">
        <f t="shared" ref="D238:G238" si="72">D220</f>
        <v xml:space="preserve">Residential </v>
      </c>
      <c r="E238" s="418" t="str">
        <f t="shared" si="72"/>
        <v>GS&lt;50</v>
      </c>
      <c r="F238" s="418" t="str">
        <f t="shared" si="72"/>
        <v>GS&gt;50</v>
      </c>
      <c r="G238" s="418" t="str">
        <f t="shared" si="72"/>
        <v>Large User</v>
      </c>
      <c r="H238" s="418" t="str">
        <f>H220</f>
        <v>Street Lighting</v>
      </c>
      <c r="I238" s="418" t="str">
        <f>I220</f>
        <v>USL</v>
      </c>
    </row>
    <row r="239" spans="1:20" ht="15" customHeight="1" x14ac:dyDescent="0.2">
      <c r="A239" s="226" t="s">
        <v>222</v>
      </c>
      <c r="B239" s="227"/>
      <c r="C239" s="227"/>
      <c r="D239" s="227"/>
      <c r="E239" s="227"/>
      <c r="F239" s="227"/>
      <c r="G239" s="227"/>
      <c r="H239" s="227"/>
      <c r="I239" s="228"/>
    </row>
    <row r="240" spans="1:20" ht="15" customHeight="1" x14ac:dyDescent="0.2">
      <c r="A240" s="553">
        <f>+A199</f>
        <v>2013</v>
      </c>
      <c r="B240" s="553"/>
      <c r="C240" s="248"/>
      <c r="D240" s="249">
        <f t="shared" ref="D240:I240" si="73">D217*(1+D235)</f>
        <v>7995.9754273820745</v>
      </c>
      <c r="E240" s="249">
        <f t="shared" si="73"/>
        <v>31399.501696105202</v>
      </c>
      <c r="F240" s="249">
        <f t="shared" si="73"/>
        <v>900223.90016592527</v>
      </c>
      <c r="G240" s="249">
        <f t="shared" si="73"/>
        <v>33008414.327518649</v>
      </c>
      <c r="H240" s="249">
        <f t="shared" si="73"/>
        <v>10133.002168928133</v>
      </c>
      <c r="I240" s="249">
        <f t="shared" si="73"/>
        <v>3976.1593278251257</v>
      </c>
    </row>
    <row r="241" spans="1:15" ht="15" customHeight="1" x14ac:dyDescent="0.2">
      <c r="A241" s="553">
        <f>+A200</f>
        <v>2014</v>
      </c>
      <c r="B241" s="553"/>
      <c r="C241" s="246"/>
      <c r="D241" s="249">
        <f t="shared" ref="D241:G241" si="74">D240*(1+D235)</f>
        <v>7936.2568681990988</v>
      </c>
      <c r="E241" s="249">
        <f t="shared" si="74"/>
        <v>31279.326026386305</v>
      </c>
      <c r="F241" s="249">
        <f t="shared" si="74"/>
        <v>907127.76774403302</v>
      </c>
      <c r="G241" s="249">
        <f t="shared" si="74"/>
        <v>31419041.168389145</v>
      </c>
      <c r="H241" s="249">
        <f>H240*(1+H235)</f>
        <v>10133.008690459506</v>
      </c>
      <c r="I241" s="249">
        <f>I240*(1+I235)</f>
        <v>3715.6633932107588</v>
      </c>
      <c r="J241" s="250"/>
      <c r="L241" s="99"/>
      <c r="M241" s="99"/>
      <c r="N241" s="99"/>
      <c r="O241" s="99"/>
    </row>
    <row r="242" spans="1:15" x14ac:dyDescent="0.2">
      <c r="H242"/>
      <c r="I242"/>
      <c r="J242"/>
    </row>
    <row r="243" spans="1:15" ht="15" x14ac:dyDescent="0.2">
      <c r="A243" s="559" t="s">
        <v>278</v>
      </c>
      <c r="B243" s="560"/>
      <c r="C243" s="560"/>
      <c r="D243" s="560"/>
      <c r="E243" s="560"/>
      <c r="F243" s="560"/>
      <c r="G243" s="560"/>
      <c r="H243" s="560"/>
      <c r="I243" s="560"/>
      <c r="J243" s="561"/>
      <c r="K243" s="121"/>
      <c r="L243" s="121"/>
    </row>
    <row r="244" spans="1:15" ht="30" x14ac:dyDescent="0.2">
      <c r="A244" s="562" t="s">
        <v>82</v>
      </c>
      <c r="B244" s="571"/>
      <c r="C244" s="416"/>
      <c r="D244" s="418" t="str">
        <f t="shared" ref="D244:G244" si="75">D238</f>
        <v xml:space="preserve">Residential </v>
      </c>
      <c r="E244" s="418" t="str">
        <f t="shared" si="75"/>
        <v>GS&lt;50</v>
      </c>
      <c r="F244" s="418" t="str">
        <f t="shared" si="75"/>
        <v>GS&gt;50</v>
      </c>
      <c r="G244" s="418" t="str">
        <f t="shared" si="75"/>
        <v>Large User</v>
      </c>
      <c r="H244" s="418" t="str">
        <f>H238</f>
        <v>Street Lighting</v>
      </c>
      <c r="I244" s="418" t="str">
        <f>I238</f>
        <v>USL</v>
      </c>
      <c r="J244" s="418" t="s">
        <v>10</v>
      </c>
    </row>
    <row r="245" spans="1:15" ht="15" customHeight="1" x14ac:dyDescent="0.2">
      <c r="A245" s="93" t="s">
        <v>279</v>
      </c>
      <c r="B245" s="93"/>
      <c r="C245" s="93"/>
      <c r="D245" s="93"/>
      <c r="E245" s="93"/>
      <c r="F245" s="93"/>
      <c r="G245" s="93"/>
      <c r="H245" s="93"/>
      <c r="I245" s="93"/>
      <c r="J245" s="93"/>
    </row>
    <row r="246" spans="1:15" ht="15" customHeight="1" x14ac:dyDescent="0.2">
      <c r="A246" s="298" t="s">
        <v>99</v>
      </c>
      <c r="B246" s="246"/>
      <c r="C246" s="246"/>
      <c r="D246" s="247">
        <f>+'Rate Class Energy Model'!L79/1000000</f>
        <v>649.88851100451234</v>
      </c>
      <c r="E246" s="247">
        <f>+'Rate Class Energy Model'!M79/1000000</f>
        <v>242.93783804586462</v>
      </c>
      <c r="F246" s="247">
        <f>+'Rate Class Energy Model'!N79/1000000</f>
        <v>853.83616452558033</v>
      </c>
      <c r="G246" s="247">
        <f>+'Rate Class Energy Model'!O79/1000000</f>
        <v>66.016828655037301</v>
      </c>
      <c r="H246" s="247">
        <f>+'Rate Class Energy Model'!P79/1000000</f>
        <v>15.898680403048244</v>
      </c>
      <c r="I246" s="247">
        <f>+'Rate Class Energy Model'!Q79/1000000</f>
        <v>3.6122423570498672</v>
      </c>
      <c r="J246" s="247">
        <f>SUM(D246:I246)</f>
        <v>1832.1902649910926</v>
      </c>
    </row>
    <row r="247" spans="1:15" ht="15" customHeight="1" x14ac:dyDescent="0.2">
      <c r="A247" s="298" t="s">
        <v>196</v>
      </c>
      <c r="B247" s="246"/>
      <c r="C247" s="246"/>
      <c r="D247" s="247">
        <f>+'Rate Class Energy Model'!L80/1000000</f>
        <v>655.35532483286909</v>
      </c>
      <c r="E247" s="247">
        <f>+'Rate Class Energy Model'!M80/1000000</f>
        <v>244.90958039059413</v>
      </c>
      <c r="F247" s="247">
        <f>+'Rate Class Energy Model'!N80/1000000</f>
        <v>856.89476340943111</v>
      </c>
      <c r="G247" s="247">
        <f>+'Rate Class Energy Model'!O80/1000000</f>
        <v>31.798990292463159</v>
      </c>
      <c r="H247" s="247">
        <f>+'Rate Class Energy Model'!P80/1000000</f>
        <v>16.128464711878159</v>
      </c>
      <c r="I247" s="247">
        <f>+'Rate Class Energy Model'!Q80/1000000</f>
        <v>3.4171884429939534</v>
      </c>
      <c r="J247" s="247">
        <f>SUM(D247:I247)</f>
        <v>1808.5043120802297</v>
      </c>
    </row>
    <row r="248" spans="1:15" ht="15" x14ac:dyDescent="0.2">
      <c r="A248" s="74"/>
      <c r="B248" s="74"/>
      <c r="C248" s="74"/>
      <c r="D248" s="122"/>
      <c r="E248" s="122"/>
      <c r="F248" s="122"/>
      <c r="G248" s="122"/>
      <c r="H248" s="122"/>
      <c r="I248" s="122"/>
      <c r="J248" s="122"/>
      <c r="K248" s="122"/>
      <c r="L248" s="122"/>
    </row>
    <row r="250" spans="1:15" ht="15" x14ac:dyDescent="0.2">
      <c r="D250" s="559" t="s">
        <v>223</v>
      </c>
      <c r="E250" s="560"/>
      <c r="F250" s="560"/>
      <c r="G250" s="560"/>
      <c r="H250" s="560"/>
      <c r="I250" s="561"/>
      <c r="J250" s="121"/>
      <c r="K250" s="121"/>
    </row>
    <row r="251" spans="1:15" ht="30" x14ac:dyDescent="0.2">
      <c r="D251" s="418" t="str">
        <f t="shared" ref="D251:G251" si="76">D244</f>
        <v xml:space="preserve">Residential </v>
      </c>
      <c r="E251" s="418" t="str">
        <f t="shared" si="76"/>
        <v>GS&lt;50</v>
      </c>
      <c r="F251" s="418" t="str">
        <f t="shared" si="76"/>
        <v>GS&gt;50</v>
      </c>
      <c r="G251" s="418" t="str">
        <f t="shared" si="76"/>
        <v>Large User</v>
      </c>
      <c r="H251" s="418" t="str">
        <f>H244</f>
        <v>Street Lighting</v>
      </c>
      <c r="I251" s="418" t="str">
        <f>I244</f>
        <v>USL</v>
      </c>
    </row>
    <row r="252" spans="1:15" ht="15" x14ac:dyDescent="0.2">
      <c r="D252" s="226" t="s">
        <v>100</v>
      </c>
      <c r="E252" s="227"/>
      <c r="F252" s="227"/>
      <c r="G252" s="227"/>
      <c r="H252" s="227"/>
      <c r="I252" s="228"/>
    </row>
    <row r="253" spans="1:15" x14ac:dyDescent="0.2">
      <c r="D253" s="125">
        <f>'Rate Class Energy Model'!L87</f>
        <v>0.82000000000000006</v>
      </c>
      <c r="E253" s="125">
        <f>'Rate Class Energy Model'!M87</f>
        <v>0.82000000000000006</v>
      </c>
      <c r="F253" s="125">
        <f>'Rate Class Energy Model'!N87</f>
        <v>0.64</v>
      </c>
      <c r="G253" s="125">
        <f>'Rate Class Energy Model'!O87</f>
        <v>0</v>
      </c>
      <c r="H253" s="125">
        <f>'Rate Class Energy Model'!P87</f>
        <v>0</v>
      </c>
      <c r="I253" s="125">
        <f>'Rate Class Energy Model'!Q87</f>
        <v>0</v>
      </c>
    </row>
    <row r="254" spans="1:15" x14ac:dyDescent="0.2">
      <c r="D254" s="126"/>
      <c r="E254" s="126"/>
      <c r="F254" s="126"/>
      <c r="G254" s="126"/>
      <c r="H254" s="126"/>
      <c r="I254"/>
      <c r="J254"/>
    </row>
    <row r="255" spans="1:15" ht="15" x14ac:dyDescent="0.2">
      <c r="D255" s="554" t="s">
        <v>123</v>
      </c>
      <c r="E255" s="554"/>
      <c r="F255" s="554"/>
      <c r="G255" s="554"/>
      <c r="H255" s="554"/>
    </row>
    <row r="256" spans="1:15" ht="25.5" x14ac:dyDescent="0.2">
      <c r="D256" s="57"/>
      <c r="E256" s="451" t="s">
        <v>284</v>
      </c>
      <c r="F256" s="451" t="s">
        <v>285</v>
      </c>
      <c r="G256" s="127" t="s">
        <v>78</v>
      </c>
      <c r="H256" s="127" t="s">
        <v>79</v>
      </c>
    </row>
    <row r="257" spans="2:8" ht="15" customHeight="1" x14ac:dyDescent="0.2">
      <c r="D257" s="128">
        <v>2005</v>
      </c>
      <c r="E257" s="448">
        <f>'CDM Activity'!B2</f>
        <v>292583</v>
      </c>
      <c r="F257" s="448">
        <f>'CDM Activity'!C2</f>
        <v>292583</v>
      </c>
      <c r="G257" s="448">
        <f t="shared" ref="G257:G265" si="77">E257-F257</f>
        <v>0</v>
      </c>
      <c r="H257" s="424">
        <f t="shared" ref="H257:H267" si="78">G257/F257</f>
        <v>0</v>
      </c>
    </row>
    <row r="258" spans="2:8" ht="15" customHeight="1" x14ac:dyDescent="0.2">
      <c r="D258" s="128">
        <v>2006</v>
      </c>
      <c r="E258" s="448">
        <f>'CDM Activity'!B3</f>
        <v>11429858.065328151</v>
      </c>
      <c r="F258" s="448">
        <f>'CDM Activity'!C3</f>
        <v>10724826.971235819</v>
      </c>
      <c r="G258" s="448">
        <f t="shared" si="77"/>
        <v>705031.09409233183</v>
      </c>
      <c r="H258" s="424">
        <f t="shared" si="78"/>
        <v>6.5738225519464136E-2</v>
      </c>
    </row>
    <row r="259" spans="2:8" ht="15" customHeight="1" x14ac:dyDescent="0.2">
      <c r="D259" s="128">
        <v>2007</v>
      </c>
      <c r="E259" s="448">
        <f>'CDM Activity'!B4</f>
        <v>30126927.641539197</v>
      </c>
      <c r="F259" s="448">
        <f>'CDM Activity'!C4</f>
        <v>21463789.011532571</v>
      </c>
      <c r="G259" s="448">
        <f t="shared" si="77"/>
        <v>8663138.6300066262</v>
      </c>
      <c r="H259" s="424">
        <f t="shared" si="78"/>
        <v>0.40361646423899761</v>
      </c>
    </row>
    <row r="260" spans="2:8" ht="15" customHeight="1" x14ac:dyDescent="0.2">
      <c r="D260" s="128">
        <v>2008</v>
      </c>
      <c r="E260" s="448">
        <f>'CDM Activity'!B5</f>
        <v>34400975.704919301</v>
      </c>
      <c r="F260" s="448">
        <f>'CDM Activity'!C5</f>
        <v>27058909.442072801</v>
      </c>
      <c r="G260" s="448">
        <f t="shared" si="77"/>
        <v>7342066.2628464997</v>
      </c>
      <c r="H260" s="424">
        <f t="shared" si="78"/>
        <v>0.27133636995106014</v>
      </c>
    </row>
    <row r="261" spans="2:8" ht="15" customHeight="1" x14ac:dyDescent="0.2">
      <c r="D261" s="128">
        <v>2009</v>
      </c>
      <c r="E261" s="448">
        <f>'CDM Activity'!B6</f>
        <v>47381960.2825993</v>
      </c>
      <c r="F261" s="448">
        <f>'CDM Activity'!C6</f>
        <v>36655514.888181098</v>
      </c>
      <c r="G261" s="448">
        <f t="shared" si="77"/>
        <v>10726445.394418202</v>
      </c>
      <c r="H261" s="424">
        <f t="shared" si="78"/>
        <v>0.2926284196836299</v>
      </c>
    </row>
    <row r="262" spans="2:8" ht="15" customHeight="1" x14ac:dyDescent="0.2">
      <c r="D262" s="128">
        <v>2010</v>
      </c>
      <c r="E262" s="448">
        <f>'CDM Activity'!B7</f>
        <v>54664486.6800697</v>
      </c>
      <c r="F262" s="448">
        <f>'CDM Activity'!C7</f>
        <v>39643598.152045503</v>
      </c>
      <c r="G262" s="448">
        <f t="shared" si="77"/>
        <v>15020888.528024197</v>
      </c>
      <c r="H262" s="424">
        <f t="shared" si="78"/>
        <v>0.37889821379014155</v>
      </c>
    </row>
    <row r="263" spans="2:8" ht="15" customHeight="1" x14ac:dyDescent="0.2">
      <c r="D263" s="128">
        <v>2011</v>
      </c>
      <c r="E263" s="448">
        <f>'CDM Activity'!B8</f>
        <v>52431811.111596398</v>
      </c>
      <c r="F263" s="448">
        <f>'CDM Activity'!C8</f>
        <v>37374960.879255295</v>
      </c>
      <c r="G263" s="448">
        <f t="shared" si="77"/>
        <v>15056850.232341103</v>
      </c>
      <c r="H263" s="424">
        <f t="shared" si="78"/>
        <v>0.40285929076913901</v>
      </c>
    </row>
    <row r="264" spans="2:8" ht="15" customHeight="1" x14ac:dyDescent="0.2">
      <c r="D264" s="128">
        <v>2012</v>
      </c>
      <c r="E264" s="448">
        <f>'CDM Activity'!B9</f>
        <v>50947313.907669194</v>
      </c>
      <c r="F264" s="448">
        <f>'CDM Activity'!C9</f>
        <v>36539763.596583202</v>
      </c>
      <c r="G264" s="448">
        <f t="shared" si="77"/>
        <v>14407550.311085992</v>
      </c>
      <c r="H264" s="424">
        <f t="shared" si="78"/>
        <v>0.39429785233841053</v>
      </c>
    </row>
    <row r="265" spans="2:8" ht="15" customHeight="1" x14ac:dyDescent="0.2">
      <c r="D265" s="128">
        <v>2013</v>
      </c>
      <c r="E265" s="448">
        <f>'CDM Activity'!B10</f>
        <v>45587649.596601203</v>
      </c>
      <c r="F265" s="448">
        <f>'CDM Activity'!C10</f>
        <v>31270273.197305299</v>
      </c>
      <c r="G265" s="448">
        <f t="shared" si="77"/>
        <v>14317376.399295904</v>
      </c>
      <c r="H265" s="424">
        <f t="shared" si="78"/>
        <v>0.4578590122624735</v>
      </c>
    </row>
    <row r="266" spans="2:8" ht="15" customHeight="1" x14ac:dyDescent="0.2">
      <c r="D266" s="128">
        <v>2014</v>
      </c>
      <c r="E266" s="448">
        <f>'CDM Activity'!B11</f>
        <v>44094366.763853706</v>
      </c>
      <c r="F266" s="448">
        <f>'CDM Activity'!C11</f>
        <v>30516052.283574499</v>
      </c>
      <c r="G266" s="448">
        <f t="shared" ref="G266" si="79">E266-F266</f>
        <v>13578314.480279207</v>
      </c>
      <c r="H266" s="424">
        <f t="shared" ref="H266" si="80">G266/F266</f>
        <v>0.44495645616611557</v>
      </c>
    </row>
    <row r="267" spans="2:8" ht="15" customHeight="1" x14ac:dyDescent="0.2">
      <c r="D267" s="128" t="s">
        <v>10</v>
      </c>
      <c r="E267" s="448">
        <f>SUM(E257:E266)</f>
        <v>371357932.75417614</v>
      </c>
      <c r="F267" s="448">
        <f>SUM(F257:F266)</f>
        <v>271540271.42178607</v>
      </c>
      <c r="G267" s="448">
        <f>SUM(G257:G266)</f>
        <v>99817661.33239007</v>
      </c>
      <c r="H267" s="424">
        <f t="shared" si="78"/>
        <v>0.36759800235060658</v>
      </c>
    </row>
    <row r="269" spans="2:8" ht="15" customHeight="1" x14ac:dyDescent="0.2">
      <c r="B269" s="587" t="s">
        <v>308</v>
      </c>
      <c r="C269" s="506"/>
      <c r="D269" s="506"/>
      <c r="E269" s="506"/>
      <c r="F269" s="506"/>
      <c r="G269" s="506"/>
      <c r="H269" s="506"/>
    </row>
    <row r="270" spans="2:8" ht="15" customHeight="1" x14ac:dyDescent="0.2">
      <c r="B270" s="597">
        <f>'CDM Activity'!A17</f>
        <v>98411344</v>
      </c>
      <c r="C270" s="597"/>
      <c r="D270" s="597"/>
      <c r="E270" s="597"/>
      <c r="F270" s="597"/>
      <c r="G270" s="597"/>
      <c r="H270" s="597"/>
    </row>
    <row r="271" spans="2:8" ht="15" customHeight="1" x14ac:dyDescent="0.2">
      <c r="B271" s="94"/>
      <c r="C271" s="94"/>
      <c r="D271" s="57">
        <v>2011</v>
      </c>
      <c r="E271" s="57">
        <v>2012</v>
      </c>
      <c r="F271" s="57">
        <v>2013</v>
      </c>
      <c r="G271" s="57">
        <v>2014</v>
      </c>
      <c r="H271" s="57" t="s">
        <v>10</v>
      </c>
    </row>
    <row r="272" spans="2:8" ht="15" customHeight="1" x14ac:dyDescent="0.2">
      <c r="B272" s="313" t="s">
        <v>101</v>
      </c>
      <c r="C272" s="94"/>
      <c r="D272" s="449">
        <f>D278/$B$270</f>
        <v>0.13090593079435131</v>
      </c>
      <c r="E272" s="449">
        <f>E278/$B$270</f>
        <v>0.12983547106100696</v>
      </c>
      <c r="F272" s="449">
        <f>F278/$B$270</f>
        <v>0.12972826368902959</v>
      </c>
      <c r="G272" s="449">
        <f>G278/$B$270</f>
        <v>0.12791385227962132</v>
      </c>
      <c r="H272" s="450">
        <f>SUM(D272:G272)</f>
        <v>0.51838351782400927</v>
      </c>
    </row>
    <row r="273" spans="1:12" ht="15" customHeight="1" x14ac:dyDescent="0.2">
      <c r="B273" s="313" t="s">
        <v>102</v>
      </c>
      <c r="C273" s="94"/>
      <c r="D273" s="450"/>
      <c r="E273" s="450">
        <f>+'CDM Activity'!B22</f>
        <v>6.6673644859478798E-2</v>
      </c>
      <c r="F273" s="450">
        <f>+'CDM Activity'!C22</f>
        <v>6.6673644859478798E-2</v>
      </c>
      <c r="G273" s="450">
        <f>+'CDM Activity'!D22</f>
        <v>6.6673644859478798E-2</v>
      </c>
      <c r="H273" s="450">
        <f>SUM(D273:G273)</f>
        <v>0.20002093457843639</v>
      </c>
    </row>
    <row r="274" spans="1:12" ht="15" customHeight="1" x14ac:dyDescent="0.2">
      <c r="B274" s="313" t="s">
        <v>103</v>
      </c>
      <c r="C274" s="94"/>
      <c r="D274" s="450"/>
      <c r="E274" s="450"/>
      <c r="F274" s="450">
        <f>+'CDM Activity'!C23</f>
        <v>9.3865182532518118E-2</v>
      </c>
      <c r="G274" s="450">
        <f>+'CDM Activity'!D23</f>
        <v>9.3865182532518118E-2</v>
      </c>
      <c r="H274" s="450">
        <f>SUM(D274:G274)</f>
        <v>0.18773036506503624</v>
      </c>
    </row>
    <row r="275" spans="1:12" ht="15" customHeight="1" x14ac:dyDescent="0.2">
      <c r="B275" s="313" t="s">
        <v>104</v>
      </c>
      <c r="C275" s="94"/>
      <c r="D275" s="450"/>
      <c r="E275" s="450"/>
      <c r="F275" s="450"/>
      <c r="G275" s="450">
        <f>G274</f>
        <v>9.3865182532518118E-2</v>
      </c>
      <c r="H275" s="450">
        <f>SUM(D275:G275)</f>
        <v>9.3865182532518118E-2</v>
      </c>
    </row>
    <row r="276" spans="1:12" ht="15" customHeight="1" x14ac:dyDescent="0.2">
      <c r="B276" s="129"/>
      <c r="C276" s="94"/>
      <c r="D276" s="450">
        <f>SUM(D272:D275)</f>
        <v>0.13090593079435131</v>
      </c>
      <c r="E276" s="450">
        <f>SUM(E272:E275)</f>
        <v>0.19650911592048576</v>
      </c>
      <c r="F276" s="450">
        <f>SUM(F272:F275)</f>
        <v>0.2902670910810265</v>
      </c>
      <c r="G276" s="450">
        <f>SUM(G272:G275)</f>
        <v>0.38231786220413638</v>
      </c>
      <c r="H276" s="450">
        <f>SUM(D276:G276)</f>
        <v>1</v>
      </c>
    </row>
    <row r="277" spans="1:12" ht="15" customHeight="1" x14ac:dyDescent="0.2">
      <c r="B277" s="506" t="s">
        <v>105</v>
      </c>
      <c r="C277" s="506"/>
      <c r="D277" s="506"/>
      <c r="E277" s="506"/>
      <c r="F277" s="506"/>
      <c r="G277" s="506"/>
      <c r="H277" s="506"/>
    </row>
    <row r="278" spans="1:12" ht="15" customHeight="1" x14ac:dyDescent="0.2">
      <c r="B278" s="313" t="s">
        <v>101</v>
      </c>
      <c r="C278" s="94"/>
      <c r="D278" s="251">
        <f>'CDM Activity'!A27</f>
        <v>12882628.587043101</v>
      </c>
      <c r="E278" s="251">
        <f>'CDM Activity'!B27</f>
        <v>12777283.2059868</v>
      </c>
      <c r="F278" s="251">
        <f>'CDM Activity'!C27</f>
        <v>12766732.7844238</v>
      </c>
      <c r="G278" s="251">
        <f>'CDM Activity'!D27</f>
        <v>12588174.119054999</v>
      </c>
      <c r="H278" s="251">
        <f>SUM(D278:G278)</f>
        <v>51014818.696508706</v>
      </c>
    </row>
    <row r="279" spans="1:12" ht="15" customHeight="1" x14ac:dyDescent="0.2">
      <c r="B279" s="313" t="s">
        <v>102</v>
      </c>
      <c r="C279" s="94"/>
      <c r="D279" s="251"/>
      <c r="E279" s="251">
        <f>+'CDM Activity'!B28</f>
        <v>6561443</v>
      </c>
      <c r="F279" s="251">
        <f>+'CDM Activity'!C28</f>
        <v>6561443</v>
      </c>
      <c r="G279" s="251">
        <f>+'CDM Activity'!D28</f>
        <v>6561443</v>
      </c>
      <c r="H279" s="251">
        <f>SUM(D279:G279)</f>
        <v>19684329</v>
      </c>
    </row>
    <row r="280" spans="1:12" ht="15" customHeight="1" x14ac:dyDescent="0.2">
      <c r="B280" s="313" t="s">
        <v>103</v>
      </c>
      <c r="C280" s="94"/>
      <c r="D280" s="251"/>
      <c r="E280" s="251"/>
      <c r="F280" s="251">
        <f>F274*$B$270</f>
        <v>9237398.7678304315</v>
      </c>
      <c r="G280" s="251">
        <f>G274*$B$270</f>
        <v>9237398.7678304315</v>
      </c>
      <c r="H280" s="251">
        <f>SUM(D280:G280)</f>
        <v>18474797.535660863</v>
      </c>
    </row>
    <row r="281" spans="1:12" ht="15" customHeight="1" x14ac:dyDescent="0.2">
      <c r="B281" s="313" t="s">
        <v>104</v>
      </c>
      <c r="C281" s="94"/>
      <c r="D281" s="251"/>
      <c r="E281" s="251"/>
      <c r="F281" s="251"/>
      <c r="G281" s="251">
        <f>G275*$B$270</f>
        <v>9237398.7678304315</v>
      </c>
      <c r="H281" s="251">
        <f>SUM(D281:G281)</f>
        <v>9237398.7678304315</v>
      </c>
    </row>
    <row r="282" spans="1:12" ht="15" customHeight="1" x14ac:dyDescent="0.2">
      <c r="B282" s="94"/>
      <c r="C282" s="94"/>
      <c r="D282" s="251">
        <f>SUM(D278:D281)</f>
        <v>12882628.587043101</v>
      </c>
      <c r="E282" s="251">
        <f>SUM(E278:E281)</f>
        <v>19338726.205986798</v>
      </c>
      <c r="F282" s="251">
        <f>SUM(F278:F281)</f>
        <v>28565574.55225423</v>
      </c>
      <c r="G282" s="251">
        <f>SUM(G278:G281)</f>
        <v>37624414.654715866</v>
      </c>
      <c r="H282" s="251">
        <f>SUM(D282:G282)</f>
        <v>98411344</v>
      </c>
      <c r="L282" s="99"/>
    </row>
    <row r="284" spans="1:12" ht="15" x14ac:dyDescent="0.2">
      <c r="A284" s="559" t="s">
        <v>289</v>
      </c>
      <c r="B284" s="560"/>
      <c r="C284" s="560"/>
      <c r="D284" s="560"/>
      <c r="E284" s="560"/>
      <c r="F284" s="560"/>
      <c r="G284" s="560"/>
      <c r="H284" s="560"/>
      <c r="I284" s="560"/>
      <c r="J284" s="561"/>
      <c r="K284" s="121"/>
      <c r="L284" s="121"/>
    </row>
    <row r="285" spans="1:12" ht="30" x14ac:dyDescent="0.2">
      <c r="A285" s="425"/>
      <c r="B285" s="426"/>
      <c r="C285" s="415"/>
      <c r="D285" s="418" t="str">
        <f t="shared" ref="D285:J285" si="81">D244</f>
        <v xml:space="preserve">Residential </v>
      </c>
      <c r="E285" s="418" t="str">
        <f t="shared" si="81"/>
        <v>GS&lt;50</v>
      </c>
      <c r="F285" s="418" t="str">
        <f t="shared" si="81"/>
        <v>GS&gt;50</v>
      </c>
      <c r="G285" s="418" t="str">
        <f t="shared" si="81"/>
        <v>Large User</v>
      </c>
      <c r="H285" s="418" t="str">
        <f t="shared" si="81"/>
        <v>Street Lighting</v>
      </c>
      <c r="I285" s="418" t="str">
        <f t="shared" si="81"/>
        <v>USL</v>
      </c>
      <c r="J285" s="418" t="str">
        <f t="shared" si="81"/>
        <v>Total</v>
      </c>
    </row>
    <row r="286" spans="1:12" ht="15" x14ac:dyDescent="0.2">
      <c r="A286" s="294"/>
      <c r="B286" s="295" t="s">
        <v>105</v>
      </c>
      <c r="C286" s="291"/>
      <c r="D286" s="452">
        <f>+G282*'CDM Forecast'!R34</f>
        <v>6764095.388745131</v>
      </c>
      <c r="E286" s="452">
        <f>+G282*'CDM Forecast'!S34</f>
        <v>6628005.8283692347</v>
      </c>
      <c r="F286" s="452">
        <f>+G282*'CDM Forecast'!T34</f>
        <v>24232313.437601503</v>
      </c>
      <c r="G286" s="452"/>
      <c r="H286" s="452"/>
      <c r="I286" s="452"/>
      <c r="J286" s="452">
        <f>SUM(D286:I286)</f>
        <v>37624414.654715866</v>
      </c>
    </row>
    <row r="287" spans="1:12" ht="15" x14ac:dyDescent="0.2">
      <c r="A287" s="296"/>
      <c r="B287" s="290" t="s">
        <v>193</v>
      </c>
      <c r="C287" s="291"/>
      <c r="D287" s="453"/>
      <c r="E287" s="453"/>
      <c r="F287" s="452">
        <f>F286*'Rate Class Load Model'!B34</f>
        <v>61748.436717341894</v>
      </c>
      <c r="G287" s="452"/>
      <c r="H287" s="452"/>
      <c r="I287" s="454"/>
      <c r="J287" s="452">
        <f>SUM(D287:I287)</f>
        <v>61748.436717341894</v>
      </c>
    </row>
    <row r="289" spans="1:10" ht="15" x14ac:dyDescent="0.2">
      <c r="A289" s="559" t="s">
        <v>224</v>
      </c>
      <c r="B289" s="560"/>
      <c r="C289" s="560"/>
      <c r="D289" s="560"/>
      <c r="E289" s="560"/>
      <c r="F289" s="560"/>
      <c r="G289" s="560"/>
      <c r="H289" s="560"/>
      <c r="I289" s="560"/>
      <c r="J289" s="561"/>
    </row>
    <row r="290" spans="1:10" ht="30" x14ac:dyDescent="0.2">
      <c r="A290" s="562" t="s">
        <v>82</v>
      </c>
      <c r="B290" s="571"/>
      <c r="C290" s="427"/>
      <c r="D290" s="378" t="str">
        <f t="shared" ref="D290:I290" si="82">D251</f>
        <v xml:space="preserve">Residential </v>
      </c>
      <c r="E290" s="378" t="str">
        <f t="shared" si="82"/>
        <v>GS&lt;50</v>
      </c>
      <c r="F290" s="378" t="str">
        <f t="shared" si="82"/>
        <v>GS&gt;50</v>
      </c>
      <c r="G290" s="378" t="str">
        <f t="shared" si="82"/>
        <v>Large User</v>
      </c>
      <c r="H290" s="378" t="str">
        <f t="shared" si="82"/>
        <v>Street Lighting</v>
      </c>
      <c r="I290" s="378" t="str">
        <f t="shared" si="82"/>
        <v>USL</v>
      </c>
      <c r="J290" s="378" t="str">
        <f>J285</f>
        <v>Total</v>
      </c>
    </row>
    <row r="291" spans="1:10" ht="15" customHeight="1" x14ac:dyDescent="0.2">
      <c r="A291" s="226" t="s">
        <v>309</v>
      </c>
      <c r="B291" s="227"/>
      <c r="C291" s="227"/>
      <c r="D291" s="227"/>
      <c r="E291" s="227"/>
      <c r="F291" s="227"/>
      <c r="G291" s="227"/>
      <c r="H291" s="227"/>
      <c r="I291" s="227"/>
      <c r="J291" s="228"/>
    </row>
    <row r="292" spans="1:10" ht="15" customHeight="1" x14ac:dyDescent="0.2">
      <c r="A292" s="314" t="s">
        <v>194</v>
      </c>
      <c r="B292" s="246"/>
      <c r="C292" s="246"/>
      <c r="D292" s="455">
        <f t="shared" ref="D292:I293" si="83">D246</f>
        <v>649.88851100451234</v>
      </c>
      <c r="E292" s="455">
        <f t="shared" si="83"/>
        <v>242.93783804586462</v>
      </c>
      <c r="F292" s="455">
        <f t="shared" si="83"/>
        <v>853.83616452558033</v>
      </c>
      <c r="G292" s="455">
        <f t="shared" si="83"/>
        <v>66.016828655037301</v>
      </c>
      <c r="H292" s="455">
        <f t="shared" si="83"/>
        <v>15.898680403048244</v>
      </c>
      <c r="I292" s="455">
        <f t="shared" si="83"/>
        <v>3.6122423570498672</v>
      </c>
      <c r="J292" s="455">
        <f>SUM(D292:I292)</f>
        <v>1832.1902649910926</v>
      </c>
    </row>
    <row r="293" spans="1:10" ht="15" customHeight="1" x14ac:dyDescent="0.2">
      <c r="A293" s="314" t="s">
        <v>195</v>
      </c>
      <c r="B293" s="246"/>
      <c r="C293" s="246"/>
      <c r="D293" s="455">
        <f t="shared" si="83"/>
        <v>655.35532483286909</v>
      </c>
      <c r="E293" s="455">
        <f t="shared" si="83"/>
        <v>244.90958039059413</v>
      </c>
      <c r="F293" s="455">
        <f t="shared" si="83"/>
        <v>856.89476340943111</v>
      </c>
      <c r="G293" s="455">
        <f t="shared" si="83"/>
        <v>31.798990292463159</v>
      </c>
      <c r="H293" s="455">
        <f t="shared" si="83"/>
        <v>16.128464711878159</v>
      </c>
      <c r="I293" s="455">
        <f t="shared" si="83"/>
        <v>3.4171884429939534</v>
      </c>
      <c r="J293" s="455">
        <f>SUM(D293:I293)</f>
        <v>1808.5043120802297</v>
      </c>
    </row>
    <row r="294" spans="1:10" ht="15" customHeight="1" x14ac:dyDescent="0.2">
      <c r="A294" s="226" t="s">
        <v>310</v>
      </c>
      <c r="B294" s="227"/>
      <c r="C294" s="227"/>
      <c r="D294" s="407"/>
      <c r="E294" s="407"/>
      <c r="F294" s="407"/>
      <c r="G294" s="407"/>
      <c r="H294" s="407"/>
      <c r="I294" s="407"/>
      <c r="J294" s="456"/>
    </row>
    <row r="295" spans="1:10" ht="15" customHeight="1" x14ac:dyDescent="0.2">
      <c r="A295" s="586">
        <f>A240</f>
        <v>2013</v>
      </c>
      <c r="B295" s="586"/>
      <c r="C295" s="248"/>
      <c r="D295" s="457">
        <f>'Rate Class Energy Model'!L92/1000000</f>
        <v>4.510812612823317</v>
      </c>
      <c r="E295" s="457">
        <f>'Rate Class Energy Model'!M92/1000000</f>
        <v>1.6862077809246052</v>
      </c>
      <c r="F295" s="457">
        <f>'Rate Class Energy Model'!N92/1000000</f>
        <v>4.6254777250179071</v>
      </c>
      <c r="G295" s="457">
        <f>'Rate Class Energy Model'!O92/1000000</f>
        <v>0</v>
      </c>
      <c r="H295" s="457">
        <f>'Rate Class Energy Model'!P92/1000000</f>
        <v>0</v>
      </c>
      <c r="I295" s="457">
        <f>'Rate Class Energy Model'!Q92/1000000</f>
        <v>0</v>
      </c>
      <c r="J295" s="457">
        <f>SUM(D295:I295)</f>
        <v>10.822498118765829</v>
      </c>
    </row>
    <row r="296" spans="1:10" ht="15" customHeight="1" x14ac:dyDescent="0.2">
      <c r="A296" s="586">
        <f>A241</f>
        <v>2014</v>
      </c>
      <c r="B296" s="586"/>
      <c r="C296" s="246"/>
      <c r="D296" s="457">
        <f>'Rate Class Energy Model'!L93/1000000</f>
        <v>9.20848095481659</v>
      </c>
      <c r="E296" s="457">
        <f>'Rate Class Energy Model'!M93/1000000</f>
        <v>3.4412556383120076</v>
      </c>
      <c r="F296" s="457">
        <f>'Rate Class Energy Model'!N93/1000000</f>
        <v>9.3973363659091831</v>
      </c>
      <c r="G296" s="457">
        <f>'Rate Class Energy Model'!O93/1000000</f>
        <v>0</v>
      </c>
      <c r="H296" s="457">
        <f>'Rate Class Energy Model'!P93/1000000</f>
        <v>0</v>
      </c>
      <c r="I296" s="457">
        <f>'Rate Class Energy Model'!Q93/1000000</f>
        <v>0</v>
      </c>
      <c r="J296" s="457">
        <f>SUM(D296:I296)</f>
        <v>22.047072959037781</v>
      </c>
    </row>
    <row r="297" spans="1:10" ht="15" customHeight="1" x14ac:dyDescent="0.2">
      <c r="A297" s="226" t="s">
        <v>311</v>
      </c>
      <c r="B297" s="227"/>
      <c r="C297" s="227"/>
      <c r="D297" s="407"/>
      <c r="E297" s="407"/>
      <c r="F297" s="407"/>
      <c r="G297" s="407"/>
      <c r="H297" s="407"/>
      <c r="I297" s="407"/>
      <c r="J297" s="456"/>
    </row>
    <row r="298" spans="1:10" ht="15" customHeight="1" x14ac:dyDescent="0.2">
      <c r="A298" s="586">
        <f>A295</f>
        <v>2013</v>
      </c>
      <c r="B298" s="586"/>
      <c r="C298" s="246"/>
      <c r="D298" s="457">
        <f>'Rate Class Energy Model'!L96/1000000</f>
        <v>-1.6606941791093131</v>
      </c>
      <c r="E298" s="457">
        <f>'Rate Class Energy Model'!M96/1000000</f>
        <v>-1.6272820038271838</v>
      </c>
      <c r="F298" s="457">
        <f>'Rate Class Energy Model'!N96/1000000</f>
        <v>-5.9494225848939353</v>
      </c>
      <c r="G298" s="457">
        <f>'Rate Class Energy Model'!O96/1000000</f>
        <v>0</v>
      </c>
      <c r="H298" s="457">
        <f>'Rate Class Energy Model'!P96/1000000</f>
        <v>0</v>
      </c>
      <c r="I298" s="457">
        <f>'Rate Class Energy Model'!Q96/1000000</f>
        <v>0</v>
      </c>
      <c r="J298" s="457">
        <f>SUM(D298:I298)</f>
        <v>-9.237398767830431</v>
      </c>
    </row>
    <row r="299" spans="1:10" ht="15" customHeight="1" x14ac:dyDescent="0.2">
      <c r="A299" s="586">
        <f>A296</f>
        <v>2014</v>
      </c>
      <c r="B299" s="586"/>
      <c r="C299" s="246"/>
      <c r="D299" s="457">
        <f>'Rate Class Energy Model'!L97/1000000</f>
        <v>-3.3213883582186261</v>
      </c>
      <c r="E299" s="457">
        <f>'Rate Class Energy Model'!M97/1000000</f>
        <v>-3.2545640076543676</v>
      </c>
      <c r="F299" s="457">
        <f>'Rate Class Energy Model'!N97/1000000</f>
        <v>-11.898845169787871</v>
      </c>
      <c r="G299" s="457">
        <f>'Rate Class Energy Model'!O97/1000000</f>
        <v>0</v>
      </c>
      <c r="H299" s="457">
        <f>'Rate Class Energy Model'!P97/1000000</f>
        <v>0</v>
      </c>
      <c r="I299" s="457">
        <f>'Rate Class Energy Model'!Q97/1000000</f>
        <v>0</v>
      </c>
      <c r="J299" s="457">
        <f>SUM(D299:I299)</f>
        <v>-18.474797535660862</v>
      </c>
    </row>
    <row r="300" spans="1:10" ht="15" customHeight="1" x14ac:dyDescent="0.2">
      <c r="A300" s="226" t="s">
        <v>312</v>
      </c>
      <c r="B300" s="227"/>
      <c r="C300" s="227"/>
      <c r="D300" s="227"/>
      <c r="E300" s="227"/>
      <c r="F300" s="227"/>
      <c r="G300" s="227"/>
      <c r="H300" s="227"/>
      <c r="I300" s="227"/>
      <c r="J300" s="228"/>
    </row>
    <row r="301" spans="1:10" ht="15" customHeight="1" x14ac:dyDescent="0.2">
      <c r="A301" s="314" t="s">
        <v>163</v>
      </c>
      <c r="B301" s="248"/>
      <c r="C301" s="248"/>
      <c r="D301" s="458">
        <f t="shared" ref="D301:G302" si="84">D292+D295+D298</f>
        <v>652.73862943822633</v>
      </c>
      <c r="E301" s="458">
        <f t="shared" si="84"/>
        <v>242.99676382296204</v>
      </c>
      <c r="F301" s="458">
        <f t="shared" si="84"/>
        <v>852.51221966570438</v>
      </c>
      <c r="G301" s="458">
        <f t="shared" si="84"/>
        <v>66.016828655037301</v>
      </c>
      <c r="H301" s="458">
        <f>H292+H295+H298</f>
        <v>15.898680403048244</v>
      </c>
      <c r="I301" s="458">
        <f>I292+I295+I298</f>
        <v>3.6122423570498672</v>
      </c>
      <c r="J301" s="455">
        <f>SUM(D301:I301)</f>
        <v>1833.7753643420281</v>
      </c>
    </row>
    <row r="302" spans="1:10" ht="15" customHeight="1" x14ac:dyDescent="0.2">
      <c r="A302" s="314" t="s">
        <v>164</v>
      </c>
      <c r="B302" s="246"/>
      <c r="C302" s="246"/>
      <c r="D302" s="458">
        <f t="shared" si="84"/>
        <v>661.24241742946697</v>
      </c>
      <c r="E302" s="458">
        <f t="shared" si="84"/>
        <v>245.09627202125176</v>
      </c>
      <c r="F302" s="458">
        <f t="shared" si="84"/>
        <v>854.39325460555244</v>
      </c>
      <c r="G302" s="458">
        <f t="shared" si="84"/>
        <v>31.798990292463159</v>
      </c>
      <c r="H302" s="458">
        <f>H293+H296+H299</f>
        <v>16.128464711878159</v>
      </c>
      <c r="I302" s="458">
        <f>I293+I296+I299</f>
        <v>3.4171884429939534</v>
      </c>
      <c r="J302" s="455">
        <f>SUM(D302:I302)</f>
        <v>1812.0765875036063</v>
      </c>
    </row>
    <row r="304" spans="1:10" ht="15" x14ac:dyDescent="0.2">
      <c r="A304" s="554" t="s">
        <v>225</v>
      </c>
      <c r="B304" s="554"/>
      <c r="C304" s="554"/>
      <c r="D304" s="554"/>
      <c r="E304" s="554"/>
      <c r="F304" s="554"/>
      <c r="G304" s="554"/>
      <c r="H304" s="121"/>
      <c r="I304" s="121"/>
    </row>
    <row r="305" spans="1:12" ht="30" x14ac:dyDescent="0.2">
      <c r="A305" s="585" t="s">
        <v>82</v>
      </c>
      <c r="B305" s="585"/>
      <c r="C305" s="427"/>
      <c r="D305" s="378" t="str">
        <f>F290</f>
        <v>GS&gt;50</v>
      </c>
      <c r="E305" s="378" t="str">
        <f>G290</f>
        <v>Large User</v>
      </c>
      <c r="F305" s="378" t="str">
        <f>H290</f>
        <v>Street Lighting</v>
      </c>
      <c r="G305" s="378" t="str">
        <f>J290</f>
        <v>Total</v>
      </c>
      <c r="H305" s="75"/>
      <c r="I305" s="75"/>
    </row>
    <row r="306" spans="1:12" ht="15" customHeight="1" x14ac:dyDescent="0.2">
      <c r="A306" s="554" t="s">
        <v>106</v>
      </c>
      <c r="B306" s="554"/>
      <c r="C306" s="554"/>
      <c r="D306" s="554"/>
      <c r="E306" s="554"/>
      <c r="F306" s="554"/>
      <c r="G306" s="554"/>
      <c r="H306" s="121"/>
      <c r="I306" s="121"/>
    </row>
    <row r="307" spans="1:12" ht="15" customHeight="1" x14ac:dyDescent="0.2">
      <c r="A307" s="553">
        <f t="shared" ref="A307:A319" si="85">A222</f>
        <v>2000</v>
      </c>
      <c r="B307" s="553"/>
      <c r="C307" s="413"/>
      <c r="D307" s="448">
        <f>'Rate Class Load Model'!B3</f>
        <v>1702404</v>
      </c>
      <c r="E307" s="448">
        <f>'Rate Class Load Model'!C3</f>
        <v>339080</v>
      </c>
      <c r="F307" s="448">
        <f>'Rate Class Load Model'!D3</f>
        <v>39194</v>
      </c>
      <c r="G307" s="448">
        <f>SUM(D307:F307)</f>
        <v>2080678</v>
      </c>
      <c r="H307" s="437"/>
      <c r="I307" s="437"/>
      <c r="K307" s="99"/>
      <c r="L307" s="99"/>
    </row>
    <row r="308" spans="1:12" ht="15" customHeight="1" x14ac:dyDescent="0.2">
      <c r="A308" s="553">
        <f t="shared" si="85"/>
        <v>2001</v>
      </c>
      <c r="B308" s="553"/>
      <c r="C308" s="413"/>
      <c r="D308" s="448">
        <f>'Rate Class Load Model'!B4</f>
        <v>2097765</v>
      </c>
      <c r="E308" s="448">
        <f>'Rate Class Load Model'!C4</f>
        <v>423831</v>
      </c>
      <c r="F308" s="448">
        <f>'Rate Class Load Model'!D4</f>
        <v>39703</v>
      </c>
      <c r="G308" s="448">
        <f t="shared" ref="G308:G318" si="86">SUM(D308:F308)</f>
        <v>2561299</v>
      </c>
      <c r="H308" s="437"/>
      <c r="I308" s="437"/>
      <c r="K308" s="99"/>
      <c r="L308" s="99"/>
    </row>
    <row r="309" spans="1:12" ht="15" customHeight="1" x14ac:dyDescent="0.2">
      <c r="A309" s="553">
        <f t="shared" si="85"/>
        <v>2002</v>
      </c>
      <c r="B309" s="553"/>
      <c r="C309" s="413"/>
      <c r="D309" s="448">
        <f>'Rate Class Load Model'!B5</f>
        <v>2249449</v>
      </c>
      <c r="E309" s="448">
        <f>'Rate Class Load Model'!C5</f>
        <v>475022</v>
      </c>
      <c r="F309" s="448">
        <f>'Rate Class Load Model'!D5</f>
        <v>36995</v>
      </c>
      <c r="G309" s="448">
        <f t="shared" si="86"/>
        <v>2761466</v>
      </c>
      <c r="H309" s="437"/>
      <c r="I309" s="437"/>
      <c r="K309" s="99"/>
      <c r="L309" s="99"/>
    </row>
    <row r="310" spans="1:12" ht="15" customHeight="1" x14ac:dyDescent="0.2">
      <c r="A310" s="553">
        <f t="shared" si="85"/>
        <v>2003</v>
      </c>
      <c r="B310" s="553"/>
      <c r="C310" s="413"/>
      <c r="D310" s="448">
        <f>'Rate Class Load Model'!B6</f>
        <v>2243396</v>
      </c>
      <c r="E310" s="448">
        <f>'Rate Class Load Model'!C6</f>
        <v>474685</v>
      </c>
      <c r="F310" s="448">
        <f>'Rate Class Load Model'!D6</f>
        <v>41407</v>
      </c>
      <c r="G310" s="448">
        <f t="shared" si="86"/>
        <v>2759488</v>
      </c>
      <c r="H310" s="437"/>
      <c r="I310" s="437"/>
      <c r="K310" s="99"/>
      <c r="L310" s="99"/>
    </row>
    <row r="311" spans="1:12" ht="15" customHeight="1" x14ac:dyDescent="0.2">
      <c r="A311" s="553">
        <f t="shared" si="85"/>
        <v>2004</v>
      </c>
      <c r="B311" s="553"/>
      <c r="C311" s="414"/>
      <c r="D311" s="448">
        <f>'Rate Class Load Model'!B7</f>
        <v>2273819</v>
      </c>
      <c r="E311" s="448">
        <f>'Rate Class Load Model'!C7</f>
        <v>460426</v>
      </c>
      <c r="F311" s="448">
        <f>'Rate Class Load Model'!D7</f>
        <v>41732</v>
      </c>
      <c r="G311" s="448">
        <f t="shared" si="86"/>
        <v>2775977</v>
      </c>
      <c r="H311" s="437"/>
      <c r="I311" s="437"/>
      <c r="K311" s="99"/>
      <c r="L311" s="99"/>
    </row>
    <row r="312" spans="1:12" ht="15" customHeight="1" x14ac:dyDescent="0.2">
      <c r="A312" s="553">
        <f t="shared" si="85"/>
        <v>2005</v>
      </c>
      <c r="B312" s="553"/>
      <c r="C312" s="414"/>
      <c r="D312" s="448">
        <f>'Rate Class Load Model'!B8</f>
        <v>2343889</v>
      </c>
      <c r="E312" s="448">
        <f>'Rate Class Load Model'!C8</f>
        <v>445748</v>
      </c>
      <c r="F312" s="448">
        <f>'Rate Class Load Model'!D8</f>
        <v>42148</v>
      </c>
      <c r="G312" s="448">
        <f t="shared" si="86"/>
        <v>2831785</v>
      </c>
      <c r="H312" s="437"/>
      <c r="I312" s="437"/>
      <c r="K312" s="99"/>
      <c r="L312" s="99"/>
    </row>
    <row r="313" spans="1:12" ht="15" customHeight="1" x14ac:dyDescent="0.2">
      <c r="A313" s="553">
        <f t="shared" si="85"/>
        <v>2006</v>
      </c>
      <c r="B313" s="553"/>
      <c r="C313" s="414"/>
      <c r="D313" s="448">
        <f>'Rate Class Load Model'!B9</f>
        <v>2306337</v>
      </c>
      <c r="E313" s="448">
        <f>'Rate Class Load Model'!C9</f>
        <v>381847</v>
      </c>
      <c r="F313" s="448">
        <f>'Rate Class Load Model'!D9</f>
        <v>42692</v>
      </c>
      <c r="G313" s="448">
        <f t="shared" si="86"/>
        <v>2730876</v>
      </c>
      <c r="H313" s="437"/>
      <c r="I313" s="437"/>
      <c r="K313" s="99"/>
      <c r="L313" s="99"/>
    </row>
    <row r="314" spans="1:12" ht="15" customHeight="1" x14ac:dyDescent="0.2">
      <c r="A314" s="553">
        <f t="shared" si="85"/>
        <v>2007</v>
      </c>
      <c r="B314" s="553"/>
      <c r="C314" s="414"/>
      <c r="D314" s="448">
        <f>'Rate Class Load Model'!B10</f>
        <v>2286676</v>
      </c>
      <c r="E314" s="448">
        <f>'Rate Class Load Model'!C10</f>
        <v>330481</v>
      </c>
      <c r="F314" s="448">
        <f>'Rate Class Load Model'!D10</f>
        <v>43371</v>
      </c>
      <c r="G314" s="448">
        <f t="shared" si="86"/>
        <v>2660528</v>
      </c>
      <c r="H314" s="437"/>
      <c r="I314" s="437"/>
      <c r="K314" s="99"/>
      <c r="L314" s="99"/>
    </row>
    <row r="315" spans="1:12" ht="15" customHeight="1" x14ac:dyDescent="0.2">
      <c r="A315" s="553">
        <f t="shared" si="85"/>
        <v>2008</v>
      </c>
      <c r="B315" s="553"/>
      <c r="C315" s="414"/>
      <c r="D315" s="448">
        <f>'Rate Class Load Model'!B11</f>
        <v>2227288</v>
      </c>
      <c r="E315" s="448">
        <f>'Rate Class Load Model'!C11</f>
        <v>329862</v>
      </c>
      <c r="F315" s="448">
        <f>'Rate Class Load Model'!D11</f>
        <v>45893</v>
      </c>
      <c r="G315" s="448">
        <f t="shared" si="86"/>
        <v>2603043</v>
      </c>
      <c r="H315" s="437"/>
      <c r="I315" s="437"/>
      <c r="K315" s="99"/>
      <c r="L315" s="99"/>
    </row>
    <row r="316" spans="1:12" ht="15" customHeight="1" x14ac:dyDescent="0.2">
      <c r="A316" s="553">
        <f t="shared" si="85"/>
        <v>2009</v>
      </c>
      <c r="B316" s="553"/>
      <c r="C316" s="414"/>
      <c r="D316" s="448">
        <f>'Rate Class Load Model'!B12</f>
        <v>2169096</v>
      </c>
      <c r="E316" s="448">
        <f>'Rate Class Load Model'!C12</f>
        <v>171311</v>
      </c>
      <c r="F316" s="448">
        <f>'Rate Class Load Model'!D12</f>
        <v>44226</v>
      </c>
      <c r="G316" s="448">
        <f t="shared" si="86"/>
        <v>2384633</v>
      </c>
      <c r="H316" s="437"/>
      <c r="I316" s="437"/>
      <c r="K316" s="99"/>
      <c r="L316" s="99"/>
    </row>
    <row r="317" spans="1:12" ht="15" customHeight="1" x14ac:dyDescent="0.2">
      <c r="A317" s="553">
        <f t="shared" si="85"/>
        <v>2010</v>
      </c>
      <c r="B317" s="553"/>
      <c r="C317" s="414"/>
      <c r="D317" s="448">
        <f>'Rate Class Load Model'!B13</f>
        <v>2260312</v>
      </c>
      <c r="E317" s="448">
        <f>'Rate Class Load Model'!C13</f>
        <v>95621</v>
      </c>
      <c r="F317" s="448">
        <f>'Rate Class Load Model'!D13</f>
        <v>44895</v>
      </c>
      <c r="G317" s="448">
        <f t="shared" si="86"/>
        <v>2400828</v>
      </c>
      <c r="H317" s="437"/>
      <c r="I317" s="437"/>
      <c r="K317" s="99"/>
      <c r="L317" s="99"/>
    </row>
    <row r="318" spans="1:12" ht="15" customHeight="1" x14ac:dyDescent="0.2">
      <c r="A318" s="553">
        <f t="shared" si="85"/>
        <v>2011</v>
      </c>
      <c r="B318" s="553"/>
      <c r="C318" s="414"/>
      <c r="D318" s="448">
        <f>'Rate Class Load Model'!B14</f>
        <v>2244883</v>
      </c>
      <c r="E318" s="448">
        <f>'Rate Class Load Model'!C14</f>
        <v>105771</v>
      </c>
      <c r="F318" s="448">
        <f>'Rate Class Load Model'!D14</f>
        <v>44252</v>
      </c>
      <c r="G318" s="448">
        <f t="shared" si="86"/>
        <v>2394906</v>
      </c>
      <c r="H318" s="437"/>
      <c r="I318" s="437"/>
      <c r="K318" s="99"/>
      <c r="L318" s="99"/>
    </row>
    <row r="319" spans="1:12" ht="15" customHeight="1" x14ac:dyDescent="0.2">
      <c r="A319" s="553">
        <f t="shared" si="85"/>
        <v>2012</v>
      </c>
      <c r="B319" s="553"/>
      <c r="C319" s="414"/>
      <c r="D319" s="448">
        <f>'Rate Class Load Model'!B15</f>
        <v>2227931</v>
      </c>
      <c r="E319" s="448">
        <f>'Rate Class Load Model'!C15</f>
        <v>136790</v>
      </c>
      <c r="F319" s="448">
        <f>'Rate Class Load Model'!D15</f>
        <v>44229</v>
      </c>
      <c r="G319" s="448">
        <f t="shared" ref="G319" si="87">SUM(D319:F319)</f>
        <v>2408950</v>
      </c>
      <c r="H319" s="437"/>
      <c r="I319" s="437"/>
      <c r="K319" s="99"/>
      <c r="L319" s="99"/>
    </row>
    <row r="321" spans="1:8" ht="15" customHeight="1" x14ac:dyDescent="0.2">
      <c r="A321" s="555" t="s">
        <v>280</v>
      </c>
      <c r="B321" s="555"/>
      <c r="C321" s="555"/>
      <c r="D321" s="555"/>
      <c r="E321" s="555"/>
      <c r="F321" s="555"/>
      <c r="G321" s="252"/>
      <c r="H321" s="252"/>
    </row>
    <row r="322" spans="1:8" ht="30" x14ac:dyDescent="0.2">
      <c r="A322" s="585" t="s">
        <v>82</v>
      </c>
      <c r="B322" s="585"/>
      <c r="C322" s="427"/>
      <c r="D322" s="378" t="str">
        <f>D305</f>
        <v>GS&gt;50</v>
      </c>
      <c r="E322" s="378" t="str">
        <f>E305</f>
        <v>Large User</v>
      </c>
      <c r="F322" s="378" t="str">
        <f>F305</f>
        <v>Street Lighting</v>
      </c>
      <c r="G322" s="75"/>
    </row>
    <row r="323" spans="1:8" ht="15" customHeight="1" x14ac:dyDescent="0.2">
      <c r="A323" s="555" t="s">
        <v>107</v>
      </c>
      <c r="B323" s="555"/>
      <c r="C323" s="555"/>
      <c r="D323" s="555"/>
      <c r="E323" s="555"/>
      <c r="F323" s="555"/>
      <c r="G323" s="252"/>
    </row>
    <row r="324" spans="1:8" ht="15" customHeight="1" x14ac:dyDescent="0.2">
      <c r="A324" s="553">
        <f t="shared" ref="A324:A336" si="88">A307</f>
        <v>2000</v>
      </c>
      <c r="B324" s="553"/>
      <c r="C324" s="93"/>
      <c r="D324" s="130">
        <f>'Rate Class Load Model'!B20</f>
        <v>2.0218305764707727E-3</v>
      </c>
      <c r="E324" s="130">
        <f>'Rate Class Load Model'!C20</f>
        <v>1.802784048742585E-3</v>
      </c>
      <c r="F324" s="130">
        <f>'Rate Class Load Model'!D20</f>
        <v>2.8607286997274959E-3</v>
      </c>
      <c r="G324" s="438"/>
    </row>
    <row r="325" spans="1:8" ht="15" customHeight="1" x14ac:dyDescent="0.2">
      <c r="A325" s="553">
        <f t="shared" si="88"/>
        <v>2001</v>
      </c>
      <c r="B325" s="553"/>
      <c r="C325" s="93"/>
      <c r="D325" s="130">
        <f>'Rate Class Load Model'!B21</f>
        <v>2.3763879809171797E-3</v>
      </c>
      <c r="E325" s="130">
        <f>'Rate Class Load Model'!C21</f>
        <v>1.8502086276321718E-3</v>
      </c>
      <c r="F325" s="130">
        <f>'Rate Class Load Model'!D21</f>
        <v>2.860835413226898E-3</v>
      </c>
      <c r="G325" s="438"/>
    </row>
    <row r="326" spans="1:8" ht="15" customHeight="1" x14ac:dyDescent="0.2">
      <c r="A326" s="553">
        <f t="shared" si="88"/>
        <v>2002</v>
      </c>
      <c r="B326" s="553"/>
      <c r="C326" s="93"/>
      <c r="D326" s="130">
        <f>'Rate Class Load Model'!B22</f>
        <v>2.604481765546653E-3</v>
      </c>
      <c r="E326" s="130">
        <f>'Rate Class Load Model'!C22</f>
        <v>1.8457549257012362E-3</v>
      </c>
      <c r="F326" s="130">
        <f>'Rate Class Load Model'!D22</f>
        <v>2.9622510962410919E-3</v>
      </c>
      <c r="G326" s="439"/>
    </row>
    <row r="327" spans="1:8" ht="15" customHeight="1" x14ac:dyDescent="0.2">
      <c r="A327" s="553">
        <f t="shared" si="88"/>
        <v>2003</v>
      </c>
      <c r="B327" s="553"/>
      <c r="C327" s="93"/>
      <c r="D327" s="130">
        <f>'Rate Class Load Model'!B23</f>
        <v>2.602020174764717E-3</v>
      </c>
      <c r="E327" s="130">
        <f>'Rate Class Load Model'!C23</f>
        <v>1.8756875968603262E-3</v>
      </c>
      <c r="F327" s="130">
        <f>'Rate Class Load Model'!D23</f>
        <v>2.7927548222688456E-3</v>
      </c>
      <c r="G327" s="439"/>
    </row>
    <row r="328" spans="1:8" ht="15" customHeight="1" x14ac:dyDescent="0.2">
      <c r="A328" s="553">
        <f t="shared" si="88"/>
        <v>2004</v>
      </c>
      <c r="B328" s="553"/>
      <c r="C328" s="414"/>
      <c r="D328" s="130">
        <f>'Rate Class Load Model'!B24</f>
        <v>2.5794653514986726E-3</v>
      </c>
      <c r="E328" s="130">
        <f>'Rate Class Load Model'!C24</f>
        <v>1.9614466876838326E-3</v>
      </c>
      <c r="F328" s="130">
        <f>'Rate Class Load Model'!D24</f>
        <v>2.7791385336494727E-3</v>
      </c>
      <c r="G328" s="439"/>
    </row>
    <row r="329" spans="1:8" ht="15" customHeight="1" x14ac:dyDescent="0.2">
      <c r="A329" s="553">
        <f t="shared" si="88"/>
        <v>2005</v>
      </c>
      <c r="B329" s="553"/>
      <c r="C329" s="414"/>
      <c r="D329" s="130">
        <f>'Rate Class Load Model'!B25</f>
        <v>2.5506085485221389E-3</v>
      </c>
      <c r="E329" s="130">
        <f>'Rate Class Load Model'!C25</f>
        <v>1.9208440302812735E-3</v>
      </c>
      <c r="F329" s="130">
        <f>'Rate Class Load Model'!D25</f>
        <v>2.7915185733875052E-3</v>
      </c>
      <c r="G329" s="439"/>
    </row>
    <row r="330" spans="1:8" ht="15" customHeight="1" x14ac:dyDescent="0.2">
      <c r="A330" s="553">
        <f t="shared" si="88"/>
        <v>2006</v>
      </c>
      <c r="B330" s="553"/>
      <c r="C330" s="414"/>
      <c r="D330" s="130">
        <f>'Rate Class Load Model'!B26</f>
        <v>2.6805055255852668E-3</v>
      </c>
      <c r="E330" s="130">
        <f>'Rate Class Load Model'!C26</f>
        <v>2.0983394610620725E-3</v>
      </c>
      <c r="F330" s="130">
        <f>'Rate Class Load Model'!D26</f>
        <v>2.7920198928474403E-3</v>
      </c>
      <c r="G330" s="439"/>
    </row>
    <row r="331" spans="1:8" ht="15" customHeight="1" x14ac:dyDescent="0.2">
      <c r="A331" s="553">
        <f t="shared" si="88"/>
        <v>2007</v>
      </c>
      <c r="B331" s="553"/>
      <c r="C331" s="414"/>
      <c r="D331" s="130">
        <f>'Rate Class Load Model'!B27</f>
        <v>2.6380840852090327E-3</v>
      </c>
      <c r="E331" s="130">
        <f>'Rate Class Load Model'!C27</f>
        <v>2.0958864250142551E-3</v>
      </c>
      <c r="F331" s="130">
        <f>'Rate Class Load Model'!D27</f>
        <v>2.7906588885197696E-3</v>
      </c>
      <c r="G331" s="439"/>
    </row>
    <row r="332" spans="1:8" ht="15" customHeight="1" x14ac:dyDescent="0.2">
      <c r="A332" s="553">
        <f t="shared" si="88"/>
        <v>2008</v>
      </c>
      <c r="B332" s="553"/>
      <c r="C332" s="414"/>
      <c r="D332" s="130">
        <f>'Rate Class Load Model'!B28</f>
        <v>2.657818063715971E-3</v>
      </c>
      <c r="E332" s="130">
        <f>'Rate Class Load Model'!C28</f>
        <v>2.2450469318205787E-3</v>
      </c>
      <c r="F332" s="130">
        <f>'Rate Class Load Model'!D28</f>
        <v>2.6161183628102924E-3</v>
      </c>
      <c r="G332" s="439"/>
    </row>
    <row r="333" spans="1:8" ht="15" customHeight="1" x14ac:dyDescent="0.2">
      <c r="A333" s="553">
        <f t="shared" si="88"/>
        <v>2009</v>
      </c>
      <c r="B333" s="553"/>
      <c r="C333" s="414"/>
      <c r="D333" s="130">
        <f>'Rate Class Load Model'!B29</f>
        <v>2.642274511612796E-3</v>
      </c>
      <c r="E333" s="130">
        <f>'Rate Class Load Model'!C29</f>
        <v>2.1461523606441978E-3</v>
      </c>
      <c r="F333" s="130">
        <f>'Rate Class Load Model'!D29</f>
        <v>2.7778555929640725E-3</v>
      </c>
      <c r="G333" s="439"/>
    </row>
    <row r="334" spans="1:8" ht="15" customHeight="1" x14ac:dyDescent="0.2">
      <c r="A334" s="553">
        <f t="shared" si="88"/>
        <v>2010</v>
      </c>
      <c r="B334" s="553"/>
      <c r="C334" s="414"/>
      <c r="D334" s="130">
        <f>'Rate Class Load Model'!B30</f>
        <v>2.5776612434298585E-3</v>
      </c>
      <c r="E334" s="130">
        <f>'Rate Class Load Model'!C30</f>
        <v>2.0535557089132192E-3</v>
      </c>
      <c r="F334" s="130">
        <f>'Rate Class Load Model'!D30</f>
        <v>2.7997924804664663E-3</v>
      </c>
      <c r="G334" s="439"/>
    </row>
    <row r="335" spans="1:8" ht="15" customHeight="1" x14ac:dyDescent="0.2">
      <c r="A335" s="553">
        <f t="shared" si="88"/>
        <v>2011</v>
      </c>
      <c r="B335" s="553"/>
      <c r="C335" s="414"/>
      <c r="D335" s="130">
        <f>'Rate Class Load Model'!B31</f>
        <v>2.576611271021607E-3</v>
      </c>
      <c r="E335" s="130">
        <f>'Rate Class Load Model'!C31</f>
        <v>1.8882530047298353E-3</v>
      </c>
      <c r="F335" s="130">
        <f>'Rate Class Load Model'!D31</f>
        <v>2.7906006475918867E-3</v>
      </c>
      <c r="G335" s="439"/>
    </row>
    <row r="336" spans="1:8" ht="15" customHeight="1" x14ac:dyDescent="0.2">
      <c r="A336" s="553">
        <f t="shared" si="88"/>
        <v>2012</v>
      </c>
      <c r="B336" s="553"/>
      <c r="C336" s="414"/>
      <c r="D336" s="130">
        <f>'Rate Class Load Model'!B32</f>
        <v>2.6186661485402361E-3</v>
      </c>
      <c r="E336" s="130">
        <f>'Rate Class Load Model'!C32</f>
        <v>1.9722772135614469E-3</v>
      </c>
      <c r="F336" s="130">
        <f>'Rate Class Load Model'!D32</f>
        <v>2.7741083968947596E-3</v>
      </c>
      <c r="G336" s="439"/>
    </row>
    <row r="337" spans="1:19" ht="15" customHeight="1" x14ac:dyDescent="0.2">
      <c r="A337" s="554" t="s">
        <v>197</v>
      </c>
      <c r="B337" s="554"/>
      <c r="C337" s="413"/>
      <c r="D337" s="131">
        <f>AVERAGE(D324:D336)</f>
        <v>2.5481857882180691E-3</v>
      </c>
      <c r="E337" s="131">
        <f>AVERAGE(E324:E336)</f>
        <v>1.9812490017420792E-3</v>
      </c>
      <c r="F337" s="131">
        <f>AVERAGE(F324:F336)</f>
        <v>2.7991062615843076E-3</v>
      </c>
      <c r="G337" s="440"/>
    </row>
    <row r="338" spans="1:19" x14ac:dyDescent="0.2">
      <c r="K338" s="159"/>
      <c r="L338" s="159"/>
      <c r="M338" s="159"/>
      <c r="N338" s="159"/>
      <c r="O338" s="159"/>
    </row>
    <row r="339" spans="1:19" ht="15" x14ac:dyDescent="0.2">
      <c r="A339" s="554" t="s">
        <v>226</v>
      </c>
      <c r="B339" s="554"/>
      <c r="C339" s="554"/>
      <c r="D339" s="554"/>
      <c r="E339" s="554"/>
      <c r="F339" s="554"/>
      <c r="G339" s="554"/>
      <c r="H339" s="121"/>
      <c r="I339" s="121"/>
    </row>
    <row r="340" spans="1:19" ht="30" x14ac:dyDescent="0.2">
      <c r="A340" s="585" t="s">
        <v>82</v>
      </c>
      <c r="B340" s="585"/>
      <c r="C340" s="427"/>
      <c r="D340" s="378" t="str">
        <f t="shared" ref="D340:E340" si="89">D305</f>
        <v>GS&gt;50</v>
      </c>
      <c r="E340" s="378" t="str">
        <f t="shared" si="89"/>
        <v>Large User</v>
      </c>
      <c r="F340" s="378" t="str">
        <f>F305</f>
        <v>Street Lighting</v>
      </c>
      <c r="G340" s="378" t="str">
        <f>G305</f>
        <v>Total</v>
      </c>
      <c r="H340" s="75"/>
      <c r="I340" s="75"/>
    </row>
    <row r="341" spans="1:19" ht="15" x14ac:dyDescent="0.2">
      <c r="A341" s="559" t="s">
        <v>108</v>
      </c>
      <c r="B341" s="560"/>
      <c r="C341" s="560"/>
      <c r="D341" s="560"/>
      <c r="E341" s="560"/>
      <c r="F341" s="560"/>
      <c r="G341" s="561"/>
      <c r="H341" s="121"/>
      <c r="I341" s="121"/>
    </row>
    <row r="342" spans="1:19" x14ac:dyDescent="0.2">
      <c r="A342" s="430" t="s">
        <v>163</v>
      </c>
      <c r="B342" s="430"/>
      <c r="C342" s="430"/>
      <c r="D342" s="459">
        <f>+'Rate Class Load Model'!B16</f>
        <v>2187519.7565133185</v>
      </c>
      <c r="E342" s="459">
        <f>+'Rate Class Load Model'!C16</f>
        <v>130795.77587097054</v>
      </c>
      <c r="F342" s="459">
        <f>+'Rate Class Load Model'!D16</f>
        <v>44502.095867100063</v>
      </c>
      <c r="G342" s="459">
        <f>SUM(D342:F342)</f>
        <v>2362817.6282513891</v>
      </c>
      <c r="H342" s="441"/>
      <c r="I342" s="441"/>
      <c r="J342" s="99"/>
      <c r="K342" s="99"/>
      <c r="M342" s="99"/>
      <c r="N342" s="99"/>
      <c r="O342" s="99"/>
      <c r="P342" s="99"/>
      <c r="Q342" s="99"/>
      <c r="R342" s="99"/>
      <c r="S342" s="99"/>
    </row>
    <row r="343" spans="1:19" x14ac:dyDescent="0.2">
      <c r="A343" s="430" t="s">
        <v>164</v>
      </c>
      <c r="B343" s="430"/>
      <c r="C343" s="430"/>
      <c r="D343" s="459">
        <f>+'Rate Class Load Model'!B17</f>
        <v>2207473.2170931115</v>
      </c>
      <c r="E343" s="459">
        <f>+'Rate Class Load Model'!C17</f>
        <v>63001.717773348704</v>
      </c>
      <c r="F343" s="459">
        <f>+'Rate Class Load Model'!D17</f>
        <v>45145.286564759699</v>
      </c>
      <c r="G343" s="459">
        <f>SUM(D343:F343)</f>
        <v>2315620.22143122</v>
      </c>
      <c r="H343" s="441"/>
      <c r="I343" s="441"/>
      <c r="J343" s="99"/>
      <c r="K343" s="99"/>
      <c r="M343" s="99"/>
      <c r="N343" s="99"/>
      <c r="O343" s="99"/>
      <c r="P343" s="99"/>
      <c r="Q343" s="99"/>
      <c r="R343" s="99"/>
      <c r="S343" s="99"/>
    </row>
    <row r="344" spans="1:19" ht="15" x14ac:dyDescent="0.2">
      <c r="A344" s="74"/>
      <c r="B344" s="132"/>
      <c r="C344" s="132"/>
      <c r="D344" s="133"/>
      <c r="E344" s="133"/>
      <c r="F344" s="133"/>
      <c r="G344" s="133"/>
    </row>
    <row r="345" spans="1:19" ht="15" x14ac:dyDescent="0.2">
      <c r="A345" s="554" t="s">
        <v>227</v>
      </c>
      <c r="B345" s="554"/>
      <c r="C345" s="554"/>
      <c r="D345" s="554"/>
      <c r="E345" s="554"/>
      <c r="F345" s="554"/>
      <c r="G345" s="554"/>
      <c r="H345" s="554"/>
      <c r="I345" s="554"/>
      <c r="J345" s="74"/>
    </row>
    <row r="346" spans="1:19" ht="60" x14ac:dyDescent="0.2">
      <c r="A346" s="585"/>
      <c r="B346" s="585"/>
      <c r="C346" s="427"/>
      <c r="D346" s="428" t="s">
        <v>158</v>
      </c>
      <c r="E346" s="428" t="s">
        <v>165</v>
      </c>
      <c r="F346" s="428" t="s">
        <v>109</v>
      </c>
      <c r="G346" s="428" t="s">
        <v>166</v>
      </c>
      <c r="H346" s="429" t="s">
        <v>167</v>
      </c>
      <c r="I346" s="429" t="s">
        <v>168</v>
      </c>
    </row>
    <row r="347" spans="1:19" x14ac:dyDescent="0.2">
      <c r="A347" s="589"/>
      <c r="B347" s="589"/>
      <c r="C347" s="95"/>
      <c r="D347" s="98"/>
      <c r="E347" s="98"/>
      <c r="F347" s="98"/>
      <c r="G347" s="98"/>
      <c r="H347" s="98"/>
      <c r="I347" s="94"/>
      <c r="J347" s="119"/>
    </row>
    <row r="348" spans="1:19" ht="15" x14ac:dyDescent="0.2">
      <c r="A348" s="554" t="s">
        <v>110</v>
      </c>
      <c r="B348" s="554"/>
      <c r="C348" s="554"/>
      <c r="D348" s="554"/>
      <c r="E348" s="554"/>
      <c r="F348" s="554"/>
      <c r="G348" s="554"/>
      <c r="H348" s="554"/>
      <c r="I348" s="554"/>
      <c r="J348" s="74"/>
    </row>
    <row r="349" spans="1:19" x14ac:dyDescent="0.2">
      <c r="A349" s="95" t="s">
        <v>38</v>
      </c>
      <c r="B349" s="95"/>
      <c r="C349" s="95"/>
      <c r="D349" s="98"/>
      <c r="E349" s="98">
        <f>Summary!L4</f>
        <v>1892633519.4493544</v>
      </c>
      <c r="F349" s="98">
        <f>Summary!M4</f>
        <v>1895197232.5334651</v>
      </c>
      <c r="G349" s="98">
        <f>Summary!N4</f>
        <v>1885738118.3156619</v>
      </c>
      <c r="H349" s="98"/>
      <c r="I349" s="94"/>
      <c r="J349" s="134"/>
    </row>
    <row r="350" spans="1:19" x14ac:dyDescent="0.2">
      <c r="A350" s="95" t="s">
        <v>39</v>
      </c>
      <c r="B350" s="95"/>
      <c r="C350" s="95"/>
      <c r="D350" s="98"/>
      <c r="E350" s="98">
        <f>Summary!L5</f>
        <v>1889691855.1705751</v>
      </c>
      <c r="F350" s="98">
        <f>Summary!M5</f>
        <v>1882841042.2231548</v>
      </c>
      <c r="G350" s="98">
        <f>Summary!N5</f>
        <v>1867918901.7622917</v>
      </c>
      <c r="H350" s="98">
        <f>Summary!O5</f>
        <v>1906599024.8943377</v>
      </c>
      <c r="I350" s="98">
        <f>Summary!P5</f>
        <v>1894888272.1082368</v>
      </c>
      <c r="J350" s="134"/>
    </row>
    <row r="351" spans="1:19" ht="15" x14ac:dyDescent="0.2">
      <c r="A351" s="135" t="s">
        <v>111</v>
      </c>
      <c r="B351" s="135"/>
      <c r="C351" s="101"/>
      <c r="D351" s="136"/>
      <c r="E351" s="137">
        <f>E350/E349-1</f>
        <v>-1.5542704113341577E-3</v>
      </c>
      <c r="F351" s="137">
        <f>F350/F349-1</f>
        <v>-6.5197384727039287E-3</v>
      </c>
      <c r="G351" s="137">
        <f>G350/G349-1</f>
        <v>-9.4494651088065096E-3</v>
      </c>
      <c r="H351" s="94"/>
      <c r="I351" s="94"/>
      <c r="J351" s="119"/>
    </row>
    <row r="352" spans="1:19" ht="12.75" customHeight="1" x14ac:dyDescent="0.2">
      <c r="A352" s="589"/>
      <c r="B352" s="589"/>
      <c r="C352" s="95"/>
      <c r="D352" s="111"/>
      <c r="E352" s="137"/>
      <c r="F352" s="100"/>
      <c r="G352" s="100"/>
      <c r="H352" s="100"/>
      <c r="I352" s="94"/>
      <c r="J352" s="119"/>
    </row>
    <row r="353" spans="1:11" ht="15" x14ac:dyDescent="0.2">
      <c r="A353" s="554" t="s">
        <v>112</v>
      </c>
      <c r="B353" s="554"/>
      <c r="C353" s="554"/>
      <c r="D353" s="554"/>
      <c r="E353" s="554"/>
      <c r="F353" s="554"/>
      <c r="G353" s="554"/>
      <c r="H353" s="554"/>
      <c r="I353" s="554"/>
      <c r="J353" s="74"/>
    </row>
    <row r="354" spans="1:11" x14ac:dyDescent="0.2">
      <c r="A354" s="138" t="s">
        <v>113</v>
      </c>
      <c r="B354" s="95"/>
      <c r="C354" s="95"/>
      <c r="D354" s="98"/>
      <c r="E354" s="98"/>
      <c r="F354" s="139"/>
      <c r="G354" s="139"/>
      <c r="H354" s="139"/>
      <c r="I354" s="94"/>
      <c r="J354" s="119"/>
    </row>
    <row r="355" spans="1:11" x14ac:dyDescent="0.2">
      <c r="A355" s="95" t="s">
        <v>25</v>
      </c>
      <c r="B355" s="95"/>
      <c r="C355" s="95"/>
      <c r="D355" s="98">
        <f>D48</f>
        <v>78139</v>
      </c>
      <c r="E355" s="98">
        <f>Summary!L12</f>
        <v>77505.916666666672</v>
      </c>
      <c r="F355" s="98">
        <f>Summary!M12</f>
        <v>78761</v>
      </c>
      <c r="G355" s="98">
        <f>Summary!N12</f>
        <v>79997</v>
      </c>
      <c r="H355" s="98">
        <f>Summary!O12</f>
        <v>81276.952000000005</v>
      </c>
      <c r="I355" s="98">
        <f>Summary!P12</f>
        <v>82577.383232000007</v>
      </c>
      <c r="J355" s="134"/>
      <c r="K355" s="72">
        <f>H355*12</f>
        <v>975323.42400000012</v>
      </c>
    </row>
    <row r="356" spans="1:11" x14ac:dyDescent="0.2">
      <c r="A356" s="577" t="s">
        <v>26</v>
      </c>
      <c r="B356" s="577"/>
      <c r="C356" s="95"/>
      <c r="D356" s="98">
        <f>D28*1000000</f>
        <v>650038341</v>
      </c>
      <c r="E356" s="98">
        <f>Summary!L13</f>
        <v>650651967</v>
      </c>
      <c r="F356" s="98">
        <f>Summary!M13</f>
        <v>647280211</v>
      </c>
      <c r="G356" s="98">
        <f>Summary!N13</f>
        <v>644467300</v>
      </c>
      <c r="H356" s="98">
        <f>Summary!O13</f>
        <v>652738629.43822634</v>
      </c>
      <c r="I356" s="98">
        <f>Summary!P13</f>
        <v>661242417.42946696</v>
      </c>
      <c r="J356" s="134"/>
    </row>
    <row r="357" spans="1:11" x14ac:dyDescent="0.2">
      <c r="A357" s="589"/>
      <c r="B357" s="589"/>
      <c r="C357" s="95"/>
      <c r="D357" s="98"/>
      <c r="E357" s="98"/>
      <c r="F357" s="139"/>
      <c r="G357" s="139"/>
      <c r="H357" s="139"/>
      <c r="I357" s="94"/>
      <c r="J357" s="119"/>
    </row>
    <row r="358" spans="1:11" x14ac:dyDescent="0.2">
      <c r="A358" s="590" t="str">
        <f>E290</f>
        <v>GS&lt;50</v>
      </c>
      <c r="B358" s="590"/>
      <c r="C358" s="95"/>
      <c r="D358" s="98"/>
      <c r="E358" s="98"/>
      <c r="F358" s="139"/>
      <c r="G358" s="139"/>
      <c r="H358" s="139"/>
      <c r="I358" s="94"/>
      <c r="J358" s="119"/>
    </row>
    <row r="359" spans="1:11" x14ac:dyDescent="0.2">
      <c r="A359" s="95" t="s">
        <v>25</v>
      </c>
      <c r="B359" s="95"/>
      <c r="C359" s="95"/>
      <c r="D359" s="98">
        <f>E48</f>
        <v>7484</v>
      </c>
      <c r="E359" s="98">
        <f>Summary!L16</f>
        <v>7447.583333333333</v>
      </c>
      <c r="F359" s="98">
        <f>Summary!M16</f>
        <v>7538</v>
      </c>
      <c r="G359" s="98">
        <f>Summary!N16</f>
        <v>7645.333333333333</v>
      </c>
      <c r="H359" s="98">
        <f>Summary!O16</f>
        <v>7736.9966057773026</v>
      </c>
      <c r="I359" s="98">
        <f>Summary!P16</f>
        <v>7829.7588696123348</v>
      </c>
      <c r="J359" s="134"/>
      <c r="K359" s="72">
        <f>H359*12</f>
        <v>92843.959269327635</v>
      </c>
    </row>
    <row r="360" spans="1:11" x14ac:dyDescent="0.2">
      <c r="A360" s="577" t="s">
        <v>26</v>
      </c>
      <c r="B360" s="577"/>
      <c r="C360" s="95"/>
      <c r="D360" s="98">
        <f>E28*1000000</f>
        <v>235461608</v>
      </c>
      <c r="E360" s="98">
        <f>Summary!L17</f>
        <v>236095929</v>
      </c>
      <c r="F360" s="98">
        <f>Summary!M17</f>
        <v>240155523</v>
      </c>
      <c r="G360" s="98">
        <f>Summary!N17</f>
        <v>240981970</v>
      </c>
      <c r="H360" s="98">
        <f>Summary!O17</f>
        <v>242996763.82296205</v>
      </c>
      <c r="I360" s="98">
        <f>Summary!P17</f>
        <v>245096272.02125177</v>
      </c>
      <c r="J360" s="134"/>
    </row>
    <row r="361" spans="1:11" x14ac:dyDescent="0.2">
      <c r="A361" s="589"/>
      <c r="B361" s="589"/>
      <c r="C361" s="95"/>
      <c r="D361" s="98"/>
      <c r="E361" s="98"/>
      <c r="F361" s="139"/>
      <c r="G361" s="139"/>
      <c r="H361" s="139"/>
      <c r="I361" s="94"/>
      <c r="J361" s="119"/>
    </row>
    <row r="362" spans="1:11" x14ac:dyDescent="0.2">
      <c r="A362" s="590" t="s">
        <v>115</v>
      </c>
      <c r="B362" s="590"/>
      <c r="C362" s="95"/>
      <c r="D362" s="98"/>
      <c r="E362" s="98"/>
      <c r="F362" s="139"/>
      <c r="G362" s="139"/>
      <c r="H362" s="139"/>
      <c r="I362" s="94"/>
      <c r="J362" s="119"/>
    </row>
    <row r="363" spans="1:11" x14ac:dyDescent="0.2">
      <c r="A363" s="95" t="s">
        <v>25</v>
      </c>
      <c r="B363" s="95"/>
      <c r="C363" s="95"/>
      <c r="D363" s="98">
        <f>F48</f>
        <v>1003</v>
      </c>
      <c r="E363" s="98">
        <f>Summary!L20</f>
        <v>988.91666666666663</v>
      </c>
      <c r="F363" s="98">
        <f>Summary!M20</f>
        <v>975</v>
      </c>
      <c r="G363" s="98">
        <f>Summary!N20</f>
        <v>952.33333333333337</v>
      </c>
      <c r="H363" s="98">
        <f>Summary!O20</f>
        <v>948.47089081750107</v>
      </c>
      <c r="I363" s="98">
        <f>Summary!P20</f>
        <v>944.62411347022476</v>
      </c>
      <c r="J363" s="134"/>
      <c r="K363" s="72">
        <f>H363*12</f>
        <v>11381.650689810012</v>
      </c>
    </row>
    <row r="364" spans="1:11" x14ac:dyDescent="0.2">
      <c r="A364" s="577" t="s">
        <v>26</v>
      </c>
      <c r="B364" s="577"/>
      <c r="C364" s="95"/>
      <c r="D364" s="98">
        <f>F28*1000000</f>
        <v>884051506</v>
      </c>
      <c r="E364" s="98">
        <f>Summary!L21</f>
        <v>876884814</v>
      </c>
      <c r="F364" s="98">
        <f>Summary!M21</f>
        <v>871254048</v>
      </c>
      <c r="G364" s="98">
        <f>Summary!N21</f>
        <v>850788483</v>
      </c>
      <c r="H364" s="98">
        <f>Summary!O21</f>
        <v>852512219.66570425</v>
      </c>
      <c r="I364" s="98">
        <f>Summary!P21</f>
        <v>854393254.60555243</v>
      </c>
      <c r="J364" s="134"/>
    </row>
    <row r="365" spans="1:11" x14ac:dyDescent="0.2">
      <c r="A365" s="577" t="s">
        <v>27</v>
      </c>
      <c r="B365" s="577"/>
      <c r="C365" s="95"/>
      <c r="D365" s="98">
        <v>2231346</v>
      </c>
      <c r="E365" s="98">
        <f>Summary!L22</f>
        <v>2260312</v>
      </c>
      <c r="F365" s="98">
        <f>Summary!M22</f>
        <v>2244883</v>
      </c>
      <c r="G365" s="98">
        <f>Summary!N22</f>
        <v>2227931</v>
      </c>
      <c r="H365" s="98">
        <f>Summary!O22</f>
        <v>2187519.7565133185</v>
      </c>
      <c r="I365" s="98">
        <f>Summary!P22</f>
        <v>2207473.2170931115</v>
      </c>
      <c r="J365" s="134"/>
    </row>
    <row r="366" spans="1:11" x14ac:dyDescent="0.2">
      <c r="A366" s="589"/>
      <c r="B366" s="589"/>
      <c r="C366" s="95"/>
      <c r="D366" s="98"/>
      <c r="E366" s="98"/>
      <c r="F366" s="98"/>
      <c r="G366" s="98"/>
      <c r="H366" s="98"/>
      <c r="I366" s="94"/>
      <c r="J366" s="119"/>
    </row>
    <row r="367" spans="1:11" x14ac:dyDescent="0.2">
      <c r="A367" s="590" t="str">
        <f>Summary!A24</f>
        <v>Large User</v>
      </c>
      <c r="B367" s="590"/>
      <c r="C367" s="95"/>
      <c r="D367" s="98"/>
      <c r="E367" s="98"/>
      <c r="F367" s="98"/>
      <c r="G367" s="98"/>
      <c r="H367" s="98"/>
      <c r="I367" s="94"/>
      <c r="J367" s="119"/>
    </row>
    <row r="368" spans="1:11" x14ac:dyDescent="0.2">
      <c r="A368" s="95" t="str">
        <f>Summary!A25</f>
        <v xml:space="preserve">  Customers</v>
      </c>
      <c r="B368" s="95"/>
      <c r="C368" s="95"/>
      <c r="D368" s="98">
        <f>G48</f>
        <v>2</v>
      </c>
      <c r="E368" s="98">
        <f>Summary!L25</f>
        <v>1.3333333333333333</v>
      </c>
      <c r="F368" s="98">
        <f>Summary!M25</f>
        <v>2</v>
      </c>
      <c r="G368" s="98">
        <f>Summary!N25</f>
        <v>2</v>
      </c>
      <c r="H368" s="98">
        <f>Summary!O25</f>
        <v>2</v>
      </c>
      <c r="I368" s="98">
        <f>Summary!P25</f>
        <v>1</v>
      </c>
      <c r="J368" s="119"/>
      <c r="K368" s="72">
        <f>H368*12</f>
        <v>24</v>
      </c>
    </row>
    <row r="369" spans="1:11" x14ac:dyDescent="0.2">
      <c r="A369" s="577" t="s">
        <v>26</v>
      </c>
      <c r="B369" s="577"/>
      <c r="C369" s="95"/>
      <c r="D369" s="98">
        <f>G28*1000000</f>
        <v>71682604</v>
      </c>
      <c r="E369" s="98">
        <f>Summary!L26</f>
        <v>46563626</v>
      </c>
      <c r="F369" s="98">
        <f>Summary!M26</f>
        <v>56015269</v>
      </c>
      <c r="G369" s="98">
        <f>Summary!N26</f>
        <v>69356376</v>
      </c>
      <c r="H369" s="98">
        <f>Summary!O26</f>
        <v>66016828.655037299</v>
      </c>
      <c r="I369" s="98">
        <f>Summary!P26</f>
        <v>31798990.292463161</v>
      </c>
      <c r="J369" s="119"/>
    </row>
    <row r="370" spans="1:11" x14ac:dyDescent="0.2">
      <c r="A370" s="577" t="s">
        <v>27</v>
      </c>
      <c r="B370" s="577"/>
      <c r="C370" s="95"/>
      <c r="D370" s="98">
        <v>140928</v>
      </c>
      <c r="E370" s="98">
        <f>Summary!L27</f>
        <v>95621</v>
      </c>
      <c r="F370" s="98">
        <f>Summary!M27</f>
        <v>105771</v>
      </c>
      <c r="G370" s="98">
        <f>Summary!N27</f>
        <v>136790</v>
      </c>
      <c r="H370" s="98">
        <f>Summary!O27</f>
        <v>130795.77587097054</v>
      </c>
      <c r="I370" s="98">
        <f>Summary!P27</f>
        <v>63001.717773348704</v>
      </c>
      <c r="J370" s="119"/>
    </row>
    <row r="371" spans="1:11" x14ac:dyDescent="0.2">
      <c r="A371" s="592"/>
      <c r="B371" s="593"/>
      <c r="C371" s="95"/>
      <c r="D371" s="98"/>
      <c r="E371" s="98"/>
      <c r="F371" s="98"/>
      <c r="G371" s="98"/>
      <c r="H371" s="98"/>
      <c r="I371" s="94"/>
      <c r="J371" s="119"/>
    </row>
    <row r="372" spans="1:11" x14ac:dyDescent="0.2">
      <c r="A372" s="138" t="s">
        <v>89</v>
      </c>
      <c r="B372" s="95"/>
      <c r="C372" s="95"/>
      <c r="D372" s="98"/>
      <c r="E372" s="98"/>
      <c r="F372" s="139"/>
      <c r="G372" s="139"/>
      <c r="H372" s="139"/>
      <c r="I372" s="94"/>
      <c r="J372" s="119"/>
    </row>
    <row r="373" spans="1:11" x14ac:dyDescent="0.2">
      <c r="A373" s="564" t="s">
        <v>169</v>
      </c>
      <c r="B373" s="581"/>
      <c r="C373" s="95"/>
      <c r="D373" s="98">
        <f>H48</f>
        <v>1585</v>
      </c>
      <c r="E373" s="98">
        <f>Summary!L30</f>
        <v>1574.2465237166991</v>
      </c>
      <c r="F373" s="98">
        <f>Summary!M30</f>
        <v>1567.6666666666667</v>
      </c>
      <c r="G373" s="98">
        <f>Summary!N30</f>
        <v>1573.4242424242425</v>
      </c>
      <c r="H373" s="98">
        <f>Summary!O30</f>
        <v>1569</v>
      </c>
      <c r="I373" s="98">
        <f>Summary!P30</f>
        <v>1591.6757998109217</v>
      </c>
      <c r="J373" s="119"/>
      <c r="K373" s="72">
        <f>H373*12</f>
        <v>18828</v>
      </c>
    </row>
    <row r="374" spans="1:11" x14ac:dyDescent="0.2">
      <c r="A374" s="588" t="s">
        <v>105</v>
      </c>
      <c r="B374" s="581"/>
      <c r="C374" s="95"/>
      <c r="D374" s="98">
        <f>H28*1000000</f>
        <v>16689726</v>
      </c>
      <c r="E374" s="98">
        <f>Summary!L31</f>
        <v>16035117</v>
      </c>
      <c r="F374" s="98">
        <f>Summary!M31</f>
        <v>15857518</v>
      </c>
      <c r="G374" s="98">
        <f>Summary!N31</f>
        <v>15943501</v>
      </c>
      <c r="H374" s="98">
        <f>Summary!O31</f>
        <v>15898680.403048243</v>
      </c>
      <c r="I374" s="98">
        <f>Summary!P31</f>
        <v>16128464.711878158</v>
      </c>
      <c r="J374" s="119"/>
    </row>
    <row r="375" spans="1:11" x14ac:dyDescent="0.2">
      <c r="A375" s="588" t="s">
        <v>134</v>
      </c>
      <c r="B375" s="581"/>
      <c r="C375" s="95"/>
      <c r="D375" s="98">
        <v>46815</v>
      </c>
      <c r="E375" s="98">
        <f>Summary!L32</f>
        <v>44895</v>
      </c>
      <c r="F375" s="98">
        <f>Summary!M32</f>
        <v>44252</v>
      </c>
      <c r="G375" s="98">
        <f>Summary!N32</f>
        <v>44229</v>
      </c>
      <c r="H375" s="98">
        <f>Summary!O32</f>
        <v>44502.095867100063</v>
      </c>
      <c r="I375" s="98">
        <f>Summary!P32</f>
        <v>45145.286564759699</v>
      </c>
      <c r="J375" s="119"/>
    </row>
    <row r="376" spans="1:11" x14ac:dyDescent="0.2">
      <c r="A376" s="592"/>
      <c r="B376" s="593"/>
      <c r="C376" s="95"/>
      <c r="D376" s="98"/>
      <c r="E376" s="98"/>
      <c r="F376" s="98"/>
      <c r="G376" s="98"/>
      <c r="H376" s="98"/>
      <c r="I376" s="98"/>
      <c r="J376" s="119"/>
    </row>
    <row r="377" spans="1:11" x14ac:dyDescent="0.2">
      <c r="A377" s="590" t="s">
        <v>116</v>
      </c>
      <c r="B377" s="590"/>
      <c r="C377" s="95"/>
      <c r="D377" s="98"/>
      <c r="E377" s="98"/>
      <c r="F377" s="98"/>
      <c r="G377" s="98"/>
      <c r="H377" s="98"/>
      <c r="I377" s="94"/>
      <c r="J377" s="119"/>
    </row>
    <row r="378" spans="1:11" x14ac:dyDescent="0.2">
      <c r="A378" s="564" t="s">
        <v>169</v>
      </c>
      <c r="B378" s="581"/>
      <c r="C378" s="95"/>
      <c r="D378" s="98">
        <f>I48</f>
        <v>820</v>
      </c>
      <c r="E378" s="98">
        <f>Summary!L35</f>
        <v>811</v>
      </c>
      <c r="F378" s="98">
        <f>Summary!M35</f>
        <v>841</v>
      </c>
      <c r="G378" s="98">
        <f>Summary!N35</f>
        <v>868.75</v>
      </c>
      <c r="H378" s="98">
        <f>Summary!O35</f>
        <v>879.45633264592357</v>
      </c>
      <c r="I378" s="98">
        <f>Summary!P35</f>
        <v>890.29460838102727</v>
      </c>
      <c r="J378" s="134"/>
      <c r="K378" s="72">
        <f>H378*12</f>
        <v>10553.475991751082</v>
      </c>
    </row>
    <row r="379" spans="1:11" x14ac:dyDescent="0.2">
      <c r="A379" s="588" t="s">
        <v>105</v>
      </c>
      <c r="B379" s="581"/>
      <c r="C379" s="95"/>
      <c r="D379" s="98">
        <f>I28*1000000</f>
        <v>3287380</v>
      </c>
      <c r="E379" s="98">
        <f>Summary!L36</f>
        <v>3269039</v>
      </c>
      <c r="F379" s="98">
        <f>Summary!M36</f>
        <v>3318783</v>
      </c>
      <c r="G379" s="98">
        <f>Summary!N36</f>
        <v>3696460</v>
      </c>
      <c r="H379" s="98">
        <f>Summary!O36</f>
        <v>3612242.357049867</v>
      </c>
      <c r="I379" s="98">
        <f>Summary!P36</f>
        <v>3417188.4429939534</v>
      </c>
      <c r="J379" s="134"/>
    </row>
    <row r="380" spans="1:11" x14ac:dyDescent="0.2">
      <c r="A380" s="589"/>
      <c r="B380" s="589"/>
      <c r="C380" s="95"/>
      <c r="D380" s="98"/>
      <c r="E380" s="98"/>
      <c r="F380" s="98"/>
      <c r="G380" s="98"/>
      <c r="H380" s="98"/>
      <c r="I380" s="98"/>
      <c r="J380" s="134"/>
    </row>
    <row r="381" spans="1:11" x14ac:dyDescent="0.2">
      <c r="A381" s="590" t="s">
        <v>47</v>
      </c>
      <c r="B381" s="590"/>
      <c r="C381" s="95"/>
      <c r="D381" s="98"/>
      <c r="E381" s="98"/>
      <c r="F381" s="98"/>
      <c r="G381" s="98"/>
      <c r="H381" s="98"/>
      <c r="I381" s="98"/>
      <c r="J381" s="134"/>
    </row>
    <row r="382" spans="1:11" x14ac:dyDescent="0.2">
      <c r="A382" s="135" t="s">
        <v>37</v>
      </c>
      <c r="B382" s="95"/>
      <c r="C382" s="95"/>
      <c r="D382" s="140">
        <f>D355+D359+D363+D373+D378+D368</f>
        <v>89033</v>
      </c>
      <c r="E382" s="140">
        <f t="shared" ref="E382:I382" si="90">E355+E359+E363+E373+E378+E368</f>
        <v>88328.996523716705</v>
      </c>
      <c r="F382" s="140">
        <f t="shared" si="90"/>
        <v>89684.666666666672</v>
      </c>
      <c r="G382" s="140">
        <f t="shared" si="90"/>
        <v>91038.840909090897</v>
      </c>
      <c r="H382" s="140">
        <f t="shared" si="90"/>
        <v>92412.875829240715</v>
      </c>
      <c r="I382" s="140">
        <f t="shared" si="90"/>
        <v>93834.736623274526</v>
      </c>
      <c r="J382" s="141"/>
    </row>
    <row r="383" spans="1:11" x14ac:dyDescent="0.2">
      <c r="A383" s="591" t="s">
        <v>26</v>
      </c>
      <c r="B383" s="591"/>
      <c r="C383" s="95"/>
      <c r="D383" s="140">
        <f>D356+D360+D364+D374+D379+D369</f>
        <v>1861211165</v>
      </c>
      <c r="E383" s="140">
        <f t="shared" ref="E383:I383" si="91">E356+E360+E364+E374+E379+E369</f>
        <v>1829500492</v>
      </c>
      <c r="F383" s="140">
        <f t="shared" si="91"/>
        <v>1833881352</v>
      </c>
      <c r="G383" s="140">
        <f t="shared" si="91"/>
        <v>1825234090</v>
      </c>
      <c r="H383" s="140">
        <f>H356+H360+H364+H374+H379+H369</f>
        <v>1833775364.3420284</v>
      </c>
      <c r="I383" s="140">
        <f t="shared" si="91"/>
        <v>1812076587.5036061</v>
      </c>
      <c r="J383" s="141"/>
    </row>
    <row r="384" spans="1:11" x14ac:dyDescent="0.2">
      <c r="A384" s="591" t="s">
        <v>36</v>
      </c>
      <c r="B384" s="591"/>
      <c r="C384" s="95"/>
      <c r="D384" s="140">
        <f>D357+D361+D365+D375+D380+D370</f>
        <v>2419089</v>
      </c>
      <c r="E384" s="140">
        <f t="shared" ref="E384:I384" si="92">E357+E361+E365+E375+E380+E370</f>
        <v>2400828</v>
      </c>
      <c r="F384" s="140">
        <f t="shared" si="92"/>
        <v>2394906</v>
      </c>
      <c r="G384" s="140">
        <f t="shared" si="92"/>
        <v>2408950</v>
      </c>
      <c r="H384" s="140">
        <f t="shared" si="92"/>
        <v>2362817.6282513891</v>
      </c>
      <c r="I384" s="140">
        <f t="shared" si="92"/>
        <v>2315620.22143122</v>
      </c>
      <c r="J384" s="141"/>
    </row>
    <row r="385" spans="1:10" x14ac:dyDescent="0.2">
      <c r="A385" s="551"/>
      <c r="B385" s="552"/>
      <c r="C385" s="77"/>
      <c r="D385" s="98"/>
      <c r="E385" s="98"/>
      <c r="F385" s="98"/>
      <c r="G385" s="98"/>
      <c r="H385" s="98"/>
      <c r="I385" s="94"/>
      <c r="J385" s="119"/>
    </row>
    <row r="386" spans="1:10" customFormat="1" ht="12.75" x14ac:dyDescent="0.2">
      <c r="E386" s="64"/>
      <c r="F386" s="64"/>
      <c r="G386" s="64"/>
      <c r="H386" s="64"/>
      <c r="I386" s="64"/>
      <c r="J386" s="64"/>
    </row>
    <row r="387" spans="1:10" customFormat="1" ht="12.75" x14ac:dyDescent="0.2">
      <c r="D387" s="154"/>
      <c r="E387" s="64">
        <f>+Summary!L59-Summary!L39</f>
        <v>88328.996523716705</v>
      </c>
      <c r="F387" s="64">
        <f>Summary!M49-Summary!M39</f>
        <v>89684.666666666672</v>
      </c>
      <c r="G387" s="64">
        <f>Summary!N49-Summary!N39</f>
        <v>91038.840909090897</v>
      </c>
      <c r="H387" s="64">
        <f>Summary!O49-Summary!O39</f>
        <v>92412.875829240715</v>
      </c>
      <c r="I387" s="64">
        <f>Summary!P49-Summary!P39</f>
        <v>93834.736623274526</v>
      </c>
      <c r="J387" s="64"/>
    </row>
    <row r="388" spans="1:10" customFormat="1" ht="12.75" x14ac:dyDescent="0.2">
      <c r="D388" s="64"/>
      <c r="E388" s="64">
        <f>Summary!L50-ED!C14</f>
        <v>1829500492</v>
      </c>
      <c r="F388" s="64">
        <f>Summary!M50-Summary!M40</f>
        <v>1833881352</v>
      </c>
      <c r="G388" s="64">
        <f>Summary!N50-Summary!N40</f>
        <v>1825234090</v>
      </c>
      <c r="H388" s="64">
        <f>Summary!O50-Summary!O40</f>
        <v>1833775364.3420284</v>
      </c>
      <c r="I388" s="64">
        <f>Summary!P50-Summary!P40</f>
        <v>1812076587.5036061</v>
      </c>
      <c r="J388" s="64"/>
    </row>
    <row r="389" spans="1:10" customFormat="1" ht="12.75" x14ac:dyDescent="0.2">
      <c r="D389" s="64"/>
      <c r="E389" s="64">
        <f>Summary!L51-ED!B14</f>
        <v>2400828</v>
      </c>
      <c r="F389" s="64">
        <f>Summary!M51-Summary!M41</f>
        <v>2394906</v>
      </c>
      <c r="G389" s="64">
        <f>Summary!N51-Summary!N41</f>
        <v>2408950</v>
      </c>
      <c r="H389" s="64">
        <f>Summary!O51-Summary!O41</f>
        <v>2362817.6282513891</v>
      </c>
      <c r="I389" s="64">
        <f>Summary!P51-Summary!P41</f>
        <v>2315620.22143122</v>
      </c>
    </row>
    <row r="390" spans="1:10" customFormat="1" ht="12.75" x14ac:dyDescent="0.2">
      <c r="E390" s="64"/>
      <c r="F390" s="64"/>
      <c r="G390" s="64"/>
      <c r="H390" s="64"/>
      <c r="I390" s="64"/>
      <c r="J390" s="64"/>
    </row>
    <row r="391" spans="1:10" customFormat="1" ht="12.75" x14ac:dyDescent="0.2">
      <c r="D391" s="64"/>
      <c r="E391" s="64">
        <f t="shared" ref="E391:I391" si="93">E382-E387</f>
        <v>0</v>
      </c>
      <c r="F391" s="64">
        <f t="shared" si="93"/>
        <v>0</v>
      </c>
      <c r="G391" s="64">
        <f t="shared" si="93"/>
        <v>0</v>
      </c>
      <c r="H391" s="64">
        <f t="shared" si="93"/>
        <v>0</v>
      </c>
      <c r="I391" s="64">
        <f t="shared" si="93"/>
        <v>0</v>
      </c>
      <c r="J391" s="64"/>
    </row>
    <row r="392" spans="1:10" customFormat="1" ht="12.75" x14ac:dyDescent="0.2">
      <c r="D392" s="64"/>
      <c r="E392" s="64">
        <f t="shared" ref="E392:I393" si="94">E383-E388</f>
        <v>0</v>
      </c>
      <c r="F392" s="64">
        <f t="shared" si="94"/>
        <v>0</v>
      </c>
      <c r="G392" s="64">
        <f t="shared" si="94"/>
        <v>0</v>
      </c>
      <c r="H392" s="64">
        <f t="shared" si="94"/>
        <v>0</v>
      </c>
      <c r="I392" s="64">
        <f t="shared" si="94"/>
        <v>0</v>
      </c>
      <c r="J392" s="64"/>
    </row>
    <row r="393" spans="1:10" customFormat="1" ht="12.75" x14ac:dyDescent="0.2">
      <c r="D393" s="64"/>
      <c r="E393" s="64">
        <f t="shared" si="94"/>
        <v>0</v>
      </c>
      <c r="F393" s="64">
        <f t="shared" si="94"/>
        <v>0</v>
      </c>
      <c r="G393" s="64">
        <f t="shared" si="94"/>
        <v>0</v>
      </c>
      <c r="H393" s="64">
        <f t="shared" si="94"/>
        <v>0</v>
      </c>
      <c r="I393" s="64">
        <f t="shared" si="94"/>
        <v>0</v>
      </c>
    </row>
    <row r="394" spans="1:10" customFormat="1" ht="12.75" x14ac:dyDescent="0.2"/>
    <row r="395" spans="1:10" customFormat="1" ht="12.75" x14ac:dyDescent="0.2"/>
    <row r="396" spans="1:10" customFormat="1" ht="12.75" x14ac:dyDescent="0.2"/>
    <row r="397" spans="1:10" customFormat="1" ht="12.75" x14ac:dyDescent="0.2"/>
    <row r="398" spans="1:10" customFormat="1" ht="12.75" x14ac:dyDescent="0.2"/>
    <row r="399" spans="1:10" customFormat="1" ht="12.75" x14ac:dyDescent="0.2"/>
    <row r="400" spans="1:10" customFormat="1" ht="12.75" x14ac:dyDescent="0.2"/>
    <row r="401" customFormat="1" ht="12.75" x14ac:dyDescent="0.2"/>
    <row r="402" customFormat="1" ht="12.75" x14ac:dyDescent="0.2"/>
    <row r="403" customFormat="1" ht="12.75" x14ac:dyDescent="0.2"/>
    <row r="404" customFormat="1" ht="12.75" x14ac:dyDescent="0.2"/>
    <row r="405" customFormat="1" ht="12.75" x14ac:dyDescent="0.2"/>
    <row r="406" customFormat="1" ht="12.75" x14ac:dyDescent="0.2"/>
    <row r="407" customFormat="1" ht="12.75" x14ac:dyDescent="0.2"/>
    <row r="408" customFormat="1" ht="12.75" x14ac:dyDescent="0.2"/>
    <row r="409" customFormat="1" ht="12.75" x14ac:dyDescent="0.2"/>
    <row r="410" customFormat="1" ht="12.75" x14ac:dyDescent="0.2"/>
    <row r="411" customFormat="1" ht="12.75" x14ac:dyDescent="0.2"/>
    <row r="412" customFormat="1" ht="12.75" x14ac:dyDescent="0.2"/>
    <row r="413" customFormat="1" ht="12.75" x14ac:dyDescent="0.2"/>
    <row r="414" customFormat="1" ht="12.75" x14ac:dyDescent="0.2"/>
    <row r="415" customFormat="1" ht="12.75" x14ac:dyDescent="0.2"/>
    <row r="416" customFormat="1" ht="12.75" x14ac:dyDescent="0.2"/>
    <row r="417" customFormat="1" ht="12.75" x14ac:dyDescent="0.2"/>
    <row r="418" customFormat="1" ht="12.75" x14ac:dyDescent="0.2"/>
    <row r="419" customFormat="1" ht="12.75" x14ac:dyDescent="0.2"/>
    <row r="420" customFormat="1" ht="12.75" x14ac:dyDescent="0.2"/>
    <row r="421" customFormat="1" ht="12.75" x14ac:dyDescent="0.2"/>
    <row r="422" customFormat="1" ht="12.75" x14ac:dyDescent="0.2"/>
    <row r="423" customFormat="1" ht="12.75" x14ac:dyDescent="0.2"/>
    <row r="424" customFormat="1" ht="12.75" x14ac:dyDescent="0.2"/>
    <row r="425" customFormat="1" ht="12.75" x14ac:dyDescent="0.2"/>
    <row r="426" customFormat="1" ht="12.75" x14ac:dyDescent="0.2"/>
    <row r="427" customFormat="1" ht="12.75" x14ac:dyDescent="0.2"/>
    <row r="428" customFormat="1" ht="12.75" x14ac:dyDescent="0.2"/>
    <row r="429" customFormat="1" ht="12.75" x14ac:dyDescent="0.2"/>
    <row r="430" customFormat="1" ht="12.75" x14ac:dyDescent="0.2"/>
    <row r="431" customFormat="1" ht="12.75" x14ac:dyDescent="0.2"/>
    <row r="432" customFormat="1" ht="12.75" x14ac:dyDescent="0.2"/>
    <row r="433" customFormat="1" ht="12.75" x14ac:dyDescent="0.2"/>
    <row r="434" customFormat="1" ht="12.75" x14ac:dyDescent="0.2"/>
    <row r="435" customFormat="1" ht="12.75" x14ac:dyDescent="0.2"/>
    <row r="436" customFormat="1" ht="12.75" x14ac:dyDescent="0.2"/>
    <row r="437" customFormat="1" ht="12.75" x14ac:dyDescent="0.2"/>
    <row r="438" customFormat="1" ht="12.75" x14ac:dyDescent="0.2"/>
    <row r="439" customFormat="1" ht="12.75" x14ac:dyDescent="0.2"/>
    <row r="440" customFormat="1" ht="12.75" x14ac:dyDescent="0.2"/>
    <row r="441" customFormat="1" ht="12.75" x14ac:dyDescent="0.2"/>
    <row r="442" customFormat="1" ht="12.75" x14ac:dyDescent="0.2"/>
    <row r="443" customFormat="1" ht="12.75" x14ac:dyDescent="0.2"/>
    <row r="444" customFormat="1" ht="12.75" x14ac:dyDescent="0.2"/>
    <row r="445" customFormat="1" ht="12.75" x14ac:dyDescent="0.2"/>
    <row r="446" customFormat="1" ht="12.75" x14ac:dyDescent="0.2"/>
    <row r="447" customFormat="1" ht="12.75" x14ac:dyDescent="0.2"/>
    <row r="448" customFormat="1" ht="12.75" x14ac:dyDescent="0.2"/>
    <row r="449" customFormat="1" ht="12.75" x14ac:dyDescent="0.2"/>
    <row r="450" customFormat="1" ht="12.75" x14ac:dyDescent="0.2"/>
    <row r="451" customFormat="1" ht="12.75" x14ac:dyDescent="0.2"/>
    <row r="452" customFormat="1" ht="12.75" x14ac:dyDescent="0.2"/>
    <row r="453" customFormat="1" ht="12.75" x14ac:dyDescent="0.2"/>
    <row r="454" customFormat="1" ht="12.75" x14ac:dyDescent="0.2"/>
    <row r="455" customFormat="1" ht="12.75" x14ac:dyDescent="0.2"/>
    <row r="456" customFormat="1" ht="12.75" x14ac:dyDescent="0.2"/>
    <row r="457" customFormat="1" ht="12.75" x14ac:dyDescent="0.2"/>
    <row r="458" customFormat="1" ht="12.75" x14ac:dyDescent="0.2"/>
    <row r="459" customFormat="1" ht="12.75" x14ac:dyDescent="0.2"/>
    <row r="460" customFormat="1" ht="12.75" x14ac:dyDescent="0.2"/>
    <row r="461" customFormat="1" ht="12.75" x14ac:dyDescent="0.2"/>
    <row r="462" customFormat="1" ht="12.75" x14ac:dyDescent="0.2"/>
    <row r="463" customFormat="1" ht="12.75" x14ac:dyDescent="0.2"/>
    <row r="464" customFormat="1" ht="12.75" x14ac:dyDescent="0.2"/>
    <row r="465" customFormat="1" ht="12.75" x14ac:dyDescent="0.2"/>
    <row r="466" customFormat="1" ht="12.75" x14ac:dyDescent="0.2"/>
    <row r="467" customFormat="1" ht="12.75" x14ac:dyDescent="0.2"/>
    <row r="468" customFormat="1" ht="12.75" x14ac:dyDescent="0.2"/>
    <row r="469" customFormat="1" ht="12.75" x14ac:dyDescent="0.2"/>
    <row r="470" customFormat="1" ht="12.75" x14ac:dyDescent="0.2"/>
    <row r="471" customFormat="1" ht="12.75" x14ac:dyDescent="0.2"/>
    <row r="472" customFormat="1" ht="12.75" x14ac:dyDescent="0.2"/>
    <row r="473" customFormat="1" ht="12.75" x14ac:dyDescent="0.2"/>
    <row r="474" customFormat="1" ht="12.75" x14ac:dyDescent="0.2"/>
    <row r="475" customFormat="1" ht="12.75" x14ac:dyDescent="0.2"/>
    <row r="476" customFormat="1" ht="12.75" x14ac:dyDescent="0.2"/>
    <row r="477" customFormat="1" ht="12.75" x14ac:dyDescent="0.2"/>
    <row r="478" customFormat="1" ht="12.75" x14ac:dyDescent="0.2"/>
    <row r="479" customFormat="1" ht="12.75" x14ac:dyDescent="0.2"/>
    <row r="480" customFormat="1" ht="12.75" x14ac:dyDescent="0.2"/>
    <row r="481" customFormat="1" ht="12.75" x14ac:dyDescent="0.2"/>
    <row r="482" customFormat="1" ht="12.75" x14ac:dyDescent="0.2"/>
    <row r="483" customFormat="1" ht="12.75" x14ac:dyDescent="0.2"/>
    <row r="484" customFormat="1" ht="12.75" x14ac:dyDescent="0.2"/>
    <row r="485" customFormat="1" ht="12.75" x14ac:dyDescent="0.2"/>
    <row r="486" customFormat="1" ht="12.75" x14ac:dyDescent="0.2"/>
    <row r="487" customFormat="1" ht="12.75" x14ac:dyDescent="0.2"/>
    <row r="488" customFormat="1" ht="12.75" x14ac:dyDescent="0.2"/>
    <row r="489" customFormat="1" ht="12.75" x14ac:dyDescent="0.2"/>
    <row r="490" customFormat="1" ht="12.75" x14ac:dyDescent="0.2"/>
    <row r="491" customFormat="1" ht="12.75" x14ac:dyDescent="0.2"/>
    <row r="492" customFormat="1" ht="12.75" x14ac:dyDescent="0.2"/>
    <row r="493" customFormat="1" ht="12.75" x14ac:dyDescent="0.2"/>
    <row r="494" customFormat="1" ht="12.75" x14ac:dyDescent="0.2"/>
    <row r="495" customFormat="1" ht="12.75" x14ac:dyDescent="0.2"/>
    <row r="496" customFormat="1" ht="12.75" x14ac:dyDescent="0.2"/>
    <row r="497" customFormat="1" ht="12.75" x14ac:dyDescent="0.2"/>
    <row r="498" customFormat="1" ht="12.75" x14ac:dyDescent="0.2"/>
    <row r="499" customFormat="1" ht="12.75" x14ac:dyDescent="0.2"/>
    <row r="500" customFormat="1" ht="12.75" x14ac:dyDescent="0.2"/>
    <row r="501" customFormat="1" ht="12.75" x14ac:dyDescent="0.2"/>
    <row r="502" customFormat="1" ht="12.75" x14ac:dyDescent="0.2"/>
    <row r="503" customFormat="1" ht="12.75" x14ac:dyDescent="0.2"/>
    <row r="504" customFormat="1" ht="12.75" x14ac:dyDescent="0.2"/>
    <row r="505" customFormat="1" ht="12.75" x14ac:dyDescent="0.2"/>
    <row r="506" customFormat="1" ht="12.75" x14ac:dyDescent="0.2"/>
    <row r="507" customFormat="1" ht="12.75" x14ac:dyDescent="0.2"/>
    <row r="508" customFormat="1" ht="12.75" x14ac:dyDescent="0.2"/>
    <row r="509" customFormat="1" ht="12.75" x14ac:dyDescent="0.2"/>
    <row r="510" customFormat="1" ht="12.75" x14ac:dyDescent="0.2"/>
    <row r="511" customFormat="1" ht="12.75" x14ac:dyDescent="0.2"/>
    <row r="512" customFormat="1" ht="12.75" x14ac:dyDescent="0.2"/>
    <row r="513" customFormat="1" ht="12.75" x14ac:dyDescent="0.2"/>
    <row r="514" customFormat="1" ht="12.75" x14ac:dyDescent="0.2"/>
    <row r="515" customFormat="1" ht="12.75" x14ac:dyDescent="0.2"/>
    <row r="516" customFormat="1" ht="12.75" x14ac:dyDescent="0.2"/>
    <row r="517" customFormat="1" ht="12.75" x14ac:dyDescent="0.2"/>
    <row r="518" customFormat="1" ht="12.75" x14ac:dyDescent="0.2"/>
    <row r="519" customFormat="1" ht="12.75" x14ac:dyDescent="0.2"/>
    <row r="520" customFormat="1" ht="12.75" x14ac:dyDescent="0.2"/>
    <row r="521" customFormat="1" ht="12.75" x14ac:dyDescent="0.2"/>
    <row r="522" customFormat="1" ht="12.75" x14ac:dyDescent="0.2"/>
    <row r="523" customFormat="1" ht="12.75" x14ac:dyDescent="0.2"/>
    <row r="524" customFormat="1" ht="12.75" x14ac:dyDescent="0.2"/>
    <row r="525" customFormat="1" ht="12.75" x14ac:dyDescent="0.2"/>
    <row r="526" customFormat="1" ht="12.75" x14ac:dyDescent="0.2"/>
    <row r="527" customFormat="1" ht="12.75" x14ac:dyDescent="0.2"/>
    <row r="528" customFormat="1" ht="12.75" x14ac:dyDescent="0.2"/>
    <row r="529" customFormat="1" ht="12.75" x14ac:dyDescent="0.2"/>
    <row r="530" customFormat="1" ht="12.75" x14ac:dyDescent="0.2"/>
    <row r="531" customFormat="1" ht="12.75" x14ac:dyDescent="0.2"/>
    <row r="532" customFormat="1" ht="12.75" x14ac:dyDescent="0.2"/>
    <row r="533" customFormat="1" ht="12.75" x14ac:dyDescent="0.2"/>
    <row r="534" customFormat="1" ht="12.75" x14ac:dyDescent="0.2"/>
    <row r="535" customFormat="1" ht="12.75" x14ac:dyDescent="0.2"/>
    <row r="536" customFormat="1" ht="12.75" x14ac:dyDescent="0.2"/>
    <row r="537" customFormat="1" ht="12.75" x14ac:dyDescent="0.2"/>
    <row r="538" customFormat="1" ht="12.75" x14ac:dyDescent="0.2"/>
    <row r="539" customFormat="1" ht="12.75" x14ac:dyDescent="0.2"/>
    <row r="540" customFormat="1" ht="12.75" x14ac:dyDescent="0.2"/>
    <row r="541" customFormat="1" ht="12.75" x14ac:dyDescent="0.2"/>
    <row r="542" customFormat="1" ht="12.75" x14ac:dyDescent="0.2"/>
    <row r="543" customFormat="1" ht="12.75" x14ac:dyDescent="0.2"/>
    <row r="544" customFormat="1" ht="12.75" x14ac:dyDescent="0.2"/>
    <row r="545" customFormat="1" ht="12.75" x14ac:dyDescent="0.2"/>
    <row r="546" customFormat="1" ht="12.75" x14ac:dyDescent="0.2"/>
    <row r="547" customFormat="1" ht="12.75" x14ac:dyDescent="0.2"/>
    <row r="548" customFormat="1" ht="12.75" x14ac:dyDescent="0.2"/>
    <row r="549" customFormat="1" ht="12.75" x14ac:dyDescent="0.2"/>
    <row r="550" customFormat="1" ht="12.75" x14ac:dyDescent="0.2"/>
    <row r="551" customFormat="1" ht="12.75" x14ac:dyDescent="0.2"/>
    <row r="552" customFormat="1" ht="12.75" x14ac:dyDescent="0.2"/>
    <row r="553" customFormat="1" ht="12.75" x14ac:dyDescent="0.2"/>
    <row r="554" customFormat="1" ht="12.75" x14ac:dyDescent="0.2"/>
    <row r="555" customFormat="1" ht="12.75" x14ac:dyDescent="0.2"/>
    <row r="556" customFormat="1" ht="12.75" x14ac:dyDescent="0.2"/>
    <row r="557" customFormat="1" ht="12.75" x14ac:dyDescent="0.2"/>
    <row r="558" customFormat="1" ht="12.75" x14ac:dyDescent="0.2"/>
    <row r="559" customFormat="1" ht="12.75" x14ac:dyDescent="0.2"/>
    <row r="560" customFormat="1" ht="12.75" x14ac:dyDescent="0.2"/>
    <row r="561" customFormat="1" ht="12.75" x14ac:dyDescent="0.2"/>
    <row r="562" customFormat="1" ht="12.75" x14ac:dyDescent="0.2"/>
    <row r="563" customFormat="1" ht="12.75" x14ac:dyDescent="0.2"/>
    <row r="564" customFormat="1" ht="12.75" x14ac:dyDescent="0.2"/>
    <row r="565" customFormat="1" ht="12.75" x14ac:dyDescent="0.2"/>
    <row r="566" customFormat="1" ht="12.75" x14ac:dyDescent="0.2"/>
    <row r="567" customFormat="1" ht="12.75" x14ac:dyDescent="0.2"/>
    <row r="568" customFormat="1" ht="12.75" x14ac:dyDescent="0.2"/>
    <row r="569" customFormat="1" ht="12.75" x14ac:dyDescent="0.2"/>
    <row r="570" customFormat="1" ht="12.75" x14ac:dyDescent="0.2"/>
    <row r="571" customFormat="1" ht="12.75" x14ac:dyDescent="0.2"/>
    <row r="572" customFormat="1" ht="12.75" x14ac:dyDescent="0.2"/>
    <row r="573" customFormat="1" ht="12.75" x14ac:dyDescent="0.2"/>
    <row r="574" customFormat="1" ht="12.75" x14ac:dyDescent="0.2"/>
    <row r="575" customFormat="1" ht="12.75" x14ac:dyDescent="0.2"/>
    <row r="576" customFormat="1" ht="12.75" x14ac:dyDescent="0.2"/>
    <row r="577" customFormat="1" ht="12.75" x14ac:dyDescent="0.2"/>
    <row r="578" customFormat="1" ht="12.75" x14ac:dyDescent="0.2"/>
    <row r="579" customFormat="1" ht="12.75" x14ac:dyDescent="0.2"/>
    <row r="580" customFormat="1" ht="12.75" x14ac:dyDescent="0.2"/>
    <row r="581" customFormat="1" ht="12.75" x14ac:dyDescent="0.2"/>
    <row r="582" customFormat="1" ht="12.75" x14ac:dyDescent="0.2"/>
    <row r="583" customFormat="1" ht="12.75" x14ac:dyDescent="0.2"/>
    <row r="584" customFormat="1" ht="12.75" x14ac:dyDescent="0.2"/>
    <row r="585" customFormat="1" ht="12.75" x14ac:dyDescent="0.2"/>
    <row r="586" customFormat="1" ht="12.75" x14ac:dyDescent="0.2"/>
    <row r="587" customFormat="1" ht="12.75" x14ac:dyDescent="0.2"/>
    <row r="588" customFormat="1" ht="12.75" x14ac:dyDescent="0.2"/>
    <row r="589" customFormat="1" ht="12.75" x14ac:dyDescent="0.2"/>
    <row r="590" customFormat="1" ht="12.75" x14ac:dyDescent="0.2"/>
    <row r="591" customFormat="1" ht="12.75" x14ac:dyDescent="0.2"/>
    <row r="592" customFormat="1" ht="12.75" x14ac:dyDescent="0.2"/>
    <row r="593" customFormat="1" ht="12.75" x14ac:dyDescent="0.2"/>
    <row r="594" customFormat="1" ht="12.75" x14ac:dyDescent="0.2"/>
    <row r="595" customFormat="1" ht="12.75" x14ac:dyDescent="0.2"/>
    <row r="596" customFormat="1" ht="12.75" x14ac:dyDescent="0.2"/>
    <row r="597" customFormat="1" ht="12.75" x14ac:dyDescent="0.2"/>
    <row r="598" customFormat="1" ht="12.75" x14ac:dyDescent="0.2"/>
    <row r="599" customFormat="1" ht="12.75" x14ac:dyDescent="0.2"/>
    <row r="600" customFormat="1" ht="12.75" x14ac:dyDescent="0.2"/>
    <row r="601" customFormat="1" ht="12.75" x14ac:dyDescent="0.2"/>
    <row r="602" customFormat="1" ht="12.75" x14ac:dyDescent="0.2"/>
    <row r="603" customFormat="1" ht="12.75" x14ac:dyDescent="0.2"/>
    <row r="604" customFormat="1" ht="12.75" x14ac:dyDescent="0.2"/>
    <row r="605" customFormat="1" ht="12.75" x14ac:dyDescent="0.2"/>
    <row r="606" customFormat="1" ht="12.75" x14ac:dyDescent="0.2"/>
    <row r="607" customFormat="1" ht="12.75" x14ac:dyDescent="0.2"/>
    <row r="608" customFormat="1" ht="12.75" x14ac:dyDescent="0.2"/>
    <row r="609" customFormat="1" ht="12.75" x14ac:dyDescent="0.2"/>
    <row r="610" customFormat="1" ht="12.75" x14ac:dyDescent="0.2"/>
    <row r="611" customFormat="1" ht="12.75" x14ac:dyDescent="0.2"/>
    <row r="612" customFormat="1" ht="12.75" x14ac:dyDescent="0.2"/>
    <row r="613" customFormat="1" ht="12.75" x14ac:dyDescent="0.2"/>
    <row r="614" customFormat="1" ht="12.75" x14ac:dyDescent="0.2"/>
    <row r="615" customFormat="1" ht="12.75" x14ac:dyDescent="0.2"/>
    <row r="616" customFormat="1" ht="12.75" x14ac:dyDescent="0.2"/>
    <row r="617" customFormat="1" ht="12.75" x14ac:dyDescent="0.2"/>
    <row r="618" customFormat="1" ht="12.75" x14ac:dyDescent="0.2"/>
    <row r="619" customFormat="1" ht="12.75" x14ac:dyDescent="0.2"/>
    <row r="620" customFormat="1" ht="12.75" x14ac:dyDescent="0.2"/>
    <row r="621" customFormat="1" ht="12.75" x14ac:dyDescent="0.2"/>
    <row r="622" customFormat="1" ht="12.75" x14ac:dyDescent="0.2"/>
    <row r="623" customFormat="1" ht="12.75" x14ac:dyDescent="0.2"/>
    <row r="624" customFormat="1" ht="12.75" x14ac:dyDescent="0.2"/>
    <row r="625" customFormat="1" ht="12.75" x14ac:dyDescent="0.2"/>
    <row r="626" customFormat="1" ht="12.75" x14ac:dyDescent="0.2"/>
    <row r="627" customFormat="1" ht="12.75" x14ac:dyDescent="0.2"/>
    <row r="628" customFormat="1" ht="12.75" x14ac:dyDescent="0.2"/>
    <row r="629" customFormat="1" ht="12.75" x14ac:dyDescent="0.2"/>
    <row r="630" customFormat="1" ht="12.75" x14ac:dyDescent="0.2"/>
    <row r="631" customFormat="1" ht="12.75" x14ac:dyDescent="0.2"/>
    <row r="632" customFormat="1" ht="12.75" x14ac:dyDescent="0.2"/>
    <row r="633" customFormat="1" ht="12.75" x14ac:dyDescent="0.2"/>
    <row r="634" customFormat="1" ht="12.75" x14ac:dyDescent="0.2"/>
    <row r="635" customFormat="1" ht="12.75" x14ac:dyDescent="0.2"/>
    <row r="636" customFormat="1" ht="12.75" x14ac:dyDescent="0.2"/>
    <row r="637" customFormat="1" ht="12.75" x14ac:dyDescent="0.2"/>
    <row r="638" customFormat="1" ht="12.75" x14ac:dyDescent="0.2"/>
    <row r="639" customFormat="1" ht="12.75" x14ac:dyDescent="0.2"/>
    <row r="640" customFormat="1" ht="12.75" x14ac:dyDescent="0.2"/>
    <row r="641" customFormat="1" ht="12.75" x14ac:dyDescent="0.2"/>
    <row r="642" customFormat="1" ht="12.75" x14ac:dyDescent="0.2"/>
    <row r="643" customFormat="1" ht="12.75" x14ac:dyDescent="0.2"/>
    <row r="644" customFormat="1" ht="12.75" x14ac:dyDescent="0.2"/>
    <row r="645" customFormat="1" ht="12.75" x14ac:dyDescent="0.2"/>
    <row r="646" customFormat="1" ht="12.75" x14ac:dyDescent="0.2"/>
    <row r="647" customFormat="1" ht="12.75" x14ac:dyDescent="0.2"/>
    <row r="648" customFormat="1" ht="12.75" x14ac:dyDescent="0.2"/>
    <row r="649" customFormat="1" ht="12.75" x14ac:dyDescent="0.2"/>
    <row r="650" customFormat="1" ht="12.75" x14ac:dyDescent="0.2"/>
    <row r="651" customFormat="1" ht="12.75" x14ac:dyDescent="0.2"/>
    <row r="652" customFormat="1" ht="12.75" x14ac:dyDescent="0.2"/>
    <row r="653" customFormat="1" ht="12.75" x14ac:dyDescent="0.2"/>
    <row r="654" customFormat="1" ht="12.75" x14ac:dyDescent="0.2"/>
    <row r="655" customFormat="1" ht="12.75" x14ac:dyDescent="0.2"/>
    <row r="656" customFormat="1" ht="12.75" x14ac:dyDescent="0.2"/>
    <row r="657" customFormat="1" ht="12.75" x14ac:dyDescent="0.2"/>
    <row r="658" customFormat="1" ht="12.75" x14ac:dyDescent="0.2"/>
    <row r="659" customFormat="1" ht="12.75" x14ac:dyDescent="0.2"/>
    <row r="660" customFormat="1" ht="12.75" x14ac:dyDescent="0.2"/>
    <row r="661" customFormat="1" ht="12.75" x14ac:dyDescent="0.2"/>
    <row r="662" customFormat="1" ht="12.75" x14ac:dyDescent="0.2"/>
    <row r="663" customFormat="1" ht="12.75" x14ac:dyDescent="0.2"/>
    <row r="664" customFormat="1" ht="12.75" x14ac:dyDescent="0.2"/>
    <row r="665" customFormat="1" ht="12.75" x14ac:dyDescent="0.2"/>
    <row r="666" customFormat="1" ht="12.75" x14ac:dyDescent="0.2"/>
    <row r="667" customFormat="1" ht="12.75" x14ac:dyDescent="0.2"/>
    <row r="668" customFormat="1" ht="12.75" x14ac:dyDescent="0.2"/>
    <row r="669" customFormat="1" ht="12.75" x14ac:dyDescent="0.2"/>
    <row r="670" customFormat="1" ht="12.75" x14ac:dyDescent="0.2"/>
    <row r="671" customFormat="1" ht="12.75" x14ac:dyDescent="0.2"/>
    <row r="672" customFormat="1" ht="12.75" x14ac:dyDescent="0.2"/>
    <row r="673" customFormat="1" ht="12.75" x14ac:dyDescent="0.2"/>
    <row r="674" customFormat="1" ht="12.75" x14ac:dyDescent="0.2"/>
    <row r="675" customFormat="1" ht="12.75" x14ac:dyDescent="0.2"/>
    <row r="676" customFormat="1" ht="12.75" x14ac:dyDescent="0.2"/>
    <row r="677" customFormat="1" ht="12.75" x14ac:dyDescent="0.2"/>
    <row r="678" customFormat="1" ht="12.75" x14ac:dyDescent="0.2"/>
    <row r="679" customFormat="1" ht="12.75" x14ac:dyDescent="0.2"/>
    <row r="680" customFormat="1" ht="12.75" x14ac:dyDescent="0.2"/>
    <row r="681" customFormat="1" ht="12.75" x14ac:dyDescent="0.2"/>
    <row r="682" customFormat="1" ht="12.75" x14ac:dyDescent="0.2"/>
    <row r="683" customFormat="1" ht="12.75" x14ac:dyDescent="0.2"/>
    <row r="684" customFormat="1" ht="12.75" x14ac:dyDescent="0.2"/>
    <row r="685" customFormat="1" ht="12.75" x14ac:dyDescent="0.2"/>
    <row r="686" customFormat="1" ht="12.75" x14ac:dyDescent="0.2"/>
    <row r="687" customFormat="1" ht="12.75" x14ac:dyDescent="0.2"/>
    <row r="688" customFormat="1" ht="12.75" x14ac:dyDescent="0.2"/>
    <row r="689" customFormat="1" ht="12.75" x14ac:dyDescent="0.2"/>
    <row r="690" customFormat="1" ht="12.75" x14ac:dyDescent="0.2"/>
    <row r="691" customFormat="1" ht="12.75" x14ac:dyDescent="0.2"/>
    <row r="692" customFormat="1" ht="12.75" x14ac:dyDescent="0.2"/>
    <row r="693" customFormat="1" ht="12.75" x14ac:dyDescent="0.2"/>
    <row r="694" customFormat="1" ht="12.75" x14ac:dyDescent="0.2"/>
    <row r="695" customFormat="1" ht="12.75" x14ac:dyDescent="0.2"/>
    <row r="696" customFormat="1" ht="12.75" x14ac:dyDescent="0.2"/>
    <row r="697" customFormat="1" ht="12.75" x14ac:dyDescent="0.2"/>
    <row r="698" customFormat="1" ht="12.75" x14ac:dyDescent="0.2"/>
    <row r="699" customFormat="1" ht="12.75" x14ac:dyDescent="0.2"/>
    <row r="700" customFormat="1" ht="12.75" x14ac:dyDescent="0.2"/>
    <row r="701" customFormat="1" ht="12.75" x14ac:dyDescent="0.2"/>
    <row r="702" customFormat="1" ht="12.75" x14ac:dyDescent="0.2"/>
    <row r="703" customFormat="1" ht="12.75" x14ac:dyDescent="0.2"/>
    <row r="704" customFormat="1" ht="12.75" x14ac:dyDescent="0.2"/>
    <row r="705" customFormat="1" ht="12.75" x14ac:dyDescent="0.2"/>
    <row r="706" customFormat="1" ht="12.75" x14ac:dyDescent="0.2"/>
    <row r="707" customFormat="1" ht="12.75" x14ac:dyDescent="0.2"/>
    <row r="708" customFormat="1" ht="12.75" x14ac:dyDescent="0.2"/>
    <row r="709" customFormat="1" ht="12.75" x14ac:dyDescent="0.2"/>
    <row r="710" customFormat="1" ht="12.75" x14ac:dyDescent="0.2"/>
    <row r="711" customFormat="1" ht="12.75" x14ac:dyDescent="0.2"/>
    <row r="712" customFormat="1" ht="12.75" x14ac:dyDescent="0.2"/>
    <row r="713" customFormat="1" ht="12.75" x14ac:dyDescent="0.2"/>
    <row r="714" customFormat="1" ht="12.75" x14ac:dyDescent="0.2"/>
    <row r="715" customFormat="1" ht="12.75" x14ac:dyDescent="0.2"/>
    <row r="716" customFormat="1" ht="12.75" x14ac:dyDescent="0.2"/>
    <row r="717" customFormat="1" ht="12.75" x14ac:dyDescent="0.2"/>
    <row r="718" customFormat="1" ht="12.75" x14ac:dyDescent="0.2"/>
    <row r="719" customFormat="1" ht="12.75" x14ac:dyDescent="0.2"/>
    <row r="720" customFormat="1" ht="12.75" x14ac:dyDescent="0.2"/>
    <row r="721" customFormat="1" ht="12.75" x14ac:dyDescent="0.2"/>
    <row r="722" customFormat="1" ht="12.75" x14ac:dyDescent="0.2"/>
    <row r="723" customFormat="1" ht="12.75" x14ac:dyDescent="0.2"/>
    <row r="724" customFormat="1" ht="12.75" x14ac:dyDescent="0.2"/>
    <row r="725" customFormat="1" ht="12.75" x14ac:dyDescent="0.2"/>
    <row r="726" customFormat="1" ht="12.75" x14ac:dyDescent="0.2"/>
    <row r="727" customFormat="1" ht="12.75" x14ac:dyDescent="0.2"/>
    <row r="728" customFormat="1" ht="12.75" x14ac:dyDescent="0.2"/>
    <row r="729" customFormat="1" ht="12.75" x14ac:dyDescent="0.2"/>
    <row r="730" customFormat="1" ht="12.75" x14ac:dyDescent="0.2"/>
    <row r="731" customFormat="1" ht="12.75" x14ac:dyDescent="0.2"/>
    <row r="732" customFormat="1" ht="12.75" x14ac:dyDescent="0.2"/>
    <row r="733" customFormat="1" ht="12.75" x14ac:dyDescent="0.2"/>
    <row r="734" customFormat="1" ht="12.75" x14ac:dyDescent="0.2"/>
    <row r="735" customFormat="1" ht="12.75" x14ac:dyDescent="0.2"/>
    <row r="736" customFormat="1" ht="12.75" x14ac:dyDescent="0.2"/>
    <row r="737" customFormat="1" ht="12.75" x14ac:dyDescent="0.2"/>
    <row r="738" customFormat="1" ht="12.75" x14ac:dyDescent="0.2"/>
    <row r="739" customFormat="1" ht="12.75" x14ac:dyDescent="0.2"/>
    <row r="740" customFormat="1" ht="12.75" x14ac:dyDescent="0.2"/>
    <row r="741" customFormat="1" ht="12.75" x14ac:dyDescent="0.2"/>
    <row r="742" customFormat="1" ht="12.75" x14ac:dyDescent="0.2"/>
    <row r="743" customFormat="1" ht="12.75" x14ac:dyDescent="0.2"/>
    <row r="744" customFormat="1" ht="12.75" x14ac:dyDescent="0.2"/>
    <row r="745" customFormat="1" ht="12.75" x14ac:dyDescent="0.2"/>
    <row r="746" customFormat="1" ht="12.75" x14ac:dyDescent="0.2"/>
    <row r="747" customFormat="1" ht="12.75" x14ac:dyDescent="0.2"/>
    <row r="748" customFormat="1" ht="12.75" x14ac:dyDescent="0.2"/>
    <row r="749" customFormat="1" ht="12.75" x14ac:dyDescent="0.2"/>
    <row r="750" customFormat="1" ht="12.75" x14ac:dyDescent="0.2"/>
  </sheetData>
  <mergeCells count="208">
    <mergeCell ref="A196:J196"/>
    <mergeCell ref="A219:I219"/>
    <mergeCell ref="A237:I237"/>
    <mergeCell ref="A243:J243"/>
    <mergeCell ref="D250:I250"/>
    <mergeCell ref="A284:J284"/>
    <mergeCell ref="A289:J289"/>
    <mergeCell ref="A128:D128"/>
    <mergeCell ref="A129:D129"/>
    <mergeCell ref="A130:D130"/>
    <mergeCell ref="A131:D131"/>
    <mergeCell ref="A132:D132"/>
    <mergeCell ref="A133:D133"/>
    <mergeCell ref="A134:D134"/>
    <mergeCell ref="A135:D135"/>
    <mergeCell ref="B270:H270"/>
    <mergeCell ref="B277:H277"/>
    <mergeCell ref="A228:B228"/>
    <mergeCell ref="A229:B229"/>
    <mergeCell ref="A230:B230"/>
    <mergeCell ref="A231:B231"/>
    <mergeCell ref="A214:B214"/>
    <mergeCell ref="A215:B215"/>
    <mergeCell ref="A216:B216"/>
    <mergeCell ref="A353:I353"/>
    <mergeCell ref="A362:B362"/>
    <mergeCell ref="A364:B364"/>
    <mergeCell ref="A365:B365"/>
    <mergeCell ref="A366:B366"/>
    <mergeCell ref="A367:B367"/>
    <mergeCell ref="A369:B369"/>
    <mergeCell ref="A356:B356"/>
    <mergeCell ref="A357:B357"/>
    <mergeCell ref="A358:B358"/>
    <mergeCell ref="A360:B360"/>
    <mergeCell ref="A361:B361"/>
    <mergeCell ref="A340:B340"/>
    <mergeCell ref="A345:I345"/>
    <mergeCell ref="A346:B346"/>
    <mergeCell ref="A347:B347"/>
    <mergeCell ref="A348:I348"/>
    <mergeCell ref="A330:B330"/>
    <mergeCell ref="A331:B331"/>
    <mergeCell ref="A352:B352"/>
    <mergeCell ref="A332:B332"/>
    <mergeCell ref="A333:B333"/>
    <mergeCell ref="A334:B334"/>
    <mergeCell ref="A379:B379"/>
    <mergeCell ref="A380:B380"/>
    <mergeCell ref="A381:B381"/>
    <mergeCell ref="A383:B383"/>
    <mergeCell ref="A384:B384"/>
    <mergeCell ref="A374:B374"/>
    <mergeCell ref="A375:B375"/>
    <mergeCell ref="A377:B377"/>
    <mergeCell ref="A370:B370"/>
    <mergeCell ref="A371:B371"/>
    <mergeCell ref="A373:B373"/>
    <mergeCell ref="A378:B378"/>
    <mergeCell ref="A376:B376"/>
    <mergeCell ref="A335:B335"/>
    <mergeCell ref="A337:B337"/>
    <mergeCell ref="A339:G339"/>
    <mergeCell ref="A341:G341"/>
    <mergeCell ref="A298:B298"/>
    <mergeCell ref="A299:B299"/>
    <mergeCell ref="A305:B305"/>
    <mergeCell ref="A309:B309"/>
    <mergeCell ref="A310:B310"/>
    <mergeCell ref="A311:B311"/>
    <mergeCell ref="A312:B312"/>
    <mergeCell ref="A313:B313"/>
    <mergeCell ref="A314:B314"/>
    <mergeCell ref="A308:B308"/>
    <mergeCell ref="A315:B315"/>
    <mergeCell ref="A316:B316"/>
    <mergeCell ref="A317:B317"/>
    <mergeCell ref="A318:B318"/>
    <mergeCell ref="A322:B322"/>
    <mergeCell ref="A326:B326"/>
    <mergeCell ref="A327:B327"/>
    <mergeCell ref="A328:B328"/>
    <mergeCell ref="A329:B329"/>
    <mergeCell ref="A324:B324"/>
    <mergeCell ref="A325:B325"/>
    <mergeCell ref="A290:B290"/>
    <mergeCell ref="A295:B295"/>
    <mergeCell ref="A296:B296"/>
    <mergeCell ref="A244:B244"/>
    <mergeCell ref="D255:H255"/>
    <mergeCell ref="B269:H269"/>
    <mergeCell ref="A235:B235"/>
    <mergeCell ref="A238:B238"/>
    <mergeCell ref="A240:B240"/>
    <mergeCell ref="A241:B241"/>
    <mergeCell ref="A232:B232"/>
    <mergeCell ref="A233:B233"/>
    <mergeCell ref="A220:B220"/>
    <mergeCell ref="A224:B224"/>
    <mergeCell ref="A225:B225"/>
    <mergeCell ref="A226:B226"/>
    <mergeCell ref="A227:B227"/>
    <mergeCell ref="A222:B222"/>
    <mergeCell ref="A223:B223"/>
    <mergeCell ref="A207:B207"/>
    <mergeCell ref="A208:B208"/>
    <mergeCell ref="A209:B209"/>
    <mergeCell ref="A210:B210"/>
    <mergeCell ref="A211:B211"/>
    <mergeCell ref="A205:B205"/>
    <mergeCell ref="A206:B206"/>
    <mergeCell ref="A212:B212"/>
    <mergeCell ref="A213:B213"/>
    <mergeCell ref="A190:B190"/>
    <mergeCell ref="A162:B162"/>
    <mergeCell ref="A165:B165"/>
    <mergeCell ref="A164:B164"/>
    <mergeCell ref="A307:B307"/>
    <mergeCell ref="A169:B169"/>
    <mergeCell ref="A170:B170"/>
    <mergeCell ref="A171:B171"/>
    <mergeCell ref="A172:B172"/>
    <mergeCell ref="A173:B173"/>
    <mergeCell ref="A174:B174"/>
    <mergeCell ref="A175:B175"/>
    <mergeCell ref="A179:B179"/>
    <mergeCell ref="A183:B183"/>
    <mergeCell ref="A191:B191"/>
    <mergeCell ref="A192:B192"/>
    <mergeCell ref="A194:B194"/>
    <mergeCell ref="A197:B197"/>
    <mergeCell ref="A199:B199"/>
    <mergeCell ref="A200:B200"/>
    <mergeCell ref="A203:B203"/>
    <mergeCell ref="A184:B184"/>
    <mergeCell ref="A185:B185"/>
    <mergeCell ref="A186:B186"/>
    <mergeCell ref="A167:B167"/>
    <mergeCell ref="A168:B168"/>
    <mergeCell ref="A181:B181"/>
    <mergeCell ref="A182:B182"/>
    <mergeCell ref="A188:B188"/>
    <mergeCell ref="A189:B189"/>
    <mergeCell ref="A187:B187"/>
    <mergeCell ref="A178:I178"/>
    <mergeCell ref="A161:J161"/>
    <mergeCell ref="A176:B176"/>
    <mergeCell ref="A143:B143"/>
    <mergeCell ref="A148:B148"/>
    <mergeCell ref="A149:B149"/>
    <mergeCell ref="A150:B150"/>
    <mergeCell ref="A151:B151"/>
    <mergeCell ref="A152:B152"/>
    <mergeCell ref="A153:B153"/>
    <mergeCell ref="A166:B166"/>
    <mergeCell ref="A157:D157"/>
    <mergeCell ref="A156:D156"/>
    <mergeCell ref="A158:D158"/>
    <mergeCell ref="A159:D159"/>
    <mergeCell ref="A154:B154"/>
    <mergeCell ref="A155:B155"/>
    <mergeCell ref="A68:I68"/>
    <mergeCell ref="D109:H109"/>
    <mergeCell ref="A120:E120"/>
    <mergeCell ref="A121:D121"/>
    <mergeCell ref="A122:D122"/>
    <mergeCell ref="A123:D123"/>
    <mergeCell ref="A124:D124"/>
    <mergeCell ref="A125:D125"/>
    <mergeCell ref="A126:D126"/>
    <mergeCell ref="D114:H114"/>
    <mergeCell ref="A2:I2"/>
    <mergeCell ref="A29:B29"/>
    <mergeCell ref="A49:B49"/>
    <mergeCell ref="A4:I4"/>
    <mergeCell ref="A5:B5"/>
    <mergeCell ref="A7:B7"/>
    <mergeCell ref="A25:B25"/>
    <mergeCell ref="A27:B27"/>
    <mergeCell ref="A67:B67"/>
    <mergeCell ref="A24:J24"/>
    <mergeCell ref="A46:J46"/>
    <mergeCell ref="A3:B3"/>
    <mergeCell ref="A66:I66"/>
    <mergeCell ref="A385:B385"/>
    <mergeCell ref="A193:B193"/>
    <mergeCell ref="A217:B217"/>
    <mergeCell ref="A234:B234"/>
    <mergeCell ref="A304:G304"/>
    <mergeCell ref="A319:B319"/>
    <mergeCell ref="A321:F321"/>
    <mergeCell ref="A336:B336"/>
    <mergeCell ref="D108:H108"/>
    <mergeCell ref="A137:F137"/>
    <mergeCell ref="A138:B138"/>
    <mergeCell ref="A139:F139"/>
    <mergeCell ref="A146:B146"/>
    <mergeCell ref="A147:B147"/>
    <mergeCell ref="A144:B144"/>
    <mergeCell ref="A145:B145"/>
    <mergeCell ref="A306:G306"/>
    <mergeCell ref="A323:F323"/>
    <mergeCell ref="A202:J202"/>
    <mergeCell ref="A204:J204"/>
    <mergeCell ref="A140:B140"/>
    <mergeCell ref="A141:B141"/>
    <mergeCell ref="A127:D127"/>
    <mergeCell ref="A142:B142"/>
  </mergeCells>
  <pageMargins left="0.7" right="0.7" top="0.75" bottom="0.75" header="0.3" footer="0.3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B13" sqref="B13"/>
    </sheetView>
  </sheetViews>
  <sheetFormatPr defaultRowHeight="12.75" x14ac:dyDescent="0.2"/>
  <cols>
    <col min="1" max="1" width="20.42578125" customWidth="1"/>
    <col min="2" max="2" width="11.5703125" customWidth="1"/>
    <col min="3" max="3" width="13.85546875" customWidth="1"/>
  </cols>
  <sheetData>
    <row r="1" spans="1:10" x14ac:dyDescent="0.2">
      <c r="A1" s="598" t="s">
        <v>203</v>
      </c>
      <c r="B1" s="598"/>
      <c r="C1" s="598"/>
    </row>
    <row r="2" spans="1:10" x14ac:dyDescent="0.2">
      <c r="A2" s="598" t="s">
        <v>204</v>
      </c>
      <c r="B2" s="598"/>
      <c r="C2" s="598"/>
    </row>
    <row r="4" spans="1:10" x14ac:dyDescent="0.2">
      <c r="A4" s="258"/>
      <c r="B4" s="599"/>
      <c r="C4" s="599"/>
    </row>
    <row r="5" spans="1:10" x14ac:dyDescent="0.2">
      <c r="A5" s="267" t="s">
        <v>82</v>
      </c>
      <c r="B5" s="257" t="s">
        <v>134</v>
      </c>
      <c r="C5" s="257" t="s">
        <v>105</v>
      </c>
    </row>
    <row r="6" spans="1:10" x14ac:dyDescent="0.2">
      <c r="A6" s="176">
        <v>2002</v>
      </c>
      <c r="B6" s="260">
        <v>29356.799999999999</v>
      </c>
      <c r="C6" s="269">
        <v>15328897</v>
      </c>
    </row>
    <row r="7" spans="1:10" x14ac:dyDescent="0.2">
      <c r="A7" s="172">
        <v>2003</v>
      </c>
      <c r="B7" s="261">
        <v>43881.599999999999</v>
      </c>
      <c r="C7" s="270">
        <v>20418900.809999999</v>
      </c>
    </row>
    <row r="8" spans="1:10" x14ac:dyDescent="0.2">
      <c r="A8" s="172">
        <v>2004</v>
      </c>
      <c r="B8" s="261">
        <v>40502.400000000001</v>
      </c>
      <c r="C8" s="270">
        <v>19486435.960000001</v>
      </c>
    </row>
    <row r="9" spans="1:10" x14ac:dyDescent="0.2">
      <c r="A9" s="172">
        <v>2005</v>
      </c>
      <c r="B9" s="261">
        <v>43934.369999999995</v>
      </c>
      <c r="C9" s="270">
        <v>16865800.48</v>
      </c>
    </row>
    <row r="10" spans="1:10" x14ac:dyDescent="0.2">
      <c r="A10" s="172">
        <v>2006</v>
      </c>
      <c r="B10" s="261">
        <v>45564.29</v>
      </c>
      <c r="C10" s="270">
        <v>21112323.120000001</v>
      </c>
      <c r="E10" s="505" t="s">
        <v>230</v>
      </c>
      <c r="F10" s="505"/>
      <c r="G10" s="505"/>
      <c r="H10" s="505"/>
      <c r="I10" s="505"/>
    </row>
    <row r="11" spans="1:10" x14ac:dyDescent="0.2">
      <c r="A11" s="172">
        <v>2007</v>
      </c>
      <c r="B11" s="261">
        <v>49751.514999999999</v>
      </c>
      <c r="C11" s="270">
        <v>22263925.140000001</v>
      </c>
      <c r="E11">
        <f>C11/B11</f>
        <v>447.50245575436247</v>
      </c>
      <c r="F11">
        <v>4088.56</v>
      </c>
      <c r="G11">
        <f>E11*F11</f>
        <v>1829640.6404990563</v>
      </c>
      <c r="H11">
        <v>12</v>
      </c>
      <c r="I11">
        <f>G11*H11</f>
        <v>21955687.685988676</v>
      </c>
      <c r="J11" s="163"/>
    </row>
    <row r="12" spans="1:10" x14ac:dyDescent="0.2">
      <c r="A12" s="172">
        <v>2008</v>
      </c>
      <c r="B12" s="261">
        <v>48352.995000000003</v>
      </c>
      <c r="C12" s="270">
        <v>22427621.300000001</v>
      </c>
      <c r="I12">
        <f>+I11/E11</f>
        <v>49062.720000000001</v>
      </c>
    </row>
    <row r="13" spans="1:10" x14ac:dyDescent="0.2">
      <c r="A13" s="172">
        <v>2009</v>
      </c>
      <c r="B13" s="261">
        <v>49918.169999999991</v>
      </c>
      <c r="C13" s="270">
        <v>22622441.550000001</v>
      </c>
    </row>
    <row r="14" spans="1:10" x14ac:dyDescent="0.2">
      <c r="A14" s="172">
        <v>2010</v>
      </c>
      <c r="B14" s="261">
        <v>53143.520000000004</v>
      </c>
      <c r="C14" s="270">
        <v>24190281.48</v>
      </c>
    </row>
    <row r="15" spans="1:10" x14ac:dyDescent="0.2">
      <c r="A15" s="172">
        <v>2011</v>
      </c>
      <c r="B15" s="261">
        <v>49138.899999999994</v>
      </c>
      <c r="C15" s="270">
        <v>21309995.489999998</v>
      </c>
    </row>
    <row r="16" spans="1:10" x14ac:dyDescent="0.2">
      <c r="A16" s="172">
        <v>2012</v>
      </c>
      <c r="B16" s="262">
        <v>37866.879999999997</v>
      </c>
      <c r="C16" s="271">
        <v>17590423.550000001</v>
      </c>
    </row>
    <row r="17" spans="1:3" x14ac:dyDescent="0.2">
      <c r="A17" s="172"/>
      <c r="B17" s="259"/>
      <c r="C17" s="259"/>
    </row>
    <row r="18" spans="1:3" x14ac:dyDescent="0.2">
      <c r="A18" s="263" t="s">
        <v>10</v>
      </c>
      <c r="B18" s="264">
        <f>SUM(B6:B17)</f>
        <v>491411.43999999994</v>
      </c>
      <c r="C18" s="272">
        <f>SUM(C6:C17)</f>
        <v>223617045.88000003</v>
      </c>
    </row>
    <row r="19" spans="1:3" x14ac:dyDescent="0.2">
      <c r="A19" s="172"/>
      <c r="B19" s="259"/>
      <c r="C19" s="259"/>
    </row>
    <row r="20" spans="1:3" x14ac:dyDescent="0.2">
      <c r="A20" s="268" t="s">
        <v>205</v>
      </c>
      <c r="B20" s="261">
        <f>AVERAGE(B6:B$16)</f>
        <v>44673.767272727266</v>
      </c>
      <c r="C20" s="270">
        <f>AVERAGE(C6:C$16)</f>
        <v>20328822.352727275</v>
      </c>
    </row>
    <row r="21" spans="1:3" x14ac:dyDescent="0.2">
      <c r="A21" s="265"/>
      <c r="B21" s="266"/>
      <c r="C21" s="266"/>
    </row>
  </sheetData>
  <mergeCells count="4">
    <mergeCell ref="A1:C1"/>
    <mergeCell ref="A2:C2"/>
    <mergeCell ref="B4:C4"/>
    <mergeCell ref="E10:I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312"/>
  <sheetViews>
    <sheetView topLeftCell="A240" zoomScaleNormal="100" zoomScalePageLayoutView="55" workbookViewId="0">
      <selection activeCell="G275" sqref="G275"/>
    </sheetView>
  </sheetViews>
  <sheetFormatPr defaultRowHeight="12.75" x14ac:dyDescent="0.2"/>
  <cols>
    <col min="1" max="1" width="11.7109375" bestFit="1" customWidth="1"/>
    <col min="2" max="2" width="13.7109375" customWidth="1"/>
    <col min="3" max="3" width="13.7109375" bestFit="1" customWidth="1"/>
    <col min="4" max="4" width="12.5703125" bestFit="1" customWidth="1"/>
    <col min="5" max="5" width="15" style="26" bestFit="1" customWidth="1"/>
    <col min="6" max="6" width="12.5703125" style="1" bestFit="1" customWidth="1"/>
    <col min="7" max="7" width="14.5703125" style="1" bestFit="1" customWidth="1"/>
    <col min="8" max="8" width="12.5703125" style="34" bestFit="1" customWidth="1"/>
    <col min="9" max="9" width="12.5703125" style="1" bestFit="1" customWidth="1"/>
    <col min="10" max="10" width="9.140625" style="1" customWidth="1"/>
    <col min="11" max="11" width="13.85546875" style="22" bestFit="1" customWidth="1"/>
    <col min="12" max="12" width="12.5703125" style="1" customWidth="1"/>
    <col min="13" max="13" width="12.42578125" style="256" customWidth="1"/>
    <col min="14" max="14" width="14.7109375" style="256" customWidth="1"/>
    <col min="15" max="15" width="13.85546875" style="1" bestFit="1" customWidth="1"/>
    <col min="16" max="16" width="17" style="1" customWidth="1"/>
    <col min="17" max="17" width="12.42578125" style="1" customWidth="1"/>
    <col min="18" max="18" width="25.85546875" bestFit="1" customWidth="1"/>
    <col min="19" max="21" width="18" customWidth="1"/>
    <col min="22" max="22" width="17.140625" customWidth="1"/>
    <col min="23" max="23" width="17" customWidth="1"/>
    <col min="24" max="24" width="15.7109375" customWidth="1"/>
    <col min="25" max="25" width="5.7109375" customWidth="1"/>
    <col min="26" max="26" width="20" customWidth="1"/>
    <col min="27" max="27" width="19.28515625" bestFit="1" customWidth="1"/>
    <col min="28" max="28" width="19.140625" bestFit="1" customWidth="1"/>
    <col min="29" max="29" width="26.140625" bestFit="1" customWidth="1"/>
    <col min="30" max="30" width="23" bestFit="1" customWidth="1"/>
    <col min="31" max="31" width="14.7109375" bestFit="1" customWidth="1"/>
    <col min="32" max="32" width="20.140625" bestFit="1" customWidth="1"/>
    <col min="33" max="33" width="12.140625" bestFit="1" customWidth="1"/>
    <col min="34" max="34" width="21" bestFit="1" customWidth="1"/>
    <col min="35" max="35" width="13.140625" bestFit="1" customWidth="1"/>
  </cols>
  <sheetData>
    <row r="1" spans="1:15" x14ac:dyDescent="0.2">
      <c r="K1" s="32"/>
      <c r="L1"/>
      <c r="M1"/>
      <c r="N1"/>
    </row>
    <row r="2" spans="1:15" ht="51" x14ac:dyDescent="0.2">
      <c r="B2" s="213" t="s">
        <v>199</v>
      </c>
      <c r="C2" s="213" t="s">
        <v>198</v>
      </c>
      <c r="D2" s="254" t="s">
        <v>200</v>
      </c>
      <c r="E2" s="213" t="s">
        <v>0</v>
      </c>
      <c r="F2" s="214" t="s">
        <v>3</v>
      </c>
      <c r="G2" s="214" t="s">
        <v>4</v>
      </c>
      <c r="H2" s="215" t="s">
        <v>6</v>
      </c>
      <c r="I2" s="216" t="s">
        <v>5</v>
      </c>
      <c r="J2" s="216" t="s">
        <v>17</v>
      </c>
      <c r="K2" s="214" t="s">
        <v>290</v>
      </c>
      <c r="L2" s="216" t="s">
        <v>53</v>
      </c>
      <c r="M2" s="216" t="s">
        <v>201</v>
      </c>
      <c r="N2" s="216" t="s">
        <v>202</v>
      </c>
      <c r="O2" s="216" t="s">
        <v>11</v>
      </c>
    </row>
    <row r="3" spans="1:15" x14ac:dyDescent="0.2">
      <c r="A3" s="2">
        <v>35431</v>
      </c>
      <c r="B3" s="15">
        <v>178379084</v>
      </c>
      <c r="C3" s="15"/>
      <c r="D3" s="2"/>
      <c r="E3" s="15">
        <f t="shared" ref="E3:E34" si="0">SUM(B3:D3)</f>
        <v>178379084</v>
      </c>
      <c r="F3" s="211">
        <v>777.9</v>
      </c>
      <c r="G3" s="211">
        <v>0</v>
      </c>
      <c r="H3" s="33">
        <v>94.715305091666934</v>
      </c>
      <c r="I3" s="7">
        <v>31</v>
      </c>
      <c r="J3" s="7">
        <v>0</v>
      </c>
      <c r="K3" s="15">
        <v>0</v>
      </c>
      <c r="L3" s="210">
        <v>352</v>
      </c>
      <c r="M3" s="210">
        <v>475</v>
      </c>
      <c r="N3" s="210">
        <v>39.069264069264023</v>
      </c>
      <c r="O3" s="7">
        <f t="shared" ref="O3:O66" si="1">$B$261+F3*$B$262+G3*$B$263+H3*$B$264+I3*$B$265+J3*$B$266+K3*$B$267+L3*$B$268+M3*$B$269+N3*$B$270</f>
        <v>170372285.09527564</v>
      </c>
    </row>
    <row r="4" spans="1:15" x14ac:dyDescent="0.2">
      <c r="A4" s="2">
        <v>35462</v>
      </c>
      <c r="B4" s="15">
        <v>154547898</v>
      </c>
      <c r="C4" s="15"/>
      <c r="D4" s="2"/>
      <c r="E4" s="15">
        <f t="shared" si="0"/>
        <v>154547898</v>
      </c>
      <c r="F4" s="211">
        <v>615</v>
      </c>
      <c r="G4" s="211">
        <v>0</v>
      </c>
      <c r="H4" s="33">
        <v>94.800748405985075</v>
      </c>
      <c r="I4" s="7">
        <v>29</v>
      </c>
      <c r="J4" s="7">
        <v>0</v>
      </c>
      <c r="K4" s="15">
        <v>0</v>
      </c>
      <c r="L4" s="210">
        <v>320</v>
      </c>
      <c r="M4" s="210">
        <v>477.9</v>
      </c>
      <c r="N4" s="210">
        <v>39.307792207792204</v>
      </c>
      <c r="O4" s="7">
        <f t="shared" si="1"/>
        <v>154108997.55603078</v>
      </c>
    </row>
    <row r="5" spans="1:15" x14ac:dyDescent="0.2">
      <c r="A5" s="2">
        <v>35490</v>
      </c>
      <c r="B5" s="15">
        <v>161647356</v>
      </c>
      <c r="C5" s="15"/>
      <c r="D5" s="2"/>
      <c r="E5" s="15">
        <f t="shared" si="0"/>
        <v>161647356</v>
      </c>
      <c r="F5" s="211">
        <v>619.1</v>
      </c>
      <c r="G5" s="211">
        <v>0</v>
      </c>
      <c r="H5" s="33">
        <v>94.886268799292239</v>
      </c>
      <c r="I5" s="7">
        <v>31</v>
      </c>
      <c r="J5" s="7">
        <v>1</v>
      </c>
      <c r="K5" s="15">
        <v>0</v>
      </c>
      <c r="L5" s="210">
        <v>304</v>
      </c>
      <c r="M5" s="210">
        <v>477.4</v>
      </c>
      <c r="N5" s="210">
        <v>39.266666666666652</v>
      </c>
      <c r="O5" s="7">
        <f t="shared" si="1"/>
        <v>155657710.43287793</v>
      </c>
    </row>
    <row r="6" spans="1:15" x14ac:dyDescent="0.2">
      <c r="A6" s="2">
        <v>35521</v>
      </c>
      <c r="B6" s="15">
        <v>145784872</v>
      </c>
      <c r="C6" s="15"/>
      <c r="D6" s="2"/>
      <c r="E6" s="15">
        <f t="shared" si="0"/>
        <v>145784872</v>
      </c>
      <c r="F6" s="211">
        <v>391.9</v>
      </c>
      <c r="G6" s="211">
        <v>0</v>
      </c>
      <c r="H6" s="33">
        <v>94.971866341121896</v>
      </c>
      <c r="I6" s="7">
        <v>30</v>
      </c>
      <c r="J6" s="7">
        <v>1</v>
      </c>
      <c r="K6" s="15">
        <v>0</v>
      </c>
      <c r="L6" s="210">
        <v>352</v>
      </c>
      <c r="M6" s="210">
        <v>480.4</v>
      </c>
      <c r="N6" s="210">
        <v>39.513419913419852</v>
      </c>
      <c r="O6" s="7">
        <f t="shared" si="1"/>
        <v>146438289.47203517</v>
      </c>
    </row>
    <row r="7" spans="1:15" x14ac:dyDescent="0.2">
      <c r="A7" s="2">
        <v>35551</v>
      </c>
      <c r="B7" s="15">
        <v>141630070</v>
      </c>
      <c r="C7" s="15"/>
      <c r="D7" s="2"/>
      <c r="E7" s="15">
        <f t="shared" si="0"/>
        <v>141630070</v>
      </c>
      <c r="F7" s="211">
        <v>289</v>
      </c>
      <c r="G7" s="211">
        <v>0</v>
      </c>
      <c r="H7" s="33">
        <v>95.057541101070257</v>
      </c>
      <c r="I7" s="7">
        <v>31</v>
      </c>
      <c r="J7" s="7">
        <v>1</v>
      </c>
      <c r="K7" s="15">
        <v>0</v>
      </c>
      <c r="L7" s="210">
        <v>336</v>
      </c>
      <c r="M7" s="210">
        <v>483.9</v>
      </c>
      <c r="N7" s="210">
        <v>39.80129870129872</v>
      </c>
      <c r="O7" s="7">
        <f t="shared" si="1"/>
        <v>144749947.23837548</v>
      </c>
    </row>
    <row r="8" spans="1:15" x14ac:dyDescent="0.2">
      <c r="A8" s="2">
        <v>35582</v>
      </c>
      <c r="B8" s="15">
        <v>147352701</v>
      </c>
      <c r="C8" s="15"/>
      <c r="D8" s="2"/>
      <c r="E8" s="15">
        <f t="shared" si="0"/>
        <v>147352701</v>
      </c>
      <c r="F8" s="211">
        <v>30.4</v>
      </c>
      <c r="G8" s="211">
        <v>50.4</v>
      </c>
      <c r="H8" s="33">
        <v>95.143293148796303</v>
      </c>
      <c r="I8" s="7">
        <v>30</v>
      </c>
      <c r="J8" s="7">
        <v>0</v>
      </c>
      <c r="K8" s="15">
        <v>0</v>
      </c>
      <c r="L8" s="210">
        <v>336</v>
      </c>
      <c r="M8" s="210">
        <v>492.2</v>
      </c>
      <c r="N8" s="210">
        <v>40.483982683982674</v>
      </c>
      <c r="O8" s="7">
        <f t="shared" si="1"/>
        <v>150419895.78579521</v>
      </c>
    </row>
    <row r="9" spans="1:15" x14ac:dyDescent="0.2">
      <c r="A9" s="2">
        <v>35612</v>
      </c>
      <c r="B9" s="15">
        <v>152141811</v>
      </c>
      <c r="C9" s="15"/>
      <c r="D9" s="2"/>
      <c r="E9" s="15">
        <f t="shared" si="0"/>
        <v>152141811</v>
      </c>
      <c r="F9" s="211">
        <v>22.1</v>
      </c>
      <c r="G9" s="211">
        <v>59.8</v>
      </c>
      <c r="H9" s="33">
        <v>95.22912255402187</v>
      </c>
      <c r="I9" s="7">
        <v>31</v>
      </c>
      <c r="J9" s="7">
        <v>0</v>
      </c>
      <c r="K9" s="15">
        <v>0</v>
      </c>
      <c r="L9" s="210">
        <v>352</v>
      </c>
      <c r="M9" s="210">
        <v>497.1</v>
      </c>
      <c r="N9" s="210">
        <v>40.887012987013009</v>
      </c>
      <c r="O9" s="7">
        <f t="shared" si="1"/>
        <v>158012508.45176095</v>
      </c>
    </row>
    <row r="10" spans="1:15" x14ac:dyDescent="0.2">
      <c r="A10" s="2">
        <v>35643</v>
      </c>
      <c r="B10" s="15">
        <v>145107825</v>
      </c>
      <c r="C10" s="15"/>
      <c r="D10" s="2"/>
      <c r="E10" s="15">
        <f t="shared" si="0"/>
        <v>145107825</v>
      </c>
      <c r="F10" s="211">
        <v>49.4</v>
      </c>
      <c r="G10" s="211">
        <v>21.9</v>
      </c>
      <c r="H10" s="33">
        <v>95.315029386531663</v>
      </c>
      <c r="I10" s="7">
        <v>31</v>
      </c>
      <c r="J10" s="7">
        <v>0</v>
      </c>
      <c r="K10" s="15">
        <v>0</v>
      </c>
      <c r="L10" s="210">
        <v>320</v>
      </c>
      <c r="M10" s="210">
        <v>500.9</v>
      </c>
      <c r="N10" s="210">
        <v>41.199567099567048</v>
      </c>
      <c r="O10" s="7">
        <f t="shared" si="1"/>
        <v>145710837.81030899</v>
      </c>
    </row>
    <row r="11" spans="1:15" x14ac:dyDescent="0.2">
      <c r="A11" s="2">
        <v>35674</v>
      </c>
      <c r="B11" s="15">
        <v>139600641</v>
      </c>
      <c r="C11" s="15"/>
      <c r="D11" s="2"/>
      <c r="E11" s="15">
        <f t="shared" si="0"/>
        <v>139600641</v>
      </c>
      <c r="F11" s="211">
        <v>115.2</v>
      </c>
      <c r="G11" s="211">
        <v>5.4</v>
      </c>
      <c r="H11" s="33">
        <v>95.401013716173367</v>
      </c>
      <c r="I11" s="7">
        <v>30</v>
      </c>
      <c r="J11" s="7">
        <v>1</v>
      </c>
      <c r="K11" s="15">
        <v>0</v>
      </c>
      <c r="L11" s="210">
        <v>336</v>
      </c>
      <c r="M11" s="210">
        <v>502.3</v>
      </c>
      <c r="N11" s="210">
        <v>41.314718614718629</v>
      </c>
      <c r="O11" s="7">
        <f t="shared" si="1"/>
        <v>136706142.64723015</v>
      </c>
    </row>
    <row r="12" spans="1:15" x14ac:dyDescent="0.2">
      <c r="A12" s="2">
        <v>35704</v>
      </c>
      <c r="B12" s="15">
        <v>148289546</v>
      </c>
      <c r="C12" s="15"/>
      <c r="D12" s="2"/>
      <c r="E12" s="15">
        <f t="shared" si="0"/>
        <v>148289546</v>
      </c>
      <c r="F12" s="211">
        <v>288.89999999999998</v>
      </c>
      <c r="G12" s="211">
        <v>1.6</v>
      </c>
      <c r="H12" s="33">
        <v>95.487075612857652</v>
      </c>
      <c r="I12" s="7">
        <v>31</v>
      </c>
      <c r="J12" s="7">
        <v>1</v>
      </c>
      <c r="K12" s="15">
        <v>0</v>
      </c>
      <c r="L12" s="210">
        <v>352</v>
      </c>
      <c r="M12" s="210">
        <v>506.9</v>
      </c>
      <c r="N12" s="210">
        <v>41.693073593073564</v>
      </c>
      <c r="O12" s="7">
        <f t="shared" si="1"/>
        <v>147968699.11620501</v>
      </c>
    </row>
    <row r="13" spans="1:15" x14ac:dyDescent="0.2">
      <c r="A13" s="2">
        <v>35735</v>
      </c>
      <c r="B13" s="15">
        <v>155059094</v>
      </c>
      <c r="C13" s="15"/>
      <c r="D13" s="2"/>
      <c r="E13" s="15">
        <f t="shared" si="0"/>
        <v>155059094</v>
      </c>
      <c r="F13" s="211">
        <v>471.4</v>
      </c>
      <c r="G13" s="211">
        <v>0</v>
      </c>
      <c r="H13" s="33">
        <v>95.573215146558283</v>
      </c>
      <c r="I13" s="7">
        <v>30</v>
      </c>
      <c r="J13" s="7">
        <v>1</v>
      </c>
      <c r="K13" s="15">
        <v>0</v>
      </c>
      <c r="L13" s="210">
        <v>304</v>
      </c>
      <c r="M13" s="210">
        <v>508.4</v>
      </c>
      <c r="N13" s="210">
        <v>41.816450216450221</v>
      </c>
      <c r="O13" s="7">
        <f t="shared" si="1"/>
        <v>147954201.60918471</v>
      </c>
    </row>
    <row r="14" spans="1:15" x14ac:dyDescent="0.2">
      <c r="A14" s="2">
        <v>35765</v>
      </c>
      <c r="B14" s="15">
        <v>165554412</v>
      </c>
      <c r="C14" s="15"/>
      <c r="D14" s="2"/>
      <c r="E14" s="15">
        <f t="shared" si="0"/>
        <v>165554412</v>
      </c>
      <c r="F14" s="211">
        <v>630.70000000000005</v>
      </c>
      <c r="G14" s="211">
        <v>0</v>
      </c>
      <c r="H14" s="33">
        <v>95.659432387312208</v>
      </c>
      <c r="I14" s="7">
        <v>31</v>
      </c>
      <c r="J14" s="7">
        <v>0</v>
      </c>
      <c r="K14" s="15">
        <v>0</v>
      </c>
      <c r="L14" s="210">
        <v>336</v>
      </c>
      <c r="M14" s="210">
        <v>507.5</v>
      </c>
      <c r="N14" s="210">
        <v>41.742424242424249</v>
      </c>
      <c r="O14" s="7">
        <f t="shared" si="1"/>
        <v>165202989.90624389</v>
      </c>
    </row>
    <row r="15" spans="1:15" x14ac:dyDescent="0.2">
      <c r="A15" s="2">
        <v>35796</v>
      </c>
      <c r="B15" s="15">
        <v>169014862</v>
      </c>
      <c r="C15" s="15"/>
      <c r="D15" s="2"/>
      <c r="E15" s="15">
        <f t="shared" si="0"/>
        <v>169014862</v>
      </c>
      <c r="F15" s="211">
        <v>652.79999999999995</v>
      </c>
      <c r="G15" s="211">
        <v>0</v>
      </c>
      <c r="H15" s="33">
        <v>96.013834907485574</v>
      </c>
      <c r="I15" s="7">
        <v>31</v>
      </c>
      <c r="J15" s="7">
        <v>0</v>
      </c>
      <c r="K15" s="15">
        <v>0</v>
      </c>
      <c r="L15" s="210">
        <v>336.28800000000001</v>
      </c>
      <c r="M15" s="210">
        <v>501.4</v>
      </c>
      <c r="N15" s="210">
        <v>34.856684491978626</v>
      </c>
      <c r="O15" s="7">
        <f t="shared" si="1"/>
        <v>166734898.35565493</v>
      </c>
    </row>
    <row r="16" spans="1:15" x14ac:dyDescent="0.2">
      <c r="A16" s="2">
        <v>35827</v>
      </c>
      <c r="B16" s="15">
        <v>149446860</v>
      </c>
      <c r="C16" s="15"/>
      <c r="D16" s="2"/>
      <c r="E16" s="15">
        <f t="shared" si="0"/>
        <v>149446860</v>
      </c>
      <c r="F16" s="211">
        <v>547.1</v>
      </c>
      <c r="G16" s="211">
        <v>0</v>
      </c>
      <c r="H16" s="33">
        <v>96.369550430916135</v>
      </c>
      <c r="I16" s="7">
        <v>28</v>
      </c>
      <c r="J16" s="7">
        <v>0</v>
      </c>
      <c r="K16" s="15">
        <v>0</v>
      </c>
      <c r="L16" s="210">
        <v>319.87200000000001</v>
      </c>
      <c r="M16" s="210">
        <v>498.5</v>
      </c>
      <c r="N16" s="210">
        <v>34.655080213903716</v>
      </c>
      <c r="O16" s="7">
        <f t="shared" si="1"/>
        <v>150124955.77265158</v>
      </c>
    </row>
    <row r="17" spans="1:15" x14ac:dyDescent="0.2">
      <c r="A17" s="2">
        <v>35855</v>
      </c>
      <c r="B17" s="15">
        <v>161538633</v>
      </c>
      <c r="C17" s="15"/>
      <c r="D17" s="2"/>
      <c r="E17" s="15">
        <f t="shared" si="0"/>
        <v>161538633</v>
      </c>
      <c r="F17" s="211">
        <v>505.1</v>
      </c>
      <c r="G17" s="211">
        <v>0</v>
      </c>
      <c r="H17" s="33">
        <v>96.726583822065777</v>
      </c>
      <c r="I17" s="7">
        <v>31</v>
      </c>
      <c r="J17" s="7">
        <v>1</v>
      </c>
      <c r="K17" s="15">
        <v>0</v>
      </c>
      <c r="L17" s="210">
        <v>351.91199999999998</v>
      </c>
      <c r="M17" s="210">
        <v>495.8</v>
      </c>
      <c r="N17" s="210">
        <v>34.467379679144358</v>
      </c>
      <c r="O17" s="7">
        <f t="shared" si="1"/>
        <v>156925412.89971635</v>
      </c>
    </row>
    <row r="18" spans="1:15" x14ac:dyDescent="0.2">
      <c r="A18" s="2">
        <v>35886</v>
      </c>
      <c r="B18" s="15">
        <v>139888239</v>
      </c>
      <c r="C18" s="15"/>
      <c r="D18" s="2"/>
      <c r="E18" s="15">
        <f t="shared" si="0"/>
        <v>139888239</v>
      </c>
      <c r="F18" s="211">
        <v>312</v>
      </c>
      <c r="G18" s="211">
        <v>0</v>
      </c>
      <c r="H18" s="33">
        <v>97.084939963418421</v>
      </c>
      <c r="I18" s="7">
        <v>30</v>
      </c>
      <c r="J18" s="7">
        <v>1</v>
      </c>
      <c r="K18" s="15">
        <v>0</v>
      </c>
      <c r="L18" s="210">
        <v>336.24</v>
      </c>
      <c r="M18" s="210">
        <v>499.1</v>
      </c>
      <c r="N18" s="210">
        <v>34.696791443850202</v>
      </c>
      <c r="O18" s="7">
        <f t="shared" si="1"/>
        <v>144326699.09738436</v>
      </c>
    </row>
    <row r="19" spans="1:15" x14ac:dyDescent="0.2">
      <c r="A19" s="2">
        <v>35916</v>
      </c>
      <c r="B19" s="15">
        <v>146043180</v>
      </c>
      <c r="C19" s="15"/>
      <c r="D19" s="2"/>
      <c r="E19" s="15">
        <f t="shared" si="0"/>
        <v>146043180</v>
      </c>
      <c r="F19" s="211">
        <v>77.099999999999994</v>
      </c>
      <c r="G19" s="211">
        <v>16.8</v>
      </c>
      <c r="H19" s="33">
        <v>97.444623755546786</v>
      </c>
      <c r="I19" s="7">
        <v>31</v>
      </c>
      <c r="J19" s="7">
        <v>1</v>
      </c>
      <c r="K19" s="15">
        <v>0</v>
      </c>
      <c r="L19" s="210">
        <v>319.92</v>
      </c>
      <c r="M19" s="210">
        <v>502.9</v>
      </c>
      <c r="N19" s="210">
        <v>34.960962566844842</v>
      </c>
      <c r="O19" s="7">
        <f t="shared" si="1"/>
        <v>142153091.20552963</v>
      </c>
    </row>
    <row r="20" spans="1:15" x14ac:dyDescent="0.2">
      <c r="A20" s="2">
        <v>35947</v>
      </c>
      <c r="B20" s="15">
        <v>152205116</v>
      </c>
      <c r="C20" s="15"/>
      <c r="D20" s="2"/>
      <c r="E20" s="15">
        <f t="shared" si="0"/>
        <v>152205116</v>
      </c>
      <c r="F20" s="211">
        <v>66.7</v>
      </c>
      <c r="G20" s="211">
        <v>63.7</v>
      </c>
      <c r="H20" s="33">
        <v>97.805640117179436</v>
      </c>
      <c r="I20" s="7">
        <v>30</v>
      </c>
      <c r="J20" s="7">
        <v>0</v>
      </c>
      <c r="K20" s="15">
        <v>0</v>
      </c>
      <c r="L20" s="210">
        <v>352.08</v>
      </c>
      <c r="M20" s="210">
        <v>511.2</v>
      </c>
      <c r="N20" s="210">
        <v>35.537967914438525</v>
      </c>
      <c r="O20" s="7">
        <f t="shared" si="1"/>
        <v>159678278.97913694</v>
      </c>
    </row>
    <row r="21" spans="1:15" x14ac:dyDescent="0.2">
      <c r="A21" s="2">
        <v>35977</v>
      </c>
      <c r="B21" s="15">
        <v>153589755</v>
      </c>
      <c r="C21" s="15"/>
      <c r="D21" s="2"/>
      <c r="E21" s="15">
        <f t="shared" si="0"/>
        <v>153589755</v>
      </c>
      <c r="F21" s="211">
        <v>6.9</v>
      </c>
      <c r="G21" s="211">
        <v>64.8</v>
      </c>
      <c r="H21" s="33">
        <v>98.167993985267998</v>
      </c>
      <c r="I21" s="7">
        <v>31</v>
      </c>
      <c r="J21" s="7">
        <v>0</v>
      </c>
      <c r="K21" s="15">
        <v>0</v>
      </c>
      <c r="L21" s="210">
        <v>351.91199999999998</v>
      </c>
      <c r="M21" s="210">
        <v>518.1</v>
      </c>
      <c r="N21" s="210">
        <v>36.017647058823513</v>
      </c>
      <c r="O21" s="7">
        <f t="shared" si="1"/>
        <v>161601606.69697741</v>
      </c>
    </row>
    <row r="22" spans="1:15" x14ac:dyDescent="0.2">
      <c r="A22" s="2">
        <v>36008</v>
      </c>
      <c r="B22" s="15">
        <v>160175410</v>
      </c>
      <c r="C22" s="15"/>
      <c r="D22" s="2"/>
      <c r="E22" s="15">
        <f t="shared" si="0"/>
        <v>160175410</v>
      </c>
      <c r="F22" s="211">
        <v>12.1</v>
      </c>
      <c r="G22" s="211">
        <v>83.1</v>
      </c>
      <c r="H22" s="33">
        <v>98.531690315054689</v>
      </c>
      <c r="I22" s="7">
        <v>31</v>
      </c>
      <c r="J22" s="7">
        <v>0</v>
      </c>
      <c r="K22" s="15">
        <v>0</v>
      </c>
      <c r="L22" s="210">
        <v>319.92</v>
      </c>
      <c r="M22" s="210">
        <v>523.9</v>
      </c>
      <c r="N22" s="210">
        <v>36.42085561497322</v>
      </c>
      <c r="O22" s="7">
        <f t="shared" si="1"/>
        <v>165237084.65530786</v>
      </c>
    </row>
    <row r="23" spans="1:15" x14ac:dyDescent="0.2">
      <c r="A23" s="2">
        <v>36039</v>
      </c>
      <c r="B23" s="15">
        <v>145106275</v>
      </c>
      <c r="C23" s="15"/>
      <c r="D23" s="2"/>
      <c r="E23" s="15">
        <f t="shared" si="0"/>
        <v>145106275</v>
      </c>
      <c r="F23" s="211">
        <v>63</v>
      </c>
      <c r="G23" s="211">
        <v>26</v>
      </c>
      <c r="H23" s="33">
        <v>98.896734080140092</v>
      </c>
      <c r="I23" s="7">
        <v>30</v>
      </c>
      <c r="J23" s="7">
        <v>1</v>
      </c>
      <c r="K23" s="15">
        <v>0</v>
      </c>
      <c r="L23" s="210">
        <v>336.24</v>
      </c>
      <c r="M23" s="210">
        <v>522.5</v>
      </c>
      <c r="N23" s="210">
        <v>36.323529411764639</v>
      </c>
      <c r="O23" s="7">
        <f t="shared" si="1"/>
        <v>143450920.2158294</v>
      </c>
    </row>
    <row r="24" spans="1:15" x14ac:dyDescent="0.2">
      <c r="A24" s="2">
        <v>36069</v>
      </c>
      <c r="B24" s="15">
        <v>143393838</v>
      </c>
      <c r="C24" s="15"/>
      <c r="D24" s="2"/>
      <c r="E24" s="15">
        <f t="shared" si="0"/>
        <v>143393838</v>
      </c>
      <c r="F24" s="211">
        <v>257.60000000000002</v>
      </c>
      <c r="G24" s="211">
        <v>0</v>
      </c>
      <c r="H24" s="33">
        <v>99.26313027255118</v>
      </c>
      <c r="I24" s="7">
        <v>31</v>
      </c>
      <c r="J24" s="7">
        <v>1</v>
      </c>
      <c r="K24" s="15">
        <v>0</v>
      </c>
      <c r="L24" s="210">
        <v>336.28800000000001</v>
      </c>
      <c r="M24" s="210">
        <v>521.5</v>
      </c>
      <c r="N24" s="210">
        <v>36.254010695187162</v>
      </c>
      <c r="O24" s="7">
        <f t="shared" si="1"/>
        <v>147467133.38620052</v>
      </c>
    </row>
    <row r="25" spans="1:15" x14ac:dyDescent="0.2">
      <c r="A25" s="2">
        <v>36100</v>
      </c>
      <c r="B25" s="15">
        <v>152187498</v>
      </c>
      <c r="C25" s="15"/>
      <c r="D25" s="2"/>
      <c r="E25" s="15">
        <f t="shared" si="0"/>
        <v>152187498</v>
      </c>
      <c r="F25" s="211">
        <v>440.1</v>
      </c>
      <c r="G25" s="211">
        <v>0</v>
      </c>
      <c r="H25" s="33">
        <v>99.630883902809558</v>
      </c>
      <c r="I25" s="7">
        <v>30</v>
      </c>
      <c r="J25" s="7">
        <v>1</v>
      </c>
      <c r="K25" s="15">
        <v>0</v>
      </c>
      <c r="L25" s="210">
        <v>336.24</v>
      </c>
      <c r="M25" s="210">
        <v>522.20000000000005</v>
      </c>
      <c r="N25" s="210">
        <v>36.302673796791396</v>
      </c>
      <c r="O25" s="7">
        <f t="shared" si="1"/>
        <v>151593838.26159039</v>
      </c>
    </row>
    <row r="26" spans="1:15" x14ac:dyDescent="0.2">
      <c r="A26" s="2">
        <v>36130</v>
      </c>
      <c r="B26" s="15">
        <v>162755458</v>
      </c>
      <c r="C26" s="15"/>
      <c r="D26" s="2"/>
      <c r="E26" s="15">
        <f t="shared" si="0"/>
        <v>162755458</v>
      </c>
      <c r="F26" s="211">
        <v>572.1</v>
      </c>
      <c r="G26" s="211">
        <v>0</v>
      </c>
      <c r="H26" s="33">
        <v>100</v>
      </c>
      <c r="I26" s="7">
        <v>31</v>
      </c>
      <c r="J26" s="7">
        <v>0</v>
      </c>
      <c r="K26" s="15">
        <v>0</v>
      </c>
      <c r="L26" s="210">
        <v>336.28800000000001</v>
      </c>
      <c r="M26" s="210">
        <v>528.4</v>
      </c>
      <c r="N26" s="210">
        <v>36.733689839572207</v>
      </c>
      <c r="O26" s="7">
        <f t="shared" si="1"/>
        <v>165761968.86299294</v>
      </c>
    </row>
    <row r="27" spans="1:15" x14ac:dyDescent="0.2">
      <c r="A27" s="2">
        <v>36161</v>
      </c>
      <c r="B27" s="15">
        <v>176550323</v>
      </c>
      <c r="C27" s="15"/>
      <c r="D27" s="2"/>
      <c r="E27" s="15">
        <f t="shared" si="0"/>
        <v>176550323</v>
      </c>
      <c r="F27" s="211">
        <v>789.6</v>
      </c>
      <c r="G27" s="211">
        <v>0</v>
      </c>
      <c r="H27" s="34">
        <v>100.39254461560812</v>
      </c>
      <c r="I27" s="7">
        <v>31</v>
      </c>
      <c r="J27" s="7">
        <v>0</v>
      </c>
      <c r="K27" s="15">
        <v>0</v>
      </c>
      <c r="L27" s="210">
        <v>319.92</v>
      </c>
      <c r="M27" s="210">
        <v>528.4</v>
      </c>
      <c r="N27" s="210">
        <v>30.753439153439217</v>
      </c>
      <c r="O27" s="7">
        <f t="shared" si="1"/>
        <v>174519211.96811303</v>
      </c>
    </row>
    <row r="28" spans="1:15" x14ac:dyDescent="0.2">
      <c r="A28" s="2">
        <v>36192</v>
      </c>
      <c r="B28" s="15">
        <v>153314486</v>
      </c>
      <c r="C28" s="15"/>
      <c r="D28" s="2"/>
      <c r="E28" s="15">
        <f t="shared" si="0"/>
        <v>153314486</v>
      </c>
      <c r="F28" s="211">
        <v>578.4</v>
      </c>
      <c r="G28" s="211">
        <v>0</v>
      </c>
      <c r="H28" s="34">
        <v>100.78663014396867</v>
      </c>
      <c r="I28" s="7">
        <v>28</v>
      </c>
      <c r="J28" s="7">
        <v>0</v>
      </c>
      <c r="K28" s="15">
        <v>0</v>
      </c>
      <c r="L28" s="210">
        <v>319.87200000000001</v>
      </c>
      <c r="M28" s="210">
        <v>528.1</v>
      </c>
      <c r="N28" s="210">
        <v>30.735978835978813</v>
      </c>
      <c r="O28" s="7">
        <f t="shared" si="1"/>
        <v>154927815.59416059</v>
      </c>
    </row>
    <row r="29" spans="1:15" x14ac:dyDescent="0.2">
      <c r="A29" s="2">
        <v>36220</v>
      </c>
      <c r="B29" s="15">
        <v>165000091</v>
      </c>
      <c r="C29" s="15"/>
      <c r="D29" s="2"/>
      <c r="E29" s="15">
        <f t="shared" si="0"/>
        <v>165000091</v>
      </c>
      <c r="F29" s="211">
        <v>592.5</v>
      </c>
      <c r="G29" s="211">
        <v>0</v>
      </c>
      <c r="H29" s="34">
        <v>101.18226263385168</v>
      </c>
      <c r="I29" s="7">
        <v>31</v>
      </c>
      <c r="J29" s="7">
        <v>1</v>
      </c>
      <c r="K29" s="15">
        <v>0</v>
      </c>
      <c r="L29" s="210">
        <v>368.28</v>
      </c>
      <c r="M29" s="210">
        <v>525.5</v>
      </c>
      <c r="N29" s="210">
        <v>30.584656084656103</v>
      </c>
      <c r="O29" s="7">
        <f t="shared" si="1"/>
        <v>165334135.92643356</v>
      </c>
    </row>
    <row r="30" spans="1:15" x14ac:dyDescent="0.2">
      <c r="A30" s="2">
        <v>36251</v>
      </c>
      <c r="B30" s="15">
        <v>143094038</v>
      </c>
      <c r="C30" s="15"/>
      <c r="D30" s="2"/>
      <c r="E30" s="15">
        <f t="shared" si="0"/>
        <v>143094038</v>
      </c>
      <c r="F30" s="211">
        <v>332.6</v>
      </c>
      <c r="G30" s="211">
        <v>0</v>
      </c>
      <c r="H30" s="34">
        <v>101.57944815777132</v>
      </c>
      <c r="I30" s="7">
        <v>30</v>
      </c>
      <c r="J30" s="7">
        <v>1</v>
      </c>
      <c r="K30" s="15">
        <v>0</v>
      </c>
      <c r="L30" s="210">
        <v>336.24</v>
      </c>
      <c r="M30" s="210">
        <v>528.79999999999995</v>
      </c>
      <c r="N30" s="210">
        <v>30.776719576719643</v>
      </c>
      <c r="O30" s="7">
        <f t="shared" si="1"/>
        <v>148702519.52406019</v>
      </c>
    </row>
    <row r="31" spans="1:15" x14ac:dyDescent="0.2">
      <c r="A31" s="2">
        <v>36281</v>
      </c>
      <c r="B31" s="15">
        <v>145495902</v>
      </c>
      <c r="C31" s="15"/>
      <c r="D31" s="2"/>
      <c r="E31" s="15">
        <f t="shared" si="0"/>
        <v>145495902</v>
      </c>
      <c r="F31" s="211">
        <v>126.7</v>
      </c>
      <c r="G31" s="211">
        <v>10.5</v>
      </c>
      <c r="H31" s="34">
        <v>101.97819281207909</v>
      </c>
      <c r="I31" s="7">
        <v>31</v>
      </c>
      <c r="J31" s="7">
        <v>1</v>
      </c>
      <c r="K31" s="15">
        <v>0</v>
      </c>
      <c r="L31" s="210">
        <v>319.92</v>
      </c>
      <c r="M31" s="210">
        <v>532.5</v>
      </c>
      <c r="N31" s="210">
        <v>30.992063492063494</v>
      </c>
      <c r="O31" s="7">
        <f t="shared" si="1"/>
        <v>145877058.18743575</v>
      </c>
    </row>
    <row r="32" spans="1:15" x14ac:dyDescent="0.2">
      <c r="A32" s="2">
        <v>36312</v>
      </c>
      <c r="B32" s="15">
        <v>162933501</v>
      </c>
      <c r="C32" s="15"/>
      <c r="D32" s="2"/>
      <c r="E32" s="15">
        <f t="shared" si="0"/>
        <v>162933501</v>
      </c>
      <c r="F32" s="211">
        <v>44.4</v>
      </c>
      <c r="G32" s="211">
        <v>76.5</v>
      </c>
      <c r="H32" s="34">
        <v>102.37850271705736</v>
      </c>
      <c r="I32" s="7">
        <v>30</v>
      </c>
      <c r="J32" s="7">
        <v>0</v>
      </c>
      <c r="K32" s="15">
        <v>0</v>
      </c>
      <c r="L32" s="210">
        <v>352.08</v>
      </c>
      <c r="M32" s="210">
        <v>540.1</v>
      </c>
      <c r="N32" s="210">
        <v>31.43439153439158</v>
      </c>
      <c r="O32" s="7">
        <f t="shared" si="1"/>
        <v>166038756.28722426</v>
      </c>
    </row>
    <row r="33" spans="1:15" x14ac:dyDescent="0.2">
      <c r="A33" s="2">
        <v>36342</v>
      </c>
      <c r="B33" s="15">
        <v>171126555</v>
      </c>
      <c r="C33" s="15"/>
      <c r="D33" s="2"/>
      <c r="E33" s="15">
        <f t="shared" si="0"/>
        <v>171126555</v>
      </c>
      <c r="F33" s="211">
        <v>3.2</v>
      </c>
      <c r="G33" s="211">
        <v>138.9</v>
      </c>
      <c r="H33" s="34">
        <v>102.78038401701338</v>
      </c>
      <c r="I33" s="7">
        <v>31</v>
      </c>
      <c r="J33" s="7">
        <v>0</v>
      </c>
      <c r="K33" s="15">
        <v>0</v>
      </c>
      <c r="L33" s="210">
        <v>336.28800000000001</v>
      </c>
      <c r="M33" s="210">
        <v>548.1</v>
      </c>
      <c r="N33" s="210">
        <v>31.899999999999977</v>
      </c>
      <c r="O33" s="7">
        <f t="shared" si="1"/>
        <v>185826260.64893723</v>
      </c>
    </row>
    <row r="34" spans="1:15" x14ac:dyDescent="0.2">
      <c r="A34" s="2">
        <v>36373</v>
      </c>
      <c r="B34" s="15">
        <v>156668949</v>
      </c>
      <c r="C34" s="15"/>
      <c r="D34" s="2"/>
      <c r="E34" s="15">
        <f t="shared" si="0"/>
        <v>156668949</v>
      </c>
      <c r="F34" s="211">
        <v>28.8</v>
      </c>
      <c r="G34" s="211">
        <v>30.9</v>
      </c>
      <c r="H34" s="34">
        <v>103.1838428803735</v>
      </c>
      <c r="I34" s="7">
        <v>31</v>
      </c>
      <c r="J34" s="7">
        <v>0</v>
      </c>
      <c r="K34" s="15">
        <v>0</v>
      </c>
      <c r="L34" s="210">
        <v>336.28800000000001</v>
      </c>
      <c r="M34" s="210">
        <v>553.20000000000005</v>
      </c>
      <c r="N34" s="210">
        <v>32.196825396825375</v>
      </c>
      <c r="O34" s="7">
        <f t="shared" si="1"/>
        <v>155250495.23286304</v>
      </c>
    </row>
    <row r="35" spans="1:15" x14ac:dyDescent="0.2">
      <c r="A35" s="2">
        <v>36404</v>
      </c>
      <c r="B35" s="15">
        <v>149477238</v>
      </c>
      <c r="C35" s="15"/>
      <c r="D35" s="2"/>
      <c r="E35" s="15">
        <f t="shared" ref="E35:E66" si="2">SUM(B35:D35)</f>
        <v>149477238</v>
      </c>
      <c r="F35" s="211">
        <v>88.9</v>
      </c>
      <c r="G35" s="211">
        <v>27.7</v>
      </c>
      <c r="H35" s="34">
        <v>103.58888549977794</v>
      </c>
      <c r="I35" s="7">
        <v>30</v>
      </c>
      <c r="J35" s="7">
        <v>1</v>
      </c>
      <c r="K35" s="15">
        <v>0</v>
      </c>
      <c r="L35" s="210">
        <v>336.24</v>
      </c>
      <c r="M35" s="210">
        <v>554.9</v>
      </c>
      <c r="N35" s="210">
        <v>32.295767195767212</v>
      </c>
      <c r="O35" s="7">
        <f t="shared" si="1"/>
        <v>148802598.0871166</v>
      </c>
    </row>
    <row r="36" spans="1:15" x14ac:dyDescent="0.2">
      <c r="A36" s="2">
        <v>36434</v>
      </c>
      <c r="B36" s="15">
        <v>149731148</v>
      </c>
      <c r="C36" s="15"/>
      <c r="D36" s="2"/>
      <c r="E36" s="15">
        <f t="shared" si="2"/>
        <v>149731148</v>
      </c>
      <c r="F36" s="211">
        <v>319</v>
      </c>
      <c r="G36" s="211">
        <v>0</v>
      </c>
      <c r="H36" s="34">
        <v>103.99551809217577</v>
      </c>
      <c r="I36" s="7">
        <v>31</v>
      </c>
      <c r="J36" s="7">
        <v>1</v>
      </c>
      <c r="K36" s="15">
        <v>0</v>
      </c>
      <c r="L36" s="210">
        <v>319.92</v>
      </c>
      <c r="M36" s="210">
        <v>552.6</v>
      </c>
      <c r="N36" s="210">
        <v>32.161904761904793</v>
      </c>
      <c r="O36" s="7">
        <f t="shared" si="1"/>
        <v>152463337.69349182</v>
      </c>
    </row>
    <row r="37" spans="1:15" x14ac:dyDescent="0.2">
      <c r="A37" s="2">
        <v>36465</v>
      </c>
      <c r="B37" s="15">
        <v>155962063</v>
      </c>
      <c r="C37" s="15"/>
      <c r="D37" s="2"/>
      <c r="E37" s="15">
        <f t="shared" si="2"/>
        <v>155962063</v>
      </c>
      <c r="F37" s="211">
        <v>405.1</v>
      </c>
      <c r="G37" s="211">
        <v>0</v>
      </c>
      <c r="H37" s="34">
        <v>104.40374689892037</v>
      </c>
      <c r="I37" s="7">
        <v>30</v>
      </c>
      <c r="J37" s="7">
        <v>1</v>
      </c>
      <c r="K37" s="15">
        <v>0</v>
      </c>
      <c r="L37" s="210">
        <v>352.08</v>
      </c>
      <c r="M37" s="210">
        <v>549.6</v>
      </c>
      <c r="N37" s="210">
        <v>31.987301587301658</v>
      </c>
      <c r="O37" s="7">
        <f t="shared" si="1"/>
        <v>154787444.03115454</v>
      </c>
    </row>
    <row r="38" spans="1:15" x14ac:dyDescent="0.2">
      <c r="A38" s="2">
        <v>36495</v>
      </c>
      <c r="B38" s="15">
        <v>170494981</v>
      </c>
      <c r="C38" s="15"/>
      <c r="D38" s="2"/>
      <c r="E38" s="15">
        <f t="shared" si="2"/>
        <v>170494981</v>
      </c>
      <c r="F38" s="211">
        <v>623.70000000000005</v>
      </c>
      <c r="G38" s="211">
        <v>0</v>
      </c>
      <c r="H38" s="34">
        <v>104.81357818586534</v>
      </c>
      <c r="I38" s="7">
        <v>31</v>
      </c>
      <c r="J38" s="7">
        <v>0</v>
      </c>
      <c r="K38" s="15">
        <v>0</v>
      </c>
      <c r="L38" s="210">
        <v>336.28800000000001</v>
      </c>
      <c r="M38" s="210">
        <v>548.1</v>
      </c>
      <c r="N38" s="210">
        <v>31.899999999999977</v>
      </c>
      <c r="O38" s="7">
        <f t="shared" si="1"/>
        <v>170865669.97842795</v>
      </c>
    </row>
    <row r="39" spans="1:15" x14ac:dyDescent="0.2">
      <c r="A39" s="2">
        <v>36526</v>
      </c>
      <c r="B39" s="15">
        <v>178748867</v>
      </c>
      <c r="C39" s="15"/>
      <c r="D39" s="2"/>
      <c r="E39" s="15">
        <f t="shared" si="2"/>
        <v>178748867</v>
      </c>
      <c r="F39" s="211">
        <v>773</v>
      </c>
      <c r="G39" s="211">
        <v>0</v>
      </c>
      <c r="H39" s="34">
        <v>105.44819844915847</v>
      </c>
      <c r="I39" s="7">
        <v>31</v>
      </c>
      <c r="J39" s="7">
        <v>0</v>
      </c>
      <c r="K39" s="15">
        <v>0</v>
      </c>
      <c r="L39" s="210">
        <v>319.92</v>
      </c>
      <c r="M39" s="210">
        <v>542.79999999999995</v>
      </c>
      <c r="N39" s="210">
        <v>30.984355179704039</v>
      </c>
      <c r="O39" s="7">
        <f t="shared" si="1"/>
        <v>175688541.17898694</v>
      </c>
    </row>
    <row r="40" spans="1:15" x14ac:dyDescent="0.2">
      <c r="A40" s="2">
        <v>36557</v>
      </c>
      <c r="B40" s="15">
        <v>162866687</v>
      </c>
      <c r="C40" s="15"/>
      <c r="D40" s="2"/>
      <c r="E40" s="15">
        <f t="shared" si="2"/>
        <v>162866687</v>
      </c>
      <c r="F40" s="211">
        <v>643.79999999999995</v>
      </c>
      <c r="G40" s="211">
        <v>0</v>
      </c>
      <c r="H40" s="34">
        <v>106.08666118100913</v>
      </c>
      <c r="I40" s="7">
        <v>28</v>
      </c>
      <c r="J40" s="7">
        <v>0</v>
      </c>
      <c r="K40" s="15">
        <v>0</v>
      </c>
      <c r="L40" s="210">
        <v>336.16799999999995</v>
      </c>
      <c r="M40" s="210">
        <v>537.20000000000005</v>
      </c>
      <c r="N40" s="210">
        <v>30.664693446088791</v>
      </c>
      <c r="O40" s="7">
        <f t="shared" si="1"/>
        <v>160456597.53417867</v>
      </c>
    </row>
    <row r="41" spans="1:15" x14ac:dyDescent="0.2">
      <c r="A41" s="2">
        <v>36586</v>
      </c>
      <c r="B41" s="15">
        <v>161127993</v>
      </c>
      <c r="C41" s="15"/>
      <c r="D41" s="2"/>
      <c r="E41" s="15">
        <f t="shared" si="2"/>
        <v>161127993</v>
      </c>
      <c r="F41" s="211">
        <v>446.9</v>
      </c>
      <c r="G41" s="211">
        <v>0</v>
      </c>
      <c r="H41" s="34">
        <v>106.72898964661303</v>
      </c>
      <c r="I41" s="7">
        <v>31</v>
      </c>
      <c r="J41" s="7">
        <v>1</v>
      </c>
      <c r="K41" s="15">
        <v>0</v>
      </c>
      <c r="L41" s="210">
        <v>368.28</v>
      </c>
      <c r="M41" s="210">
        <v>534.70000000000005</v>
      </c>
      <c r="N41" s="210">
        <v>30.52198731501062</v>
      </c>
      <c r="O41" s="7">
        <f t="shared" si="1"/>
        <v>160843549.17347744</v>
      </c>
    </row>
    <row r="42" spans="1:15" x14ac:dyDescent="0.2">
      <c r="A42" s="2">
        <v>36617</v>
      </c>
      <c r="B42" s="15">
        <v>146022967</v>
      </c>
      <c r="C42" s="15"/>
      <c r="D42" s="2"/>
      <c r="E42" s="15">
        <f t="shared" si="2"/>
        <v>146022967</v>
      </c>
      <c r="F42" s="211">
        <v>358.3</v>
      </c>
      <c r="G42" s="211">
        <v>0</v>
      </c>
      <c r="H42" s="34">
        <v>107.37520725203085</v>
      </c>
      <c r="I42" s="7">
        <v>30</v>
      </c>
      <c r="J42" s="7">
        <v>1</v>
      </c>
      <c r="K42" s="15">
        <v>0</v>
      </c>
      <c r="L42" s="210">
        <v>303.83999999999997</v>
      </c>
      <c r="M42" s="210">
        <v>538.6</v>
      </c>
      <c r="N42" s="210">
        <v>30.744608879492603</v>
      </c>
      <c r="O42" s="7">
        <f t="shared" si="1"/>
        <v>148971890.87374681</v>
      </c>
    </row>
    <row r="43" spans="1:15" x14ac:dyDescent="0.2">
      <c r="A43" s="2">
        <v>36647</v>
      </c>
      <c r="B43" s="15">
        <v>149955206</v>
      </c>
      <c r="C43" s="15"/>
      <c r="D43" s="2"/>
      <c r="E43" s="15">
        <f t="shared" si="2"/>
        <v>149955206</v>
      </c>
      <c r="F43" s="211">
        <v>152.4</v>
      </c>
      <c r="G43" s="211">
        <v>18.7</v>
      </c>
      <c r="H43" s="34">
        <v>108.02533754504118</v>
      </c>
      <c r="I43" s="7">
        <v>31</v>
      </c>
      <c r="J43" s="7">
        <v>1</v>
      </c>
      <c r="K43" s="15">
        <v>0</v>
      </c>
      <c r="L43" s="210">
        <v>351.91199999999998</v>
      </c>
      <c r="M43" s="210">
        <v>548.29999999999995</v>
      </c>
      <c r="N43" s="210">
        <v>31.298308668076174</v>
      </c>
      <c r="O43" s="7">
        <f t="shared" si="1"/>
        <v>153950594.21774158</v>
      </c>
    </row>
    <row r="44" spans="1:15" x14ac:dyDescent="0.2">
      <c r="A44" s="2">
        <v>36678</v>
      </c>
      <c r="B44" s="15">
        <v>155366404</v>
      </c>
      <c r="C44" s="15"/>
      <c r="D44" s="2"/>
      <c r="E44" s="15">
        <f t="shared" si="2"/>
        <v>155366404</v>
      </c>
      <c r="F44" s="211">
        <v>41.1</v>
      </c>
      <c r="G44" s="211">
        <v>35.4</v>
      </c>
      <c r="H44" s="34">
        <v>108.6794042159986</v>
      </c>
      <c r="I44" s="7">
        <v>30</v>
      </c>
      <c r="J44" s="7">
        <v>0</v>
      </c>
      <c r="K44" s="15">
        <v>0</v>
      </c>
      <c r="L44" s="210">
        <v>352.08</v>
      </c>
      <c r="M44" s="210">
        <v>554.1</v>
      </c>
      <c r="N44" s="210">
        <v>31.629386892177649</v>
      </c>
      <c r="O44" s="7">
        <f t="shared" si="1"/>
        <v>155742959.56689864</v>
      </c>
    </row>
    <row r="45" spans="1:15" x14ac:dyDescent="0.2">
      <c r="A45" s="2">
        <v>36708</v>
      </c>
      <c r="B45" s="15">
        <v>155720648</v>
      </c>
      <c r="C45" s="15"/>
      <c r="D45" s="2"/>
      <c r="E45" s="15">
        <f t="shared" si="2"/>
        <v>155720648</v>
      </c>
      <c r="F45" s="211">
        <v>18.600000000000001</v>
      </c>
      <c r="G45" s="211">
        <v>44.8</v>
      </c>
      <c r="H45" s="34">
        <v>109.33743109869688</v>
      </c>
      <c r="I45" s="7">
        <v>31</v>
      </c>
      <c r="J45" s="7">
        <v>0</v>
      </c>
      <c r="K45" s="15">
        <v>0</v>
      </c>
      <c r="L45" s="210">
        <v>319.92</v>
      </c>
      <c r="M45" s="210">
        <v>557.4</v>
      </c>
      <c r="N45" s="210">
        <v>31.81775898520084</v>
      </c>
      <c r="O45" s="7">
        <f t="shared" si="1"/>
        <v>159059082.42609751</v>
      </c>
    </row>
    <row r="46" spans="1:15" x14ac:dyDescent="0.2">
      <c r="A46" s="2">
        <v>36739</v>
      </c>
      <c r="B46" s="15">
        <v>163322317</v>
      </c>
      <c r="C46" s="15"/>
      <c r="D46" s="2"/>
      <c r="E46" s="15">
        <f t="shared" si="2"/>
        <v>163322317</v>
      </c>
      <c r="F46" s="211">
        <v>29.7</v>
      </c>
      <c r="G46" s="211">
        <v>46.3</v>
      </c>
      <c r="H46" s="34">
        <v>109.99944217123755</v>
      </c>
      <c r="I46" s="7">
        <v>31</v>
      </c>
      <c r="J46" s="7">
        <v>0</v>
      </c>
      <c r="K46" s="15">
        <v>0</v>
      </c>
      <c r="L46" s="210">
        <v>351.91199999999998</v>
      </c>
      <c r="M46" s="210">
        <v>556.6</v>
      </c>
      <c r="N46" s="210">
        <v>31.77209302325582</v>
      </c>
      <c r="O46" s="7">
        <f t="shared" si="1"/>
        <v>162470170.50664473</v>
      </c>
    </row>
    <row r="47" spans="1:15" x14ac:dyDescent="0.2">
      <c r="A47" s="2">
        <v>36770</v>
      </c>
      <c r="B47" s="15">
        <v>149740084</v>
      </c>
      <c r="C47" s="15"/>
      <c r="D47" s="2"/>
      <c r="E47" s="15">
        <f t="shared" si="2"/>
        <v>149740084</v>
      </c>
      <c r="F47" s="211">
        <v>134</v>
      </c>
      <c r="G47" s="211">
        <v>23.8</v>
      </c>
      <c r="H47" s="34">
        <v>110.66546155690358</v>
      </c>
      <c r="I47" s="7">
        <v>30</v>
      </c>
      <c r="J47" s="7">
        <v>1</v>
      </c>
      <c r="K47" s="15">
        <v>0</v>
      </c>
      <c r="L47" s="210">
        <v>319.68</v>
      </c>
      <c r="M47" s="210">
        <v>553.6</v>
      </c>
      <c r="N47" s="210">
        <v>31.60084566596197</v>
      </c>
      <c r="O47" s="7">
        <f t="shared" si="1"/>
        <v>149406847.76892984</v>
      </c>
    </row>
    <row r="48" spans="1:15" x14ac:dyDescent="0.2">
      <c r="A48" s="2">
        <v>36800</v>
      </c>
      <c r="B48" s="15">
        <v>151587385</v>
      </c>
      <c r="C48" s="15"/>
      <c r="D48" s="2"/>
      <c r="E48" s="15">
        <f t="shared" si="2"/>
        <v>151587385</v>
      </c>
      <c r="F48" s="211">
        <v>251.6</v>
      </c>
      <c r="G48" s="211">
        <v>0</v>
      </c>
      <c r="H48" s="34">
        <v>111.33551352503846</v>
      </c>
      <c r="I48" s="7">
        <v>31</v>
      </c>
      <c r="J48" s="7">
        <v>1</v>
      </c>
      <c r="K48" s="15">
        <v>0</v>
      </c>
      <c r="L48" s="210">
        <v>336.28800000000001</v>
      </c>
      <c r="M48" s="210">
        <v>552.9</v>
      </c>
      <c r="N48" s="210">
        <v>31.560887949260064</v>
      </c>
      <c r="O48" s="7">
        <f t="shared" si="1"/>
        <v>152192717.9337638</v>
      </c>
    </row>
    <row r="49" spans="1:15" x14ac:dyDescent="0.2">
      <c r="A49" s="2">
        <v>36831</v>
      </c>
      <c r="B49" s="15">
        <v>161969851</v>
      </c>
      <c r="C49" s="15"/>
      <c r="D49" s="2"/>
      <c r="E49" s="15">
        <f t="shared" si="2"/>
        <v>161969851</v>
      </c>
      <c r="F49" s="211">
        <v>470.9</v>
      </c>
      <c r="G49" s="211">
        <v>0</v>
      </c>
      <c r="H49" s="34">
        <v>112.00962249193054</v>
      </c>
      <c r="I49" s="7">
        <v>30</v>
      </c>
      <c r="J49" s="7">
        <v>1</v>
      </c>
      <c r="K49" s="15">
        <v>0</v>
      </c>
      <c r="L49" s="210">
        <v>352.08</v>
      </c>
      <c r="M49" s="210">
        <v>556.9</v>
      </c>
      <c r="N49" s="210">
        <v>31.789217758985274</v>
      </c>
      <c r="O49" s="7">
        <f t="shared" si="1"/>
        <v>159340998.42767981</v>
      </c>
    </row>
    <row r="50" spans="1:15" x14ac:dyDescent="0.2">
      <c r="A50" s="2">
        <v>36861</v>
      </c>
      <c r="B50" s="15">
        <v>180858897</v>
      </c>
      <c r="C50" s="15"/>
      <c r="D50" s="2"/>
      <c r="E50" s="15">
        <f t="shared" si="2"/>
        <v>180858897</v>
      </c>
      <c r="F50" s="211">
        <v>826.5</v>
      </c>
      <c r="G50" s="211">
        <v>0</v>
      </c>
      <c r="H50" s="34">
        <v>112.68781302170287</v>
      </c>
      <c r="I50" s="7">
        <v>31</v>
      </c>
      <c r="J50" s="7">
        <v>0</v>
      </c>
      <c r="K50" s="15">
        <v>0</v>
      </c>
      <c r="L50" s="210">
        <v>304.29599999999999</v>
      </c>
      <c r="M50" s="210">
        <v>561.29999999999995</v>
      </c>
      <c r="N50" s="210">
        <v>32.040380549682936</v>
      </c>
      <c r="O50" s="7">
        <f t="shared" si="1"/>
        <v>179133483.91841337</v>
      </c>
    </row>
    <row r="51" spans="1:15" x14ac:dyDescent="0.2">
      <c r="A51" s="2">
        <v>36892</v>
      </c>
      <c r="B51" s="15">
        <v>182274650</v>
      </c>
      <c r="C51" s="15"/>
      <c r="D51" s="2"/>
      <c r="E51" s="15">
        <f t="shared" si="2"/>
        <v>182274650</v>
      </c>
      <c r="F51" s="211">
        <v>715</v>
      </c>
      <c r="G51" s="211">
        <v>0</v>
      </c>
      <c r="H51" s="34">
        <v>113.20550742744629</v>
      </c>
      <c r="I51" s="7">
        <v>31</v>
      </c>
      <c r="J51" s="7">
        <v>0</v>
      </c>
      <c r="K51" s="15">
        <v>0</v>
      </c>
      <c r="L51" s="210">
        <v>351.91199999999998</v>
      </c>
      <c r="M51" s="210">
        <v>560.70000000000005</v>
      </c>
      <c r="N51" s="210">
        <v>32.633333333333326</v>
      </c>
      <c r="O51" s="7">
        <f t="shared" si="1"/>
        <v>178071748.72386086</v>
      </c>
    </row>
    <row r="52" spans="1:15" x14ac:dyDescent="0.2">
      <c r="A52" s="2">
        <v>36925</v>
      </c>
      <c r="B52" s="15">
        <v>162106075</v>
      </c>
      <c r="C52" s="15"/>
      <c r="D52" s="2"/>
      <c r="E52" s="15">
        <f t="shared" si="2"/>
        <v>162106075</v>
      </c>
      <c r="F52" s="211">
        <v>620.20000000000005</v>
      </c>
      <c r="G52" s="211">
        <v>0</v>
      </c>
      <c r="H52" s="34">
        <v>113.72558015157706</v>
      </c>
      <c r="I52" s="7">
        <v>29</v>
      </c>
      <c r="J52" s="7">
        <v>0</v>
      </c>
      <c r="K52" s="15">
        <v>0</v>
      </c>
      <c r="L52" s="210">
        <v>319.87200000000001</v>
      </c>
      <c r="M52" s="210">
        <v>555.6</v>
      </c>
      <c r="N52" s="210">
        <v>32.336507936507928</v>
      </c>
      <c r="O52" s="7">
        <f t="shared" si="1"/>
        <v>164198244.52264148</v>
      </c>
    </row>
    <row r="53" spans="1:15" x14ac:dyDescent="0.2">
      <c r="A53" s="2">
        <v>36958</v>
      </c>
      <c r="B53" s="15">
        <v>171156935</v>
      </c>
      <c r="C53" s="15"/>
      <c r="D53" s="2"/>
      <c r="E53" s="15">
        <f t="shared" si="2"/>
        <v>171156935</v>
      </c>
      <c r="F53" s="211">
        <v>618.70000000000005</v>
      </c>
      <c r="G53" s="211">
        <v>0</v>
      </c>
      <c r="H53" s="34">
        <v>114.24804212022897</v>
      </c>
      <c r="I53" s="7">
        <v>31</v>
      </c>
      <c r="J53" s="7">
        <v>1</v>
      </c>
      <c r="K53" s="15">
        <v>0</v>
      </c>
      <c r="L53" s="210">
        <v>351.91199999999998</v>
      </c>
      <c r="M53" s="210">
        <v>552.20000000000005</v>
      </c>
      <c r="N53" s="210">
        <v>32.138624338624368</v>
      </c>
      <c r="O53" s="7">
        <f t="shared" si="1"/>
        <v>169065341.26529893</v>
      </c>
    </row>
    <row r="54" spans="1:15" x14ac:dyDescent="0.2">
      <c r="A54" s="2">
        <v>36991</v>
      </c>
      <c r="B54" s="15">
        <v>148249402</v>
      </c>
      <c r="C54" s="15"/>
      <c r="D54" s="2"/>
      <c r="E54" s="15">
        <f t="shared" si="2"/>
        <v>148249402</v>
      </c>
      <c r="F54" s="211">
        <v>324.60000000000002</v>
      </c>
      <c r="G54" s="211">
        <v>0</v>
      </c>
      <c r="H54" s="34">
        <v>114.77290430973115</v>
      </c>
      <c r="I54" s="7">
        <v>30</v>
      </c>
      <c r="J54" s="7">
        <v>1</v>
      </c>
      <c r="K54" s="15">
        <v>0</v>
      </c>
      <c r="L54" s="210">
        <v>319.68</v>
      </c>
      <c r="M54" s="210">
        <v>556.20000000000005</v>
      </c>
      <c r="N54" s="210">
        <v>32.371428571428623</v>
      </c>
      <c r="O54" s="7">
        <f t="shared" si="1"/>
        <v>151057011.11367846</v>
      </c>
    </row>
    <row r="55" spans="1:15" x14ac:dyDescent="0.2">
      <c r="A55" s="2">
        <v>37024</v>
      </c>
      <c r="B55" s="15">
        <v>152023283</v>
      </c>
      <c r="C55" s="15"/>
      <c r="D55" s="2"/>
      <c r="E55" s="15">
        <f t="shared" si="2"/>
        <v>152023283</v>
      </c>
      <c r="F55" s="211">
        <v>140.30000000000001</v>
      </c>
      <c r="G55" s="211">
        <v>7.7</v>
      </c>
      <c r="H55" s="34">
        <v>115.30017774683859</v>
      </c>
      <c r="I55" s="7">
        <v>31</v>
      </c>
      <c r="J55" s="7">
        <v>1</v>
      </c>
      <c r="K55" s="15">
        <v>0</v>
      </c>
      <c r="L55" s="210">
        <v>351.91199999999998</v>
      </c>
      <c r="M55" s="210">
        <v>562</v>
      </c>
      <c r="N55" s="210">
        <v>32.708994708994737</v>
      </c>
      <c r="O55" s="7">
        <f t="shared" si="1"/>
        <v>152180213.82634136</v>
      </c>
    </row>
    <row r="56" spans="1:15" x14ac:dyDescent="0.2">
      <c r="A56" s="2">
        <v>37057</v>
      </c>
      <c r="B56" s="15">
        <v>164607865</v>
      </c>
      <c r="C56" s="15"/>
      <c r="D56" s="2"/>
      <c r="E56" s="15">
        <f t="shared" si="2"/>
        <v>164607865</v>
      </c>
      <c r="F56" s="211">
        <v>47</v>
      </c>
      <c r="G56" s="211">
        <v>62.4</v>
      </c>
      <c r="H56" s="34">
        <v>115.82987350896386</v>
      </c>
      <c r="I56" s="7">
        <v>30</v>
      </c>
      <c r="J56" s="7">
        <v>0</v>
      </c>
      <c r="K56" s="15">
        <v>0</v>
      </c>
      <c r="L56" s="210">
        <v>336.24</v>
      </c>
      <c r="M56" s="210">
        <v>566.29999999999995</v>
      </c>
      <c r="N56" s="210">
        <v>32.959259259259284</v>
      </c>
      <c r="O56" s="7">
        <f t="shared" si="1"/>
        <v>164668573.44062462</v>
      </c>
    </row>
    <row r="57" spans="1:15" x14ac:dyDescent="0.2">
      <c r="A57" s="2">
        <v>37090</v>
      </c>
      <c r="B57" s="15">
        <v>165667707</v>
      </c>
      <c r="C57" s="15"/>
      <c r="D57" s="2"/>
      <c r="E57" s="15">
        <f t="shared" si="2"/>
        <v>165667707</v>
      </c>
      <c r="F57" s="211">
        <v>22.3</v>
      </c>
      <c r="G57" s="211">
        <v>65.7</v>
      </c>
      <c r="H57" s="34">
        <v>116.36200272440982</v>
      </c>
      <c r="I57" s="7">
        <v>31</v>
      </c>
      <c r="J57" s="7">
        <v>0</v>
      </c>
      <c r="K57" s="15">
        <v>0</v>
      </c>
      <c r="L57" s="210">
        <v>336.28800000000001</v>
      </c>
      <c r="M57" s="210">
        <v>565.79999999999995</v>
      </c>
      <c r="N57" s="210">
        <v>32.930158730158723</v>
      </c>
      <c r="O57" s="7">
        <f t="shared" si="1"/>
        <v>168273467.37698585</v>
      </c>
    </row>
    <row r="58" spans="1:15" x14ac:dyDescent="0.2">
      <c r="A58" s="2">
        <v>37123</v>
      </c>
      <c r="B58" s="15">
        <v>179800173</v>
      </c>
      <c r="C58" s="15"/>
      <c r="D58" s="2"/>
      <c r="E58" s="15">
        <f t="shared" si="2"/>
        <v>179800173</v>
      </c>
      <c r="F58" s="211">
        <v>2.2999999999999998</v>
      </c>
      <c r="G58" s="211">
        <v>94.2</v>
      </c>
      <c r="H58" s="34">
        <v>116.89657657260338</v>
      </c>
      <c r="I58" s="7">
        <v>31</v>
      </c>
      <c r="J58" s="7">
        <v>0</v>
      </c>
      <c r="K58" s="15">
        <v>0</v>
      </c>
      <c r="L58" s="210">
        <v>351.91199999999998</v>
      </c>
      <c r="M58" s="210">
        <v>562.5</v>
      </c>
      <c r="N58" s="210">
        <v>32.738095238095298</v>
      </c>
      <c r="O58" s="7">
        <f t="shared" si="1"/>
        <v>176957598.54211473</v>
      </c>
    </row>
    <row r="59" spans="1:15" x14ac:dyDescent="0.2">
      <c r="A59" s="2">
        <v>37156</v>
      </c>
      <c r="B59" s="15">
        <v>152599967</v>
      </c>
      <c r="C59" s="15"/>
      <c r="D59" s="15">
        <v>-420695</v>
      </c>
      <c r="E59" s="15">
        <f t="shared" si="2"/>
        <v>152179272</v>
      </c>
      <c r="F59" s="211">
        <v>118.8</v>
      </c>
      <c r="G59" s="211">
        <v>19.2</v>
      </c>
      <c r="H59" s="34">
        <v>117.43360628433041</v>
      </c>
      <c r="I59" s="7">
        <v>30</v>
      </c>
      <c r="J59" s="7">
        <v>1</v>
      </c>
      <c r="K59" s="15">
        <v>0</v>
      </c>
      <c r="L59" s="210">
        <v>303.83999999999997</v>
      </c>
      <c r="M59" s="210">
        <v>559.70000000000005</v>
      </c>
      <c r="N59" s="210">
        <v>32.575132275132319</v>
      </c>
      <c r="O59" s="7">
        <f t="shared" si="1"/>
        <v>147604507.5443247</v>
      </c>
    </row>
    <row r="60" spans="1:15" x14ac:dyDescent="0.2">
      <c r="A60" s="2">
        <v>37189</v>
      </c>
      <c r="B60" s="15">
        <v>157618136</v>
      </c>
      <c r="C60" s="15"/>
      <c r="D60" s="15">
        <v>58552</v>
      </c>
      <c r="E60" s="15">
        <f t="shared" si="2"/>
        <v>157676688</v>
      </c>
      <c r="F60" s="211">
        <v>276.7</v>
      </c>
      <c r="G60" s="211">
        <v>0</v>
      </c>
      <c r="H60" s="34">
        <v>117.97310314197166</v>
      </c>
      <c r="I60" s="7">
        <v>31</v>
      </c>
      <c r="J60" s="7">
        <v>1</v>
      </c>
      <c r="K60" s="15">
        <v>0</v>
      </c>
      <c r="L60" s="210">
        <v>351.91199999999998</v>
      </c>
      <c r="M60" s="210">
        <v>560</v>
      </c>
      <c r="N60" s="210">
        <v>32.592592592592609</v>
      </c>
      <c r="O60" s="7">
        <f t="shared" si="1"/>
        <v>155893678.99181753</v>
      </c>
    </row>
    <row r="61" spans="1:15" x14ac:dyDescent="0.2">
      <c r="A61" s="2">
        <v>37222</v>
      </c>
      <c r="B61" s="15">
        <v>158548740</v>
      </c>
      <c r="C61" s="15"/>
      <c r="D61" s="15"/>
      <c r="E61" s="15">
        <f t="shared" si="2"/>
        <v>158548740</v>
      </c>
      <c r="F61" s="211">
        <v>370.8</v>
      </c>
      <c r="G61" s="211">
        <v>0</v>
      </c>
      <c r="H61" s="34">
        <v>118.51507847973981</v>
      </c>
      <c r="I61" s="7">
        <v>30</v>
      </c>
      <c r="J61" s="7">
        <v>1</v>
      </c>
      <c r="K61" s="15">
        <v>0</v>
      </c>
      <c r="L61" s="210">
        <v>352.08</v>
      </c>
      <c r="M61" s="210">
        <v>561.1</v>
      </c>
      <c r="N61" s="210">
        <v>32.656613756613751</v>
      </c>
      <c r="O61" s="7">
        <f t="shared" si="1"/>
        <v>156398404.92468533</v>
      </c>
    </row>
    <row r="62" spans="1:15" x14ac:dyDescent="0.2">
      <c r="A62" s="2">
        <v>37255</v>
      </c>
      <c r="B62" s="15">
        <v>169751554</v>
      </c>
      <c r="C62" s="15"/>
      <c r="D62" s="15">
        <v>-175833</v>
      </c>
      <c r="E62" s="15">
        <f t="shared" si="2"/>
        <v>169575721</v>
      </c>
      <c r="F62" s="211">
        <v>563.29999999999995</v>
      </c>
      <c r="G62" s="211">
        <v>0</v>
      </c>
      <c r="H62" s="34">
        <v>119.05954368391765</v>
      </c>
      <c r="I62" s="7">
        <v>31</v>
      </c>
      <c r="J62" s="7">
        <v>0</v>
      </c>
      <c r="K62" s="15">
        <v>0</v>
      </c>
      <c r="L62" s="210">
        <v>304.29599999999999</v>
      </c>
      <c r="M62" s="210">
        <v>564.29999999999995</v>
      </c>
      <c r="N62" s="210">
        <v>32.842857142857156</v>
      </c>
      <c r="O62" s="7">
        <f t="shared" si="1"/>
        <v>169272279.28429011</v>
      </c>
    </row>
    <row r="63" spans="1:15" x14ac:dyDescent="0.2">
      <c r="A63" s="10">
        <v>37275</v>
      </c>
      <c r="B63" s="15">
        <v>178220353</v>
      </c>
      <c r="C63" s="15"/>
      <c r="D63" s="15">
        <v>-702628</v>
      </c>
      <c r="E63" s="15">
        <f t="shared" si="2"/>
        <v>177517725</v>
      </c>
      <c r="F63" s="211">
        <v>625.70000000000005</v>
      </c>
      <c r="G63" s="211">
        <v>0</v>
      </c>
      <c r="H63" s="34">
        <v>119.23206305749976</v>
      </c>
      <c r="I63" s="7">
        <v>31</v>
      </c>
      <c r="J63" s="7">
        <v>0</v>
      </c>
      <c r="K63" s="15">
        <v>0</v>
      </c>
      <c r="L63" s="210">
        <v>351.91199999999998</v>
      </c>
      <c r="M63" s="210">
        <v>564.9</v>
      </c>
      <c r="N63" s="210">
        <v>34.145599151643751</v>
      </c>
      <c r="O63" s="7">
        <f t="shared" si="1"/>
        <v>175410813.05427879</v>
      </c>
    </row>
    <row r="64" spans="1:15" x14ac:dyDescent="0.2">
      <c r="A64" s="2">
        <v>37308</v>
      </c>
      <c r="B64" s="15">
        <v>161211185</v>
      </c>
      <c r="C64" s="15"/>
      <c r="D64" s="15"/>
      <c r="E64" s="15">
        <f t="shared" si="2"/>
        <v>161211185</v>
      </c>
      <c r="F64" s="211">
        <v>592</v>
      </c>
      <c r="G64" s="211">
        <v>0</v>
      </c>
      <c r="H64" s="34">
        <v>119.40483241468957</v>
      </c>
      <c r="I64" s="7">
        <v>28</v>
      </c>
      <c r="J64" s="7">
        <v>0</v>
      </c>
      <c r="K64" s="15">
        <v>0</v>
      </c>
      <c r="L64" s="210">
        <v>319.87200000000001</v>
      </c>
      <c r="M64" s="210">
        <v>567.20000000000005</v>
      </c>
      <c r="N64" s="210">
        <v>34.28462354188764</v>
      </c>
      <c r="O64" s="7">
        <f t="shared" si="1"/>
        <v>160925769.32157785</v>
      </c>
    </row>
    <row r="65" spans="1:45" x14ac:dyDescent="0.2">
      <c r="A65" s="2">
        <v>37341</v>
      </c>
      <c r="B65" s="15">
        <v>170041740</v>
      </c>
      <c r="C65" s="15"/>
      <c r="D65" s="15"/>
      <c r="E65" s="15">
        <f t="shared" si="2"/>
        <v>170041740</v>
      </c>
      <c r="F65" s="211">
        <v>581.20000000000005</v>
      </c>
      <c r="G65" s="211">
        <v>0</v>
      </c>
      <c r="H65" s="34">
        <v>119.57785211771773</v>
      </c>
      <c r="I65" s="7">
        <v>31</v>
      </c>
      <c r="J65" s="7">
        <v>1</v>
      </c>
      <c r="K65" s="15">
        <v>0</v>
      </c>
      <c r="L65" s="210">
        <v>319.92</v>
      </c>
      <c r="M65" s="210">
        <v>568.9</v>
      </c>
      <c r="N65" s="210">
        <v>34.387380699894038</v>
      </c>
      <c r="O65" s="7">
        <f t="shared" si="1"/>
        <v>166840212.00422674</v>
      </c>
    </row>
    <row r="66" spans="1:45" x14ac:dyDescent="0.2">
      <c r="A66" s="2">
        <v>37374</v>
      </c>
      <c r="B66" s="15">
        <v>156884064</v>
      </c>
      <c r="C66" s="15"/>
      <c r="D66" s="15">
        <v>702628</v>
      </c>
      <c r="E66" s="15">
        <f t="shared" si="2"/>
        <v>157586692</v>
      </c>
      <c r="F66" s="211">
        <v>356.2</v>
      </c>
      <c r="G66" s="211">
        <v>6.6</v>
      </c>
      <c r="H66" s="34">
        <v>119.75112252933975</v>
      </c>
      <c r="I66" s="7">
        <v>30</v>
      </c>
      <c r="J66" s="7">
        <v>1</v>
      </c>
      <c r="K66" s="15">
        <v>0</v>
      </c>
      <c r="L66" s="210">
        <v>352.08</v>
      </c>
      <c r="M66" s="210">
        <v>572.6</v>
      </c>
      <c r="N66" s="210">
        <v>34.611028632025523</v>
      </c>
      <c r="O66" s="7">
        <f t="shared" si="1"/>
        <v>158528975.53573033</v>
      </c>
    </row>
    <row r="67" spans="1:45" x14ac:dyDescent="0.2">
      <c r="A67" s="2">
        <v>37407</v>
      </c>
      <c r="B67" s="15">
        <v>156235950</v>
      </c>
      <c r="C67" s="15">
        <v>1910171</v>
      </c>
      <c r="D67" s="15"/>
      <c r="E67" s="15">
        <f t="shared" ref="E67:E98" si="3">SUM(B67:D67)</f>
        <v>158146121</v>
      </c>
      <c r="F67" s="211">
        <v>266.8</v>
      </c>
      <c r="G67" s="211">
        <v>5.3</v>
      </c>
      <c r="H67" s="34">
        <v>119.92464401283681</v>
      </c>
      <c r="I67" s="7">
        <v>31</v>
      </c>
      <c r="J67" s="7">
        <v>1</v>
      </c>
      <c r="K67" s="15">
        <v>0</v>
      </c>
      <c r="L67" s="210">
        <v>351.91199999999998</v>
      </c>
      <c r="M67" s="210">
        <v>576.70000000000005</v>
      </c>
      <c r="N67" s="210">
        <v>34.858854718982002</v>
      </c>
      <c r="O67" s="7">
        <f t="shared" ref="O67:O130" si="4">$B$261+F67*$B$262+G67*$B$263+H67*$B$264+I67*$B$265+J67*$B$266+K67*$B$267+L67*$B$268+M67*$B$269+N67*$B$270</f>
        <v>158295729.14721578</v>
      </c>
    </row>
    <row r="68" spans="1:45" x14ac:dyDescent="0.2">
      <c r="A68" s="2">
        <v>37408</v>
      </c>
      <c r="B68" s="15">
        <v>163542900</v>
      </c>
      <c r="C68" s="15">
        <v>2159380</v>
      </c>
      <c r="D68" s="15"/>
      <c r="E68" s="15">
        <f t="shared" si="3"/>
        <v>165702280</v>
      </c>
      <c r="F68" s="211">
        <v>53.1</v>
      </c>
      <c r="G68" s="211">
        <v>54.5</v>
      </c>
      <c r="H68" s="34">
        <v>120.09841693201646</v>
      </c>
      <c r="I68" s="7">
        <v>30</v>
      </c>
      <c r="J68" s="7">
        <v>0</v>
      </c>
      <c r="K68" s="15">
        <v>0</v>
      </c>
      <c r="L68" s="210">
        <v>319.68</v>
      </c>
      <c r="M68" s="210">
        <v>581.79999999999995</v>
      </c>
      <c r="N68" s="210">
        <v>35.167126193001081</v>
      </c>
      <c r="O68" s="7">
        <f t="shared" si="4"/>
        <v>162846836.02246577</v>
      </c>
    </row>
    <row r="69" spans="1:45" x14ac:dyDescent="0.2">
      <c r="A69" s="2">
        <v>37440</v>
      </c>
      <c r="B69" s="15">
        <v>186180130</v>
      </c>
      <c r="C69" s="15">
        <v>2443800</v>
      </c>
      <c r="D69" s="15"/>
      <c r="E69" s="15">
        <f t="shared" si="3"/>
        <v>188623930</v>
      </c>
      <c r="F69" s="211">
        <v>4.7</v>
      </c>
      <c r="G69" s="211">
        <v>129</v>
      </c>
      <c r="H69" s="34">
        <v>120.27244165121344</v>
      </c>
      <c r="I69" s="7">
        <v>31</v>
      </c>
      <c r="J69" s="7">
        <v>0</v>
      </c>
      <c r="K69" s="15">
        <v>0</v>
      </c>
      <c r="L69" s="210">
        <v>351.91199999999998</v>
      </c>
      <c r="M69" s="210">
        <v>584.70000000000005</v>
      </c>
      <c r="N69" s="210">
        <v>35.342417815482577</v>
      </c>
      <c r="O69" s="7">
        <f t="shared" si="4"/>
        <v>189222318.22434559</v>
      </c>
      <c r="P69" s="7"/>
      <c r="Q69" s="11"/>
    </row>
    <row r="70" spans="1:45" x14ac:dyDescent="0.2">
      <c r="A70" s="2">
        <v>37473</v>
      </c>
      <c r="B70" s="15">
        <v>179006180</v>
      </c>
      <c r="C70" s="15">
        <v>2421941</v>
      </c>
      <c r="D70" s="15"/>
      <c r="E70" s="15">
        <f t="shared" si="3"/>
        <v>181428121</v>
      </c>
      <c r="F70" s="211">
        <v>11</v>
      </c>
      <c r="G70" s="211">
        <v>72.3</v>
      </c>
      <c r="H70" s="34">
        <v>120.4467185352904</v>
      </c>
      <c r="I70" s="7">
        <v>31</v>
      </c>
      <c r="J70" s="7">
        <v>0</v>
      </c>
      <c r="K70" s="15">
        <v>0</v>
      </c>
      <c r="L70" s="210">
        <v>336.28800000000001</v>
      </c>
      <c r="M70" s="210">
        <v>586.6</v>
      </c>
      <c r="N70" s="210">
        <v>35.457264050901358</v>
      </c>
      <c r="O70" s="7">
        <f t="shared" si="4"/>
        <v>171617285.83908498</v>
      </c>
      <c r="P70" s="7"/>
      <c r="Q70" s="11"/>
    </row>
    <row r="71" spans="1:45" x14ac:dyDescent="0.2">
      <c r="A71" s="2">
        <v>37506</v>
      </c>
      <c r="B71" s="15">
        <v>164159610</v>
      </c>
      <c r="C71" s="15">
        <v>2216662</v>
      </c>
      <c r="D71" s="15"/>
      <c r="E71" s="15">
        <f t="shared" si="3"/>
        <v>166376272</v>
      </c>
      <c r="F71" s="211">
        <v>50.2</v>
      </c>
      <c r="G71" s="211">
        <v>47</v>
      </c>
      <c r="H71" s="34">
        <v>120.62124794963869</v>
      </c>
      <c r="I71" s="7">
        <v>30</v>
      </c>
      <c r="J71" s="7">
        <v>1</v>
      </c>
      <c r="K71" s="15">
        <v>0</v>
      </c>
      <c r="L71" s="210">
        <v>319.68</v>
      </c>
      <c r="M71" s="210">
        <v>583.20000000000005</v>
      </c>
      <c r="N71" s="210">
        <v>35.251749734888676</v>
      </c>
      <c r="O71" s="7">
        <f t="shared" si="4"/>
        <v>156093767.80342761</v>
      </c>
      <c r="P71" s="7"/>
      <c r="Q71" s="11"/>
    </row>
    <row r="72" spans="1:45" x14ac:dyDescent="0.2">
      <c r="A72" s="2">
        <v>37539</v>
      </c>
      <c r="B72" s="15">
        <v>162237780</v>
      </c>
      <c r="C72" s="15">
        <v>2352682</v>
      </c>
      <c r="D72" s="15"/>
      <c r="E72" s="15">
        <f t="shared" si="3"/>
        <v>164590462</v>
      </c>
      <c r="F72" s="211">
        <v>345.6</v>
      </c>
      <c r="G72" s="211">
        <v>6.3</v>
      </c>
      <c r="H72" s="34">
        <v>120.79603026017911</v>
      </c>
      <c r="I72" s="7">
        <v>31</v>
      </c>
      <c r="J72" s="7">
        <v>1</v>
      </c>
      <c r="K72" s="15">
        <v>0</v>
      </c>
      <c r="L72" s="210">
        <v>351.91199999999998</v>
      </c>
      <c r="M72" s="210">
        <v>582.9</v>
      </c>
      <c r="N72" s="210">
        <v>35.233616118769874</v>
      </c>
      <c r="O72" s="7">
        <f t="shared" si="4"/>
        <v>162437734.76883233</v>
      </c>
      <c r="P72" s="7"/>
      <c r="Q72" s="11"/>
    </row>
    <row r="73" spans="1:45" x14ac:dyDescent="0.2">
      <c r="A73" s="2">
        <v>37572</v>
      </c>
      <c r="B73" s="15">
        <v>165302860</v>
      </c>
      <c r="C73" s="15">
        <v>2368364</v>
      </c>
      <c r="D73" s="15"/>
      <c r="E73" s="15">
        <f t="shared" si="3"/>
        <v>167671224</v>
      </c>
      <c r="F73" s="211">
        <v>486.4</v>
      </c>
      <c r="G73" s="211">
        <v>0</v>
      </c>
      <c r="H73" s="34">
        <v>120.9710658333627</v>
      </c>
      <c r="I73" s="7">
        <v>30</v>
      </c>
      <c r="J73" s="7">
        <v>1</v>
      </c>
      <c r="K73" s="15">
        <v>0</v>
      </c>
      <c r="L73" s="210">
        <v>336.24</v>
      </c>
      <c r="M73" s="210">
        <v>583.5</v>
      </c>
      <c r="N73" s="210">
        <v>35.269883351007479</v>
      </c>
      <c r="O73" s="7">
        <f t="shared" si="4"/>
        <v>161719388.46376157</v>
      </c>
      <c r="P73" s="7"/>
      <c r="Q73" s="11"/>
    </row>
    <row r="74" spans="1:45" s="12" customFormat="1" x14ac:dyDescent="0.2">
      <c r="A74" s="31">
        <v>37605</v>
      </c>
      <c r="B74" s="15">
        <v>176377660</v>
      </c>
      <c r="C74" s="15">
        <v>2418399</v>
      </c>
      <c r="D74" s="15">
        <v>-779291</v>
      </c>
      <c r="E74" s="15">
        <f t="shared" si="3"/>
        <v>178016768</v>
      </c>
      <c r="F74" s="211">
        <v>675.6</v>
      </c>
      <c r="G74" s="211">
        <v>0</v>
      </c>
      <c r="H74" s="34">
        <v>121.1463550361714</v>
      </c>
      <c r="I74" s="7">
        <v>31</v>
      </c>
      <c r="J74" s="7">
        <v>0</v>
      </c>
      <c r="K74" s="15">
        <v>0</v>
      </c>
      <c r="L74" s="210">
        <v>319.92</v>
      </c>
      <c r="M74" s="210">
        <v>591.79999999999995</v>
      </c>
      <c r="N74" s="210">
        <v>35.771580063626743</v>
      </c>
      <c r="O74" s="7">
        <f t="shared" si="4"/>
        <v>177141342.791812</v>
      </c>
      <c r="P74" s="7"/>
      <c r="Q74" s="11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</row>
    <row r="75" spans="1:45" x14ac:dyDescent="0.2">
      <c r="A75" s="2">
        <v>37622</v>
      </c>
      <c r="B75" s="15">
        <v>188010997</v>
      </c>
      <c r="C75" s="15">
        <v>2385524</v>
      </c>
      <c r="D75" s="15">
        <v>-17740</v>
      </c>
      <c r="E75" s="15">
        <f t="shared" si="3"/>
        <v>190378781</v>
      </c>
      <c r="F75" s="211">
        <v>868.4</v>
      </c>
      <c r="G75" s="211">
        <v>0</v>
      </c>
      <c r="H75" s="34">
        <v>121.50450639216388</v>
      </c>
      <c r="I75" s="7">
        <v>31</v>
      </c>
      <c r="J75" s="7">
        <v>0</v>
      </c>
      <c r="K75" s="15">
        <v>0</v>
      </c>
      <c r="L75" s="210">
        <v>351.91199999999998</v>
      </c>
      <c r="M75" s="210">
        <v>591.29999999999995</v>
      </c>
      <c r="N75" s="210">
        <v>34.414285714285711</v>
      </c>
      <c r="O75" s="7">
        <f t="shared" si="4"/>
        <v>187862323.87215212</v>
      </c>
      <c r="P75" s="7"/>
      <c r="Q75" s="11"/>
    </row>
    <row r="76" spans="1:45" x14ac:dyDescent="0.2">
      <c r="A76" s="2">
        <v>37653</v>
      </c>
      <c r="B76" s="15">
        <v>169413256</v>
      </c>
      <c r="C76" s="15">
        <v>2130053</v>
      </c>
      <c r="D76" s="15"/>
      <c r="E76" s="15">
        <f t="shared" si="3"/>
        <v>171543309</v>
      </c>
      <c r="F76" s="211">
        <v>755.9</v>
      </c>
      <c r="G76" s="211">
        <v>0</v>
      </c>
      <c r="H76" s="34">
        <v>121.86371656989111</v>
      </c>
      <c r="I76" s="7">
        <v>28</v>
      </c>
      <c r="J76" s="7">
        <v>0</v>
      </c>
      <c r="K76" s="15">
        <v>0</v>
      </c>
      <c r="L76" s="210">
        <v>319.87200000000001</v>
      </c>
      <c r="M76" s="210">
        <v>588.4</v>
      </c>
      <c r="N76" s="210">
        <v>34.245502645502711</v>
      </c>
      <c r="O76" s="7">
        <f t="shared" si="4"/>
        <v>169768202.23017526</v>
      </c>
      <c r="P76" s="7"/>
      <c r="Q76" s="11"/>
    </row>
    <row r="77" spans="1:45" x14ac:dyDescent="0.2">
      <c r="A77" s="2">
        <v>37681</v>
      </c>
      <c r="B77" s="15">
        <v>172920468</v>
      </c>
      <c r="C77" s="15">
        <v>2290575</v>
      </c>
      <c r="D77" s="15"/>
      <c r="E77" s="15">
        <f t="shared" si="3"/>
        <v>175211043</v>
      </c>
      <c r="F77" s="211">
        <v>638.70000000000005</v>
      </c>
      <c r="G77" s="211">
        <v>0</v>
      </c>
      <c r="H77" s="34">
        <v>122.22398869960362</v>
      </c>
      <c r="I77" s="7">
        <v>31</v>
      </c>
      <c r="J77" s="7">
        <v>1</v>
      </c>
      <c r="K77" s="15">
        <v>0</v>
      </c>
      <c r="L77" s="210">
        <v>336.28800000000001</v>
      </c>
      <c r="M77" s="210">
        <v>584.5</v>
      </c>
      <c r="N77" s="210">
        <v>34.01851851851859</v>
      </c>
      <c r="O77" s="7">
        <f t="shared" si="4"/>
        <v>172146169.34201384</v>
      </c>
      <c r="P77" s="7"/>
      <c r="Q77" s="11"/>
    </row>
    <row r="78" spans="1:45" x14ac:dyDescent="0.2">
      <c r="A78" s="2">
        <v>37712</v>
      </c>
      <c r="B78" s="15">
        <v>156616058</v>
      </c>
      <c r="C78" s="15">
        <v>2202656</v>
      </c>
      <c r="D78" s="15">
        <v>84082</v>
      </c>
      <c r="E78" s="15">
        <f t="shared" si="3"/>
        <v>158902796</v>
      </c>
      <c r="F78" s="211">
        <v>397.4</v>
      </c>
      <c r="G78" s="211">
        <v>0.7</v>
      </c>
      <c r="H78" s="34">
        <v>122.58532592080604</v>
      </c>
      <c r="I78" s="7">
        <v>30</v>
      </c>
      <c r="J78" s="7">
        <v>1</v>
      </c>
      <c r="K78" s="15">
        <v>0</v>
      </c>
      <c r="L78" s="210">
        <v>336.24</v>
      </c>
      <c r="M78" s="210">
        <v>587.79999999999995</v>
      </c>
      <c r="N78" s="210">
        <v>34.210582010582016</v>
      </c>
      <c r="O78" s="7">
        <f t="shared" si="4"/>
        <v>158942490.73654452</v>
      </c>
      <c r="P78" s="7"/>
      <c r="Q78" s="11"/>
    </row>
    <row r="79" spans="1:45" x14ac:dyDescent="0.2">
      <c r="A79" s="2">
        <v>37742</v>
      </c>
      <c r="B79" s="15">
        <v>151753883</v>
      </c>
      <c r="C79" s="15">
        <v>2108659</v>
      </c>
      <c r="D79" s="15"/>
      <c r="E79" s="15">
        <f t="shared" si="3"/>
        <v>153862542</v>
      </c>
      <c r="F79" s="211">
        <v>217</v>
      </c>
      <c r="G79" s="211">
        <v>0</v>
      </c>
      <c r="H79" s="34">
        <v>122.9477313822845</v>
      </c>
      <c r="I79" s="7">
        <v>31</v>
      </c>
      <c r="J79" s="7">
        <v>1</v>
      </c>
      <c r="K79" s="15">
        <v>0</v>
      </c>
      <c r="L79" s="210">
        <v>336.28800000000001</v>
      </c>
      <c r="M79" s="210">
        <v>596.4</v>
      </c>
      <c r="N79" s="210">
        <v>34.711111111111109</v>
      </c>
      <c r="O79" s="7">
        <f t="shared" si="4"/>
        <v>155432560.17370808</v>
      </c>
      <c r="P79" s="7"/>
      <c r="Q79" s="11"/>
    </row>
    <row r="80" spans="1:45" x14ac:dyDescent="0.2">
      <c r="A80" s="2">
        <v>37773</v>
      </c>
      <c r="B80" s="15">
        <v>157578600</v>
      </c>
      <c r="C80" s="15">
        <v>2058238</v>
      </c>
      <c r="D80" s="15">
        <v>-1205437</v>
      </c>
      <c r="E80" s="15">
        <f t="shared" si="3"/>
        <v>158431401</v>
      </c>
      <c r="F80" s="211">
        <v>65.3</v>
      </c>
      <c r="G80" s="211">
        <v>25.5</v>
      </c>
      <c r="H80" s="34">
        <v>123.31120824213403</v>
      </c>
      <c r="I80" s="7">
        <v>30</v>
      </c>
      <c r="J80" s="7">
        <v>0</v>
      </c>
      <c r="K80" s="15">
        <v>0</v>
      </c>
      <c r="L80" s="210">
        <v>336.24</v>
      </c>
      <c r="M80" s="210">
        <v>601.70000000000005</v>
      </c>
      <c r="N80" s="210">
        <v>35.019576719576776</v>
      </c>
      <c r="O80" s="7">
        <f t="shared" si="4"/>
        <v>158050362.08907247</v>
      </c>
      <c r="P80" s="7"/>
      <c r="Q80" s="11"/>
    </row>
    <row r="81" spans="1:36" x14ac:dyDescent="0.2">
      <c r="A81" s="2">
        <v>37803</v>
      </c>
      <c r="B81" s="15">
        <v>172547931</v>
      </c>
      <c r="C81" s="15">
        <v>2016093</v>
      </c>
      <c r="D81" s="15"/>
      <c r="E81" s="15">
        <f t="shared" si="3"/>
        <v>174564024</v>
      </c>
      <c r="F81" s="211">
        <v>12.5</v>
      </c>
      <c r="G81" s="211">
        <v>50.1</v>
      </c>
      <c r="H81" s="34">
        <v>123.67575966778612</v>
      </c>
      <c r="I81" s="7">
        <v>31</v>
      </c>
      <c r="J81" s="7">
        <v>0</v>
      </c>
      <c r="K81" s="15">
        <v>0</v>
      </c>
      <c r="L81" s="210">
        <v>351.91199999999998</v>
      </c>
      <c r="M81" s="210">
        <v>605.70000000000005</v>
      </c>
      <c r="N81" s="210">
        <v>35.252380952381031</v>
      </c>
      <c r="O81" s="7">
        <f t="shared" si="4"/>
        <v>168270837.01035243</v>
      </c>
      <c r="P81" s="7"/>
      <c r="Q81" s="11"/>
    </row>
    <row r="82" spans="1:36" x14ac:dyDescent="0.2">
      <c r="A82" s="2">
        <v>37834</v>
      </c>
      <c r="B82" s="15">
        <v>167854372</v>
      </c>
      <c r="C82" s="15">
        <v>2044374</v>
      </c>
      <c r="D82" s="15">
        <v>-150206</v>
      </c>
      <c r="E82" s="15">
        <f t="shared" si="3"/>
        <v>169748540</v>
      </c>
      <c r="F82" s="211">
        <v>18.899999999999999</v>
      </c>
      <c r="G82" s="211">
        <v>72.400000000000006</v>
      </c>
      <c r="H82" s="34">
        <v>124.04138883603632</v>
      </c>
      <c r="I82" s="7">
        <v>31</v>
      </c>
      <c r="J82" s="7">
        <v>0</v>
      </c>
      <c r="K82" s="15">
        <v>0</v>
      </c>
      <c r="L82" s="210">
        <v>319.92</v>
      </c>
      <c r="M82" s="210">
        <v>607.6</v>
      </c>
      <c r="N82" s="210">
        <v>35.362962962963024</v>
      </c>
      <c r="O82" s="7">
        <f t="shared" si="4"/>
        <v>172893238.28647593</v>
      </c>
      <c r="P82" s="7"/>
      <c r="Q82" s="11"/>
    </row>
    <row r="83" spans="1:36" x14ac:dyDescent="0.2">
      <c r="A83" s="2">
        <v>37865</v>
      </c>
      <c r="B83" s="15">
        <v>154374124</v>
      </c>
      <c r="C83" s="15">
        <v>1997356</v>
      </c>
      <c r="D83" s="15"/>
      <c r="E83" s="15">
        <f t="shared" si="3"/>
        <v>156371480</v>
      </c>
      <c r="F83" s="211">
        <v>104.1</v>
      </c>
      <c r="G83" s="211">
        <v>6</v>
      </c>
      <c r="H83" s="34">
        <v>124.40809893307186</v>
      </c>
      <c r="I83" s="7">
        <v>30</v>
      </c>
      <c r="J83" s="7">
        <v>1</v>
      </c>
      <c r="K83" s="15">
        <v>0</v>
      </c>
      <c r="L83" s="210">
        <v>336.24</v>
      </c>
      <c r="M83" s="210">
        <v>607.6</v>
      </c>
      <c r="N83" s="210">
        <v>35.362962962963024</v>
      </c>
      <c r="O83" s="7">
        <f t="shared" si="4"/>
        <v>149871955.65010282</v>
      </c>
      <c r="P83" s="7"/>
      <c r="Q83" s="11"/>
    </row>
    <row r="84" spans="1:36" x14ac:dyDescent="0.2">
      <c r="A84" s="2">
        <v>37895</v>
      </c>
      <c r="B84" s="15">
        <v>159835650</v>
      </c>
      <c r="C84" s="15">
        <v>2433090</v>
      </c>
      <c r="D84" s="15"/>
      <c r="E84" s="15">
        <f t="shared" si="3"/>
        <v>162268740</v>
      </c>
      <c r="F84" s="211">
        <v>331.9</v>
      </c>
      <c r="G84" s="211">
        <v>0</v>
      </c>
      <c r="H84" s="34">
        <v>124.7758931544995</v>
      </c>
      <c r="I84" s="7">
        <v>31</v>
      </c>
      <c r="J84" s="7">
        <v>1</v>
      </c>
      <c r="K84" s="15">
        <v>0</v>
      </c>
      <c r="L84" s="210">
        <v>351.91199999999998</v>
      </c>
      <c r="M84" s="210">
        <v>609.5</v>
      </c>
      <c r="N84" s="210">
        <v>35.473544973545017</v>
      </c>
      <c r="O84" s="7">
        <f t="shared" si="4"/>
        <v>162598800.86800593</v>
      </c>
      <c r="P84" s="7"/>
      <c r="Q84" s="11"/>
    </row>
    <row r="85" spans="1:36" s="32" customFormat="1" x14ac:dyDescent="0.2">
      <c r="A85" s="2">
        <v>37926</v>
      </c>
      <c r="B85" s="15">
        <v>161706401</v>
      </c>
      <c r="C85" s="15">
        <v>2724250</v>
      </c>
      <c r="D85" s="15"/>
      <c r="E85" s="15">
        <f t="shared" si="3"/>
        <v>164430651</v>
      </c>
      <c r="F85" s="211">
        <v>434.4</v>
      </c>
      <c r="G85" s="211">
        <v>0</v>
      </c>
      <c r="H85" s="34">
        <v>125.14477470537335</v>
      </c>
      <c r="I85" s="7">
        <v>30</v>
      </c>
      <c r="J85" s="7">
        <v>1</v>
      </c>
      <c r="K85" s="15">
        <v>0</v>
      </c>
      <c r="L85" s="210">
        <v>319.68</v>
      </c>
      <c r="M85" s="210">
        <v>609</v>
      </c>
      <c r="N85" s="210">
        <v>35.444444444444457</v>
      </c>
      <c r="O85" s="7">
        <f t="shared" si="4"/>
        <v>160840091.63320276</v>
      </c>
      <c r="P85" s="7"/>
      <c r="Q85" s="30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</row>
    <row r="86" spans="1:36" x14ac:dyDescent="0.2">
      <c r="A86" s="2">
        <v>37956</v>
      </c>
      <c r="B86" s="15">
        <v>174880179</v>
      </c>
      <c r="C86" s="15">
        <v>2977959</v>
      </c>
      <c r="D86" s="15">
        <v>-368072</v>
      </c>
      <c r="E86" s="15">
        <f t="shared" si="3"/>
        <v>177490066</v>
      </c>
      <c r="F86" s="211">
        <v>610</v>
      </c>
      <c r="G86" s="211">
        <v>0</v>
      </c>
      <c r="H86" s="35">
        <v>125.51474680022261</v>
      </c>
      <c r="I86" s="15">
        <v>31</v>
      </c>
      <c r="J86" s="15">
        <v>0</v>
      </c>
      <c r="K86" s="15">
        <v>0</v>
      </c>
      <c r="L86" s="210">
        <v>336.28800000000001</v>
      </c>
      <c r="M86" s="210">
        <v>609.20000000000005</v>
      </c>
      <c r="N86" s="210">
        <v>35.456084656084727</v>
      </c>
      <c r="O86" s="7">
        <f t="shared" si="4"/>
        <v>177708034.3308731</v>
      </c>
      <c r="P86" s="7"/>
      <c r="Q86" s="11"/>
    </row>
    <row r="87" spans="1:36" x14ac:dyDescent="0.2">
      <c r="A87" s="2">
        <v>37987</v>
      </c>
      <c r="B87" s="15">
        <v>189562615</v>
      </c>
      <c r="C87" s="15">
        <v>2786343</v>
      </c>
      <c r="D87" s="15"/>
      <c r="E87" s="15">
        <f t="shared" si="3"/>
        <v>192348958</v>
      </c>
      <c r="F87" s="211">
        <v>879.2</v>
      </c>
      <c r="G87" s="211">
        <v>0</v>
      </c>
      <c r="H87" s="34">
        <v>125.66024937363977</v>
      </c>
      <c r="I87" s="7">
        <v>31</v>
      </c>
      <c r="J87" s="7">
        <v>0</v>
      </c>
      <c r="K87" s="15">
        <v>0</v>
      </c>
      <c r="L87" s="210">
        <v>336.28800000000001</v>
      </c>
      <c r="M87" s="210">
        <v>605</v>
      </c>
      <c r="N87" s="210">
        <v>31.842105263157919</v>
      </c>
      <c r="O87" s="7">
        <f t="shared" si="4"/>
        <v>189184779.44150117</v>
      </c>
      <c r="P87" s="7"/>
      <c r="Q87" s="11"/>
    </row>
    <row r="88" spans="1:36" x14ac:dyDescent="0.2">
      <c r="A88" s="2">
        <v>38018</v>
      </c>
      <c r="B88" s="15">
        <v>170642379</v>
      </c>
      <c r="C88" s="15">
        <v>2536722</v>
      </c>
      <c r="D88" s="15">
        <v>-3315660</v>
      </c>
      <c r="E88" s="15">
        <f t="shared" si="3"/>
        <v>169863441</v>
      </c>
      <c r="F88" s="211">
        <v>699.2</v>
      </c>
      <c r="G88" s="211">
        <v>0</v>
      </c>
      <c r="H88" s="34">
        <v>125.80592062045517</v>
      </c>
      <c r="I88" s="7">
        <v>28</v>
      </c>
      <c r="J88" s="7">
        <v>0</v>
      </c>
      <c r="K88" s="15">
        <v>0</v>
      </c>
      <c r="L88" s="210">
        <v>320.16000000000003</v>
      </c>
      <c r="M88" s="210">
        <v>599.4</v>
      </c>
      <c r="N88" s="210">
        <v>31.547368421052624</v>
      </c>
      <c r="O88" s="7">
        <f t="shared" si="4"/>
        <v>169268632.56477711</v>
      </c>
      <c r="P88" s="7"/>
      <c r="Q88" s="11"/>
    </row>
    <row r="89" spans="1:36" x14ac:dyDescent="0.2">
      <c r="A89" s="2">
        <v>38047</v>
      </c>
      <c r="B89" s="15">
        <v>174351621</v>
      </c>
      <c r="C89" s="15">
        <v>2744613</v>
      </c>
      <c r="D89" s="15">
        <v>71211</v>
      </c>
      <c r="E89" s="15">
        <f t="shared" si="3"/>
        <v>177167445</v>
      </c>
      <c r="F89" s="211">
        <v>540.9</v>
      </c>
      <c r="G89" s="211">
        <v>0</v>
      </c>
      <c r="H89" s="34">
        <v>125.9517607362029</v>
      </c>
      <c r="I89" s="7">
        <v>31</v>
      </c>
      <c r="J89" s="7">
        <v>1</v>
      </c>
      <c r="K89" s="15">
        <v>0</v>
      </c>
      <c r="L89" s="210">
        <v>368.28</v>
      </c>
      <c r="M89" s="210">
        <v>595.4</v>
      </c>
      <c r="N89" s="210">
        <v>31.336842105263145</v>
      </c>
      <c r="O89" s="7">
        <f t="shared" si="4"/>
        <v>172311075.06145099</v>
      </c>
      <c r="P89" s="7"/>
      <c r="Q89" s="11"/>
    </row>
    <row r="90" spans="1:36" x14ac:dyDescent="0.2">
      <c r="A90" s="2">
        <v>38078</v>
      </c>
      <c r="B90" s="15">
        <v>154421408</v>
      </c>
      <c r="C90" s="15">
        <v>2589110</v>
      </c>
      <c r="D90" s="15">
        <v>62353</v>
      </c>
      <c r="E90" s="15">
        <f t="shared" si="3"/>
        <v>157072871</v>
      </c>
      <c r="F90" s="211">
        <v>354.1</v>
      </c>
      <c r="G90" s="211">
        <v>0</v>
      </c>
      <c r="H90" s="34">
        <v>126.09776991664374</v>
      </c>
      <c r="I90" s="7">
        <v>30</v>
      </c>
      <c r="J90" s="7">
        <v>1</v>
      </c>
      <c r="K90" s="15">
        <v>0</v>
      </c>
      <c r="L90" s="210">
        <v>336.24</v>
      </c>
      <c r="M90" s="210">
        <v>597.70000000000005</v>
      </c>
      <c r="N90" s="210">
        <v>31.45789473684215</v>
      </c>
      <c r="O90" s="7">
        <f t="shared" si="4"/>
        <v>158629096.0296405</v>
      </c>
      <c r="P90" s="7"/>
      <c r="Q90" s="11"/>
    </row>
    <row r="91" spans="1:36" x14ac:dyDescent="0.2">
      <c r="A91" s="2">
        <v>38108</v>
      </c>
      <c r="B91" s="15">
        <v>155074845</v>
      </c>
      <c r="C91" s="15">
        <v>2711255</v>
      </c>
      <c r="D91" s="15"/>
      <c r="E91" s="15">
        <f t="shared" si="3"/>
        <v>157786100</v>
      </c>
      <c r="F91" s="211">
        <v>196.2</v>
      </c>
      <c r="G91" s="211">
        <v>6.7</v>
      </c>
      <c r="H91" s="34">
        <v>126.2439483577654</v>
      </c>
      <c r="I91" s="7">
        <v>31</v>
      </c>
      <c r="J91" s="7">
        <v>1</v>
      </c>
      <c r="K91" s="15">
        <v>0</v>
      </c>
      <c r="L91" s="210">
        <v>319.92</v>
      </c>
      <c r="M91" s="210">
        <v>605.6</v>
      </c>
      <c r="N91" s="210">
        <v>31.873684210526335</v>
      </c>
      <c r="O91" s="7">
        <f t="shared" si="4"/>
        <v>156927499.18084982</v>
      </c>
      <c r="P91" s="7"/>
      <c r="Q91" s="11"/>
    </row>
    <row r="92" spans="1:36" x14ac:dyDescent="0.2">
      <c r="A92" s="2">
        <v>38139</v>
      </c>
      <c r="B92" s="15">
        <v>151445519</v>
      </c>
      <c r="C92" s="15">
        <v>2607440</v>
      </c>
      <c r="D92" s="15"/>
      <c r="E92" s="15">
        <f t="shared" si="3"/>
        <v>154052959</v>
      </c>
      <c r="F92" s="211">
        <v>92.5</v>
      </c>
      <c r="G92" s="211">
        <v>16.3</v>
      </c>
      <c r="H92" s="34">
        <v>126.3902962557828</v>
      </c>
      <c r="I92" s="7">
        <v>30</v>
      </c>
      <c r="J92" s="7">
        <v>0</v>
      </c>
      <c r="K92" s="15">
        <v>0</v>
      </c>
      <c r="L92" s="210">
        <v>352.08</v>
      </c>
      <c r="M92" s="210">
        <v>615.4</v>
      </c>
      <c r="N92" s="210">
        <v>32.389473684210543</v>
      </c>
      <c r="O92" s="7">
        <f t="shared" si="4"/>
        <v>159570711.74641177</v>
      </c>
      <c r="P92" s="7"/>
      <c r="Q92" s="11"/>
    </row>
    <row r="93" spans="1:36" x14ac:dyDescent="0.2">
      <c r="A93" s="2">
        <v>38169</v>
      </c>
      <c r="B93" s="15">
        <v>161093187</v>
      </c>
      <c r="C93" s="15">
        <v>2540291</v>
      </c>
      <c r="D93" s="15"/>
      <c r="E93" s="15">
        <f t="shared" si="3"/>
        <v>163633478</v>
      </c>
      <c r="F93" s="211">
        <v>21.3</v>
      </c>
      <c r="G93" s="211">
        <v>49.3</v>
      </c>
      <c r="H93" s="34">
        <v>126.5368138071383</v>
      </c>
      <c r="I93" s="7">
        <v>31</v>
      </c>
      <c r="J93" s="7">
        <v>0</v>
      </c>
      <c r="K93" s="15">
        <v>0</v>
      </c>
      <c r="L93" s="210">
        <v>336.28800000000001</v>
      </c>
      <c r="M93" s="210">
        <v>623.79999999999995</v>
      </c>
      <c r="N93" s="210">
        <v>32.831578947368484</v>
      </c>
      <c r="O93" s="7">
        <f t="shared" si="4"/>
        <v>169371664.78884456</v>
      </c>
      <c r="P93" s="7"/>
      <c r="Q93" s="11"/>
    </row>
    <row r="94" spans="1:36" x14ac:dyDescent="0.2">
      <c r="A94" s="2">
        <v>38200</v>
      </c>
      <c r="B94" s="15">
        <v>162034399</v>
      </c>
      <c r="C94" s="15">
        <v>2581462</v>
      </c>
      <c r="D94" s="15">
        <v>-477682</v>
      </c>
      <c r="E94" s="15">
        <f t="shared" si="3"/>
        <v>164138179</v>
      </c>
      <c r="F94" s="211">
        <v>55</v>
      </c>
      <c r="G94" s="211">
        <v>30.6</v>
      </c>
      <c r="H94" s="34">
        <v>126.68350120850199</v>
      </c>
      <c r="I94" s="7">
        <v>31</v>
      </c>
      <c r="J94" s="7">
        <v>0</v>
      </c>
      <c r="K94" s="15">
        <v>0</v>
      </c>
      <c r="L94" s="210">
        <v>336.28800000000001</v>
      </c>
      <c r="M94" s="210">
        <v>625.70000000000005</v>
      </c>
      <c r="N94" s="210">
        <v>32.931578947368507</v>
      </c>
      <c r="O94" s="7">
        <f t="shared" si="4"/>
        <v>165382395.24503526</v>
      </c>
      <c r="P94" s="7"/>
      <c r="Q94" s="11"/>
    </row>
    <row r="95" spans="1:36" x14ac:dyDescent="0.2">
      <c r="A95" s="2">
        <v>38231</v>
      </c>
      <c r="B95" s="15">
        <v>160831449</v>
      </c>
      <c r="C95" s="15">
        <v>2714436</v>
      </c>
      <c r="D95" s="15">
        <v>310453</v>
      </c>
      <c r="E95" s="15">
        <f t="shared" si="3"/>
        <v>163856338</v>
      </c>
      <c r="F95" s="211">
        <v>71.3</v>
      </c>
      <c r="G95" s="211">
        <v>13.7</v>
      </c>
      <c r="H95" s="34">
        <v>126.83035865677196</v>
      </c>
      <c r="I95" s="7">
        <v>30</v>
      </c>
      <c r="J95" s="7">
        <v>1</v>
      </c>
      <c r="K95" s="15">
        <v>0</v>
      </c>
      <c r="L95" s="210">
        <v>336.24</v>
      </c>
      <c r="M95" s="210">
        <v>626.70000000000005</v>
      </c>
      <c r="N95" s="210">
        <v>32.984210526315792</v>
      </c>
      <c r="O95" s="7">
        <f t="shared" si="4"/>
        <v>152950750.94183084</v>
      </c>
      <c r="P95" s="7"/>
      <c r="Q95" s="11"/>
    </row>
    <row r="96" spans="1:36" x14ac:dyDescent="0.2">
      <c r="A96" s="2">
        <v>38261</v>
      </c>
      <c r="B96" s="15">
        <v>158310504</v>
      </c>
      <c r="C96" s="15">
        <v>2720287</v>
      </c>
      <c r="D96" s="15">
        <v>-949360</v>
      </c>
      <c r="E96" s="15">
        <f t="shared" si="3"/>
        <v>160081431</v>
      </c>
      <c r="F96" s="211">
        <v>287.5</v>
      </c>
      <c r="G96" s="211">
        <v>0</v>
      </c>
      <c r="H96" s="34">
        <v>126.97738634907456</v>
      </c>
      <c r="I96" s="7">
        <v>31</v>
      </c>
      <c r="J96" s="7">
        <v>1</v>
      </c>
      <c r="K96" s="15">
        <v>0</v>
      </c>
      <c r="L96" s="210">
        <v>319.92</v>
      </c>
      <c r="M96" s="210">
        <v>625.1</v>
      </c>
      <c r="N96" s="210">
        <v>32.899999999999977</v>
      </c>
      <c r="O96" s="7">
        <f t="shared" si="4"/>
        <v>160188797.94252226</v>
      </c>
      <c r="P96" s="7"/>
      <c r="Q96" s="11"/>
    </row>
    <row r="97" spans="1:17" x14ac:dyDescent="0.2">
      <c r="A97" s="2">
        <v>38292</v>
      </c>
      <c r="B97" s="15">
        <v>163948548</v>
      </c>
      <c r="C97" s="15">
        <v>2299838</v>
      </c>
      <c r="D97" s="15"/>
      <c r="E97" s="15">
        <f t="shared" si="3"/>
        <v>166248386</v>
      </c>
      <c r="F97" s="211">
        <v>432.9</v>
      </c>
      <c r="G97" s="211">
        <v>0</v>
      </c>
      <c r="H97" s="34">
        <v>127.12458448276465</v>
      </c>
      <c r="I97" s="7">
        <v>30</v>
      </c>
      <c r="J97" s="7">
        <v>1</v>
      </c>
      <c r="K97" s="15">
        <v>0</v>
      </c>
      <c r="L97" s="210">
        <v>352.08</v>
      </c>
      <c r="M97" s="210">
        <v>625.20000000000005</v>
      </c>
      <c r="N97" s="210">
        <v>32.905263157894751</v>
      </c>
      <c r="O97" s="7">
        <f t="shared" si="4"/>
        <v>165155806.9850384</v>
      </c>
      <c r="P97" s="7"/>
      <c r="Q97" s="11"/>
    </row>
    <row r="98" spans="1:17" x14ac:dyDescent="0.2">
      <c r="A98" s="2">
        <v>38322</v>
      </c>
      <c r="B98" s="15">
        <v>180723559</v>
      </c>
      <c r="C98" s="15">
        <v>3176884</v>
      </c>
      <c r="D98" s="15">
        <v>-401923</v>
      </c>
      <c r="E98" s="15">
        <f t="shared" si="3"/>
        <v>183498520</v>
      </c>
      <c r="F98" s="211">
        <v>700.1</v>
      </c>
      <c r="G98" s="211">
        <v>0</v>
      </c>
      <c r="H98" s="34">
        <v>127.27195325542573</v>
      </c>
      <c r="I98" s="7">
        <v>31</v>
      </c>
      <c r="J98" s="7">
        <v>0</v>
      </c>
      <c r="K98" s="15">
        <v>0</v>
      </c>
      <c r="L98" s="210">
        <v>336.28800000000001</v>
      </c>
      <c r="M98" s="210">
        <v>628.4</v>
      </c>
      <c r="N98" s="210">
        <v>33.07368421052638</v>
      </c>
      <c r="O98" s="7">
        <f t="shared" si="4"/>
        <v>183538672.27761689</v>
      </c>
      <c r="P98" s="7"/>
      <c r="Q98" s="11"/>
    </row>
    <row r="99" spans="1:17" x14ac:dyDescent="0.2">
      <c r="A99" s="2">
        <v>38353</v>
      </c>
      <c r="B99" s="15">
        <v>188798513</v>
      </c>
      <c r="C99" s="15">
        <v>3146681</v>
      </c>
      <c r="D99" s="15">
        <v>-19582.560000000001</v>
      </c>
      <c r="E99" s="15">
        <f t="shared" ref="E99:E130" si="5">SUM(B99:D99)</f>
        <v>191925611.44</v>
      </c>
      <c r="F99" s="211">
        <v>814.7</v>
      </c>
      <c r="G99" s="211">
        <v>0</v>
      </c>
      <c r="H99" s="34">
        <v>127.53411264087498</v>
      </c>
      <c r="I99" s="7">
        <v>31</v>
      </c>
      <c r="J99" s="7">
        <v>0</v>
      </c>
      <c r="K99" s="15">
        <f>+'CDM Activity'!F41</f>
        <v>3751.0641025641025</v>
      </c>
      <c r="L99" s="210">
        <v>319.92</v>
      </c>
      <c r="M99" s="210">
        <v>629.5</v>
      </c>
      <c r="N99" s="210">
        <v>35.230728616684246</v>
      </c>
      <c r="O99" s="7">
        <f t="shared" si="4"/>
        <v>186876485.70357329</v>
      </c>
      <c r="P99" s="7"/>
      <c r="Q99" s="11"/>
    </row>
    <row r="100" spans="1:17" x14ac:dyDescent="0.2">
      <c r="A100" s="2">
        <v>38384</v>
      </c>
      <c r="B100" s="15">
        <v>165602742</v>
      </c>
      <c r="C100" s="15">
        <v>2849225</v>
      </c>
      <c r="D100" s="15">
        <v>-707168.89350000001</v>
      </c>
      <c r="E100" s="15">
        <f t="shared" si="5"/>
        <v>167744798.1065</v>
      </c>
      <c r="F100" s="211">
        <v>683.5</v>
      </c>
      <c r="G100" s="211">
        <v>0</v>
      </c>
      <c r="H100" s="34">
        <v>127.79681203173486</v>
      </c>
      <c r="I100" s="7">
        <v>29</v>
      </c>
      <c r="J100" s="7">
        <v>0</v>
      </c>
      <c r="K100" s="15">
        <f>+'CDM Activity'!F42</f>
        <v>7502.1282051282051</v>
      </c>
      <c r="L100" s="210">
        <v>319.87200000000001</v>
      </c>
      <c r="M100" s="210">
        <v>630.9</v>
      </c>
      <c r="N100" s="210">
        <v>35.309081309398152</v>
      </c>
      <c r="O100" s="7">
        <f t="shared" si="4"/>
        <v>174308111.10924655</v>
      </c>
      <c r="P100" s="7"/>
      <c r="Q100" s="11"/>
    </row>
    <row r="101" spans="1:17" x14ac:dyDescent="0.2">
      <c r="A101" s="2">
        <v>38412</v>
      </c>
      <c r="B101" s="15">
        <v>174909060</v>
      </c>
      <c r="C101" s="15">
        <v>3161543</v>
      </c>
      <c r="D101" s="15">
        <v>19853</v>
      </c>
      <c r="E101" s="15">
        <f t="shared" si="5"/>
        <v>178090456</v>
      </c>
      <c r="F101" s="211">
        <v>680.5</v>
      </c>
      <c r="G101" s="211">
        <v>0</v>
      </c>
      <c r="H101" s="34">
        <v>128.06005254032812</v>
      </c>
      <c r="I101" s="7">
        <v>31</v>
      </c>
      <c r="J101" s="7">
        <v>1</v>
      </c>
      <c r="K101" s="15">
        <f>+'CDM Activity'!F43</f>
        <v>11253.192307692309</v>
      </c>
      <c r="L101" s="210">
        <v>351.91199999999998</v>
      </c>
      <c r="M101" s="210">
        <v>628.1</v>
      </c>
      <c r="N101" s="210">
        <v>35.152375923970453</v>
      </c>
      <c r="O101" s="7">
        <f t="shared" si="4"/>
        <v>179095242.85575151</v>
      </c>
      <c r="P101" s="7"/>
      <c r="Q101" s="11"/>
    </row>
    <row r="102" spans="1:17" x14ac:dyDescent="0.2">
      <c r="A102" s="2">
        <v>38443</v>
      </c>
      <c r="B102" s="15">
        <v>154079250</v>
      </c>
      <c r="C102" s="15">
        <v>2996257</v>
      </c>
      <c r="D102" s="15"/>
      <c r="E102" s="15">
        <f t="shared" si="5"/>
        <v>157075507</v>
      </c>
      <c r="F102" s="211">
        <v>354.6</v>
      </c>
      <c r="G102" s="211">
        <v>0</v>
      </c>
      <c r="H102" s="34">
        <v>128.32383528126866</v>
      </c>
      <c r="I102" s="7">
        <v>30</v>
      </c>
      <c r="J102" s="7">
        <v>1</v>
      </c>
      <c r="K102" s="15">
        <f>+'CDM Activity'!F44</f>
        <v>15004.25641025641</v>
      </c>
      <c r="L102" s="210">
        <v>336.24</v>
      </c>
      <c r="M102" s="210">
        <v>631.29999999999995</v>
      </c>
      <c r="N102" s="210">
        <v>35.331467793030697</v>
      </c>
      <c r="O102" s="7">
        <f t="shared" si="4"/>
        <v>160916420.39735544</v>
      </c>
      <c r="P102" s="7"/>
      <c r="Q102" s="11"/>
    </row>
    <row r="103" spans="1:17" x14ac:dyDescent="0.2">
      <c r="A103" s="2">
        <v>38473</v>
      </c>
      <c r="B103" s="15">
        <v>153459374</v>
      </c>
      <c r="C103" s="15">
        <v>3142852</v>
      </c>
      <c r="D103" s="15"/>
      <c r="E103" s="15">
        <f t="shared" si="5"/>
        <v>156602226</v>
      </c>
      <c r="F103" s="211">
        <v>244.9</v>
      </c>
      <c r="G103" s="211">
        <v>0</v>
      </c>
      <c r="H103" s="34">
        <v>128.58816137146633</v>
      </c>
      <c r="I103" s="7">
        <v>31</v>
      </c>
      <c r="J103" s="7">
        <v>1</v>
      </c>
      <c r="K103" s="15">
        <f>+'CDM Activity'!F45</f>
        <v>18755.320512820512</v>
      </c>
      <c r="L103" s="210">
        <v>336.28800000000001</v>
      </c>
      <c r="M103" s="210">
        <v>638.6</v>
      </c>
      <c r="N103" s="210">
        <v>35.740021119324183</v>
      </c>
      <c r="O103" s="7">
        <f t="shared" si="4"/>
        <v>160454235.0782423</v>
      </c>
      <c r="P103" s="7"/>
      <c r="Q103" s="11"/>
    </row>
    <row r="104" spans="1:17" x14ac:dyDescent="0.2">
      <c r="A104" s="2">
        <v>38504</v>
      </c>
      <c r="B104" s="15">
        <v>182430580</v>
      </c>
      <c r="C104" s="15">
        <v>3025792</v>
      </c>
      <c r="D104" s="15"/>
      <c r="E104" s="15">
        <f t="shared" si="5"/>
        <v>185456372</v>
      </c>
      <c r="F104" s="211">
        <v>27.3</v>
      </c>
      <c r="G104" s="211">
        <v>104.8</v>
      </c>
      <c r="H104" s="34">
        <v>128.85303193013166</v>
      </c>
      <c r="I104" s="7">
        <v>30</v>
      </c>
      <c r="J104" s="7">
        <v>0</v>
      </c>
      <c r="K104" s="15">
        <f>+'CDM Activity'!F46</f>
        <v>22506.384615384613</v>
      </c>
      <c r="L104" s="210">
        <v>352.08</v>
      </c>
      <c r="M104" s="210">
        <v>648.1</v>
      </c>
      <c r="N104" s="210">
        <v>36.271700105596665</v>
      </c>
      <c r="O104" s="7">
        <f t="shared" si="4"/>
        <v>185316495.19387513</v>
      </c>
      <c r="P104" s="7"/>
      <c r="Q104" s="11"/>
    </row>
    <row r="105" spans="1:17" x14ac:dyDescent="0.2">
      <c r="A105" s="2">
        <v>38534</v>
      </c>
      <c r="B105" s="15">
        <v>179553228</v>
      </c>
      <c r="C105" s="15">
        <v>3123730</v>
      </c>
      <c r="D105" s="15"/>
      <c r="E105" s="15">
        <f t="shared" si="5"/>
        <v>182676958</v>
      </c>
      <c r="F105" s="211">
        <v>6.8</v>
      </c>
      <c r="G105" s="211">
        <v>105.4</v>
      </c>
      <c r="H105" s="34">
        <v>129.11844807878055</v>
      </c>
      <c r="I105" s="7">
        <v>31</v>
      </c>
      <c r="J105" s="7">
        <v>0</v>
      </c>
      <c r="K105" s="15">
        <f>+'CDM Activity'!F47</f>
        <v>26257.448717948715</v>
      </c>
      <c r="L105" s="210">
        <v>319.92</v>
      </c>
      <c r="M105" s="210">
        <v>653.1</v>
      </c>
      <c r="N105" s="210">
        <v>36.551531151003246</v>
      </c>
      <c r="O105" s="7">
        <f t="shared" si="4"/>
        <v>186141155.10156915</v>
      </c>
      <c r="P105" s="7"/>
      <c r="Q105" s="11"/>
    </row>
    <row r="106" spans="1:17" x14ac:dyDescent="0.2">
      <c r="A106" s="2">
        <v>38565</v>
      </c>
      <c r="B106" s="15">
        <v>184426854</v>
      </c>
      <c r="C106" s="15">
        <v>3121647</v>
      </c>
      <c r="D106" s="15">
        <v>-469032.93839999998</v>
      </c>
      <c r="E106" s="15">
        <f t="shared" si="5"/>
        <v>187079468.0616</v>
      </c>
      <c r="F106" s="211">
        <v>11.9</v>
      </c>
      <c r="G106" s="211">
        <v>67.900000000000006</v>
      </c>
      <c r="H106" s="34">
        <v>129.38441094123903</v>
      </c>
      <c r="I106" s="7">
        <v>31</v>
      </c>
      <c r="J106" s="7">
        <v>0</v>
      </c>
      <c r="K106" s="15">
        <f>+'CDM Activity'!F48</f>
        <v>30008.512820512817</v>
      </c>
      <c r="L106" s="210">
        <v>351.91199999999998</v>
      </c>
      <c r="M106" s="210">
        <v>655.6</v>
      </c>
      <c r="N106" s="210">
        <v>36.691446673706423</v>
      </c>
      <c r="O106" s="7">
        <f t="shared" si="4"/>
        <v>177870066.00261351</v>
      </c>
      <c r="P106" s="7"/>
      <c r="Q106" s="11"/>
    </row>
    <row r="107" spans="1:17" x14ac:dyDescent="0.2">
      <c r="A107" s="2">
        <v>38596</v>
      </c>
      <c r="B107" s="15">
        <v>159422370</v>
      </c>
      <c r="C107" s="15">
        <v>3056133</v>
      </c>
      <c r="D107" s="15">
        <v>-1028606</v>
      </c>
      <c r="E107" s="15">
        <f t="shared" si="5"/>
        <v>161449897</v>
      </c>
      <c r="F107" s="211">
        <v>63.4</v>
      </c>
      <c r="G107" s="211">
        <v>13.7</v>
      </c>
      <c r="H107" s="34">
        <v>129.65092164364802</v>
      </c>
      <c r="I107" s="7">
        <v>30</v>
      </c>
      <c r="J107" s="7">
        <v>1</v>
      </c>
      <c r="K107" s="15">
        <f>+'CDM Activity'!F49</f>
        <v>33759.576923076922</v>
      </c>
      <c r="L107" s="210">
        <v>336.24</v>
      </c>
      <c r="M107" s="210">
        <v>652.20000000000005</v>
      </c>
      <c r="N107" s="210">
        <v>36.501161562830021</v>
      </c>
      <c r="O107" s="7">
        <f t="shared" si="4"/>
        <v>154353805.75649181</v>
      </c>
      <c r="P107" s="7"/>
      <c r="Q107" s="11"/>
    </row>
    <row r="108" spans="1:17" x14ac:dyDescent="0.2">
      <c r="A108" s="2">
        <v>38626</v>
      </c>
      <c r="B108" s="15">
        <v>160516274</v>
      </c>
      <c r="C108" s="15">
        <v>2883941</v>
      </c>
      <c r="D108" s="15">
        <v>26941</v>
      </c>
      <c r="E108" s="15">
        <f t="shared" si="5"/>
        <v>163427156</v>
      </c>
      <c r="F108" s="211">
        <v>259.89999999999998</v>
      </c>
      <c r="G108" s="211">
        <v>2.6</v>
      </c>
      <c r="H108" s="34">
        <v>129.91798131446814</v>
      </c>
      <c r="I108" s="7">
        <v>31</v>
      </c>
      <c r="J108" s="7">
        <v>1</v>
      </c>
      <c r="K108" s="15">
        <f>+'CDM Activity'!F50</f>
        <v>37510.641025641024</v>
      </c>
      <c r="L108" s="210">
        <v>319.92</v>
      </c>
      <c r="M108" s="210">
        <v>649.79999999999995</v>
      </c>
      <c r="N108" s="210">
        <v>36.366842661034866</v>
      </c>
      <c r="O108" s="7">
        <f t="shared" si="4"/>
        <v>161492145.25794068</v>
      </c>
      <c r="P108" s="7"/>
      <c r="Q108" s="11"/>
    </row>
    <row r="109" spans="1:17" x14ac:dyDescent="0.2">
      <c r="A109" s="2">
        <v>38657</v>
      </c>
      <c r="B109" s="15">
        <v>166028954</v>
      </c>
      <c r="C109" s="15">
        <v>3104938</v>
      </c>
      <c r="D109" s="15"/>
      <c r="E109" s="15">
        <f t="shared" si="5"/>
        <v>169133892</v>
      </c>
      <c r="F109" s="211">
        <v>433.1</v>
      </c>
      <c r="G109" s="211">
        <v>0</v>
      </c>
      <c r="H109" s="34">
        <v>130.18559108448443</v>
      </c>
      <c r="I109" s="7">
        <v>30</v>
      </c>
      <c r="J109" s="7">
        <v>1</v>
      </c>
      <c r="K109" s="15">
        <f>+'CDM Activity'!F51</f>
        <v>41261.705128205125</v>
      </c>
      <c r="L109" s="210">
        <v>352.08</v>
      </c>
      <c r="M109" s="210">
        <v>643.79999999999995</v>
      </c>
      <c r="N109" s="210">
        <v>36.031045406547037</v>
      </c>
      <c r="O109" s="7">
        <f t="shared" si="4"/>
        <v>166445597.06224477</v>
      </c>
      <c r="P109" s="7"/>
      <c r="Q109" s="11"/>
    </row>
    <row r="110" spans="1:17" x14ac:dyDescent="0.2">
      <c r="A110" s="2">
        <v>38687</v>
      </c>
      <c r="B110" s="15">
        <v>182966259</v>
      </c>
      <c r="C110" s="15">
        <v>3207148</v>
      </c>
      <c r="D110" s="15">
        <v>-471654.03389999998</v>
      </c>
      <c r="E110" s="15">
        <f t="shared" si="5"/>
        <v>185701752.96610001</v>
      </c>
      <c r="F110" s="211">
        <v>721.6</v>
      </c>
      <c r="G110" s="211">
        <v>0</v>
      </c>
      <c r="H110" s="34">
        <v>130.45375208681136</v>
      </c>
      <c r="I110" s="7">
        <v>31</v>
      </c>
      <c r="J110" s="7">
        <v>0</v>
      </c>
      <c r="K110" s="15">
        <f>+'CDM Activity'!F52</f>
        <v>45012.769230769227</v>
      </c>
      <c r="L110" s="210">
        <v>319.92</v>
      </c>
      <c r="M110" s="210">
        <v>644.6</v>
      </c>
      <c r="N110" s="210">
        <v>36.075818373812126</v>
      </c>
      <c r="O110" s="7">
        <f t="shared" si="4"/>
        <v>184308491.96779811</v>
      </c>
      <c r="P110" s="7"/>
      <c r="Q110" s="11"/>
    </row>
    <row r="111" spans="1:17" x14ac:dyDescent="0.2">
      <c r="A111" s="2">
        <v>38718</v>
      </c>
      <c r="B111" s="15">
        <v>178288001</v>
      </c>
      <c r="C111" s="15">
        <v>3127236</v>
      </c>
      <c r="D111" s="15">
        <v>-530840.55449999997</v>
      </c>
      <c r="E111" s="15">
        <f t="shared" si="5"/>
        <v>180884396.44549999</v>
      </c>
      <c r="F111" s="211">
        <v>590.6</v>
      </c>
      <c r="G111" s="211">
        <v>0</v>
      </c>
      <c r="H111" s="34">
        <v>130.74370215685079</v>
      </c>
      <c r="I111" s="7">
        <v>31</v>
      </c>
      <c r="J111" s="7">
        <v>0</v>
      </c>
      <c r="K111" s="15">
        <f>+'CDM Activity'!F53</f>
        <v>175585.5094931614</v>
      </c>
      <c r="L111" s="210">
        <v>336.28800000000001</v>
      </c>
      <c r="M111" s="210">
        <v>643.6</v>
      </c>
      <c r="N111" s="210">
        <v>33.873684210526335</v>
      </c>
      <c r="O111" s="7">
        <f t="shared" si="4"/>
        <v>179867684.5344187</v>
      </c>
      <c r="P111" s="7"/>
      <c r="Q111" s="11"/>
    </row>
    <row r="112" spans="1:17" x14ac:dyDescent="0.2">
      <c r="A112" s="2">
        <v>38749</v>
      </c>
      <c r="B112" s="15">
        <v>164479598</v>
      </c>
      <c r="C112" s="15">
        <v>2883550</v>
      </c>
      <c r="D112" s="15">
        <v>19066</v>
      </c>
      <c r="E112" s="15">
        <f t="shared" si="5"/>
        <v>167382214</v>
      </c>
      <c r="F112" s="211">
        <v>651.20000000000005</v>
      </c>
      <c r="G112" s="211">
        <v>0</v>
      </c>
      <c r="H112" s="34">
        <v>131.0342966778299</v>
      </c>
      <c r="I112" s="7">
        <v>28</v>
      </c>
      <c r="J112" s="7">
        <v>0</v>
      </c>
      <c r="K112" s="15">
        <f>+'CDM Activity'!F54</f>
        <v>306158.24975555355</v>
      </c>
      <c r="L112" s="210">
        <v>319.87200000000001</v>
      </c>
      <c r="M112" s="210">
        <v>642.9</v>
      </c>
      <c r="N112" s="210">
        <v>33.836842105263145</v>
      </c>
      <c r="O112" s="7">
        <f t="shared" si="4"/>
        <v>169832555.95404831</v>
      </c>
      <c r="P112" s="7"/>
      <c r="Q112" s="11"/>
    </row>
    <row r="113" spans="1:17" x14ac:dyDescent="0.2">
      <c r="A113" s="2">
        <v>38777</v>
      </c>
      <c r="B113" s="15">
        <v>172892182</v>
      </c>
      <c r="C113" s="15">
        <v>3232734</v>
      </c>
      <c r="D113" s="15"/>
      <c r="E113" s="15">
        <f t="shared" si="5"/>
        <v>176124916</v>
      </c>
      <c r="F113" s="211">
        <v>562.4</v>
      </c>
      <c r="G113" s="211">
        <v>0</v>
      </c>
      <c r="H113" s="34">
        <v>131.32553708212293</v>
      </c>
      <c r="I113" s="7">
        <v>31</v>
      </c>
      <c r="J113" s="7">
        <v>1</v>
      </c>
      <c r="K113" s="15">
        <f>+'CDM Activity'!F55</f>
        <v>436730.9900179457</v>
      </c>
      <c r="L113" s="210">
        <v>368.28</v>
      </c>
      <c r="M113" s="210">
        <v>641</v>
      </c>
      <c r="N113" s="210">
        <v>33.736842105263236</v>
      </c>
      <c r="O113" s="7">
        <f t="shared" si="4"/>
        <v>175460615.80547762</v>
      </c>
      <c r="P113" s="7"/>
      <c r="Q113" s="11"/>
    </row>
    <row r="114" spans="1:17" x14ac:dyDescent="0.2">
      <c r="A114" s="2">
        <v>38808</v>
      </c>
      <c r="B114" s="15">
        <v>148908687</v>
      </c>
      <c r="C114" s="15">
        <v>3056277</v>
      </c>
      <c r="D114" s="15"/>
      <c r="E114" s="15">
        <f t="shared" si="5"/>
        <v>151964964</v>
      </c>
      <c r="F114" s="211">
        <v>322.5</v>
      </c>
      <c r="G114" s="211">
        <v>0</v>
      </c>
      <c r="H114" s="34">
        <v>131.61742480528775</v>
      </c>
      <c r="I114" s="7">
        <v>30</v>
      </c>
      <c r="J114" s="7">
        <v>1</v>
      </c>
      <c r="K114" s="15">
        <f>+'CDM Activity'!F56</f>
        <v>567303.73028033786</v>
      </c>
      <c r="L114" s="210">
        <v>303.83999999999997</v>
      </c>
      <c r="M114" s="210">
        <v>643.6</v>
      </c>
      <c r="N114" s="210">
        <v>33.873684210526335</v>
      </c>
      <c r="O114" s="7">
        <f t="shared" si="4"/>
        <v>156617235.72674608</v>
      </c>
      <c r="P114" s="7"/>
      <c r="Q114" s="11"/>
    </row>
    <row r="115" spans="1:17" x14ac:dyDescent="0.2">
      <c r="A115" s="2">
        <v>38838</v>
      </c>
      <c r="B115" s="15">
        <v>156565358</v>
      </c>
      <c r="C115" s="15">
        <v>3089254</v>
      </c>
      <c r="D115" s="15"/>
      <c r="E115" s="15">
        <f t="shared" si="5"/>
        <v>159654612</v>
      </c>
      <c r="F115" s="211">
        <v>177.8</v>
      </c>
      <c r="G115" s="211">
        <v>17.7</v>
      </c>
      <c r="H115" s="34">
        <v>131.90996128607298</v>
      </c>
      <c r="I115" s="7">
        <v>31</v>
      </c>
      <c r="J115" s="7">
        <v>1</v>
      </c>
      <c r="K115" s="15">
        <f>+'CDM Activity'!F57</f>
        <v>697876.47054273007</v>
      </c>
      <c r="L115" s="210">
        <v>351.91199999999998</v>
      </c>
      <c r="M115" s="210">
        <v>652.29999999999995</v>
      </c>
      <c r="N115" s="210">
        <v>34.331578947368484</v>
      </c>
      <c r="O115" s="7">
        <f t="shared" si="4"/>
        <v>163231718.40043423</v>
      </c>
      <c r="P115" s="7"/>
      <c r="Q115" s="11"/>
    </row>
    <row r="116" spans="1:17" x14ac:dyDescent="0.2">
      <c r="A116" s="2">
        <v>38869</v>
      </c>
      <c r="B116" s="15">
        <v>163419920</v>
      </c>
      <c r="C116" s="15">
        <v>2996747</v>
      </c>
      <c r="D116" s="15">
        <v>-480406.83250000002</v>
      </c>
      <c r="E116" s="15">
        <f t="shared" si="5"/>
        <v>165936260.16749999</v>
      </c>
      <c r="F116" s="211">
        <v>44.1</v>
      </c>
      <c r="G116" s="211">
        <v>32.200000000000003</v>
      </c>
      <c r="H116" s="34">
        <v>132.20314796642501</v>
      </c>
      <c r="I116" s="7">
        <v>30</v>
      </c>
      <c r="J116" s="7">
        <v>0</v>
      </c>
      <c r="K116" s="15">
        <f>+'CDM Activity'!F58</f>
        <v>828449.21080512227</v>
      </c>
      <c r="L116" s="210">
        <v>352.08</v>
      </c>
      <c r="M116" s="210">
        <v>660</v>
      </c>
      <c r="N116" s="210">
        <v>34.736842105263236</v>
      </c>
      <c r="O116" s="7">
        <f t="shared" si="4"/>
        <v>163002548.31204483</v>
      </c>
      <c r="P116" s="7"/>
      <c r="Q116" s="11"/>
    </row>
    <row r="117" spans="1:17" x14ac:dyDescent="0.2">
      <c r="A117" s="2">
        <v>38899</v>
      </c>
      <c r="B117" s="15">
        <v>177939977</v>
      </c>
      <c r="C117" s="15">
        <v>3157808</v>
      </c>
      <c r="D117" s="15">
        <v>-891711.20449999999</v>
      </c>
      <c r="E117" s="15">
        <f t="shared" si="5"/>
        <v>180206073.79550001</v>
      </c>
      <c r="F117" s="211">
        <v>6.5</v>
      </c>
      <c r="G117" s="211">
        <v>117.2</v>
      </c>
      <c r="H117" s="34">
        <v>132.49698629149512</v>
      </c>
      <c r="I117" s="7">
        <v>31</v>
      </c>
      <c r="J117" s="7">
        <v>0</v>
      </c>
      <c r="K117" s="15">
        <f>+'CDM Activity'!F59</f>
        <v>959021.95106751448</v>
      </c>
      <c r="L117" s="210">
        <v>319.92</v>
      </c>
      <c r="M117" s="210">
        <v>665.1</v>
      </c>
      <c r="N117" s="210">
        <v>35.005263157894774</v>
      </c>
      <c r="O117" s="7">
        <f t="shared" si="4"/>
        <v>187681779.66057566</v>
      </c>
      <c r="P117" s="7"/>
      <c r="Q117" s="11"/>
    </row>
    <row r="118" spans="1:17" x14ac:dyDescent="0.2">
      <c r="A118" s="2">
        <v>38930</v>
      </c>
      <c r="B118" s="15">
        <v>167043152</v>
      </c>
      <c r="C118" s="15">
        <v>3155436</v>
      </c>
      <c r="D118" s="15">
        <v>121285</v>
      </c>
      <c r="E118" s="15">
        <f t="shared" si="5"/>
        <v>170319873</v>
      </c>
      <c r="F118" s="211">
        <v>27.5</v>
      </c>
      <c r="G118" s="211">
        <v>45.5</v>
      </c>
      <c r="H118" s="34">
        <v>132.79147770964664</v>
      </c>
      <c r="I118" s="7">
        <v>31</v>
      </c>
      <c r="J118" s="7">
        <v>0</v>
      </c>
      <c r="K118" s="15">
        <f>+'CDM Activity'!F60</f>
        <v>1089594.6913299067</v>
      </c>
      <c r="L118" s="210">
        <v>351.91199999999998</v>
      </c>
      <c r="M118" s="210">
        <v>667.3</v>
      </c>
      <c r="N118" s="210">
        <v>35.121052631579005</v>
      </c>
      <c r="O118" s="7">
        <f t="shared" si="4"/>
        <v>169419732.60477912</v>
      </c>
      <c r="P118" s="7"/>
      <c r="Q118" s="11"/>
    </row>
    <row r="119" spans="1:17" x14ac:dyDescent="0.2">
      <c r="A119" s="2">
        <v>38961</v>
      </c>
      <c r="B119" s="15">
        <v>143344914</v>
      </c>
      <c r="C119" s="15">
        <v>3068450</v>
      </c>
      <c r="D119" s="15"/>
      <c r="E119" s="15">
        <f t="shared" si="5"/>
        <v>146413364</v>
      </c>
      <c r="F119" s="211">
        <v>130.30000000000001</v>
      </c>
      <c r="G119" s="211">
        <v>2.2999999999999998</v>
      </c>
      <c r="H119" s="34">
        <v>133.08662367246211</v>
      </c>
      <c r="I119" s="7">
        <v>30</v>
      </c>
      <c r="J119" s="7">
        <v>1</v>
      </c>
      <c r="K119" s="15">
        <f>+'CDM Activity'!F61</f>
        <v>1220167.4315922989</v>
      </c>
      <c r="L119" s="210">
        <v>319.68</v>
      </c>
      <c r="M119" s="210">
        <v>664.9</v>
      </c>
      <c r="N119" s="210">
        <v>34.99473684210534</v>
      </c>
      <c r="O119" s="7">
        <f t="shared" si="4"/>
        <v>149623219.20172751</v>
      </c>
      <c r="P119" s="7"/>
      <c r="Q119" s="11"/>
    </row>
    <row r="120" spans="1:17" x14ac:dyDescent="0.2">
      <c r="A120" s="2">
        <v>38991</v>
      </c>
      <c r="B120" s="15">
        <v>153058324</v>
      </c>
      <c r="C120" s="15">
        <v>3145499</v>
      </c>
      <c r="D120" s="15"/>
      <c r="E120" s="15">
        <f t="shared" si="5"/>
        <v>156203823</v>
      </c>
      <c r="F120" s="211">
        <v>335.1</v>
      </c>
      <c r="G120" s="211">
        <v>0</v>
      </c>
      <c r="H120" s="34">
        <v>133.38242563475035</v>
      </c>
      <c r="I120" s="7">
        <v>31</v>
      </c>
      <c r="J120" s="7">
        <v>1</v>
      </c>
      <c r="K120" s="15">
        <f>+'CDM Activity'!F62</f>
        <v>1350740.1718546911</v>
      </c>
      <c r="L120" s="210">
        <v>336.28800000000001</v>
      </c>
      <c r="M120" s="210">
        <v>667</v>
      </c>
      <c r="N120" s="210">
        <v>35.105263157894797</v>
      </c>
      <c r="O120" s="7">
        <f t="shared" si="4"/>
        <v>162055769.69132215</v>
      </c>
      <c r="P120" s="7"/>
      <c r="Q120" s="11"/>
    </row>
    <row r="121" spans="1:17" x14ac:dyDescent="0.2">
      <c r="A121" s="2">
        <v>39022</v>
      </c>
      <c r="B121" s="15">
        <v>156414973</v>
      </c>
      <c r="C121" s="15">
        <v>3028348</v>
      </c>
      <c r="D121" s="15"/>
      <c r="E121" s="15">
        <f t="shared" si="5"/>
        <v>159443321</v>
      </c>
      <c r="F121" s="211">
        <v>415.9</v>
      </c>
      <c r="G121" s="211">
        <v>0</v>
      </c>
      <c r="H121" s="34">
        <v>133.67888505455369</v>
      </c>
      <c r="I121" s="7">
        <v>30</v>
      </c>
      <c r="J121" s="7">
        <v>1</v>
      </c>
      <c r="K121" s="15">
        <f>+'CDM Activity'!F63</f>
        <v>1481312.9121170833</v>
      </c>
      <c r="L121" s="210">
        <v>352.08</v>
      </c>
      <c r="M121" s="210">
        <v>666.2</v>
      </c>
      <c r="N121" s="210">
        <v>35.063157894736833</v>
      </c>
      <c r="O121" s="7">
        <f t="shared" si="4"/>
        <v>162527432.93702021</v>
      </c>
      <c r="P121" s="7"/>
      <c r="Q121" s="11"/>
    </row>
    <row r="122" spans="1:17" x14ac:dyDescent="0.2">
      <c r="A122" s="2">
        <v>39052</v>
      </c>
      <c r="B122" s="15">
        <v>166458241</v>
      </c>
      <c r="C122" s="15">
        <v>3028408</v>
      </c>
      <c r="D122" s="15">
        <v>-374756.09</v>
      </c>
      <c r="E122" s="15">
        <f t="shared" si="5"/>
        <v>169111892.91</v>
      </c>
      <c r="F122" s="211">
        <v>545.20000000000005</v>
      </c>
      <c r="G122" s="211">
        <v>0</v>
      </c>
      <c r="H122" s="34">
        <v>133.97600339315525</v>
      </c>
      <c r="I122" s="7">
        <v>31</v>
      </c>
      <c r="J122" s="7">
        <v>0</v>
      </c>
      <c r="K122" s="15">
        <f>+'CDM Activity'!F64</f>
        <v>1611885.6523794755</v>
      </c>
      <c r="L122" s="210">
        <v>304.29599999999999</v>
      </c>
      <c r="M122" s="210">
        <v>667.7</v>
      </c>
      <c r="N122" s="210">
        <v>35.142105263157873</v>
      </c>
      <c r="O122" s="7">
        <f t="shared" si="4"/>
        <v>172101831.50247192</v>
      </c>
      <c r="P122" s="7"/>
      <c r="Q122" s="11"/>
    </row>
    <row r="123" spans="1:17" x14ac:dyDescent="0.2">
      <c r="A123" s="2">
        <v>39083</v>
      </c>
      <c r="B123" s="15">
        <v>174419227</v>
      </c>
      <c r="C123" s="15">
        <v>3099274</v>
      </c>
      <c r="D123" s="15">
        <v>-761355.75450000004</v>
      </c>
      <c r="E123" s="15">
        <f t="shared" si="5"/>
        <v>176757145.2455</v>
      </c>
      <c r="F123" s="211">
        <v>698.3</v>
      </c>
      <c r="G123" s="211">
        <v>0</v>
      </c>
      <c r="H123" s="34">
        <v>134.25197202423305</v>
      </c>
      <c r="I123" s="7">
        <v>31</v>
      </c>
      <c r="J123" s="7">
        <v>0</v>
      </c>
      <c r="K123" s="15">
        <f>+'CDM Activity'!F65</f>
        <v>1639080.0265202301</v>
      </c>
      <c r="L123" s="210">
        <v>351.91199999999998</v>
      </c>
      <c r="M123" s="210">
        <v>662.2</v>
      </c>
      <c r="N123" s="210">
        <v>37.800000000000068</v>
      </c>
      <c r="O123" s="7">
        <f t="shared" si="4"/>
        <v>181290485.79912761</v>
      </c>
      <c r="P123" s="7"/>
      <c r="Q123" s="11"/>
    </row>
    <row r="124" spans="1:17" x14ac:dyDescent="0.2">
      <c r="A124" s="2">
        <v>39114</v>
      </c>
      <c r="B124" s="15">
        <v>166691262</v>
      </c>
      <c r="C124" s="15">
        <v>2857641</v>
      </c>
      <c r="D124" s="15"/>
      <c r="E124" s="15">
        <f t="shared" si="5"/>
        <v>169548903</v>
      </c>
      <c r="F124" s="211">
        <v>785.1</v>
      </c>
      <c r="G124" s="211">
        <v>0</v>
      </c>
      <c r="H124" s="34">
        <v>134.52850910550649</v>
      </c>
      <c r="I124" s="7">
        <v>28</v>
      </c>
      <c r="J124" s="7">
        <v>0</v>
      </c>
      <c r="K124" s="15">
        <f>+'CDM Activity'!F66</f>
        <v>1666274.4006609847</v>
      </c>
      <c r="L124" s="210">
        <v>319.87200000000001</v>
      </c>
      <c r="M124" s="210">
        <v>656.8</v>
      </c>
      <c r="N124" s="210">
        <v>37.491754756871046</v>
      </c>
      <c r="O124" s="7">
        <f t="shared" si="4"/>
        <v>171239264.60789421</v>
      </c>
      <c r="P124" s="7"/>
      <c r="Q124" s="11"/>
    </row>
    <row r="125" spans="1:17" x14ac:dyDescent="0.2">
      <c r="A125" s="2">
        <v>39142</v>
      </c>
      <c r="B125" s="15">
        <v>166700004</v>
      </c>
      <c r="C125" s="15">
        <v>3085285</v>
      </c>
      <c r="D125" s="15"/>
      <c r="E125" s="15">
        <f t="shared" si="5"/>
        <v>169785289</v>
      </c>
      <c r="F125" s="211">
        <v>582</v>
      </c>
      <c r="G125" s="211">
        <v>0</v>
      </c>
      <c r="H125" s="34">
        <v>134.80561580788986</v>
      </c>
      <c r="I125" s="7">
        <v>31</v>
      </c>
      <c r="J125" s="7">
        <v>1</v>
      </c>
      <c r="K125" s="15">
        <f>+'CDM Activity'!F67</f>
        <v>1693468.7748017393</v>
      </c>
      <c r="L125" s="210">
        <v>351.91199999999998</v>
      </c>
      <c r="M125" s="210">
        <v>652.20000000000005</v>
      </c>
      <c r="N125" s="210">
        <v>37.229175475687157</v>
      </c>
      <c r="O125" s="7">
        <f t="shared" si="4"/>
        <v>171056886.26448581</v>
      </c>
      <c r="P125" s="7"/>
      <c r="Q125" s="11"/>
    </row>
    <row r="126" spans="1:17" x14ac:dyDescent="0.2">
      <c r="A126" s="2">
        <v>39173</v>
      </c>
      <c r="B126" s="15">
        <v>149528054</v>
      </c>
      <c r="C126" s="15">
        <v>3049354</v>
      </c>
      <c r="D126" s="15">
        <v>-215366.85870000001</v>
      </c>
      <c r="E126" s="15">
        <f t="shared" si="5"/>
        <v>152362041.14129999</v>
      </c>
      <c r="F126" s="211">
        <v>403</v>
      </c>
      <c r="G126" s="211">
        <v>0</v>
      </c>
      <c r="H126" s="34">
        <v>135.08329330470943</v>
      </c>
      <c r="I126" s="7">
        <v>30</v>
      </c>
      <c r="J126" s="7">
        <v>1</v>
      </c>
      <c r="K126" s="15">
        <f>+'CDM Activity'!F68</f>
        <v>1720663.1489424938</v>
      </c>
      <c r="L126" s="210">
        <v>319.68</v>
      </c>
      <c r="M126" s="210">
        <v>647.4</v>
      </c>
      <c r="N126" s="210">
        <v>36.955179704016928</v>
      </c>
      <c r="O126" s="7">
        <f t="shared" si="4"/>
        <v>157126072.70498845</v>
      </c>
      <c r="P126" s="7"/>
      <c r="Q126" s="11"/>
    </row>
    <row r="127" spans="1:17" x14ac:dyDescent="0.2">
      <c r="A127" s="2">
        <v>39203</v>
      </c>
      <c r="B127" s="15">
        <v>150384862</v>
      </c>
      <c r="C127" s="15">
        <v>3629223</v>
      </c>
      <c r="D127" s="15"/>
      <c r="E127" s="15">
        <f t="shared" si="5"/>
        <v>154014085</v>
      </c>
      <c r="F127" s="211">
        <v>166.4</v>
      </c>
      <c r="G127" s="211">
        <v>11.2</v>
      </c>
      <c r="H127" s="34">
        <v>135.36154277170829</v>
      </c>
      <c r="I127" s="7">
        <v>31</v>
      </c>
      <c r="J127" s="7">
        <v>1</v>
      </c>
      <c r="K127" s="15">
        <f>+'CDM Activity'!F69</f>
        <v>1747857.5230832484</v>
      </c>
      <c r="L127" s="210">
        <v>351.91199999999998</v>
      </c>
      <c r="M127" s="210">
        <v>646.9</v>
      </c>
      <c r="N127" s="210">
        <v>36.926638477801248</v>
      </c>
      <c r="O127" s="7">
        <f t="shared" si="4"/>
        <v>156536516.34359515</v>
      </c>
      <c r="P127" s="7"/>
      <c r="Q127" s="11"/>
    </row>
    <row r="128" spans="1:17" x14ac:dyDescent="0.2">
      <c r="A128" s="2">
        <v>39234</v>
      </c>
      <c r="B128" s="15">
        <v>166748069</v>
      </c>
      <c r="C128" s="15">
        <v>2751787</v>
      </c>
      <c r="D128" s="15">
        <v>-230977</v>
      </c>
      <c r="E128" s="15">
        <f t="shared" si="5"/>
        <v>169268879</v>
      </c>
      <c r="F128" s="211">
        <v>35.5</v>
      </c>
      <c r="G128" s="211">
        <v>51.2</v>
      </c>
      <c r="H128" s="34">
        <v>135.64036538705133</v>
      </c>
      <c r="I128" s="7">
        <v>30</v>
      </c>
      <c r="J128" s="7">
        <v>0</v>
      </c>
      <c r="K128" s="15">
        <f>+'CDM Activity'!F70</f>
        <v>1775051.897224003</v>
      </c>
      <c r="L128" s="210">
        <v>336.24</v>
      </c>
      <c r="M128" s="210">
        <v>652.29999999999995</v>
      </c>
      <c r="N128" s="210">
        <v>37.23488372093027</v>
      </c>
      <c r="O128" s="7">
        <f t="shared" si="4"/>
        <v>163019313.48170874</v>
      </c>
      <c r="P128" s="7"/>
      <c r="Q128" s="11"/>
    </row>
    <row r="129" spans="1:17" x14ac:dyDescent="0.2">
      <c r="A129" s="2">
        <v>39264</v>
      </c>
      <c r="B129" s="15">
        <v>161680251</v>
      </c>
      <c r="C129" s="15">
        <v>2997159</v>
      </c>
      <c r="D129" s="15">
        <v>-1233112.9438</v>
      </c>
      <c r="E129" s="15">
        <f t="shared" si="5"/>
        <v>163444297.0562</v>
      </c>
      <c r="F129" s="211">
        <v>28</v>
      </c>
      <c r="G129" s="211">
        <v>53.8</v>
      </c>
      <c r="H129" s="34">
        <v>135.9197623313303</v>
      </c>
      <c r="I129" s="7">
        <v>31</v>
      </c>
      <c r="J129" s="7">
        <v>0</v>
      </c>
      <c r="K129" s="15">
        <f>+'CDM Activity'!F71</f>
        <v>1802246.2713647576</v>
      </c>
      <c r="L129" s="210">
        <v>336.28800000000001</v>
      </c>
      <c r="M129" s="210">
        <v>659.9</v>
      </c>
      <c r="N129" s="210">
        <v>37.668710359408124</v>
      </c>
      <c r="O129" s="7">
        <f t="shared" si="4"/>
        <v>167530330.84507784</v>
      </c>
      <c r="P129" s="7"/>
      <c r="Q129" s="11"/>
    </row>
    <row r="130" spans="1:17" x14ac:dyDescent="0.2">
      <c r="A130" s="2">
        <v>39295</v>
      </c>
      <c r="B130" s="15">
        <v>171683657</v>
      </c>
      <c r="C130" s="15">
        <v>3020733</v>
      </c>
      <c r="D130" s="15">
        <v>64199</v>
      </c>
      <c r="E130" s="15">
        <f t="shared" si="5"/>
        <v>174768589</v>
      </c>
      <c r="F130" s="211">
        <v>19.7</v>
      </c>
      <c r="G130" s="211">
        <v>65.099999999999994</v>
      </c>
      <c r="H130" s="34">
        <v>136.19973478756879</v>
      </c>
      <c r="I130" s="7">
        <v>31</v>
      </c>
      <c r="J130" s="7">
        <v>0</v>
      </c>
      <c r="K130" s="15">
        <f>+'CDM Activity'!F72</f>
        <v>1829440.6455055121</v>
      </c>
      <c r="L130" s="210">
        <v>351.91199999999998</v>
      </c>
      <c r="M130" s="210">
        <v>662.1</v>
      </c>
      <c r="N130" s="210">
        <v>37.794291754756955</v>
      </c>
      <c r="O130" s="7">
        <f t="shared" si="4"/>
        <v>171819572.59772125</v>
      </c>
      <c r="P130" s="7"/>
      <c r="Q130" s="11"/>
    </row>
    <row r="131" spans="1:17" x14ac:dyDescent="0.2">
      <c r="A131" s="2">
        <v>39326</v>
      </c>
      <c r="B131" s="15">
        <v>152749372</v>
      </c>
      <c r="C131" s="15">
        <v>2716289</v>
      </c>
      <c r="D131" s="15"/>
      <c r="E131" s="15">
        <f t="shared" ref="E131:E162" si="6">SUM(B131:D131)</f>
        <v>155465661</v>
      </c>
      <c r="F131" s="211">
        <v>74.7</v>
      </c>
      <c r="G131" s="211">
        <v>28</v>
      </c>
      <c r="H131" s="34">
        <v>136.48028394122719</v>
      </c>
      <c r="I131" s="7">
        <v>30</v>
      </c>
      <c r="J131" s="7">
        <v>1</v>
      </c>
      <c r="K131" s="15">
        <f>+'CDM Activity'!F73</f>
        <v>1856635.0196462667</v>
      </c>
      <c r="L131" s="210">
        <v>303.83999999999997</v>
      </c>
      <c r="M131" s="210">
        <v>660.7</v>
      </c>
      <c r="N131" s="210">
        <v>37.714376321353143</v>
      </c>
      <c r="O131" s="7">
        <f t="shared" ref="O131:O194" si="7">$B$261+F131*$B$262+G131*$B$263+H131*$B$264+I131*$B$265+J131*$B$266+K131*$B$267+L131*$B$268+M131*$B$269+N131*$B$270</f>
        <v>151090009.09129763</v>
      </c>
      <c r="P131" s="7"/>
      <c r="Q131" s="11"/>
    </row>
    <row r="132" spans="1:17" x14ac:dyDescent="0.2">
      <c r="A132" s="2">
        <v>39356</v>
      </c>
      <c r="B132" s="15">
        <v>153403455</v>
      </c>
      <c r="C132" s="15">
        <v>2760987</v>
      </c>
      <c r="D132" s="15"/>
      <c r="E132" s="15">
        <f t="shared" si="6"/>
        <v>156164442</v>
      </c>
      <c r="F132" s="211">
        <v>184.7</v>
      </c>
      <c r="G132" s="211">
        <v>10.9</v>
      </c>
      <c r="H132" s="34">
        <v>136.76141098020776</v>
      </c>
      <c r="I132" s="7">
        <v>31</v>
      </c>
      <c r="J132" s="7">
        <v>1</v>
      </c>
      <c r="K132" s="15">
        <f>+'CDM Activity'!F74</f>
        <v>1883829.3937870213</v>
      </c>
      <c r="L132" s="210">
        <v>351.91199999999998</v>
      </c>
      <c r="M132" s="210">
        <v>662.5</v>
      </c>
      <c r="N132" s="210">
        <v>37.817124735729408</v>
      </c>
      <c r="O132" s="7">
        <f t="shared" si="7"/>
        <v>157953716.10908306</v>
      </c>
      <c r="P132" s="7"/>
      <c r="Q132" s="11"/>
    </row>
    <row r="133" spans="1:17" x14ac:dyDescent="0.2">
      <c r="A133" s="2">
        <v>39387</v>
      </c>
      <c r="B133" s="15">
        <v>160155435</v>
      </c>
      <c r="C133" s="15">
        <v>3169286</v>
      </c>
      <c r="D133" s="15"/>
      <c r="E133" s="15">
        <f t="shared" si="6"/>
        <v>163324721</v>
      </c>
      <c r="F133" s="211">
        <v>511.8</v>
      </c>
      <c r="G133" s="211">
        <v>0</v>
      </c>
      <c r="H133" s="34">
        <v>137.04311709485967</v>
      </c>
      <c r="I133" s="7">
        <v>30</v>
      </c>
      <c r="J133" s="7">
        <v>1</v>
      </c>
      <c r="K133" s="15">
        <f>+'CDM Activity'!F75</f>
        <v>1911023.7679277759</v>
      </c>
      <c r="L133" s="210">
        <v>352.08</v>
      </c>
      <c r="M133" s="210">
        <v>666.7</v>
      </c>
      <c r="N133" s="210">
        <v>38.056871035940844</v>
      </c>
      <c r="O133" s="7">
        <f t="shared" si="7"/>
        <v>165021208.02667066</v>
      </c>
      <c r="P133" s="7"/>
      <c r="Q133" s="11"/>
    </row>
    <row r="134" spans="1:17" x14ac:dyDescent="0.2">
      <c r="A134" s="2">
        <v>39417</v>
      </c>
      <c r="B134" s="15">
        <v>171832799</v>
      </c>
      <c r="C134" s="15">
        <v>2432767</v>
      </c>
      <c r="D134" s="15">
        <v>-179442</v>
      </c>
      <c r="E134" s="15">
        <f t="shared" si="6"/>
        <v>174086124</v>
      </c>
      <c r="F134" s="211">
        <v>686.6</v>
      </c>
      <c r="G134" s="211">
        <v>0</v>
      </c>
      <c r="H134" s="34">
        <v>137.32540347798411</v>
      </c>
      <c r="I134" s="7">
        <v>31</v>
      </c>
      <c r="J134" s="7">
        <v>0</v>
      </c>
      <c r="K134" s="15">
        <f>+'CDM Activity'!F76</f>
        <v>1938218.1420685304</v>
      </c>
      <c r="L134" s="210">
        <v>304.29599999999999</v>
      </c>
      <c r="M134" s="210">
        <v>668.5</v>
      </c>
      <c r="N134" s="210">
        <v>38.159619450317109</v>
      </c>
      <c r="O134" s="7">
        <f t="shared" si="7"/>
        <v>176914578.2998341</v>
      </c>
      <c r="P134" s="7"/>
      <c r="Q134" s="11"/>
    </row>
    <row r="135" spans="1:17" x14ac:dyDescent="0.2">
      <c r="A135" s="2">
        <v>39448</v>
      </c>
      <c r="B135" s="15">
        <v>177058679</v>
      </c>
      <c r="C135" s="15">
        <v>2832543</v>
      </c>
      <c r="D135" s="15">
        <v>-773672.75549999997</v>
      </c>
      <c r="E135" s="15">
        <f t="shared" si="6"/>
        <v>179117549.24450001</v>
      </c>
      <c r="F135" s="211">
        <v>676.8</v>
      </c>
      <c r="G135" s="211">
        <v>0</v>
      </c>
      <c r="H135" s="34">
        <v>137.552207546647</v>
      </c>
      <c r="I135" s="7">
        <v>31</v>
      </c>
      <c r="J135" s="7">
        <v>0</v>
      </c>
      <c r="K135" s="15">
        <f>+'CDM Activity'!F77</f>
        <v>1986939.8310076385</v>
      </c>
      <c r="L135" s="22">
        <v>352</v>
      </c>
      <c r="M135" s="210">
        <v>661.4</v>
      </c>
      <c r="N135" s="210">
        <v>39.97857900318138</v>
      </c>
      <c r="O135" s="7">
        <f t="shared" si="7"/>
        <v>179210817.406762</v>
      </c>
      <c r="P135" s="7"/>
      <c r="Q135" s="11"/>
    </row>
    <row r="136" spans="1:17" x14ac:dyDescent="0.2">
      <c r="A136" s="2">
        <v>39479</v>
      </c>
      <c r="B136" s="15">
        <v>166921823</v>
      </c>
      <c r="C136" s="15">
        <v>3033525</v>
      </c>
      <c r="D136" s="15">
        <v>-229052</v>
      </c>
      <c r="E136" s="15">
        <f t="shared" si="6"/>
        <v>169726296</v>
      </c>
      <c r="F136" s="211">
        <v>730.3</v>
      </c>
      <c r="G136" s="211">
        <v>0</v>
      </c>
      <c r="H136" s="34">
        <v>137.77938620066888</v>
      </c>
      <c r="I136" s="7">
        <v>28</v>
      </c>
      <c r="J136" s="7">
        <v>0</v>
      </c>
      <c r="K136" s="15">
        <f>+'CDM Activity'!F78</f>
        <v>2035661.5199467465</v>
      </c>
      <c r="L136" s="22">
        <v>320</v>
      </c>
      <c r="M136" s="210">
        <v>656.3</v>
      </c>
      <c r="N136" s="210">
        <v>39.670307529162301</v>
      </c>
      <c r="O136" s="7">
        <f t="shared" si="7"/>
        <v>167702068.49047625</v>
      </c>
      <c r="P136" s="7"/>
      <c r="Q136" s="11"/>
    </row>
    <row r="137" spans="1:17" x14ac:dyDescent="0.2">
      <c r="A137" s="2">
        <v>39508</v>
      </c>
      <c r="B137" s="15">
        <v>166357193</v>
      </c>
      <c r="C137" s="15">
        <v>2608248</v>
      </c>
      <c r="D137" s="15"/>
      <c r="E137" s="15">
        <f t="shared" si="6"/>
        <v>168965441</v>
      </c>
      <c r="F137" s="211">
        <v>686.1</v>
      </c>
      <c r="G137" s="211">
        <v>0</v>
      </c>
      <c r="H137" s="34">
        <v>138.00694005870795</v>
      </c>
      <c r="I137" s="7">
        <v>31</v>
      </c>
      <c r="J137" s="7">
        <v>1</v>
      </c>
      <c r="K137" s="15">
        <f>+'CDM Activity'!F79</f>
        <v>2084383.2088858546</v>
      </c>
      <c r="L137" s="22">
        <v>304</v>
      </c>
      <c r="M137" s="210">
        <v>647</v>
      </c>
      <c r="N137" s="210">
        <v>39.108165429480437</v>
      </c>
      <c r="O137" s="7">
        <f t="shared" si="7"/>
        <v>170082459.74394858</v>
      </c>
      <c r="P137" s="7"/>
      <c r="Q137" s="11"/>
    </row>
    <row r="138" spans="1:17" x14ac:dyDescent="0.2">
      <c r="A138" s="2">
        <v>39539</v>
      </c>
      <c r="B138" s="15">
        <v>144983805</v>
      </c>
      <c r="C138" s="15">
        <v>2999650</v>
      </c>
      <c r="D138" s="15"/>
      <c r="E138" s="15">
        <f t="shared" si="6"/>
        <v>147983455</v>
      </c>
      <c r="F138" s="211">
        <v>297.89999999999998</v>
      </c>
      <c r="G138" s="211">
        <v>0</v>
      </c>
      <c r="H138" s="34">
        <v>138.23486974044414</v>
      </c>
      <c r="I138" s="7">
        <v>30</v>
      </c>
      <c r="J138" s="7">
        <v>1</v>
      </c>
      <c r="K138" s="15">
        <f>+'CDM Activity'!F80</f>
        <v>2133104.8978249626</v>
      </c>
      <c r="L138" s="22">
        <v>352</v>
      </c>
      <c r="M138" s="210">
        <v>647.20000000000005</v>
      </c>
      <c r="N138" s="210">
        <v>39.120254506892934</v>
      </c>
      <c r="O138" s="7">
        <f t="shared" si="7"/>
        <v>153792198.06494695</v>
      </c>
      <c r="P138" s="7"/>
      <c r="Q138" s="11"/>
    </row>
    <row r="139" spans="1:17" x14ac:dyDescent="0.2">
      <c r="A139" s="2">
        <v>39569</v>
      </c>
      <c r="B139" s="15">
        <v>142166893</v>
      </c>
      <c r="C139" s="15">
        <v>3110003</v>
      </c>
      <c r="D139" s="15"/>
      <c r="E139" s="15">
        <f t="shared" si="6"/>
        <v>145276896</v>
      </c>
      <c r="F139" s="211">
        <v>243.1</v>
      </c>
      <c r="G139" s="211">
        <v>0.7</v>
      </c>
      <c r="H139" s="34">
        <v>138.46317586658083</v>
      </c>
      <c r="I139" s="7">
        <v>31</v>
      </c>
      <c r="J139" s="7">
        <v>1</v>
      </c>
      <c r="K139" s="15">
        <f>+'CDM Activity'!F81</f>
        <v>2181826.5867640707</v>
      </c>
      <c r="L139" s="22">
        <v>336</v>
      </c>
      <c r="M139" s="210">
        <v>648.79999999999995</v>
      </c>
      <c r="N139" s="210">
        <v>39.216967126193026</v>
      </c>
      <c r="O139" s="7">
        <f t="shared" si="7"/>
        <v>154040836.95991302</v>
      </c>
      <c r="P139" s="7"/>
      <c r="Q139" s="11"/>
    </row>
    <row r="140" spans="1:17" x14ac:dyDescent="0.2">
      <c r="A140" s="2">
        <v>39600</v>
      </c>
      <c r="B140" s="15">
        <v>156219057</v>
      </c>
      <c r="C140" s="15">
        <v>3095141</v>
      </c>
      <c r="D140" s="15"/>
      <c r="E140" s="15">
        <f t="shared" si="6"/>
        <v>159314198</v>
      </c>
      <c r="F140" s="211">
        <v>40.6</v>
      </c>
      <c r="G140" s="211">
        <v>53</v>
      </c>
      <c r="H140" s="34">
        <v>138.69185905884657</v>
      </c>
      <c r="I140" s="7">
        <v>30</v>
      </c>
      <c r="J140" s="7">
        <v>0</v>
      </c>
      <c r="K140" s="15">
        <f>+'CDM Activity'!F82</f>
        <v>2230548.2757031787</v>
      </c>
      <c r="L140" s="22">
        <v>336</v>
      </c>
      <c r="M140" s="210">
        <v>656.8</v>
      </c>
      <c r="N140" s="210">
        <v>39.700530222693601</v>
      </c>
      <c r="O140" s="7">
        <f t="shared" si="7"/>
        <v>162459426.51160863</v>
      </c>
      <c r="P140" s="7"/>
      <c r="Q140" s="11"/>
    </row>
    <row r="141" spans="1:17" x14ac:dyDescent="0.2">
      <c r="A141" s="2">
        <v>39630</v>
      </c>
      <c r="B141" s="15">
        <v>169629769</v>
      </c>
      <c r="C141" s="15">
        <v>2782598</v>
      </c>
      <c r="D141" s="15">
        <v>-1203276.9750999999</v>
      </c>
      <c r="E141" s="15">
        <f t="shared" si="6"/>
        <v>171209090.02489999</v>
      </c>
      <c r="F141" s="211">
        <v>7.6</v>
      </c>
      <c r="G141" s="211">
        <v>75.8</v>
      </c>
      <c r="H141" s="34">
        <v>138.92091993999671</v>
      </c>
      <c r="I141" s="7">
        <v>31</v>
      </c>
      <c r="J141" s="7">
        <v>0</v>
      </c>
      <c r="K141" s="15">
        <f>+'CDM Activity'!F83</f>
        <v>2279269.9646422868</v>
      </c>
      <c r="L141" s="22">
        <v>352</v>
      </c>
      <c r="M141" s="210">
        <v>663.6</v>
      </c>
      <c r="N141" s="210">
        <v>40.111558854718965</v>
      </c>
      <c r="O141" s="7">
        <f t="shared" si="7"/>
        <v>172972071.50269645</v>
      </c>
      <c r="P141" s="7"/>
      <c r="Q141" s="11"/>
    </row>
    <row r="142" spans="1:17" x14ac:dyDescent="0.2">
      <c r="A142" s="2">
        <v>39661</v>
      </c>
      <c r="B142" s="15">
        <v>158690251</v>
      </c>
      <c r="C142" s="15">
        <v>3356512</v>
      </c>
      <c r="D142" s="15">
        <v>16174</v>
      </c>
      <c r="E142" s="15">
        <f t="shared" si="6"/>
        <v>162062937</v>
      </c>
      <c r="F142" s="211">
        <v>36.200000000000003</v>
      </c>
      <c r="G142" s="211">
        <v>29.5</v>
      </c>
      <c r="H142" s="34">
        <v>139.15035913381516</v>
      </c>
      <c r="I142" s="7">
        <v>31</v>
      </c>
      <c r="J142" s="7">
        <v>0</v>
      </c>
      <c r="K142" s="15">
        <f>+'CDM Activity'!F84</f>
        <v>2327991.6535813948</v>
      </c>
      <c r="L142" s="22">
        <v>320</v>
      </c>
      <c r="M142" s="210">
        <v>666.6</v>
      </c>
      <c r="N142" s="210">
        <v>40.292895015906765</v>
      </c>
      <c r="O142" s="7">
        <f t="shared" si="7"/>
        <v>158024994.23482341</v>
      </c>
      <c r="P142" s="7"/>
      <c r="Q142" s="11"/>
    </row>
    <row r="143" spans="1:17" x14ac:dyDescent="0.2">
      <c r="A143" s="2">
        <v>39692</v>
      </c>
      <c r="B143" s="15">
        <v>149556677</v>
      </c>
      <c r="C143" s="15">
        <v>2790265</v>
      </c>
      <c r="D143" s="15">
        <v>-23841</v>
      </c>
      <c r="E143" s="15">
        <f t="shared" si="6"/>
        <v>152323101</v>
      </c>
      <c r="F143" s="211">
        <v>93.2</v>
      </c>
      <c r="G143" s="211">
        <v>12</v>
      </c>
      <c r="H143" s="34">
        <v>139.38017726511606</v>
      </c>
      <c r="I143" s="7">
        <v>30</v>
      </c>
      <c r="J143" s="7">
        <v>1</v>
      </c>
      <c r="K143" s="15">
        <f>+'CDM Activity'!F85</f>
        <v>2376713.3425205029</v>
      </c>
      <c r="L143" s="22">
        <v>336</v>
      </c>
      <c r="M143" s="210">
        <v>669.7</v>
      </c>
      <c r="N143" s="210">
        <v>40.480275715800644</v>
      </c>
      <c r="O143" s="7">
        <f t="shared" si="7"/>
        <v>148307282.75946513</v>
      </c>
      <c r="P143" s="7"/>
      <c r="Q143" s="11"/>
    </row>
    <row r="144" spans="1:17" x14ac:dyDescent="0.2">
      <c r="A144" s="2">
        <v>39722</v>
      </c>
      <c r="B144" s="15">
        <v>148160437</v>
      </c>
      <c r="C144" s="15">
        <v>3010161</v>
      </c>
      <c r="D144" s="15"/>
      <c r="E144" s="15">
        <f t="shared" si="6"/>
        <v>151170598</v>
      </c>
      <c r="F144" s="211">
        <v>325.7</v>
      </c>
      <c r="G144" s="211">
        <v>0</v>
      </c>
      <c r="H144" s="34">
        <v>139.61037495974546</v>
      </c>
      <c r="I144" s="7">
        <v>31</v>
      </c>
      <c r="J144" s="7">
        <v>1</v>
      </c>
      <c r="K144" s="15">
        <f>+'CDM Activity'!F86</f>
        <v>2425435.0314596109</v>
      </c>
      <c r="L144" s="22">
        <v>352</v>
      </c>
      <c r="M144" s="210">
        <v>673</v>
      </c>
      <c r="N144" s="210">
        <v>40.679745493107134</v>
      </c>
      <c r="O144" s="7">
        <f t="shared" si="7"/>
        <v>159356263.85164422</v>
      </c>
      <c r="P144" s="7"/>
      <c r="Q144" s="11"/>
    </row>
    <row r="145" spans="1:17" x14ac:dyDescent="0.2">
      <c r="A145" s="2">
        <v>39753</v>
      </c>
      <c r="B145" s="15">
        <v>154931359</v>
      </c>
      <c r="C145" s="15">
        <v>3370793</v>
      </c>
      <c r="D145" s="15"/>
      <c r="E145" s="15">
        <f t="shared" si="6"/>
        <v>158302152</v>
      </c>
      <c r="F145" s="211">
        <v>499.7</v>
      </c>
      <c r="G145" s="211">
        <v>0</v>
      </c>
      <c r="H145" s="34">
        <v>139.84095284458306</v>
      </c>
      <c r="I145" s="7">
        <v>30</v>
      </c>
      <c r="J145" s="7">
        <v>1</v>
      </c>
      <c r="K145" s="15">
        <f>+'CDM Activity'!F87</f>
        <v>2474156.720398719</v>
      </c>
      <c r="L145" s="22">
        <v>304</v>
      </c>
      <c r="M145" s="210">
        <v>676.9</v>
      </c>
      <c r="N145" s="210">
        <v>40.915482502651116</v>
      </c>
      <c r="O145" s="7">
        <f t="shared" si="7"/>
        <v>159459734.20607382</v>
      </c>
      <c r="P145" s="7"/>
    </row>
    <row r="146" spans="1:17" x14ac:dyDescent="0.2">
      <c r="A146" s="2">
        <v>39783</v>
      </c>
      <c r="B146" s="15">
        <v>171778131</v>
      </c>
      <c r="C146" s="15">
        <v>1995994</v>
      </c>
      <c r="D146" s="15">
        <v>-161434</v>
      </c>
      <c r="E146" s="15">
        <f t="shared" si="6"/>
        <v>173612691</v>
      </c>
      <c r="F146" s="211">
        <v>694</v>
      </c>
      <c r="G146" s="211">
        <v>0</v>
      </c>
      <c r="H146" s="34">
        <v>140.07191154754381</v>
      </c>
      <c r="I146" s="7">
        <v>31</v>
      </c>
      <c r="J146" s="7">
        <v>0</v>
      </c>
      <c r="K146" s="15">
        <f>+'CDM Activity'!F88</f>
        <v>2522878.409337827</v>
      </c>
      <c r="L146" s="22">
        <v>336</v>
      </c>
      <c r="M146" s="210">
        <v>673.6</v>
      </c>
      <c r="N146" s="210">
        <v>40.71601272534474</v>
      </c>
      <c r="O146" s="7">
        <f t="shared" si="7"/>
        <v>177843707.88577357</v>
      </c>
      <c r="P146" s="7"/>
    </row>
    <row r="147" spans="1:17" x14ac:dyDescent="0.2">
      <c r="A147" s="2">
        <v>39814</v>
      </c>
      <c r="B147" s="15">
        <v>176131307</v>
      </c>
      <c r="C147" s="15">
        <v>2752174.2780000004</v>
      </c>
      <c r="D147" s="15"/>
      <c r="E147" s="15">
        <f t="shared" si="6"/>
        <v>178883481.278</v>
      </c>
      <c r="F147" s="212">
        <v>891.79999999999984</v>
      </c>
      <c r="G147" s="212">
        <v>0</v>
      </c>
      <c r="H147" s="33">
        <v>139.96642175819056</v>
      </c>
      <c r="I147" s="7">
        <v>31</v>
      </c>
      <c r="J147" s="7">
        <v>0</v>
      </c>
      <c r="K147" s="15">
        <f>+'CDM Activity'!F89</f>
        <v>2604685.7680061241</v>
      </c>
      <c r="L147" s="22">
        <v>336</v>
      </c>
      <c r="M147" s="210">
        <v>662.3</v>
      </c>
      <c r="N147" s="210">
        <v>65.50219780219777</v>
      </c>
      <c r="O147" s="7">
        <f t="shared" si="7"/>
        <v>181377063.15520439</v>
      </c>
      <c r="P147" s="7"/>
    </row>
    <row r="148" spans="1:17" x14ac:dyDescent="0.2">
      <c r="A148" s="2">
        <v>39845</v>
      </c>
      <c r="B148" s="15">
        <v>151717789</v>
      </c>
      <c r="C148" s="15">
        <v>2657507.2090000003</v>
      </c>
      <c r="D148" s="15"/>
      <c r="E148" s="15">
        <f t="shared" si="6"/>
        <v>154375296.20899999</v>
      </c>
      <c r="F148" s="212">
        <v>649.59999999999991</v>
      </c>
      <c r="G148" s="212">
        <v>0</v>
      </c>
      <c r="H148" s="33">
        <v>139.86101141442734</v>
      </c>
      <c r="I148" s="7">
        <v>29</v>
      </c>
      <c r="J148" s="7">
        <v>0</v>
      </c>
      <c r="K148" s="15">
        <f>+'CDM Activity'!F90</f>
        <v>2686493.1266744211</v>
      </c>
      <c r="L148" s="22">
        <v>304</v>
      </c>
      <c r="M148" s="210">
        <v>649.29999999999995</v>
      </c>
      <c r="N148" s="210">
        <v>64.216483516483436</v>
      </c>
      <c r="O148" s="7">
        <f t="shared" si="7"/>
        <v>160477493.04464811</v>
      </c>
      <c r="P148" s="7"/>
    </row>
    <row r="149" spans="1:17" x14ac:dyDescent="0.2">
      <c r="A149" s="2">
        <v>39873</v>
      </c>
      <c r="B149" s="15">
        <v>156553861</v>
      </c>
      <c r="C149" s="15">
        <v>3105511.9549999982</v>
      </c>
      <c r="D149" s="15"/>
      <c r="E149" s="15">
        <f t="shared" si="6"/>
        <v>159659372.95499998</v>
      </c>
      <c r="F149" s="212">
        <v>562.6</v>
      </c>
      <c r="G149" s="212">
        <v>0</v>
      </c>
      <c r="H149" s="33">
        <v>139.75568045642274</v>
      </c>
      <c r="I149" s="7">
        <v>31</v>
      </c>
      <c r="J149" s="7">
        <v>1</v>
      </c>
      <c r="K149" s="15">
        <f>+'CDM Activity'!F91</f>
        <v>2768300.4853427182</v>
      </c>
      <c r="L149" s="22">
        <v>352</v>
      </c>
      <c r="M149" s="210">
        <v>636.29999999999995</v>
      </c>
      <c r="N149" s="210">
        <v>62.930769230769215</v>
      </c>
      <c r="O149" s="7">
        <f t="shared" si="7"/>
        <v>162010262.66670027</v>
      </c>
      <c r="P149" s="7"/>
    </row>
    <row r="150" spans="1:17" x14ac:dyDescent="0.2">
      <c r="A150" s="2">
        <v>39904</v>
      </c>
      <c r="B150" s="15">
        <v>138889187</v>
      </c>
      <c r="C150" s="15">
        <v>3087139.3560000001</v>
      </c>
      <c r="D150" s="15"/>
      <c r="E150" s="15">
        <f t="shared" si="6"/>
        <v>141976326.35600001</v>
      </c>
      <c r="F150" s="212">
        <v>341.50000000000006</v>
      </c>
      <c r="G150" s="212">
        <v>3.2</v>
      </c>
      <c r="H150" s="33">
        <v>139.65042882439042</v>
      </c>
      <c r="I150" s="7">
        <v>30</v>
      </c>
      <c r="J150" s="7">
        <v>1</v>
      </c>
      <c r="K150" s="15">
        <f>+'CDM Activity'!F92</f>
        <v>2850107.8440110153</v>
      </c>
      <c r="L150" s="22">
        <v>320</v>
      </c>
      <c r="M150" s="210">
        <v>632.20000000000005</v>
      </c>
      <c r="N150" s="210">
        <v>62.525274725274699</v>
      </c>
      <c r="O150" s="7">
        <f t="shared" si="7"/>
        <v>147085246.80228019</v>
      </c>
      <c r="P150" s="7"/>
    </row>
    <row r="151" spans="1:17" x14ac:dyDescent="0.2">
      <c r="A151" s="2">
        <v>39934</v>
      </c>
      <c r="B151" s="15">
        <v>134434411</v>
      </c>
      <c r="C151" s="15">
        <v>3608620.7009999976</v>
      </c>
      <c r="D151" s="15"/>
      <c r="E151" s="15">
        <f t="shared" si="6"/>
        <v>138043031.70100001</v>
      </c>
      <c r="F151" s="212">
        <v>192.8</v>
      </c>
      <c r="G151" s="212">
        <v>2.2999999999999998</v>
      </c>
      <c r="H151" s="33">
        <v>139.54525645858905</v>
      </c>
      <c r="I151" s="7">
        <v>31</v>
      </c>
      <c r="J151" s="7">
        <v>1</v>
      </c>
      <c r="K151" s="15">
        <f>+'CDM Activity'!F93</f>
        <v>2931915.2026793123</v>
      </c>
      <c r="L151" s="22">
        <v>320</v>
      </c>
      <c r="M151" s="210">
        <v>631.70000000000005</v>
      </c>
      <c r="N151" s="210">
        <v>62.475824175824187</v>
      </c>
      <c r="O151" s="7">
        <f t="shared" si="7"/>
        <v>143840744.98297822</v>
      </c>
      <c r="P151" s="7"/>
    </row>
    <row r="152" spans="1:17" x14ac:dyDescent="0.2">
      <c r="A152" s="2">
        <v>39965</v>
      </c>
      <c r="B152" s="15">
        <v>142548339</v>
      </c>
      <c r="C152" s="15">
        <v>3449813.9200000013</v>
      </c>
      <c r="D152" s="15">
        <v>-1223655</v>
      </c>
      <c r="E152" s="15">
        <f t="shared" si="6"/>
        <v>144774497.91999999</v>
      </c>
      <c r="F152" s="212">
        <v>75.7</v>
      </c>
      <c r="G152" s="212">
        <v>26.200000000000006</v>
      </c>
      <c r="H152" s="33">
        <v>139.44016329932234</v>
      </c>
      <c r="I152" s="7">
        <v>30</v>
      </c>
      <c r="J152" s="7">
        <v>0</v>
      </c>
      <c r="K152" s="15">
        <f>+'CDM Activity'!F94</f>
        <v>3013722.5613476094</v>
      </c>
      <c r="L152" s="22">
        <v>352</v>
      </c>
      <c r="M152" s="210">
        <v>642.70000000000005</v>
      </c>
      <c r="N152" s="210">
        <v>63.563736263736246</v>
      </c>
      <c r="O152" s="7">
        <f t="shared" si="7"/>
        <v>149805796.13319573</v>
      </c>
      <c r="P152" s="7"/>
    </row>
    <row r="153" spans="1:17" x14ac:dyDescent="0.2">
      <c r="A153" s="2">
        <v>39995</v>
      </c>
      <c r="B153" s="15">
        <v>143270941</v>
      </c>
      <c r="C153" s="15">
        <v>3581027.7439999986</v>
      </c>
      <c r="D153" s="15"/>
      <c r="E153" s="15">
        <f t="shared" si="6"/>
        <v>146851968.74399999</v>
      </c>
      <c r="F153" s="212">
        <v>37.599999999999987</v>
      </c>
      <c r="G153" s="212">
        <v>14.5</v>
      </c>
      <c r="H153" s="33">
        <v>139.3351492869389</v>
      </c>
      <c r="I153" s="7">
        <v>31</v>
      </c>
      <c r="J153" s="7">
        <v>0</v>
      </c>
      <c r="K153" s="15">
        <f>+'CDM Activity'!F95</f>
        <v>3095529.9200159064</v>
      </c>
      <c r="L153" s="22">
        <v>352</v>
      </c>
      <c r="M153" s="210">
        <v>650</v>
      </c>
      <c r="N153" s="210">
        <v>64.285714285714221</v>
      </c>
      <c r="O153" s="7">
        <f t="shared" si="7"/>
        <v>148453000.7609992</v>
      </c>
      <c r="P153" s="7"/>
    </row>
    <row r="154" spans="1:17" x14ac:dyDescent="0.2">
      <c r="A154" s="2">
        <v>40026</v>
      </c>
      <c r="B154" s="15">
        <v>157674451</v>
      </c>
      <c r="C154" s="15">
        <v>3670056.7679999997</v>
      </c>
      <c r="D154" s="15"/>
      <c r="E154" s="15">
        <f t="shared" si="6"/>
        <v>161344507.76800001</v>
      </c>
      <c r="F154" s="212">
        <v>34.4</v>
      </c>
      <c r="G154" s="212">
        <v>57.3</v>
      </c>
      <c r="H154" s="33">
        <v>139.23021436183228</v>
      </c>
      <c r="I154" s="7">
        <v>31</v>
      </c>
      <c r="J154" s="7">
        <v>0</v>
      </c>
      <c r="K154" s="15">
        <f>+'CDM Activity'!F96</f>
        <v>3177337.2786842035</v>
      </c>
      <c r="L154" s="22">
        <v>320</v>
      </c>
      <c r="M154" s="210">
        <v>655.29999999999995</v>
      </c>
      <c r="N154" s="210">
        <v>64.809890109890034</v>
      </c>
      <c r="O154" s="7">
        <f t="shared" si="7"/>
        <v>158560001.93547899</v>
      </c>
      <c r="P154" s="7"/>
    </row>
    <row r="155" spans="1:17" x14ac:dyDescent="0.2">
      <c r="A155" s="2">
        <v>40057</v>
      </c>
      <c r="B155" s="15">
        <v>140458615</v>
      </c>
      <c r="C155" s="15">
        <v>3469951.5199999986</v>
      </c>
      <c r="D155" s="15"/>
      <c r="E155" s="15">
        <f t="shared" si="6"/>
        <v>143928566.52000001</v>
      </c>
      <c r="F155" s="212">
        <v>88.8</v>
      </c>
      <c r="G155" s="212">
        <v>5.5</v>
      </c>
      <c r="H155" s="33">
        <v>139.12535846444095</v>
      </c>
      <c r="I155" s="7">
        <v>30</v>
      </c>
      <c r="J155" s="7">
        <v>1</v>
      </c>
      <c r="K155" s="15">
        <f>+'CDM Activity'!F97</f>
        <v>3259144.6373525006</v>
      </c>
      <c r="L155" s="22">
        <v>336</v>
      </c>
      <c r="M155" s="210">
        <v>654.9</v>
      </c>
      <c r="N155" s="210">
        <v>64.770329670329602</v>
      </c>
      <c r="O155" s="7">
        <f t="shared" si="7"/>
        <v>138142254.89433983</v>
      </c>
      <c r="P155" s="7"/>
    </row>
    <row r="156" spans="1:17" x14ac:dyDescent="0.2">
      <c r="A156" s="2">
        <v>40087</v>
      </c>
      <c r="B156" s="15">
        <v>145285176</v>
      </c>
      <c r="C156" s="15">
        <v>3644537.568</v>
      </c>
      <c r="D156" s="15"/>
      <c r="E156" s="15">
        <f t="shared" si="6"/>
        <v>148929713.56799999</v>
      </c>
      <c r="F156" s="212">
        <v>329.1</v>
      </c>
      <c r="G156" s="212">
        <v>0</v>
      </c>
      <c r="H156" s="33">
        <v>139.02058153524823</v>
      </c>
      <c r="I156" s="7">
        <v>31</v>
      </c>
      <c r="J156" s="7">
        <v>1</v>
      </c>
      <c r="K156" s="15">
        <f>+'CDM Activity'!F98</f>
        <v>3340951.9960207976</v>
      </c>
      <c r="L156" s="22">
        <v>336</v>
      </c>
      <c r="M156" s="210">
        <v>656.6</v>
      </c>
      <c r="N156" s="210">
        <v>64.938461538461524</v>
      </c>
      <c r="O156" s="7">
        <f t="shared" si="7"/>
        <v>149923723.58778989</v>
      </c>
      <c r="P156" s="7"/>
      <c r="Q156" s="22"/>
    </row>
    <row r="157" spans="1:17" x14ac:dyDescent="0.2">
      <c r="A157" s="2">
        <v>40118</v>
      </c>
      <c r="B157" s="15">
        <v>145607812</v>
      </c>
      <c r="C157" s="15">
        <v>3579715.3279999983</v>
      </c>
      <c r="D157" s="15"/>
      <c r="E157" s="15">
        <f t="shared" si="6"/>
        <v>149187527.32800001</v>
      </c>
      <c r="F157" s="212">
        <v>396.49999999999994</v>
      </c>
      <c r="G157" s="212">
        <v>0</v>
      </c>
      <c r="H157" s="33">
        <v>138.91588351478222</v>
      </c>
      <c r="I157" s="7">
        <v>30</v>
      </c>
      <c r="J157" s="7">
        <v>1</v>
      </c>
      <c r="K157" s="15">
        <f>+'CDM Activity'!F99</f>
        <v>3422759.3546890947</v>
      </c>
      <c r="L157" s="22">
        <v>320</v>
      </c>
      <c r="M157" s="210">
        <v>654.79999999999995</v>
      </c>
      <c r="N157" s="210">
        <v>64.760439560439522</v>
      </c>
      <c r="O157" s="7">
        <f t="shared" si="7"/>
        <v>147470770.40952781</v>
      </c>
      <c r="P157" s="7"/>
    </row>
    <row r="158" spans="1:17" x14ac:dyDescent="0.2">
      <c r="A158" s="2">
        <v>40148</v>
      </c>
      <c r="B158" s="15">
        <v>166545329</v>
      </c>
      <c r="C158" s="15">
        <v>3572913.1519999993</v>
      </c>
      <c r="D158" s="15">
        <v>-939411</v>
      </c>
      <c r="E158" s="15">
        <f t="shared" si="6"/>
        <v>169178831.15200001</v>
      </c>
      <c r="F158" s="212">
        <v>669.49999999999977</v>
      </c>
      <c r="G158" s="212">
        <v>0</v>
      </c>
      <c r="H158" s="33">
        <v>138.8112643436159</v>
      </c>
      <c r="I158" s="7">
        <v>31</v>
      </c>
      <c r="J158" s="7">
        <v>0</v>
      </c>
      <c r="K158" s="15">
        <f>+'CDM Activity'!F100</f>
        <v>3504566.7133573918</v>
      </c>
      <c r="L158" s="22">
        <v>352</v>
      </c>
      <c r="M158" s="210">
        <v>652.29999999999995</v>
      </c>
      <c r="N158" s="210">
        <v>64.513186813186735</v>
      </c>
      <c r="O158" s="7">
        <f t="shared" si="7"/>
        <v>169028232.10813761</v>
      </c>
      <c r="P158" s="7"/>
    </row>
    <row r="159" spans="1:17" x14ac:dyDescent="0.2">
      <c r="A159" s="2">
        <v>40179</v>
      </c>
      <c r="B159" s="15">
        <v>171587069</v>
      </c>
      <c r="C159" s="15">
        <v>3440699.0965570002</v>
      </c>
      <c r="D159" s="15"/>
      <c r="E159" s="15">
        <f t="shared" si="6"/>
        <v>175027768.09655699</v>
      </c>
      <c r="F159" s="212">
        <v>751.94999999999982</v>
      </c>
      <c r="G159" s="212">
        <v>0</v>
      </c>
      <c r="H159" s="33">
        <v>138.43555825854429</v>
      </c>
      <c r="I159" s="7">
        <v>31</v>
      </c>
      <c r="J159" s="7">
        <v>0</v>
      </c>
      <c r="K159" s="15">
        <f>+'CDM Activity'!F101</f>
        <v>3473653.8619696586</v>
      </c>
      <c r="L159" s="22">
        <v>320</v>
      </c>
      <c r="M159" s="210">
        <v>646</v>
      </c>
      <c r="N159" s="210">
        <v>57.703703703703695</v>
      </c>
      <c r="O159" s="7">
        <f t="shared" si="7"/>
        <v>170587047.60868302</v>
      </c>
      <c r="P159" s="7"/>
    </row>
    <row r="160" spans="1:17" x14ac:dyDescent="0.2">
      <c r="A160" s="2">
        <v>40210</v>
      </c>
      <c r="B160" s="15">
        <v>152386226</v>
      </c>
      <c r="C160" s="15">
        <v>2736448.8684920003</v>
      </c>
      <c r="D160" s="15"/>
      <c r="E160" s="15">
        <f t="shared" si="6"/>
        <v>155122674.86849201</v>
      </c>
      <c r="F160" s="212">
        <v>644.6999999999997</v>
      </c>
      <c r="G160" s="212">
        <v>0</v>
      </c>
      <c r="H160" s="33">
        <v>138.06086905825526</v>
      </c>
      <c r="I160" s="7">
        <v>28</v>
      </c>
      <c r="J160" s="7">
        <v>0</v>
      </c>
      <c r="K160" s="15">
        <f>+'CDM Activity'!F102</f>
        <v>3442741.0105819255</v>
      </c>
      <c r="L160" s="22">
        <v>304</v>
      </c>
      <c r="M160" s="210">
        <v>642.29999999999995</v>
      </c>
      <c r="N160" s="210">
        <v>57.373202614379011</v>
      </c>
      <c r="O160" s="7">
        <f t="shared" si="7"/>
        <v>153904560.65102631</v>
      </c>
      <c r="P160" s="7"/>
      <c r="Q160" s="48"/>
    </row>
    <row r="161" spans="1:16" x14ac:dyDescent="0.2">
      <c r="A161" s="2">
        <v>40238</v>
      </c>
      <c r="B161" s="15">
        <v>152881624</v>
      </c>
      <c r="C161" s="15">
        <v>3076979.7117539998</v>
      </c>
      <c r="D161" s="15"/>
      <c r="E161" s="15">
        <f t="shared" si="6"/>
        <v>155958603.71175399</v>
      </c>
      <c r="F161" s="212">
        <v>470.90000000000003</v>
      </c>
      <c r="G161" s="212">
        <v>0</v>
      </c>
      <c r="H161" s="33">
        <v>137.68719399045199</v>
      </c>
      <c r="I161" s="7">
        <v>31</v>
      </c>
      <c r="J161" s="7">
        <v>1</v>
      </c>
      <c r="K161" s="15">
        <f>+'CDM Activity'!F103</f>
        <v>3411828.1591941924</v>
      </c>
      <c r="L161" s="22">
        <v>368</v>
      </c>
      <c r="M161" s="210">
        <v>639.5</v>
      </c>
      <c r="N161" s="210">
        <v>57.123093681917226</v>
      </c>
      <c r="O161" s="7">
        <f t="shared" si="7"/>
        <v>157646323.68856096</v>
      </c>
      <c r="P161" s="7"/>
    </row>
    <row r="162" spans="1:16" x14ac:dyDescent="0.2">
      <c r="A162" s="2">
        <v>40269</v>
      </c>
      <c r="B162" s="15">
        <v>134783810</v>
      </c>
      <c r="C162" s="15">
        <v>3474388.0156240002</v>
      </c>
      <c r="D162" s="15"/>
      <c r="E162" s="15">
        <f t="shared" si="6"/>
        <v>138258198.01562399</v>
      </c>
      <c r="F162" s="212">
        <v>265.95</v>
      </c>
      <c r="G162" s="212">
        <v>0</v>
      </c>
      <c r="H162" s="33">
        <v>137.31453031028698</v>
      </c>
      <c r="I162" s="7">
        <v>30</v>
      </c>
      <c r="J162" s="7">
        <v>1</v>
      </c>
      <c r="K162" s="15">
        <f>+'CDM Activity'!F104</f>
        <v>3380915.3078064593</v>
      </c>
      <c r="L162" s="22">
        <v>336</v>
      </c>
      <c r="M162" s="210">
        <v>643.79999999999995</v>
      </c>
      <c r="N162" s="210">
        <v>57.507189542483616</v>
      </c>
      <c r="O162" s="7">
        <f t="shared" si="7"/>
        <v>143357312.07124081</v>
      </c>
      <c r="P162" s="7"/>
    </row>
    <row r="163" spans="1:16" x14ac:dyDescent="0.2">
      <c r="A163" s="2">
        <v>40299</v>
      </c>
      <c r="B163" s="15">
        <v>147558538</v>
      </c>
      <c r="C163" s="15">
        <v>3554303.74981</v>
      </c>
      <c r="D163" s="15"/>
      <c r="E163" s="15">
        <f t="shared" ref="E163:E194" si="8">SUM(B163:D163)</f>
        <v>151112841.74981001</v>
      </c>
      <c r="F163" s="212">
        <v>144.69999999999999</v>
      </c>
      <c r="G163" s="212">
        <v>21</v>
      </c>
      <c r="H163" s="33">
        <v>136.94287528034204</v>
      </c>
      <c r="I163" s="7">
        <v>31</v>
      </c>
      <c r="J163" s="7">
        <v>1</v>
      </c>
      <c r="K163" s="15">
        <f>+'CDM Activity'!F105</f>
        <v>3350002.4564187261</v>
      </c>
      <c r="L163" s="22">
        <v>320</v>
      </c>
      <c r="M163" s="210">
        <v>653.4</v>
      </c>
      <c r="N163" s="210">
        <v>58.364705882352951</v>
      </c>
      <c r="O163" s="7">
        <f t="shared" si="7"/>
        <v>147556121.58211699</v>
      </c>
      <c r="P163" s="7"/>
    </row>
    <row r="164" spans="1:16" x14ac:dyDescent="0.2">
      <c r="A164" s="2">
        <v>40330</v>
      </c>
      <c r="B164" s="15">
        <v>152085417</v>
      </c>
      <c r="C164" s="15">
        <v>3365360.0580799999</v>
      </c>
      <c r="D164" s="15">
        <v>-1969804</v>
      </c>
      <c r="E164" s="15">
        <f t="shared" si="8"/>
        <v>153480973.05807999</v>
      </c>
      <c r="F164" s="212">
        <v>37.849999999999994</v>
      </c>
      <c r="G164" s="212">
        <v>30.850000000000005</v>
      </c>
      <c r="H164" s="33">
        <v>136.57222617060793</v>
      </c>
      <c r="I164" s="7">
        <v>30</v>
      </c>
      <c r="J164" s="7">
        <v>0</v>
      </c>
      <c r="K164" s="15">
        <f>+'CDM Activity'!F106</f>
        <v>3319089.605030993</v>
      </c>
      <c r="L164" s="22">
        <v>352</v>
      </c>
      <c r="M164" s="210">
        <v>668.5</v>
      </c>
      <c r="N164" s="210">
        <v>59.713507625272314</v>
      </c>
      <c r="O164" s="7">
        <f t="shared" si="7"/>
        <v>150444201.75891888</v>
      </c>
      <c r="P164" s="7"/>
    </row>
    <row r="165" spans="1:16" x14ac:dyDescent="0.2">
      <c r="A165" s="2">
        <v>40360</v>
      </c>
      <c r="B165" s="15">
        <v>173774673</v>
      </c>
      <c r="C165" s="15">
        <v>3414396.3318975</v>
      </c>
      <c r="D165" s="15"/>
      <c r="E165" s="15">
        <f t="shared" si="8"/>
        <v>177189069.3318975</v>
      </c>
      <c r="F165" s="212">
        <v>6.7</v>
      </c>
      <c r="G165" s="212">
        <v>106.09999999999998</v>
      </c>
      <c r="H165" s="33">
        <v>136.20258025846454</v>
      </c>
      <c r="I165" s="7">
        <v>31</v>
      </c>
      <c r="J165" s="7">
        <v>0</v>
      </c>
      <c r="K165" s="15">
        <f>+'CDM Activity'!F107</f>
        <v>3288176.7536432599</v>
      </c>
      <c r="L165" s="22">
        <v>336</v>
      </c>
      <c r="M165" s="210">
        <v>680.1</v>
      </c>
      <c r="N165" s="210">
        <v>60.749673202614304</v>
      </c>
      <c r="O165" s="7">
        <f t="shared" si="7"/>
        <v>174632822.15863314</v>
      </c>
      <c r="P165" s="7"/>
    </row>
    <row r="166" spans="1:16" x14ac:dyDescent="0.2">
      <c r="A166" s="2">
        <v>40391</v>
      </c>
      <c r="B166" s="15">
        <v>169918494</v>
      </c>
      <c r="C166" s="15">
        <v>3110959.2239949997</v>
      </c>
      <c r="D166" s="15"/>
      <c r="E166" s="15">
        <f t="shared" si="8"/>
        <v>173029453.223995</v>
      </c>
      <c r="F166" s="212">
        <v>11.5</v>
      </c>
      <c r="G166" s="212">
        <v>83.600000000000023</v>
      </c>
      <c r="H166" s="33">
        <v>135.83393482866074</v>
      </c>
      <c r="I166" s="7">
        <v>31</v>
      </c>
      <c r="J166" s="7">
        <v>0</v>
      </c>
      <c r="K166" s="15">
        <f>+'CDM Activity'!F108</f>
        <v>3257263.9022555267</v>
      </c>
      <c r="L166" s="22">
        <v>336</v>
      </c>
      <c r="M166" s="210">
        <v>683.1</v>
      </c>
      <c r="N166" s="210">
        <v>61.017647058823513</v>
      </c>
      <c r="O166" s="7">
        <f t="shared" si="7"/>
        <v>168403131.96202731</v>
      </c>
      <c r="P166" s="7"/>
    </row>
    <row r="167" spans="1:16" x14ac:dyDescent="0.2">
      <c r="A167" s="2">
        <v>40422</v>
      </c>
      <c r="B167" s="15">
        <v>141552978</v>
      </c>
      <c r="C167" s="15">
        <v>3139012.2670999998</v>
      </c>
      <c r="D167" s="15"/>
      <c r="E167" s="15">
        <f t="shared" si="8"/>
        <v>144691990.26710001</v>
      </c>
      <c r="F167" s="212">
        <v>122.70000000000002</v>
      </c>
      <c r="G167" s="212">
        <v>21.2</v>
      </c>
      <c r="H167" s="33">
        <v>135.46628717329455</v>
      </c>
      <c r="I167" s="7">
        <v>30</v>
      </c>
      <c r="J167" s="7">
        <v>1</v>
      </c>
      <c r="K167" s="15">
        <f>+'CDM Activity'!F109</f>
        <v>3226351.0508677936</v>
      </c>
      <c r="L167" s="22">
        <v>336</v>
      </c>
      <c r="M167" s="210">
        <v>677.1</v>
      </c>
      <c r="N167" s="210">
        <v>60.481699346405208</v>
      </c>
      <c r="O167" s="7">
        <f t="shared" si="7"/>
        <v>146034423.05748788</v>
      </c>
      <c r="P167" s="7"/>
    </row>
    <row r="168" spans="1:16" x14ac:dyDescent="0.2">
      <c r="A168" s="2">
        <v>40452</v>
      </c>
      <c r="B168" s="15">
        <v>141431853</v>
      </c>
      <c r="C168" s="15">
        <v>3513334.0384624996</v>
      </c>
      <c r="D168" s="15"/>
      <c r="E168" s="15">
        <f t="shared" si="8"/>
        <v>144945187.03846249</v>
      </c>
      <c r="F168" s="212">
        <v>285.04999999999995</v>
      </c>
      <c r="G168" s="212">
        <v>0</v>
      </c>
      <c r="H168" s="33">
        <v>135.09963459179312</v>
      </c>
      <c r="I168" s="7">
        <v>31</v>
      </c>
      <c r="J168" s="7">
        <v>1</v>
      </c>
      <c r="K168" s="15">
        <f>+'CDM Activity'!F110</f>
        <v>3195438.1994800605</v>
      </c>
      <c r="L168" s="22">
        <v>320</v>
      </c>
      <c r="M168" s="210">
        <v>670.2</v>
      </c>
      <c r="N168" s="210">
        <v>59.865359477124116</v>
      </c>
      <c r="O168" s="7">
        <f t="shared" si="7"/>
        <v>148536312.85526904</v>
      </c>
      <c r="P168" s="7"/>
    </row>
    <row r="169" spans="1:16" x14ac:dyDescent="0.2">
      <c r="A169" s="2">
        <v>40483</v>
      </c>
      <c r="B169" s="15">
        <v>149100645</v>
      </c>
      <c r="C169" s="15">
        <v>3312803.1056025</v>
      </c>
      <c r="D169" s="15"/>
      <c r="E169" s="15">
        <f t="shared" si="8"/>
        <v>152413448.1056025</v>
      </c>
      <c r="F169" s="212">
        <v>467.79999999999995</v>
      </c>
      <c r="G169" s="212">
        <v>0</v>
      </c>
      <c r="H169" s="33">
        <v>134.733974390893</v>
      </c>
      <c r="I169" s="7">
        <v>30</v>
      </c>
      <c r="J169" s="7">
        <v>1</v>
      </c>
      <c r="K169" s="15">
        <f>+'CDM Activity'!F111</f>
        <v>3164525.3480923274</v>
      </c>
      <c r="L169" s="22">
        <v>336</v>
      </c>
      <c r="M169" s="210">
        <v>668.1</v>
      </c>
      <c r="N169" s="210">
        <v>59.677777777777806</v>
      </c>
      <c r="O169" s="7">
        <f t="shared" si="7"/>
        <v>153727042.9060941</v>
      </c>
      <c r="P169" s="7"/>
    </row>
    <row r="170" spans="1:16" x14ac:dyDescent="0.2">
      <c r="A170" s="2">
        <v>40513</v>
      </c>
      <c r="B170" s="15">
        <v>169078607</v>
      </c>
      <c r="C170" s="15">
        <v>3230069.9819800002</v>
      </c>
      <c r="D170" s="15">
        <v>-905365</v>
      </c>
      <c r="E170" s="15">
        <f t="shared" si="8"/>
        <v>171403311.98198</v>
      </c>
      <c r="F170" s="212">
        <v>719.39999999999986</v>
      </c>
      <c r="G170" s="212">
        <v>0</v>
      </c>
      <c r="H170" s="33">
        <v>134.36930388462019</v>
      </c>
      <c r="I170" s="7">
        <v>31</v>
      </c>
      <c r="J170" s="7">
        <v>0</v>
      </c>
      <c r="K170" s="15">
        <f>+'CDM Activity'!F112</f>
        <v>3133612.4967045942</v>
      </c>
      <c r="L170" s="22">
        <v>368</v>
      </c>
      <c r="M170" s="210">
        <v>666.9</v>
      </c>
      <c r="N170" s="210">
        <v>59.570588235294053</v>
      </c>
      <c r="O170" s="7">
        <f t="shared" si="7"/>
        <v>174862554.87051675</v>
      </c>
      <c r="P170" s="7"/>
    </row>
    <row r="171" spans="1:16" x14ac:dyDescent="0.2">
      <c r="A171" s="2">
        <v>40544</v>
      </c>
      <c r="B171" s="15">
        <v>173480601</v>
      </c>
      <c r="C171" s="15">
        <v>2965559.5857774997</v>
      </c>
      <c r="D171" s="15"/>
      <c r="E171" s="15">
        <f t="shared" si="8"/>
        <v>176446160.58577749</v>
      </c>
      <c r="F171" s="212">
        <v>827.80000000000007</v>
      </c>
      <c r="G171" s="212">
        <v>0</v>
      </c>
      <c r="H171" s="33">
        <v>134.70069483711632</v>
      </c>
      <c r="I171" s="7">
        <v>31</v>
      </c>
      <c r="J171" s="7">
        <v>0</v>
      </c>
      <c r="K171" s="15">
        <f>+'CDM Activity'!F113</f>
        <v>3295846.3365230975</v>
      </c>
      <c r="L171" s="22">
        <v>336</v>
      </c>
      <c r="M171" s="210">
        <v>663.9</v>
      </c>
      <c r="N171" s="210">
        <v>51.509482758620607</v>
      </c>
      <c r="O171" s="7">
        <f t="shared" si="7"/>
        <v>177298182.53512076</v>
      </c>
      <c r="P171" s="7"/>
    </row>
    <row r="172" spans="1:16" x14ac:dyDescent="0.2">
      <c r="A172" s="2">
        <v>40575</v>
      </c>
      <c r="B172" s="15">
        <v>154641844</v>
      </c>
      <c r="C172" s="15">
        <v>2793475.1593449977</v>
      </c>
      <c r="D172" s="15"/>
      <c r="E172" s="15">
        <f t="shared" si="8"/>
        <v>157435319.159345</v>
      </c>
      <c r="F172" s="212">
        <v>681.6</v>
      </c>
      <c r="G172" s="212">
        <v>0</v>
      </c>
      <c r="H172" s="33">
        <v>135.03290308910141</v>
      </c>
      <c r="I172" s="7">
        <v>28</v>
      </c>
      <c r="J172" s="7">
        <v>0</v>
      </c>
      <c r="K172" s="15">
        <f>+'CDM Activity'!F114</f>
        <v>3458080.1763416007</v>
      </c>
      <c r="L172" s="22">
        <v>304</v>
      </c>
      <c r="M172" s="210">
        <v>666.1</v>
      </c>
      <c r="N172" s="210">
        <v>51.680172413793116</v>
      </c>
      <c r="O172" s="7">
        <f t="shared" si="7"/>
        <v>157499401.39650559</v>
      </c>
      <c r="P172" s="7"/>
    </row>
    <row r="173" spans="1:16" x14ac:dyDescent="0.2">
      <c r="A173" s="2">
        <v>40603</v>
      </c>
      <c r="B173" s="15">
        <v>161467012</v>
      </c>
      <c r="C173" s="15">
        <v>3394894.9241274977</v>
      </c>
      <c r="D173" s="15"/>
      <c r="E173" s="15">
        <f t="shared" si="8"/>
        <v>164861906.92412749</v>
      </c>
      <c r="F173" s="212">
        <v>622.65000000000009</v>
      </c>
      <c r="G173" s="212">
        <v>0</v>
      </c>
      <c r="H173" s="33">
        <v>135.36593065625647</v>
      </c>
      <c r="I173" s="7">
        <v>31</v>
      </c>
      <c r="J173" s="7">
        <v>1</v>
      </c>
      <c r="K173" s="15">
        <f>+'CDM Activity'!F115</f>
        <v>3620314.016160104</v>
      </c>
      <c r="L173" s="22">
        <v>368</v>
      </c>
      <c r="M173" s="210">
        <v>671.2</v>
      </c>
      <c r="N173" s="210">
        <v>52.075862068965534</v>
      </c>
      <c r="O173" s="7">
        <f t="shared" si="7"/>
        <v>165906417.94367927</v>
      </c>
      <c r="P173" s="7"/>
    </row>
    <row r="174" spans="1:16" x14ac:dyDescent="0.2">
      <c r="A174" s="2">
        <v>40634</v>
      </c>
      <c r="B174" s="15">
        <v>141723732</v>
      </c>
      <c r="C174" s="15">
        <v>3572358.6958000008</v>
      </c>
      <c r="D174" s="15"/>
      <c r="E174" s="15">
        <f t="shared" si="8"/>
        <v>145296090.69580001</v>
      </c>
      <c r="F174" s="212">
        <v>359.74999999999994</v>
      </c>
      <c r="G174" s="212">
        <v>0</v>
      </c>
      <c r="H174" s="33">
        <v>135.69977955923375</v>
      </c>
      <c r="I174" s="7">
        <v>30</v>
      </c>
      <c r="J174" s="7">
        <v>1</v>
      </c>
      <c r="K174" s="15">
        <f>+'CDM Activity'!F116</f>
        <v>3782547.8559786072</v>
      </c>
      <c r="L174" s="22">
        <v>320</v>
      </c>
      <c r="M174" s="210">
        <v>679.9</v>
      </c>
      <c r="N174" s="210">
        <v>52.750862068965489</v>
      </c>
      <c r="O174" s="7">
        <f t="shared" si="7"/>
        <v>147624614.45646149</v>
      </c>
      <c r="P174" s="7"/>
    </row>
    <row r="175" spans="1:16" x14ac:dyDescent="0.2">
      <c r="A175" s="2">
        <v>40664</v>
      </c>
      <c r="B175" s="15">
        <v>142626392</v>
      </c>
      <c r="C175" s="15">
        <v>3354992.120836508</v>
      </c>
      <c r="D175" s="15"/>
      <c r="E175" s="15">
        <f t="shared" si="8"/>
        <v>145981384.1208365</v>
      </c>
      <c r="F175" s="212">
        <v>152.19999999999996</v>
      </c>
      <c r="G175" s="212">
        <v>13.2</v>
      </c>
      <c r="H175" s="33">
        <v>136.03445182366895</v>
      </c>
      <c r="I175" s="7">
        <v>31</v>
      </c>
      <c r="J175" s="7">
        <v>1</v>
      </c>
      <c r="K175" s="15">
        <f>+'CDM Activity'!F117</f>
        <v>3944781.6957971104</v>
      </c>
      <c r="L175" s="22">
        <v>336</v>
      </c>
      <c r="M175" s="210">
        <v>685.8</v>
      </c>
      <c r="N175" s="210">
        <v>53.208620689655163</v>
      </c>
      <c r="O175" s="7">
        <f t="shared" si="7"/>
        <v>147496298.14234203</v>
      </c>
      <c r="P175" s="7"/>
    </row>
    <row r="176" spans="1:16" x14ac:dyDescent="0.2">
      <c r="A176" s="2">
        <v>40695</v>
      </c>
      <c r="B176" s="15">
        <v>148833888</v>
      </c>
      <c r="C176" s="15">
        <v>3642328.6759555563</v>
      </c>
      <c r="D176" s="15">
        <v>-1165064.8400000001</v>
      </c>
      <c r="E176" s="15">
        <f t="shared" si="8"/>
        <v>151311151.83595556</v>
      </c>
      <c r="F176" s="212">
        <v>48.500000000000007</v>
      </c>
      <c r="G176" s="212">
        <v>21.599999999999998</v>
      </c>
      <c r="H176" s="33">
        <v>136.36994948019355</v>
      </c>
      <c r="I176" s="7">
        <v>30</v>
      </c>
      <c r="J176" s="7">
        <v>0</v>
      </c>
      <c r="K176" s="15">
        <f>+'CDM Activity'!F118</f>
        <v>4107015.5356156137</v>
      </c>
      <c r="L176" s="22">
        <v>352</v>
      </c>
      <c r="M176" s="210">
        <v>697.1</v>
      </c>
      <c r="N176" s="210">
        <v>54.085344827586141</v>
      </c>
      <c r="O176" s="7">
        <f t="shared" si="7"/>
        <v>148008974.02610269</v>
      </c>
      <c r="P176" s="7"/>
    </row>
    <row r="177" spans="1:16" x14ac:dyDescent="0.2">
      <c r="A177" s="2">
        <v>40725</v>
      </c>
      <c r="B177" s="15">
        <v>178623729</v>
      </c>
      <c r="C177" s="15">
        <v>3661638.2110410053</v>
      </c>
      <c r="D177" s="15"/>
      <c r="E177" s="15">
        <f t="shared" si="8"/>
        <v>182285367.211041</v>
      </c>
      <c r="F177" s="212">
        <v>0.8</v>
      </c>
      <c r="G177" s="212">
        <v>130.79999999999998</v>
      </c>
      <c r="H177" s="33">
        <v>136.70627456444714</v>
      </c>
      <c r="I177" s="7">
        <v>31</v>
      </c>
      <c r="J177" s="7">
        <v>0</v>
      </c>
      <c r="K177" s="15">
        <f>+'CDM Activity'!F119</f>
        <v>4269249.3754341174</v>
      </c>
      <c r="L177" s="22">
        <v>320</v>
      </c>
      <c r="M177" s="210">
        <v>707.5</v>
      </c>
      <c r="N177" s="210">
        <v>54.892241379310349</v>
      </c>
      <c r="O177" s="7">
        <f t="shared" si="7"/>
        <v>179664621.44756284</v>
      </c>
      <c r="P177" s="7"/>
    </row>
    <row r="178" spans="1:16" x14ac:dyDescent="0.2">
      <c r="A178" s="2">
        <v>40756</v>
      </c>
      <c r="B178" s="15">
        <v>164128078</v>
      </c>
      <c r="C178" s="15">
        <v>3433252.5679899994</v>
      </c>
      <c r="D178" s="15"/>
      <c r="E178" s="15">
        <f t="shared" si="8"/>
        <v>167561330.56799001</v>
      </c>
      <c r="F178" s="212">
        <v>6.8999999999999995</v>
      </c>
      <c r="G178" s="212">
        <v>63.599999999999994</v>
      </c>
      <c r="H178" s="33">
        <v>137.04342911708969</v>
      </c>
      <c r="I178" s="7">
        <v>31</v>
      </c>
      <c r="J178" s="7">
        <v>0</v>
      </c>
      <c r="K178" s="15">
        <f>+'CDM Activity'!F120</f>
        <v>4431483.2152526211</v>
      </c>
      <c r="L178" s="22">
        <v>352</v>
      </c>
      <c r="M178" s="210">
        <v>708.3</v>
      </c>
      <c r="N178" s="210">
        <v>54.954310344827491</v>
      </c>
      <c r="O178" s="7">
        <f t="shared" si="7"/>
        <v>161902774.90520316</v>
      </c>
      <c r="P178" s="7"/>
    </row>
    <row r="179" spans="1:16" x14ac:dyDescent="0.2">
      <c r="A179" s="2">
        <v>40787</v>
      </c>
      <c r="B179" s="15">
        <v>143183425</v>
      </c>
      <c r="C179" s="15">
        <v>2920175.9841380017</v>
      </c>
      <c r="D179" s="15"/>
      <c r="E179" s="15">
        <f t="shared" si="8"/>
        <v>146103600.98413801</v>
      </c>
      <c r="F179" s="212">
        <v>97.65</v>
      </c>
      <c r="G179" s="212">
        <v>20.25</v>
      </c>
      <c r="H179" s="33">
        <v>137.381415183814</v>
      </c>
      <c r="I179" s="7">
        <v>30</v>
      </c>
      <c r="J179" s="7">
        <v>1</v>
      </c>
      <c r="K179" s="15">
        <f>+'CDM Activity'!F121</f>
        <v>4593717.0550711248</v>
      </c>
      <c r="L179" s="22">
        <v>336</v>
      </c>
      <c r="M179" s="210">
        <v>700.8</v>
      </c>
      <c r="N179" s="210">
        <v>54.372413793103419</v>
      </c>
      <c r="O179" s="7">
        <f t="shared" si="7"/>
        <v>142367458.45485967</v>
      </c>
      <c r="P179" s="7"/>
    </row>
    <row r="180" spans="1:16" x14ac:dyDescent="0.2">
      <c r="A180" s="2">
        <v>40817</v>
      </c>
      <c r="B180" s="15">
        <v>143618154</v>
      </c>
      <c r="C180" s="15">
        <v>3035258.2740300014</v>
      </c>
      <c r="D180" s="15"/>
      <c r="E180" s="15">
        <f t="shared" si="8"/>
        <v>146653412.27403</v>
      </c>
      <c r="F180" s="212">
        <v>279.89999999999998</v>
      </c>
      <c r="G180" s="212">
        <v>0</v>
      </c>
      <c r="H180" s="33">
        <v>137.72023481535814</v>
      </c>
      <c r="I180" s="7">
        <v>31</v>
      </c>
      <c r="J180" s="7">
        <v>1</v>
      </c>
      <c r="K180" s="15">
        <f>+'CDM Activity'!F122</f>
        <v>4755950.8948896285</v>
      </c>
      <c r="L180" s="22">
        <v>320</v>
      </c>
      <c r="M180" s="210">
        <v>693.6</v>
      </c>
      <c r="N180" s="210">
        <v>53.813793103448234</v>
      </c>
      <c r="O180" s="7">
        <f t="shared" si="7"/>
        <v>145317346.76887506</v>
      </c>
      <c r="P180" s="7"/>
    </row>
    <row r="181" spans="1:16" x14ac:dyDescent="0.2">
      <c r="A181" s="2">
        <v>40848</v>
      </c>
      <c r="B181" s="15">
        <v>146066573</v>
      </c>
      <c r="C181" s="15">
        <v>3082781.2485379982</v>
      </c>
      <c r="D181" s="15"/>
      <c r="E181" s="15">
        <f t="shared" si="8"/>
        <v>149149354.24853799</v>
      </c>
      <c r="F181" s="212">
        <v>382.4</v>
      </c>
      <c r="G181" s="212">
        <v>0</v>
      </c>
      <c r="H181" s="33">
        <v>138.05989006751781</v>
      </c>
      <c r="I181" s="7">
        <v>30</v>
      </c>
      <c r="J181" s="7">
        <v>1</v>
      </c>
      <c r="K181" s="15">
        <f>+'CDM Activity'!F123</f>
        <v>4918184.7347081322</v>
      </c>
      <c r="L181" s="22">
        <v>352</v>
      </c>
      <c r="M181" s="210">
        <v>690.2</v>
      </c>
      <c r="N181" s="210">
        <v>53.549999999999955</v>
      </c>
      <c r="O181" s="7">
        <f t="shared" si="7"/>
        <v>147657440.09092015</v>
      </c>
      <c r="P181" s="7"/>
    </row>
    <row r="182" spans="1:16" x14ac:dyDescent="0.2">
      <c r="A182" s="2">
        <v>40878</v>
      </c>
      <c r="B182" s="15">
        <v>159732793</v>
      </c>
      <c r="C182" s="15">
        <v>3298203.5998860006</v>
      </c>
      <c r="D182" s="15">
        <v>-918842.674</v>
      </c>
      <c r="E182" s="15">
        <f t="shared" si="8"/>
        <v>162112153.92588601</v>
      </c>
      <c r="F182" s="212">
        <v>574.79999999999995</v>
      </c>
      <c r="G182" s="212">
        <v>0</v>
      </c>
      <c r="H182" s="33">
        <v>138.40038300115881</v>
      </c>
      <c r="I182" s="7">
        <v>31</v>
      </c>
      <c r="J182" s="7">
        <v>0</v>
      </c>
      <c r="K182" s="15">
        <f>+'CDM Activity'!F124</f>
        <v>5080418.5745266359</v>
      </c>
      <c r="L182" s="22">
        <v>336</v>
      </c>
      <c r="M182" s="210">
        <v>690.4</v>
      </c>
      <c r="N182" s="210">
        <v>53.565517241379325</v>
      </c>
      <c r="O182" s="7">
        <f t="shared" si="7"/>
        <v>162097512.05552197</v>
      </c>
      <c r="P182" s="7"/>
    </row>
    <row r="183" spans="1:16" x14ac:dyDescent="0.2">
      <c r="A183" s="2">
        <v>40909</v>
      </c>
      <c r="B183" s="15">
        <v>167297863</v>
      </c>
      <c r="C183" s="15">
        <v>3308434.1100000017</v>
      </c>
      <c r="D183" s="15"/>
      <c r="E183" s="15">
        <f t="shared" si="8"/>
        <v>170606297.11000001</v>
      </c>
      <c r="F183" s="212">
        <v>657.30000000000007</v>
      </c>
      <c r="G183" s="212">
        <v>0</v>
      </c>
      <c r="H183" s="33">
        <v>138.640283295465</v>
      </c>
      <c r="I183" s="48">
        <v>31</v>
      </c>
      <c r="J183" s="7">
        <v>0</v>
      </c>
      <c r="K183" s="15">
        <f>+'CDM Activity'!F125</f>
        <v>5015206.6118118968</v>
      </c>
      <c r="L183" s="22">
        <v>336</v>
      </c>
      <c r="M183" s="210">
        <v>684.2</v>
      </c>
      <c r="N183" s="210">
        <v>48.348179871520415</v>
      </c>
      <c r="O183" s="7">
        <f t="shared" si="7"/>
        <v>166119375.5647043</v>
      </c>
      <c r="P183" s="7"/>
    </row>
    <row r="184" spans="1:16" x14ac:dyDescent="0.2">
      <c r="A184" s="2">
        <v>40940</v>
      </c>
      <c r="B184" s="15">
        <v>151749261</v>
      </c>
      <c r="C184" s="15">
        <v>3069258.7779999999</v>
      </c>
      <c r="D184" s="15"/>
      <c r="E184" s="15">
        <f t="shared" si="8"/>
        <v>154818519.778</v>
      </c>
      <c r="F184" s="212">
        <v>573</v>
      </c>
      <c r="G184" s="212">
        <v>0</v>
      </c>
      <c r="H184" s="33">
        <v>138.88059942786325</v>
      </c>
      <c r="I184" s="48">
        <v>29</v>
      </c>
      <c r="J184" s="7">
        <v>0</v>
      </c>
      <c r="K184" s="15">
        <f>+'CDM Activity'!F126</f>
        <v>4949994.6490971576</v>
      </c>
      <c r="L184" s="22">
        <v>320</v>
      </c>
      <c r="M184" s="210">
        <v>682.8</v>
      </c>
      <c r="N184" s="210">
        <v>48.249250535331953</v>
      </c>
      <c r="O184" s="7">
        <f t="shared" si="7"/>
        <v>154369185.6420652</v>
      </c>
      <c r="P184" s="7"/>
    </row>
    <row r="185" spans="1:16" x14ac:dyDescent="0.2">
      <c r="A185" s="2">
        <v>40969</v>
      </c>
      <c r="B185" s="15">
        <v>149081825</v>
      </c>
      <c r="C185" s="15">
        <v>3440660.2576700007</v>
      </c>
      <c r="D185" s="15"/>
      <c r="E185" s="15">
        <f t="shared" si="8"/>
        <v>152522485.25767002</v>
      </c>
      <c r="F185" s="212">
        <v>370.1</v>
      </c>
      <c r="G185" s="212">
        <v>0</v>
      </c>
      <c r="H185" s="33">
        <v>139.12133211915852</v>
      </c>
      <c r="I185" s="48">
        <v>31</v>
      </c>
      <c r="J185" s="7">
        <v>1</v>
      </c>
      <c r="K185" s="15">
        <f>+'CDM Activity'!F127</f>
        <v>4884782.6863824185</v>
      </c>
      <c r="L185" s="22">
        <v>352</v>
      </c>
      <c r="M185" s="210">
        <v>680.8</v>
      </c>
      <c r="N185" s="210">
        <v>48.107922912205595</v>
      </c>
      <c r="O185" s="7">
        <f t="shared" si="7"/>
        <v>151120474.80766872</v>
      </c>
      <c r="P185" s="7"/>
    </row>
    <row r="186" spans="1:16" x14ac:dyDescent="0.2">
      <c r="A186" s="2">
        <v>41000</v>
      </c>
      <c r="B186" s="15">
        <v>137212331</v>
      </c>
      <c r="C186" s="15">
        <v>3210685.0791919986</v>
      </c>
      <c r="D186" s="15"/>
      <c r="E186" s="15">
        <f t="shared" si="8"/>
        <v>140423016.07919201</v>
      </c>
      <c r="F186" s="212">
        <v>365.3</v>
      </c>
      <c r="G186" s="212">
        <v>0</v>
      </c>
      <c r="H186" s="33">
        <v>139.36248209140518</v>
      </c>
      <c r="I186" s="48">
        <v>30</v>
      </c>
      <c r="J186" s="7">
        <v>1</v>
      </c>
      <c r="K186" s="15">
        <f>+'CDM Activity'!F128</f>
        <v>4819570.7236676794</v>
      </c>
      <c r="L186" s="22">
        <v>320</v>
      </c>
      <c r="M186" s="210">
        <v>682.9</v>
      </c>
      <c r="N186" s="210">
        <v>48.256316916488231</v>
      </c>
      <c r="O186" s="7">
        <f t="shared" si="7"/>
        <v>145296967.53772068</v>
      </c>
      <c r="P186" s="7"/>
    </row>
    <row r="187" spans="1:16" x14ac:dyDescent="0.2">
      <c r="A187" s="2">
        <v>41030</v>
      </c>
      <c r="B187" s="15">
        <v>146013521</v>
      </c>
      <c r="C187" s="15">
        <v>3294156.1631000005</v>
      </c>
      <c r="D187" s="15"/>
      <c r="E187" s="15">
        <f t="shared" si="8"/>
        <v>149307677.1631</v>
      </c>
      <c r="F187" s="212">
        <v>106.6</v>
      </c>
      <c r="G187" s="212">
        <v>19.7</v>
      </c>
      <c r="H187" s="33">
        <v>139.60405006790918</v>
      </c>
      <c r="I187" s="48">
        <v>31</v>
      </c>
      <c r="J187" s="7">
        <v>1</v>
      </c>
      <c r="K187" s="15">
        <f>+'CDM Activity'!F129</f>
        <v>4754358.7609529402</v>
      </c>
      <c r="L187" s="22">
        <v>352</v>
      </c>
      <c r="M187" s="210">
        <v>686.7</v>
      </c>
      <c r="N187" s="210">
        <v>48.524839400428277</v>
      </c>
      <c r="O187" s="7">
        <f t="shared" si="7"/>
        <v>146920807.53221396</v>
      </c>
      <c r="P187" s="7"/>
    </row>
    <row r="188" spans="1:16" x14ac:dyDescent="0.2">
      <c r="A188" s="2">
        <v>41061</v>
      </c>
      <c r="B188" s="15">
        <v>156866745</v>
      </c>
      <c r="C188" s="15">
        <v>3172980.4979999983</v>
      </c>
      <c r="D188" s="15">
        <v>-1015157</v>
      </c>
      <c r="E188" s="15">
        <f t="shared" si="8"/>
        <v>159024568.498</v>
      </c>
      <c r="F188" s="212">
        <v>42.100000000000009</v>
      </c>
      <c r="G188" s="212">
        <v>61.199999999999996</v>
      </c>
      <c r="H188" s="33">
        <v>139.84603677323028</v>
      </c>
      <c r="I188" s="48">
        <v>30</v>
      </c>
      <c r="J188" s="7">
        <v>0</v>
      </c>
      <c r="K188" s="15">
        <f>+'CDM Activity'!F130</f>
        <v>4689146.7982382011</v>
      </c>
      <c r="L188" s="22">
        <v>336</v>
      </c>
      <c r="M188" s="210">
        <v>691.5</v>
      </c>
      <c r="N188" s="210">
        <v>48.864025695931559</v>
      </c>
      <c r="O188" s="7">
        <f t="shared" si="7"/>
        <v>156901466.07716921</v>
      </c>
      <c r="P188" s="7"/>
    </row>
    <row r="189" spans="1:16" x14ac:dyDescent="0.2">
      <c r="A189" s="2">
        <v>41091</v>
      </c>
      <c r="B189" s="15">
        <v>181523408</v>
      </c>
      <c r="C189" s="15">
        <v>3076517.5174999977</v>
      </c>
      <c r="D189" s="15"/>
      <c r="E189" s="15">
        <f t="shared" si="8"/>
        <v>184599925.51749998</v>
      </c>
      <c r="F189" s="212">
        <v>0</v>
      </c>
      <c r="G189" s="212">
        <v>125.90000000000002</v>
      </c>
      <c r="H189" s="33">
        <v>140.08844293318413</v>
      </c>
      <c r="I189" s="48">
        <v>31</v>
      </c>
      <c r="J189" s="7">
        <v>0</v>
      </c>
      <c r="K189" s="15">
        <f>+'CDM Activity'!F131</f>
        <v>4623934.8355234619</v>
      </c>
      <c r="L189" s="22">
        <v>336</v>
      </c>
      <c r="M189" s="210">
        <v>694.4</v>
      </c>
      <c r="N189" s="210">
        <v>49.068950749464761</v>
      </c>
      <c r="O189" s="7">
        <f t="shared" si="7"/>
        <v>178424479.36374938</v>
      </c>
      <c r="P189" s="7"/>
    </row>
    <row r="190" spans="1:16" x14ac:dyDescent="0.2">
      <c r="A190" s="2">
        <v>41122</v>
      </c>
      <c r="B190" s="15">
        <v>164407829</v>
      </c>
      <c r="C190" s="15">
        <v>3065411.8390000002</v>
      </c>
      <c r="D190" s="15"/>
      <c r="E190" s="15">
        <f t="shared" si="8"/>
        <v>167473240.83899999</v>
      </c>
      <c r="F190" s="212">
        <v>20.450000000000006</v>
      </c>
      <c r="G190" s="212">
        <v>58.20000000000001</v>
      </c>
      <c r="H190" s="33">
        <v>140.33126927484452</v>
      </c>
      <c r="I190" s="48">
        <v>31</v>
      </c>
      <c r="J190" s="7">
        <v>0</v>
      </c>
      <c r="K190" s="15">
        <f>+'CDM Activity'!F132</f>
        <v>4558722.8728087228</v>
      </c>
      <c r="L190" s="22">
        <v>352</v>
      </c>
      <c r="M190" s="210">
        <v>689.7</v>
      </c>
      <c r="N190" s="210">
        <v>48.736830835117871</v>
      </c>
      <c r="O190" s="7">
        <f t="shared" si="7"/>
        <v>160399691.88798204</v>
      </c>
      <c r="P190" s="7"/>
    </row>
    <row r="191" spans="1:16" x14ac:dyDescent="0.2">
      <c r="A191" s="2">
        <v>41153</v>
      </c>
      <c r="B191" s="15">
        <v>143005966</v>
      </c>
      <c r="C191" s="15">
        <v>2784314.2889</v>
      </c>
      <c r="D191" s="15"/>
      <c r="E191" s="15">
        <f t="shared" si="8"/>
        <v>145790280.28889999</v>
      </c>
      <c r="F191" s="212">
        <v>125.40000000000002</v>
      </c>
      <c r="G191" s="212">
        <v>16.399999999999999</v>
      </c>
      <c r="H191" s="33">
        <v>140.57451652654552</v>
      </c>
      <c r="I191" s="48">
        <v>30</v>
      </c>
      <c r="J191" s="7">
        <v>1</v>
      </c>
      <c r="K191" s="15">
        <f>+'CDM Activity'!F133</f>
        <v>4493510.9100939836</v>
      </c>
      <c r="L191" s="22">
        <v>304</v>
      </c>
      <c r="M191" s="210">
        <v>681.9</v>
      </c>
      <c r="N191" s="210">
        <v>48.185653104925109</v>
      </c>
      <c r="O191" s="7">
        <f t="shared" si="7"/>
        <v>140308001.99561921</v>
      </c>
      <c r="P191" s="7"/>
    </row>
    <row r="192" spans="1:16" x14ac:dyDescent="0.2">
      <c r="A192" s="2">
        <v>41183</v>
      </c>
      <c r="B192" s="15">
        <v>145715525</v>
      </c>
      <c r="C192" s="15">
        <v>2738579.0520000006</v>
      </c>
      <c r="D192" s="15"/>
      <c r="E192" s="15">
        <f t="shared" si="8"/>
        <v>148454104.05199999</v>
      </c>
      <c r="F192" s="212">
        <v>279.2</v>
      </c>
      <c r="G192" s="212">
        <v>0</v>
      </c>
      <c r="H192" s="33">
        <v>140.81818541788368</v>
      </c>
      <c r="I192" s="48">
        <v>31</v>
      </c>
      <c r="J192" s="7">
        <v>1</v>
      </c>
      <c r="K192" s="15">
        <f>+'CDM Activity'!F134</f>
        <v>4428298.9473792445</v>
      </c>
      <c r="L192" s="22">
        <v>352</v>
      </c>
      <c r="M192" s="210">
        <v>681.8</v>
      </c>
      <c r="N192" s="210">
        <v>48.178586723768831</v>
      </c>
      <c r="O192" s="7">
        <f t="shared" si="7"/>
        <v>149429802.37611145</v>
      </c>
      <c r="P192" s="7"/>
    </row>
    <row r="193" spans="1:16" x14ac:dyDescent="0.2">
      <c r="A193" s="2">
        <v>41214</v>
      </c>
      <c r="B193" s="15">
        <v>149958942</v>
      </c>
      <c r="C193" s="15">
        <v>2847362.1399999983</v>
      </c>
      <c r="D193" s="15"/>
      <c r="E193" s="15">
        <f t="shared" si="8"/>
        <v>152806304.13999999</v>
      </c>
      <c r="F193" s="212">
        <v>483.60000000000014</v>
      </c>
      <c r="G193" s="212">
        <v>0</v>
      </c>
      <c r="H193" s="33">
        <v>141.06227667972024</v>
      </c>
      <c r="I193" s="48">
        <v>30</v>
      </c>
      <c r="J193" s="7">
        <v>1</v>
      </c>
      <c r="K193" s="15">
        <f>+'CDM Activity'!F135</f>
        <v>4363086.9846645053</v>
      </c>
      <c r="L193" s="22">
        <v>352</v>
      </c>
      <c r="M193" s="210">
        <v>686.5</v>
      </c>
      <c r="N193" s="210">
        <v>48.510706638115721</v>
      </c>
      <c r="O193" s="7">
        <f t="shared" si="7"/>
        <v>154967672.4168188</v>
      </c>
      <c r="P193" s="7"/>
    </row>
    <row r="194" spans="1:16" x14ac:dyDescent="0.2">
      <c r="A194" s="2">
        <v>41244</v>
      </c>
      <c r="B194" s="15">
        <v>157244281</v>
      </c>
      <c r="C194" s="15">
        <v>3331411.5923000001</v>
      </c>
      <c r="D194" s="15">
        <f>-693711+29718</f>
        <v>-663993</v>
      </c>
      <c r="E194" s="15">
        <f t="shared" si="8"/>
        <v>159911699.5923</v>
      </c>
      <c r="F194" s="212">
        <v>565.50000000000011</v>
      </c>
      <c r="G194" s="212">
        <v>0</v>
      </c>
      <c r="H194" s="33">
        <v>141.30679104418314</v>
      </c>
      <c r="I194" s="48">
        <v>31</v>
      </c>
      <c r="J194" s="7">
        <v>0</v>
      </c>
      <c r="K194" s="15">
        <f>+'CDM Activity'!F136</f>
        <v>4297875.0219497662</v>
      </c>
      <c r="L194" s="22">
        <v>304</v>
      </c>
      <c r="M194" s="210">
        <v>693.7</v>
      </c>
      <c r="N194" s="210">
        <v>49.019486081370474</v>
      </c>
      <c r="O194" s="7">
        <f t="shared" si="7"/>
        <v>163660976.56046847</v>
      </c>
      <c r="P194" s="7"/>
    </row>
    <row r="195" spans="1:16" x14ac:dyDescent="0.2">
      <c r="A195" s="2">
        <v>41275</v>
      </c>
      <c r="B195" s="15"/>
      <c r="C195" s="15"/>
      <c r="D195" s="15"/>
      <c r="F195" s="209">
        <f>SUM(F3+F15+F27+F39+F51+F63+F75+F87+F99+F111+F123+F135+F147+F159+F171+F183)/16</f>
        <v>749.42812499999991</v>
      </c>
      <c r="G195" s="209">
        <f>SUM(G3+G15+G27+G39+G51+G63+G75+G87+G99+G111+G123+G135+G147+G159+G171+G183)/16</f>
        <v>0</v>
      </c>
      <c r="H195" s="33">
        <v>141.54017069810607</v>
      </c>
      <c r="I195" s="7">
        <v>31</v>
      </c>
      <c r="J195" s="7">
        <v>0</v>
      </c>
      <c r="K195" s="15">
        <f>+'CDM Activity'!F137</f>
        <v>4285361.5439796625</v>
      </c>
      <c r="L195" s="22">
        <v>352</v>
      </c>
      <c r="M195" s="210">
        <v>693.3</v>
      </c>
      <c r="N195" s="210">
        <v>48.991220556745247</v>
      </c>
      <c r="O195" s="7">
        <f t="shared" ref="O195:O218" si="9">$B$261+F195*$B$262+G195*$B$263+H195*$B$264+I195*$B$265+J195*$B$266+K195*$B$267+L195*$B$268+M195*$B$269+N195*$B$270</f>
        <v>175081867.20914623</v>
      </c>
      <c r="P195" s="7"/>
    </row>
    <row r="196" spans="1:16" x14ac:dyDescent="0.2">
      <c r="A196" s="2">
        <v>41306</v>
      </c>
      <c r="B196" s="15"/>
      <c r="C196" s="15"/>
      <c r="D196" s="15"/>
      <c r="F196" s="209">
        <f t="shared" ref="F196:G206" si="10">SUM(F4+F16+F28+F40+F52+F64+F76+F88+F100+F112+F124+F136+F148+F160+F172+F184)/16</f>
        <v>653.16249999999991</v>
      </c>
      <c r="G196" s="209">
        <f t="shared" si="10"/>
        <v>0</v>
      </c>
      <c r="H196" s="33">
        <v>141.77393579750165</v>
      </c>
      <c r="I196" s="7">
        <v>29</v>
      </c>
      <c r="J196" s="7">
        <v>0</v>
      </c>
      <c r="K196" s="15">
        <f>+'CDM Activity'!F138</f>
        <v>4272848.0660095587</v>
      </c>
      <c r="L196" s="22">
        <v>304</v>
      </c>
      <c r="M196" s="210">
        <v>693.5</v>
      </c>
      <c r="N196" s="210">
        <v>49.005353319057917</v>
      </c>
      <c r="O196" s="7">
        <f t="shared" si="9"/>
        <v>160280824.38472834</v>
      </c>
      <c r="P196" s="7"/>
    </row>
    <row r="197" spans="1:16" x14ac:dyDescent="0.2">
      <c r="A197" s="2">
        <v>41334</v>
      </c>
      <c r="B197" s="15"/>
      <c r="C197" s="15"/>
      <c r="D197" s="15"/>
      <c r="F197" s="209">
        <f t="shared" si="10"/>
        <v>567.52187500000002</v>
      </c>
      <c r="G197" s="209">
        <f t="shared" si="10"/>
        <v>0</v>
      </c>
      <c r="H197" s="33">
        <v>142.00808697896443</v>
      </c>
      <c r="I197" s="7">
        <v>31</v>
      </c>
      <c r="J197" s="7">
        <v>1</v>
      </c>
      <c r="K197" s="15">
        <f>+'CDM Activity'!F139</f>
        <v>4260334.588039455</v>
      </c>
      <c r="L197" s="22">
        <v>320</v>
      </c>
      <c r="M197" s="210">
        <v>694.8</v>
      </c>
      <c r="N197" s="210">
        <v>49.097216274089988</v>
      </c>
      <c r="O197" s="7">
        <f t="shared" si="9"/>
        <v>160716794.92848617</v>
      </c>
      <c r="P197" s="7"/>
    </row>
    <row r="198" spans="1:16" x14ac:dyDescent="0.2">
      <c r="A198" s="2">
        <v>41365</v>
      </c>
      <c r="B198" s="15"/>
      <c r="C198" s="15"/>
      <c r="D198" s="15"/>
      <c r="F198" s="209">
        <f t="shared" si="10"/>
        <v>346.09999999999997</v>
      </c>
      <c r="G198" s="209">
        <f t="shared" si="10"/>
        <v>0.65625</v>
      </c>
      <c r="H198" s="33">
        <v>142.24262488014034</v>
      </c>
      <c r="I198" s="7">
        <v>30</v>
      </c>
      <c r="J198" s="7">
        <v>1</v>
      </c>
      <c r="K198" s="15">
        <f>+'CDM Activity'!F140</f>
        <v>4247821.1100693513</v>
      </c>
      <c r="L198" s="22">
        <v>336</v>
      </c>
      <c r="M198" s="210">
        <v>696.9</v>
      </c>
      <c r="N198" s="210">
        <v>49.245610278372624</v>
      </c>
      <c r="O198" s="7">
        <f t="shared" si="9"/>
        <v>149503476.17072463</v>
      </c>
      <c r="P198" s="7"/>
    </row>
    <row r="199" spans="1:16" x14ac:dyDescent="0.2">
      <c r="A199" s="2">
        <v>41395</v>
      </c>
      <c r="B199" s="15"/>
      <c r="C199" s="15"/>
      <c r="D199" s="15"/>
      <c r="F199" s="209">
        <f t="shared" si="10"/>
        <v>180.87499999999997</v>
      </c>
      <c r="G199" s="209">
        <f t="shared" si="10"/>
        <v>9.46875</v>
      </c>
      <c r="H199" s="33">
        <v>142.47755013972844</v>
      </c>
      <c r="I199" s="7">
        <v>31</v>
      </c>
      <c r="J199" s="7">
        <v>1</v>
      </c>
      <c r="K199" s="15">
        <f>+'CDM Activity'!F141</f>
        <v>4235307.6320992475</v>
      </c>
      <c r="L199" s="22">
        <v>352</v>
      </c>
      <c r="M199" s="210">
        <v>701.7</v>
      </c>
      <c r="N199" s="210">
        <v>49.584796573875906</v>
      </c>
      <c r="O199" s="7">
        <f t="shared" si="9"/>
        <v>150437706.68681899</v>
      </c>
      <c r="P199" s="7"/>
    </row>
    <row r="200" spans="1:16" x14ac:dyDescent="0.2">
      <c r="A200" s="2">
        <v>41426</v>
      </c>
      <c r="B200" s="15"/>
      <c r="C200" s="15"/>
      <c r="D200" s="15"/>
      <c r="F200" s="209">
        <f t="shared" si="10"/>
        <v>49.509375000000013</v>
      </c>
      <c r="G200" s="209">
        <f t="shared" si="10"/>
        <v>47.859375000000014</v>
      </c>
      <c r="H200" s="33">
        <v>142.71286339748261</v>
      </c>
      <c r="I200" s="7">
        <v>30</v>
      </c>
      <c r="J200" s="7">
        <v>0</v>
      </c>
      <c r="K200" s="15">
        <f>+'CDM Activity'!F142</f>
        <v>4222794.1541291438</v>
      </c>
      <c r="L200" s="22">
        <v>320</v>
      </c>
      <c r="M200" s="210">
        <v>707.5</v>
      </c>
      <c r="N200" s="210">
        <v>49.994646680942196</v>
      </c>
      <c r="O200" s="7">
        <f t="shared" si="9"/>
        <v>155336040.71401608</v>
      </c>
      <c r="P200" s="7"/>
    </row>
    <row r="201" spans="1:16" x14ac:dyDescent="0.2">
      <c r="A201" s="2">
        <v>41456</v>
      </c>
      <c r="B201" s="15"/>
      <c r="C201" s="15"/>
      <c r="D201" s="15"/>
      <c r="F201" s="209">
        <f t="shared" si="10"/>
        <v>12.85</v>
      </c>
      <c r="G201" s="209">
        <f t="shared" si="10"/>
        <v>83.243749999999991</v>
      </c>
      <c r="H201" s="33">
        <v>142.94856529421338</v>
      </c>
      <c r="I201" s="7">
        <v>31</v>
      </c>
      <c r="J201" s="7">
        <v>0</v>
      </c>
      <c r="K201" s="15">
        <f>+'CDM Activity'!F143</f>
        <v>4210280.6761590401</v>
      </c>
      <c r="L201" s="22">
        <v>352</v>
      </c>
      <c r="M201" s="210">
        <v>714.6</v>
      </c>
      <c r="N201" s="210">
        <v>50.496359743040784</v>
      </c>
      <c r="O201" s="7">
        <f t="shared" si="9"/>
        <v>170902952.24315745</v>
      </c>
      <c r="P201" s="7"/>
    </row>
    <row r="202" spans="1:16" x14ac:dyDescent="0.2">
      <c r="A202" s="2">
        <v>41487</v>
      </c>
      <c r="B202" s="15"/>
      <c r="C202" s="15"/>
      <c r="D202" s="15"/>
      <c r="F202" s="209">
        <f t="shared" si="10"/>
        <v>23.484374999999996</v>
      </c>
      <c r="G202" s="209">
        <f t="shared" si="10"/>
        <v>57.650000000000006</v>
      </c>
      <c r="H202" s="33">
        <v>143.18465647178962</v>
      </c>
      <c r="I202" s="7">
        <v>31</v>
      </c>
      <c r="J202" s="7">
        <v>0</v>
      </c>
      <c r="K202" s="15">
        <f>+'CDM Activity'!F144</f>
        <v>4197767.1981889363</v>
      </c>
      <c r="L202" s="22">
        <v>336</v>
      </c>
      <c r="M202" s="210">
        <v>713.3</v>
      </c>
      <c r="N202" s="210">
        <v>50.404496788008601</v>
      </c>
      <c r="O202" s="7">
        <f t="shared" si="9"/>
        <v>162529651.71157798</v>
      </c>
      <c r="P202" s="7"/>
    </row>
    <row r="203" spans="1:16" x14ac:dyDescent="0.2">
      <c r="A203" s="2">
        <v>41518</v>
      </c>
      <c r="B203" s="15"/>
      <c r="C203" s="15"/>
      <c r="D203" s="15"/>
      <c r="F203" s="209">
        <f t="shared" si="10"/>
        <v>96.35312500000002</v>
      </c>
      <c r="G203" s="209">
        <f t="shared" si="10"/>
        <v>18.009374999999999</v>
      </c>
      <c r="H203" s="33">
        <v>143.4211375731403</v>
      </c>
      <c r="I203" s="7">
        <v>30</v>
      </c>
      <c r="J203" s="7">
        <v>1</v>
      </c>
      <c r="K203" s="15">
        <f>+'CDM Activity'!F145</f>
        <v>4185253.7202188326</v>
      </c>
      <c r="L203" s="22">
        <v>320</v>
      </c>
      <c r="M203" s="210">
        <v>699.6</v>
      </c>
      <c r="N203" s="210">
        <v>47.038207043756643</v>
      </c>
      <c r="O203" s="7">
        <f t="shared" si="9"/>
        <v>143942745.17307419</v>
      </c>
      <c r="P203" s="7"/>
    </row>
    <row r="204" spans="1:16" x14ac:dyDescent="0.2">
      <c r="A204" s="2">
        <v>41548</v>
      </c>
      <c r="B204" s="2"/>
      <c r="C204" s="2"/>
      <c r="D204" s="15"/>
      <c r="F204" s="209">
        <f t="shared" si="10"/>
        <v>289.84062499999993</v>
      </c>
      <c r="G204" s="209">
        <f t="shared" si="10"/>
        <v>1.3374999999999999</v>
      </c>
      <c r="H204" s="33">
        <v>143.65800924225621</v>
      </c>
      <c r="I204" s="7">
        <v>31</v>
      </c>
      <c r="J204" s="7">
        <v>1</v>
      </c>
      <c r="K204" s="15">
        <f>+'CDM Activity'!F146</f>
        <v>4172740.2422487289</v>
      </c>
      <c r="L204" s="22">
        <v>352</v>
      </c>
      <c r="M204" s="210">
        <v>699.6</v>
      </c>
      <c r="N204" s="210">
        <v>47.038207043756643</v>
      </c>
      <c r="O204" s="7">
        <f t="shared" si="9"/>
        <v>153218976.65782696</v>
      </c>
      <c r="P204" s="7"/>
    </row>
    <row r="205" spans="1:16" x14ac:dyDescent="0.2">
      <c r="A205" s="2">
        <v>41579</v>
      </c>
      <c r="B205" s="2"/>
      <c r="C205" s="2"/>
      <c r="D205" s="15"/>
      <c r="F205" s="209">
        <f t="shared" si="10"/>
        <v>443.92500000000001</v>
      </c>
      <c r="G205" s="209">
        <f t="shared" si="10"/>
        <v>0</v>
      </c>
      <c r="H205" s="33">
        <v>143.89527212419182</v>
      </c>
      <c r="I205" s="7">
        <v>30</v>
      </c>
      <c r="J205" s="7">
        <v>1</v>
      </c>
      <c r="K205" s="15">
        <f>+'CDM Activity'!F147</f>
        <v>4160226.7642786251</v>
      </c>
      <c r="L205" s="22">
        <v>336</v>
      </c>
      <c r="M205" s="210">
        <v>699.6</v>
      </c>
      <c r="N205" s="210">
        <v>47.038207043756643</v>
      </c>
      <c r="O205" s="7">
        <f t="shared" si="9"/>
        <v>154522154.83155909</v>
      </c>
      <c r="P205" s="7"/>
    </row>
    <row r="206" spans="1:16" x14ac:dyDescent="0.2">
      <c r="A206" s="2">
        <v>41609</v>
      </c>
      <c r="B206" s="2"/>
      <c r="C206" s="2"/>
      <c r="D206" s="15"/>
      <c r="F206" s="209">
        <f t="shared" si="10"/>
        <v>648.66249999999991</v>
      </c>
      <c r="G206" s="209">
        <f t="shared" si="10"/>
        <v>0</v>
      </c>
      <c r="H206" s="33">
        <v>144.13292686506682</v>
      </c>
      <c r="I206" s="7">
        <v>31</v>
      </c>
      <c r="J206" s="7">
        <v>0</v>
      </c>
      <c r="K206" s="15">
        <f>+'CDM Activity'!F148</f>
        <v>4147713.2863085214</v>
      </c>
      <c r="L206" s="22">
        <v>320</v>
      </c>
      <c r="M206" s="210">
        <v>699.6</v>
      </c>
      <c r="N206" s="210">
        <v>47.038207043756643</v>
      </c>
      <c r="O206" s="7">
        <f t="shared" si="9"/>
        <v>170125834.18322155</v>
      </c>
      <c r="P206" s="7"/>
    </row>
    <row r="207" spans="1:16" x14ac:dyDescent="0.2">
      <c r="A207" s="2">
        <v>41640</v>
      </c>
      <c r="B207" s="2"/>
      <c r="C207" s="2"/>
      <c r="D207" s="15"/>
      <c r="F207" s="209">
        <f>SUM(+F3+F15+F27+F39+F51+F63+F75+F87+F99+F111+F123+F135+F147+F159+F171+F183+F195)/17</f>
        <v>749.42812499999991</v>
      </c>
      <c r="G207" s="209">
        <f>SUM(+G3+G15+G27+G39+G51+G63+G75+G87+G99+G111+G123+G135+G147+G159+G171+G183+G195)/17</f>
        <v>0</v>
      </c>
      <c r="H207" s="33">
        <v>144.35917379447397</v>
      </c>
      <c r="I207" s="7">
        <v>31</v>
      </c>
      <c r="J207" s="7">
        <v>0</v>
      </c>
      <c r="K207" s="15">
        <f>+'CDM Activity'!F149</f>
        <v>4146342.9012691271</v>
      </c>
      <c r="L207" s="22">
        <v>352</v>
      </c>
      <c r="M207" s="210">
        <v>717.9</v>
      </c>
      <c r="N207" s="210">
        <v>48.268623265741667</v>
      </c>
      <c r="O207" s="7">
        <f t="shared" si="9"/>
        <v>178024513.40240902</v>
      </c>
      <c r="P207" s="7"/>
    </row>
    <row r="208" spans="1:16" x14ac:dyDescent="0.2">
      <c r="A208" s="2">
        <v>41671</v>
      </c>
      <c r="B208" s="2"/>
      <c r="C208" s="2"/>
      <c r="D208" s="15"/>
      <c r="F208" s="209">
        <f t="shared" ref="F208:G218" si="11">SUM(+F4+F16+F28+F40+F52+F64+F76+F88+F100+F112+F124+F136+F148+F160+F172+F184+F196)/17</f>
        <v>653.16249999999991</v>
      </c>
      <c r="G208" s="209">
        <f t="shared" si="11"/>
        <v>0</v>
      </c>
      <c r="H208" s="33">
        <v>144.58577586600015</v>
      </c>
      <c r="I208" s="7">
        <v>28</v>
      </c>
      <c r="J208" s="7">
        <v>0</v>
      </c>
      <c r="K208" s="15">
        <f>+'CDM Activity'!F150</f>
        <v>4144972.5162297329</v>
      </c>
      <c r="L208" s="22">
        <v>304</v>
      </c>
      <c r="M208" s="210">
        <v>717.9</v>
      </c>
      <c r="N208" s="210">
        <v>48.268623265741667</v>
      </c>
      <c r="O208" s="7">
        <f t="shared" si="9"/>
        <v>159564541.56128445</v>
      </c>
      <c r="P208" s="7"/>
    </row>
    <row r="209" spans="1:16" x14ac:dyDescent="0.2">
      <c r="A209" s="2">
        <v>41699</v>
      </c>
      <c r="B209" s="2"/>
      <c r="C209" s="2"/>
      <c r="D209" s="15"/>
      <c r="F209" s="209">
        <f t="shared" si="11"/>
        <v>567.52187500000002</v>
      </c>
      <c r="G209" s="209">
        <f t="shared" si="11"/>
        <v>0</v>
      </c>
      <c r="H209" s="33">
        <v>144.81273363711554</v>
      </c>
      <c r="I209" s="7">
        <v>31</v>
      </c>
      <c r="J209" s="7">
        <v>1</v>
      </c>
      <c r="K209" s="15">
        <f>+'CDM Activity'!F151</f>
        <v>4143602.1311903386</v>
      </c>
      <c r="L209" s="22">
        <v>336</v>
      </c>
      <c r="M209" s="210">
        <v>717.9</v>
      </c>
      <c r="N209" s="210">
        <v>48.268623265741667</v>
      </c>
      <c r="O209" s="7">
        <f t="shared" si="9"/>
        <v>164698042.15379018</v>
      </c>
      <c r="P209" s="7"/>
    </row>
    <row r="210" spans="1:16" x14ac:dyDescent="0.2">
      <c r="A210" s="2">
        <v>41730</v>
      </c>
      <c r="B210" s="2"/>
      <c r="C210" s="2"/>
      <c r="D210" s="15"/>
      <c r="F210" s="209">
        <f t="shared" si="11"/>
        <v>346.09999999999997</v>
      </c>
      <c r="G210" s="209">
        <f t="shared" si="11"/>
        <v>0.65625</v>
      </c>
      <c r="H210" s="33">
        <v>145.04004766616546</v>
      </c>
      <c r="I210" s="7">
        <v>30</v>
      </c>
      <c r="J210" s="7">
        <v>1</v>
      </c>
      <c r="K210" s="15">
        <f>+'CDM Activity'!F152</f>
        <v>4142231.7461509444</v>
      </c>
      <c r="L210" s="22">
        <v>336</v>
      </c>
      <c r="M210" s="210">
        <v>717.9</v>
      </c>
      <c r="N210" s="210">
        <v>48.268623265741667</v>
      </c>
      <c r="O210" s="7">
        <f t="shared" si="9"/>
        <v>152079475.58515128</v>
      </c>
      <c r="P210" s="7"/>
    </row>
    <row r="211" spans="1:16" x14ac:dyDescent="0.2">
      <c r="A211" s="2">
        <v>41760</v>
      </c>
      <c r="B211" s="2"/>
      <c r="C211" s="2"/>
      <c r="D211" s="2"/>
      <c r="F211" s="209">
        <f t="shared" si="11"/>
        <v>180.87499999999997</v>
      </c>
      <c r="G211" s="209">
        <f t="shared" si="11"/>
        <v>9.46875</v>
      </c>
      <c r="H211" s="33">
        <v>145.2677185123716</v>
      </c>
      <c r="I211" s="7">
        <v>31</v>
      </c>
      <c r="J211" s="7">
        <v>1</v>
      </c>
      <c r="K211" s="15">
        <f>+'CDM Activity'!F153</f>
        <v>4140861.3611115501</v>
      </c>
      <c r="L211" s="22">
        <v>336</v>
      </c>
      <c r="M211" s="210">
        <v>717.9</v>
      </c>
      <c r="N211" s="210">
        <v>48.268623265741667</v>
      </c>
      <c r="O211" s="7">
        <f t="shared" si="9"/>
        <v>151433267.20512164</v>
      </c>
      <c r="P211" s="7"/>
    </row>
    <row r="212" spans="1:16" x14ac:dyDescent="0.2">
      <c r="A212" s="2">
        <v>41791</v>
      </c>
      <c r="B212" s="2"/>
      <c r="C212" s="2"/>
      <c r="D212" s="2"/>
      <c r="F212" s="209">
        <f t="shared" si="11"/>
        <v>49.509375000000013</v>
      </c>
      <c r="G212" s="209">
        <f t="shared" si="11"/>
        <v>47.859375000000014</v>
      </c>
      <c r="H212" s="33">
        <v>145.49574673583354</v>
      </c>
      <c r="I212" s="7">
        <v>30</v>
      </c>
      <c r="J212" s="7">
        <v>0</v>
      </c>
      <c r="K212" s="15">
        <f>+'CDM Activity'!F154</f>
        <v>4139490.9760721559</v>
      </c>
      <c r="L212" s="22">
        <v>336</v>
      </c>
      <c r="M212" s="210">
        <v>717.9</v>
      </c>
      <c r="N212" s="210">
        <v>48.268623265741667</v>
      </c>
      <c r="O212" s="7">
        <f t="shared" si="9"/>
        <v>158360169.3927013</v>
      </c>
      <c r="P212" s="7"/>
    </row>
    <row r="213" spans="1:16" x14ac:dyDescent="0.2">
      <c r="A213" s="2">
        <v>41821</v>
      </c>
      <c r="B213" s="2"/>
      <c r="C213" s="2"/>
      <c r="D213" s="2"/>
      <c r="F213" s="209">
        <f t="shared" si="11"/>
        <v>12.85</v>
      </c>
      <c r="G213" s="209">
        <f t="shared" si="11"/>
        <v>83.243749999999991</v>
      </c>
      <c r="H213" s="33">
        <v>145.72413289752996</v>
      </c>
      <c r="I213" s="7">
        <v>31</v>
      </c>
      <c r="J213" s="7">
        <v>0</v>
      </c>
      <c r="K213" s="15">
        <f>+'CDM Activity'!F155</f>
        <v>4138120.5910327616</v>
      </c>
      <c r="L213" s="22">
        <v>352</v>
      </c>
      <c r="M213" s="210">
        <v>717.9</v>
      </c>
      <c r="N213" s="210">
        <v>48.268623265741667</v>
      </c>
      <c r="O213" s="7">
        <f t="shared" si="9"/>
        <v>172197399.47667211</v>
      </c>
      <c r="P213" s="7"/>
    </row>
    <row r="214" spans="1:16" x14ac:dyDescent="0.2">
      <c r="A214" s="2">
        <v>41852</v>
      </c>
      <c r="B214" s="2"/>
      <c r="C214" s="2"/>
      <c r="D214" s="2"/>
      <c r="F214" s="209">
        <f t="shared" si="11"/>
        <v>23.484374999999996</v>
      </c>
      <c r="G214" s="209">
        <f t="shared" si="11"/>
        <v>57.650000000000006</v>
      </c>
      <c r="H214" s="33">
        <v>145.9528775593202</v>
      </c>
      <c r="I214" s="7">
        <v>31</v>
      </c>
      <c r="J214" s="7">
        <v>0</v>
      </c>
      <c r="K214" s="15">
        <f>+'CDM Activity'!F156</f>
        <v>4136750.2059933674</v>
      </c>
      <c r="L214" s="22">
        <v>320</v>
      </c>
      <c r="M214" s="210">
        <v>717.9</v>
      </c>
      <c r="N214" s="210">
        <v>48.268623265741667</v>
      </c>
      <c r="O214" s="7">
        <f t="shared" si="9"/>
        <v>162639436.12650865</v>
      </c>
      <c r="P214" s="7"/>
    </row>
    <row r="215" spans="1:16" x14ac:dyDescent="0.2">
      <c r="A215" s="2">
        <v>41883</v>
      </c>
      <c r="B215" s="2"/>
      <c r="C215" s="2"/>
      <c r="D215" s="2"/>
      <c r="F215" s="209">
        <f t="shared" si="11"/>
        <v>96.35312500000002</v>
      </c>
      <c r="G215" s="209">
        <f t="shared" si="11"/>
        <v>18.009374999999999</v>
      </c>
      <c r="H215" s="33">
        <v>146.18198128394553</v>
      </c>
      <c r="I215" s="7">
        <v>30</v>
      </c>
      <c r="J215" s="7">
        <v>1</v>
      </c>
      <c r="K215" s="15">
        <f>+'CDM Activity'!F157</f>
        <v>4135379.8209539731</v>
      </c>
      <c r="L215" s="22">
        <v>336</v>
      </c>
      <c r="M215" s="210">
        <v>717.9</v>
      </c>
      <c r="N215" s="210">
        <v>48.268623265741667</v>
      </c>
      <c r="O215" s="7">
        <f t="shared" si="9"/>
        <v>147002697.44974965</v>
      </c>
      <c r="P215" s="7"/>
    </row>
    <row r="216" spans="1:16" x14ac:dyDescent="0.2">
      <c r="A216" s="2">
        <v>41913</v>
      </c>
      <c r="B216" s="2"/>
      <c r="C216" s="2"/>
      <c r="D216" s="2"/>
      <c r="F216" s="209">
        <f t="shared" si="11"/>
        <v>289.84062499999993</v>
      </c>
      <c r="G216" s="209">
        <f t="shared" si="11"/>
        <v>1.3374999999999999</v>
      </c>
      <c r="H216" s="33">
        <v>146.41144463503053</v>
      </c>
      <c r="I216" s="7">
        <v>31</v>
      </c>
      <c r="J216" s="7">
        <v>1</v>
      </c>
      <c r="K216" s="15">
        <f>+'CDM Activity'!F158</f>
        <v>4134009.4359145788</v>
      </c>
      <c r="L216" s="22">
        <v>352</v>
      </c>
      <c r="M216" s="210">
        <v>717.9</v>
      </c>
      <c r="N216" s="210">
        <v>48.268623265741667</v>
      </c>
      <c r="O216" s="7">
        <f t="shared" si="9"/>
        <v>155009907.25060403</v>
      </c>
      <c r="P216" s="7"/>
    </row>
    <row r="217" spans="1:16" x14ac:dyDescent="0.2">
      <c r="A217" s="2">
        <v>41944</v>
      </c>
      <c r="B217" s="2"/>
      <c r="C217" s="2"/>
      <c r="D217" s="2"/>
      <c r="F217" s="209">
        <f t="shared" si="11"/>
        <v>443.92500000000001</v>
      </c>
      <c r="G217" s="209">
        <f t="shared" si="11"/>
        <v>0</v>
      </c>
      <c r="H217" s="33">
        <v>146.64126817708456</v>
      </c>
      <c r="I217" s="7">
        <v>30</v>
      </c>
      <c r="J217" s="7">
        <v>1</v>
      </c>
      <c r="K217" s="15">
        <f>+'CDM Activity'!F159</f>
        <v>4132639.0508751846</v>
      </c>
      <c r="L217" s="22">
        <v>320</v>
      </c>
      <c r="M217" s="210">
        <v>717.9</v>
      </c>
      <c r="N217" s="210">
        <v>48.268623265741667</v>
      </c>
      <c r="O217" s="7">
        <f t="shared" si="9"/>
        <v>155044058.73314214</v>
      </c>
      <c r="P217" s="7"/>
    </row>
    <row r="218" spans="1:16" x14ac:dyDescent="0.2">
      <c r="A218" s="2">
        <v>41974</v>
      </c>
      <c r="B218" s="2"/>
      <c r="C218" s="2"/>
      <c r="D218" s="2"/>
      <c r="F218" s="209">
        <f t="shared" si="11"/>
        <v>648.66249999999991</v>
      </c>
      <c r="G218" s="209">
        <f t="shared" si="11"/>
        <v>0</v>
      </c>
      <c r="H218" s="33">
        <v>146.87145247550308</v>
      </c>
      <c r="I218" s="7">
        <v>31</v>
      </c>
      <c r="J218" s="7">
        <v>0</v>
      </c>
      <c r="K218" s="15">
        <f>+'CDM Activity'!F160</f>
        <v>4131268.6658357903</v>
      </c>
      <c r="L218" s="22">
        <v>336</v>
      </c>
      <c r="M218" s="210">
        <v>717.9</v>
      </c>
      <c r="N218" s="210">
        <v>48.268623265741667</v>
      </c>
      <c r="O218" s="7">
        <f t="shared" si="9"/>
        <v>173052602.13367623</v>
      </c>
      <c r="P218" s="7"/>
    </row>
    <row r="219" spans="1:16" x14ac:dyDescent="0.2">
      <c r="A219" s="2"/>
      <c r="B219" s="2"/>
      <c r="C219" s="2"/>
      <c r="D219" s="2"/>
      <c r="K219" s="15"/>
      <c r="O219" s="7"/>
      <c r="P219" s="7"/>
    </row>
    <row r="220" spans="1:16" x14ac:dyDescent="0.2">
      <c r="A220" s="2"/>
      <c r="B220" s="2"/>
      <c r="C220" s="2"/>
      <c r="D220" s="2"/>
      <c r="F220" s="17"/>
      <c r="G220" s="1" t="s">
        <v>44</v>
      </c>
      <c r="O220" s="166">
        <f>SUM(O3:O219)</f>
        <v>34845779037.767708</v>
      </c>
    </row>
    <row r="221" spans="1:16" x14ac:dyDescent="0.2">
      <c r="A221" s="2"/>
      <c r="B221" s="2"/>
      <c r="C221" s="2"/>
      <c r="D221" s="2"/>
    </row>
    <row r="222" spans="1:16" x14ac:dyDescent="0.2">
      <c r="A222">
        <v>1997</v>
      </c>
      <c r="B222" s="26"/>
      <c r="E222" s="26">
        <f>SUM(E3:E14)</f>
        <v>1835095310</v>
      </c>
      <c r="K222" s="5">
        <f>SUM(O3:O14)</f>
        <v>1823302505.1213238</v>
      </c>
      <c r="L222" s="37">
        <f t="shared" ref="L222:L237" si="12">K222-E222</f>
        <v>-11792804.878676176</v>
      </c>
      <c r="M222" s="4">
        <f t="shared" ref="M222:M237" si="13">L222/E222</f>
        <v>-6.4262628836843231E-3</v>
      </c>
    </row>
    <row r="223" spans="1:16" x14ac:dyDescent="0.2">
      <c r="A223" s="14">
        <v>1998</v>
      </c>
      <c r="B223" s="26"/>
      <c r="C223" s="14"/>
      <c r="D223" s="14"/>
      <c r="E223" s="26">
        <f>SUM(E15:E26)</f>
        <v>1835345124</v>
      </c>
      <c r="K223" s="5">
        <f>SUM(O15:O26)</f>
        <v>1855055888.3889723</v>
      </c>
      <c r="L223" s="37">
        <f t="shared" si="12"/>
        <v>19710764.388972282</v>
      </c>
      <c r="M223" s="4">
        <f t="shared" si="13"/>
        <v>1.0739541098414296E-2</v>
      </c>
    </row>
    <row r="224" spans="1:16" x14ac:dyDescent="0.2">
      <c r="A224">
        <v>1999</v>
      </c>
      <c r="B224" s="26"/>
      <c r="E224" s="26">
        <f>SUM(E27:E38)</f>
        <v>1899849275</v>
      </c>
      <c r="K224" s="5">
        <f>SUM(O27:O38)</f>
        <v>1923395303.1594186</v>
      </c>
      <c r="L224" s="37">
        <f t="shared" si="12"/>
        <v>23546028.159418583</v>
      </c>
      <c r="M224" s="4">
        <f t="shared" si="13"/>
        <v>1.2393629573282114E-2</v>
      </c>
    </row>
    <row r="225" spans="1:13" x14ac:dyDescent="0.2">
      <c r="A225" s="14">
        <v>2000</v>
      </c>
      <c r="B225" s="26"/>
      <c r="C225" s="14"/>
      <c r="D225" s="14"/>
      <c r="E225" s="26">
        <f>SUM(E39:E50)</f>
        <v>1917287306</v>
      </c>
      <c r="K225" s="5">
        <f>SUM(O39:O50)</f>
        <v>1917257433.5265591</v>
      </c>
      <c r="L225" s="37">
        <f t="shared" si="12"/>
        <v>-29872.473440885544</v>
      </c>
      <c r="M225" s="4">
        <f t="shared" si="13"/>
        <v>-1.558059313666866E-5</v>
      </c>
    </row>
    <row r="226" spans="1:13" x14ac:dyDescent="0.2">
      <c r="A226">
        <v>2001</v>
      </c>
      <c r="B226" s="26"/>
      <c r="E226" s="26">
        <f>SUM(E51:E62)</f>
        <v>1963866511</v>
      </c>
      <c r="K226" s="5">
        <f>SUM(O51:O62)</f>
        <v>1953641069.5566638</v>
      </c>
      <c r="L226" s="37">
        <f t="shared" si="12"/>
        <v>-10225441.443336248</v>
      </c>
      <c r="M226" s="4">
        <f t="shared" si="13"/>
        <v>-5.2067904748421302E-3</v>
      </c>
    </row>
    <row r="227" spans="1:13" x14ac:dyDescent="0.2">
      <c r="A227" s="14">
        <v>2002</v>
      </c>
      <c r="B227" s="26"/>
      <c r="C227" s="14"/>
      <c r="D227" s="14"/>
      <c r="E227" s="26">
        <f>SUM(E63:E74)</f>
        <v>2036912520</v>
      </c>
      <c r="K227" s="5">
        <f>SUM(O63:O74)</f>
        <v>2001080172.9767592</v>
      </c>
      <c r="L227" s="37">
        <f t="shared" si="12"/>
        <v>-35832347.023240805</v>
      </c>
      <c r="M227" s="4">
        <f t="shared" si="13"/>
        <v>-1.759150020995541E-2</v>
      </c>
    </row>
    <row r="228" spans="1:13" x14ac:dyDescent="0.2">
      <c r="A228">
        <v>2003</v>
      </c>
      <c r="B228" s="26"/>
      <c r="E228" s="26">
        <f>SUM(E75:E86)</f>
        <v>2013203373</v>
      </c>
      <c r="K228" s="5">
        <f>SUM(O75:O86)</f>
        <v>1994385066.2226791</v>
      </c>
      <c r="L228" s="37">
        <f t="shared" si="12"/>
        <v>-18818306.777320862</v>
      </c>
      <c r="M228" s="4">
        <f t="shared" si="13"/>
        <v>-9.347444490557617E-3</v>
      </c>
    </row>
    <row r="229" spans="1:13" x14ac:dyDescent="0.2">
      <c r="A229" s="14">
        <v>2004</v>
      </c>
      <c r="B229" s="26"/>
      <c r="C229" s="14"/>
      <c r="D229" s="14"/>
      <c r="E229" s="26">
        <f>SUM(E87:E98)</f>
        <v>2009748106</v>
      </c>
      <c r="K229" s="5">
        <f>SUM(O87:O98)</f>
        <v>2002479882.2055197</v>
      </c>
      <c r="L229" s="37">
        <f t="shared" si="12"/>
        <v>-7268223.7944803238</v>
      </c>
      <c r="M229" s="4">
        <f t="shared" si="13"/>
        <v>-3.6164849578817436E-3</v>
      </c>
    </row>
    <row r="230" spans="1:13" x14ac:dyDescent="0.2">
      <c r="A230">
        <v>2005</v>
      </c>
      <c r="B230" s="26"/>
      <c r="E230" s="26">
        <f>SUM(E99:E110)</f>
        <v>2086364094.5741999</v>
      </c>
      <c r="K230" s="5">
        <f>SUM(O99:O110)</f>
        <v>2077578251.4867024</v>
      </c>
      <c r="L230" s="37">
        <f t="shared" si="12"/>
        <v>-8785843.0874974728</v>
      </c>
      <c r="M230" s="4">
        <f t="shared" si="13"/>
        <v>-4.2110785506450877E-3</v>
      </c>
    </row>
    <row r="231" spans="1:13" x14ac:dyDescent="0.2">
      <c r="A231" s="14">
        <v>2006</v>
      </c>
      <c r="B231" s="26"/>
      <c r="C231" s="14"/>
      <c r="D231" s="14"/>
      <c r="E231" s="26">
        <f>SUM(E111:E122)</f>
        <v>1983645710.3185</v>
      </c>
      <c r="K231" s="5">
        <f>SUM(O111:O122)</f>
        <v>2011422124.3310664</v>
      </c>
      <c r="L231" s="37">
        <f t="shared" si="12"/>
        <v>27776414.012566328</v>
      </c>
      <c r="M231" s="4">
        <f t="shared" si="13"/>
        <v>1.4002709187472023E-2</v>
      </c>
    </row>
    <row r="232" spans="1:13" x14ac:dyDescent="0.2">
      <c r="A232">
        <v>2007</v>
      </c>
      <c r="B232" s="26"/>
      <c r="E232" s="26">
        <f>SUM(E123:E134)</f>
        <v>1978990176.4429998</v>
      </c>
      <c r="K232" s="5">
        <f>SUM(O123:O134)</f>
        <v>1990597954.1714845</v>
      </c>
      <c r="L232" s="37">
        <f t="shared" si="12"/>
        <v>11607777.728484631</v>
      </c>
      <c r="M232" s="4">
        <f t="shared" si="13"/>
        <v>5.8655054818656221E-3</v>
      </c>
    </row>
    <row r="233" spans="1:13" x14ac:dyDescent="0.2">
      <c r="A233" s="14">
        <v>2008</v>
      </c>
      <c r="B233" s="26"/>
      <c r="C233" s="14"/>
      <c r="D233" s="14"/>
      <c r="E233" s="26">
        <f>SUM(E135:E146)</f>
        <v>1939064404.2694001</v>
      </c>
      <c r="K233" s="5">
        <f>SUM(O135:O146)</f>
        <v>1963251861.6181324</v>
      </c>
      <c r="L233" s="37">
        <f t="shared" si="12"/>
        <v>24187457.348732233</v>
      </c>
      <c r="M233" s="4">
        <f t="shared" si="13"/>
        <v>1.2473777196609193E-2</v>
      </c>
    </row>
    <row r="234" spans="1:13" x14ac:dyDescent="0.2">
      <c r="A234">
        <v>2009</v>
      </c>
      <c r="B234" s="26"/>
      <c r="E234" s="26">
        <f>SUM(E147:E158)</f>
        <v>1837133121.4989998</v>
      </c>
      <c r="K234" s="5">
        <f>SUM(O147:O158)</f>
        <v>1856174590.4812803</v>
      </c>
      <c r="L234" s="37">
        <f t="shared" si="12"/>
        <v>19041468.982280493</v>
      </c>
      <c r="M234" s="4">
        <f t="shared" si="13"/>
        <v>1.0364773657090074E-2</v>
      </c>
    </row>
    <row r="235" spans="1:13" x14ac:dyDescent="0.2">
      <c r="A235" s="14">
        <v>2010</v>
      </c>
      <c r="B235" s="26"/>
      <c r="C235" s="14"/>
      <c r="D235" s="14"/>
      <c r="E235" s="26">
        <f>SUM(E159:E170)</f>
        <v>1892633519.4493544</v>
      </c>
      <c r="K235" s="5">
        <f>SUM(O159:O170)</f>
        <v>1889691855.1705751</v>
      </c>
      <c r="L235" s="37">
        <f t="shared" si="12"/>
        <v>-2941664.2787792683</v>
      </c>
      <c r="M235" s="4">
        <f t="shared" si="13"/>
        <v>-1.5542704113341078E-3</v>
      </c>
    </row>
    <row r="236" spans="1:13" x14ac:dyDescent="0.2">
      <c r="A236">
        <v>2011</v>
      </c>
      <c r="B236" s="26"/>
      <c r="E236" s="26">
        <f>SUM(E171:E182)</f>
        <v>1895197232.5334651</v>
      </c>
      <c r="K236" s="5">
        <f>SUM(O171:O182)</f>
        <v>1882841042.2231548</v>
      </c>
      <c r="L236" s="37">
        <f t="shared" si="12"/>
        <v>-12356190.310310364</v>
      </c>
      <c r="M236" s="4">
        <f t="shared" si="13"/>
        <v>-6.5197384727038853E-3</v>
      </c>
    </row>
    <row r="237" spans="1:13" x14ac:dyDescent="0.2">
      <c r="A237">
        <v>2012</v>
      </c>
      <c r="B237" s="26"/>
      <c r="E237" s="26">
        <f>SUM(E183:E194)</f>
        <v>1885738118.3156619</v>
      </c>
      <c r="K237" s="5">
        <f>SUM(O183:O194)</f>
        <v>1867918901.7622917</v>
      </c>
      <c r="L237" s="37">
        <f t="shared" si="12"/>
        <v>-17819216.553370237</v>
      </c>
      <c r="M237" s="4">
        <f t="shared" si="13"/>
        <v>-9.4494651088064818E-3</v>
      </c>
    </row>
    <row r="238" spans="1:13" x14ac:dyDescent="0.2">
      <c r="A238">
        <v>2013</v>
      </c>
      <c r="B238" s="26"/>
      <c r="K238" s="5">
        <f>SUM(O195:O206)</f>
        <v>1906599024.8943377</v>
      </c>
      <c r="L238" s="37"/>
      <c r="M238" s="4"/>
    </row>
    <row r="239" spans="1:13" x14ac:dyDescent="0.2">
      <c r="A239">
        <v>2014</v>
      </c>
      <c r="B239" s="26"/>
      <c r="K239" s="5">
        <f>SUM(O207:O218)</f>
        <v>1929106110.4708109</v>
      </c>
      <c r="L239" s="37"/>
      <c r="M239" s="4"/>
    </row>
    <row r="240" spans="1:13" x14ac:dyDescent="0.2">
      <c r="B240" s="26"/>
      <c r="K240" s="5"/>
      <c r="M240" s="1"/>
    </row>
    <row r="241" spans="1:13" x14ac:dyDescent="0.2">
      <c r="A241" s="163" t="s">
        <v>170</v>
      </c>
      <c r="B241" s="26"/>
      <c r="C241" s="163"/>
      <c r="D241" s="163"/>
      <c r="E241" s="26">
        <f>SUM(E222:E237)</f>
        <v>31010073902.402588</v>
      </c>
      <c r="K241" s="5">
        <f>SUM(K222:K237)</f>
        <v>31010073902.402584</v>
      </c>
      <c r="L241" s="5">
        <f>K241-E241</f>
        <v>0</v>
      </c>
      <c r="M241" s="1"/>
    </row>
    <row r="242" spans="1:13" x14ac:dyDescent="0.2">
      <c r="K242" s="1"/>
      <c r="M242" s="1"/>
    </row>
    <row r="243" spans="1:13" x14ac:dyDescent="0.2">
      <c r="K243" s="5">
        <f>SUM(K222:K239)</f>
        <v>34845779037.767731</v>
      </c>
      <c r="L243" s="48">
        <f>O220-K243</f>
        <v>0</v>
      </c>
      <c r="M243" s="1"/>
    </row>
    <row r="244" spans="1:13" x14ac:dyDescent="0.2">
      <c r="K244" s="17"/>
      <c r="L244" s="222" t="s">
        <v>157</v>
      </c>
      <c r="M244" s="17"/>
    </row>
    <row r="245" spans="1:13" x14ac:dyDescent="0.2">
      <c r="A245" t="s">
        <v>171</v>
      </c>
      <c r="E245"/>
      <c r="F245"/>
      <c r="G245"/>
      <c r="H245"/>
      <c r="I245"/>
      <c r="J245"/>
      <c r="K245"/>
    </row>
    <row r="246" spans="1:13" ht="13.5" thickBot="1" x14ac:dyDescent="0.25">
      <c r="E246"/>
      <c r="F246"/>
      <c r="G246"/>
      <c r="H246"/>
      <c r="I246"/>
      <c r="J246"/>
      <c r="K246"/>
    </row>
    <row r="247" spans="1:13" x14ac:dyDescent="0.2">
      <c r="A247" s="238" t="s">
        <v>172</v>
      </c>
      <c r="B247" s="238"/>
      <c r="E247"/>
      <c r="F247"/>
      <c r="G247"/>
      <c r="H247"/>
      <c r="I247"/>
      <c r="J247"/>
      <c r="K247"/>
    </row>
    <row r="248" spans="1:13" x14ac:dyDescent="0.2">
      <c r="A248" s="36" t="s">
        <v>173</v>
      </c>
      <c r="B248" s="36">
        <v>0.94935542858046529</v>
      </c>
      <c r="E248"/>
      <c r="F248"/>
      <c r="G248"/>
      <c r="H248"/>
      <c r="I248"/>
      <c r="J248"/>
      <c r="K248"/>
    </row>
    <row r="249" spans="1:13" x14ac:dyDescent="0.2">
      <c r="A249" s="36" t="s">
        <v>18</v>
      </c>
      <c r="B249" s="36">
        <v>0.90127572977519887</v>
      </c>
      <c r="E249"/>
      <c r="F249"/>
      <c r="G249"/>
      <c r="H249"/>
      <c r="I249"/>
      <c r="J249"/>
      <c r="K249"/>
    </row>
    <row r="250" spans="1:13" x14ac:dyDescent="0.2">
      <c r="A250" s="36" t="s">
        <v>19</v>
      </c>
      <c r="B250" s="36">
        <v>0.89639376036847795</v>
      </c>
      <c r="E250"/>
      <c r="F250"/>
      <c r="G250"/>
      <c r="H250"/>
      <c r="I250"/>
      <c r="J250"/>
      <c r="K250"/>
    </row>
    <row r="251" spans="1:13" x14ac:dyDescent="0.2">
      <c r="A251" s="36" t="s">
        <v>174</v>
      </c>
      <c r="B251" s="36">
        <v>3985896.7329746201</v>
      </c>
      <c r="E251"/>
      <c r="F251"/>
      <c r="G251"/>
      <c r="H251"/>
      <c r="I251"/>
      <c r="J251"/>
      <c r="K251"/>
    </row>
    <row r="252" spans="1:13" ht="13.5" thickBot="1" x14ac:dyDescent="0.25">
      <c r="A252" s="237" t="s">
        <v>175</v>
      </c>
      <c r="B252" s="237">
        <v>192</v>
      </c>
      <c r="E252"/>
      <c r="F252"/>
      <c r="G252"/>
      <c r="H252"/>
      <c r="I252"/>
      <c r="J252"/>
      <c r="K252"/>
    </row>
    <row r="253" spans="1:13" x14ac:dyDescent="0.2">
      <c r="E253"/>
      <c r="F253"/>
      <c r="G253"/>
      <c r="H253"/>
      <c r="I253"/>
      <c r="J253"/>
      <c r="K253"/>
    </row>
    <row r="254" spans="1:13" ht="13.5" thickBot="1" x14ac:dyDescent="0.25">
      <c r="A254" t="s">
        <v>176</v>
      </c>
      <c r="E254"/>
      <c r="F254"/>
      <c r="G254"/>
      <c r="H254"/>
      <c r="I254"/>
      <c r="J254"/>
      <c r="K254"/>
    </row>
    <row r="255" spans="1:13" x14ac:dyDescent="0.2">
      <c r="A255" s="491"/>
      <c r="B255" s="491" t="s">
        <v>180</v>
      </c>
      <c r="C255" s="491" t="s">
        <v>181</v>
      </c>
      <c r="D255" s="491" t="s">
        <v>182</v>
      </c>
      <c r="E255" s="491" t="s">
        <v>183</v>
      </c>
      <c r="F255" s="491" t="s">
        <v>184</v>
      </c>
      <c r="G255"/>
      <c r="H255"/>
      <c r="I255"/>
      <c r="J255"/>
      <c r="K255"/>
    </row>
    <row r="256" spans="1:13" x14ac:dyDescent="0.2">
      <c r="A256" s="36" t="s">
        <v>177</v>
      </c>
      <c r="B256" s="36">
        <v>9</v>
      </c>
      <c r="C256" s="36">
        <v>2.6397160780456144E+16</v>
      </c>
      <c r="D256" s="36">
        <v>2933017864495127</v>
      </c>
      <c r="E256" s="36">
        <v>184.6131457797394</v>
      </c>
      <c r="F256" s="36">
        <v>1.4602788180591927E-86</v>
      </c>
      <c r="G256"/>
      <c r="H256"/>
      <c r="I256"/>
      <c r="J256"/>
      <c r="K256"/>
    </row>
    <row r="257" spans="1:11" x14ac:dyDescent="0.2">
      <c r="A257" s="36" t="s">
        <v>178</v>
      </c>
      <c r="B257" s="36">
        <v>182</v>
      </c>
      <c r="C257" s="36">
        <v>2891501843400670</v>
      </c>
      <c r="D257" s="36">
        <v>15887372765937.748</v>
      </c>
      <c r="E257" s="36"/>
      <c r="F257" s="36"/>
      <c r="G257"/>
      <c r="H257"/>
      <c r="I257"/>
      <c r="J257"/>
      <c r="K257"/>
    </row>
    <row r="258" spans="1:11" ht="13.5" thickBot="1" x14ac:dyDescent="0.25">
      <c r="A258" s="237" t="s">
        <v>10</v>
      </c>
      <c r="B258" s="237">
        <v>191</v>
      </c>
      <c r="C258" s="237">
        <v>2.9288662623856816E+16</v>
      </c>
      <c r="D258" s="237"/>
      <c r="E258" s="237"/>
      <c r="F258" s="237"/>
      <c r="G258"/>
      <c r="H258"/>
      <c r="I258"/>
      <c r="J258"/>
      <c r="K258"/>
    </row>
    <row r="259" spans="1:11" ht="13.5" thickBot="1" x14ac:dyDescent="0.25">
      <c r="E259"/>
      <c r="F259"/>
      <c r="G259"/>
      <c r="H259"/>
      <c r="I259"/>
      <c r="J259"/>
      <c r="K259"/>
    </row>
    <row r="260" spans="1:11" x14ac:dyDescent="0.2">
      <c r="A260" s="491"/>
      <c r="B260" s="491" t="s">
        <v>185</v>
      </c>
      <c r="C260" s="491" t="s">
        <v>174</v>
      </c>
      <c r="D260" s="491" t="s">
        <v>186</v>
      </c>
      <c r="E260" s="491" t="s">
        <v>187</v>
      </c>
      <c r="F260" s="491" t="s">
        <v>188</v>
      </c>
      <c r="G260" s="491" t="s">
        <v>189</v>
      </c>
      <c r="H260" s="491" t="s">
        <v>190</v>
      </c>
      <c r="I260" s="491" t="s">
        <v>191</v>
      </c>
      <c r="J260"/>
      <c r="K260"/>
    </row>
    <row r="261" spans="1:11" x14ac:dyDescent="0.2">
      <c r="A261" s="36" t="s">
        <v>179</v>
      </c>
      <c r="B261" s="36">
        <v>-46048826.283131078</v>
      </c>
      <c r="C261" s="36">
        <v>12580763.688286325</v>
      </c>
      <c r="D261" s="36">
        <v>-3.6602568352830707</v>
      </c>
      <c r="E261" s="36">
        <v>3.2998062221268628E-4</v>
      </c>
      <c r="F261" s="36">
        <v>-70871730.797214493</v>
      </c>
      <c r="G261" s="36">
        <v>-21225921.769047659</v>
      </c>
      <c r="H261" s="36">
        <v>-70871730.797214493</v>
      </c>
      <c r="I261" s="36">
        <v>-21225921.769047659</v>
      </c>
      <c r="J261"/>
      <c r="K261"/>
    </row>
    <row r="262" spans="1:11" x14ac:dyDescent="0.2">
      <c r="A262" s="36" t="s">
        <v>3</v>
      </c>
      <c r="B262" s="36">
        <v>41792.260668649309</v>
      </c>
      <c r="C262" s="36">
        <v>1762.0314770091461</v>
      </c>
      <c r="D262" s="36">
        <v>23.718225930666719</v>
      </c>
      <c r="E262" s="36">
        <v>1.4300217654888372E-57</v>
      </c>
      <c r="F262" s="36">
        <v>38315.624417597908</v>
      </c>
      <c r="G262" s="36">
        <v>45268.89691970071</v>
      </c>
      <c r="H262" s="36">
        <v>38315.624417597908</v>
      </c>
      <c r="I262" s="36">
        <v>45268.89691970071</v>
      </c>
      <c r="J262"/>
      <c r="K262"/>
    </row>
    <row r="263" spans="1:11" x14ac:dyDescent="0.2">
      <c r="A263" s="36" t="s">
        <v>4</v>
      </c>
      <c r="B263" s="36">
        <v>296766.52364258392</v>
      </c>
      <c r="C263" s="36">
        <v>16899.842555110092</v>
      </c>
      <c r="D263" s="36">
        <v>17.560312924504089</v>
      </c>
      <c r="E263" s="36">
        <v>5.0108449647753642E-41</v>
      </c>
      <c r="F263" s="36">
        <v>263421.71338761254</v>
      </c>
      <c r="G263" s="36">
        <v>330111.33389755531</v>
      </c>
      <c r="H263" s="36">
        <v>263421.71338761254</v>
      </c>
      <c r="I263" s="36">
        <v>330111.33389755531</v>
      </c>
      <c r="J263"/>
      <c r="K263"/>
    </row>
    <row r="264" spans="1:11" x14ac:dyDescent="0.2">
      <c r="A264" s="36" t="s">
        <v>6</v>
      </c>
      <c r="B264" s="36">
        <v>161411.89246772369</v>
      </c>
      <c r="C264" s="36">
        <v>81826.721974553511</v>
      </c>
      <c r="D264" s="36">
        <v>1.9726061190367565</v>
      </c>
      <c r="E264" s="36">
        <v>5.005493970187478E-2</v>
      </c>
      <c r="F264" s="36">
        <v>-39.10976085945731</v>
      </c>
      <c r="G264" s="36">
        <v>322862.89469630684</v>
      </c>
      <c r="H264" s="36">
        <v>-39.10976085945731</v>
      </c>
      <c r="I264" s="36">
        <v>322862.89469630684</v>
      </c>
      <c r="J264"/>
      <c r="K264"/>
    </row>
    <row r="265" spans="1:11" x14ac:dyDescent="0.2">
      <c r="A265" s="36" t="s">
        <v>5</v>
      </c>
      <c r="B265" s="36">
        <v>3601602.0934267221</v>
      </c>
      <c r="C265" s="36">
        <v>386618.72463322297</v>
      </c>
      <c r="D265" s="36">
        <v>9.3156432007877683</v>
      </c>
      <c r="E265" s="36">
        <v>4.0102616427191734E-17</v>
      </c>
      <c r="F265" s="36">
        <v>2838770.8438529968</v>
      </c>
      <c r="G265" s="36">
        <v>4364433.3430004474</v>
      </c>
      <c r="H265" s="36">
        <v>2838770.8438529968</v>
      </c>
      <c r="I265" s="36">
        <v>4364433.3430004474</v>
      </c>
      <c r="J265"/>
      <c r="K265"/>
    </row>
    <row r="266" spans="1:11" x14ac:dyDescent="0.2">
      <c r="A266" s="36" t="s">
        <v>17</v>
      </c>
      <c r="B266" s="36">
        <v>-4583399.9113302315</v>
      </c>
      <c r="C266" s="36">
        <v>768022.27827873477</v>
      </c>
      <c r="D266" s="36">
        <v>-5.967795519685172</v>
      </c>
      <c r="E266" s="36">
        <v>1.2299800061315486E-8</v>
      </c>
      <c r="F266" s="36">
        <v>-6098772.4396412447</v>
      </c>
      <c r="G266" s="36">
        <v>-3068027.3830192182</v>
      </c>
      <c r="H266" s="36">
        <v>-6098772.4396412447</v>
      </c>
      <c r="I266" s="36">
        <v>-3068027.3830192182</v>
      </c>
      <c r="J266"/>
      <c r="K266"/>
    </row>
    <row r="267" spans="1:11" ht="25.5" x14ac:dyDescent="0.2">
      <c r="A267" s="600" t="s">
        <v>290</v>
      </c>
      <c r="B267" s="36">
        <v>-3.8763001801425587</v>
      </c>
      <c r="C267" s="36">
        <v>0.41430241511185345</v>
      </c>
      <c r="D267" s="36">
        <v>-9.3562094710358714</v>
      </c>
      <c r="E267" s="36">
        <v>3.0954308184673886E-17</v>
      </c>
      <c r="F267" s="36">
        <v>-4.6937536786015652</v>
      </c>
      <c r="G267" s="36">
        <v>-3.0588466816835522</v>
      </c>
      <c r="H267" s="36">
        <v>-4.6937536786015652</v>
      </c>
      <c r="I267" s="36">
        <v>-3.0588466816835522</v>
      </c>
      <c r="J267"/>
      <c r="K267"/>
    </row>
    <row r="268" spans="1:11" x14ac:dyDescent="0.2">
      <c r="A268" s="36" t="s">
        <v>53</v>
      </c>
      <c r="B268" s="36">
        <v>76539.495008149461</v>
      </c>
      <c r="C268" s="36">
        <v>18334.664550937458</v>
      </c>
      <c r="D268" s="36">
        <v>4.1745784219562374</v>
      </c>
      <c r="E268" s="36">
        <v>4.6220391260692026E-5</v>
      </c>
      <c r="F268" s="36">
        <v>40363.660319399787</v>
      </c>
      <c r="G268" s="36">
        <v>112715.32969689913</v>
      </c>
      <c r="H268" s="36">
        <v>40363.660319399787</v>
      </c>
      <c r="I268" s="36">
        <v>112715.32969689913</v>
      </c>
      <c r="J268"/>
      <c r="K268"/>
    </row>
    <row r="269" spans="1:11" x14ac:dyDescent="0.2">
      <c r="A269" s="36" t="s">
        <v>201</v>
      </c>
      <c r="B269" s="36">
        <v>75008.627921038322</v>
      </c>
      <c r="C269" s="36">
        <v>21311.760075664239</v>
      </c>
      <c r="D269" s="36">
        <v>3.5195886052926331</v>
      </c>
      <c r="E269" s="36">
        <v>5.4605088711179057E-4</v>
      </c>
      <c r="F269" s="36">
        <v>32958.733455742273</v>
      </c>
      <c r="G269" s="36">
        <v>117058.52238633437</v>
      </c>
      <c r="H269" s="36">
        <v>32958.733455742273</v>
      </c>
      <c r="I269" s="36">
        <v>117058.52238633437</v>
      </c>
      <c r="J269"/>
      <c r="K269"/>
    </row>
    <row r="270" spans="1:11" ht="13.5" thickBot="1" x14ac:dyDescent="0.25">
      <c r="A270" s="237" t="s">
        <v>202</v>
      </c>
      <c r="B270" s="237">
        <v>-143282.20331729966</v>
      </c>
      <c r="C270" s="237">
        <v>53903.992589769434</v>
      </c>
      <c r="D270" s="237">
        <v>-2.6581000113986644</v>
      </c>
      <c r="E270" s="237">
        <v>8.55788636250558E-3</v>
      </c>
      <c r="F270" s="237">
        <v>-249639.31280100608</v>
      </c>
      <c r="G270" s="237">
        <v>-36925.09383359323</v>
      </c>
      <c r="H270" s="237">
        <v>-249639.31280100608</v>
      </c>
      <c r="I270" s="237">
        <v>-36925.09383359323</v>
      </c>
      <c r="J270"/>
      <c r="K270"/>
    </row>
    <row r="271" spans="1:11" x14ac:dyDescent="0.2">
      <c r="E271"/>
      <c r="F271"/>
      <c r="G271"/>
      <c r="H271"/>
      <c r="I271"/>
      <c r="J271"/>
      <c r="K271"/>
    </row>
    <row r="272" spans="1:11" x14ac:dyDescent="0.2">
      <c r="E272"/>
      <c r="F272"/>
      <c r="G272"/>
      <c r="H272"/>
      <c r="I272"/>
      <c r="J272"/>
      <c r="K272"/>
    </row>
    <row r="273" spans="1:11" x14ac:dyDescent="0.2">
      <c r="E273"/>
      <c r="F273"/>
      <c r="G273"/>
      <c r="H273"/>
      <c r="I273"/>
      <c r="J273"/>
      <c r="K273"/>
    </row>
    <row r="274" spans="1:11" x14ac:dyDescent="0.2">
      <c r="A274" s="7"/>
      <c r="B274" s="11"/>
      <c r="E274"/>
      <c r="F274"/>
      <c r="G274"/>
      <c r="H274"/>
      <c r="I274"/>
      <c r="J274"/>
      <c r="K274"/>
    </row>
    <row r="275" spans="1:11" x14ac:dyDescent="0.2">
      <c r="A275" s="7"/>
      <c r="B275" s="11"/>
      <c r="E275"/>
      <c r="F275"/>
      <c r="G275"/>
      <c r="H275"/>
      <c r="I275"/>
      <c r="J275"/>
      <c r="K275"/>
    </row>
    <row r="276" spans="1:11" x14ac:dyDescent="0.2">
      <c r="A276" s="7"/>
      <c r="B276" s="11"/>
      <c r="E276"/>
      <c r="F276"/>
      <c r="G276"/>
      <c r="H276"/>
      <c r="I276"/>
      <c r="J276"/>
      <c r="K276"/>
    </row>
    <row r="277" spans="1:11" x14ac:dyDescent="0.2">
      <c r="A277" s="7"/>
      <c r="B277" s="11"/>
      <c r="E277"/>
      <c r="F277"/>
      <c r="G277"/>
      <c r="H277"/>
      <c r="I277"/>
      <c r="J277"/>
      <c r="K277"/>
    </row>
    <row r="278" spans="1:11" x14ac:dyDescent="0.2">
      <c r="A278" s="7"/>
      <c r="B278" s="11"/>
      <c r="E278"/>
      <c r="F278"/>
      <c r="G278"/>
      <c r="H278"/>
      <c r="I278"/>
      <c r="J278"/>
      <c r="K278"/>
    </row>
    <row r="279" spans="1:11" x14ac:dyDescent="0.2">
      <c r="A279" s="7"/>
      <c r="B279" s="11"/>
      <c r="E279"/>
      <c r="F279"/>
      <c r="G279"/>
      <c r="H279"/>
      <c r="I279"/>
      <c r="J279"/>
      <c r="K279"/>
    </row>
    <row r="280" spans="1:11" x14ac:dyDescent="0.2">
      <c r="A280" s="7"/>
      <c r="B280" s="11"/>
      <c r="E280"/>
      <c r="F280"/>
      <c r="G280"/>
      <c r="H280"/>
      <c r="I280"/>
      <c r="J280"/>
      <c r="K280"/>
    </row>
    <row r="281" spans="1:11" x14ac:dyDescent="0.2">
      <c r="A281" s="7"/>
      <c r="B281" s="11"/>
      <c r="E281"/>
      <c r="F281"/>
      <c r="G281"/>
      <c r="H281"/>
      <c r="I281"/>
      <c r="J281"/>
      <c r="K281"/>
    </row>
    <row r="282" spans="1:11" x14ac:dyDescent="0.2">
      <c r="A282" s="7"/>
      <c r="B282" s="11"/>
      <c r="E282"/>
      <c r="F282"/>
      <c r="G282"/>
      <c r="H282"/>
      <c r="I282"/>
      <c r="J282"/>
      <c r="K282"/>
    </row>
    <row r="283" spans="1:11" ht="76.5" x14ac:dyDescent="0.2">
      <c r="A283" s="26" t="s">
        <v>121</v>
      </c>
      <c r="B283" s="214" t="s">
        <v>3</v>
      </c>
      <c r="C283" s="214" t="s">
        <v>4</v>
      </c>
      <c r="D283" s="215" t="s">
        <v>6</v>
      </c>
      <c r="E283" s="216" t="s">
        <v>5</v>
      </c>
      <c r="F283" s="216" t="s">
        <v>17</v>
      </c>
      <c r="G283" s="214" t="s">
        <v>290</v>
      </c>
      <c r="H283" s="216" t="s">
        <v>53</v>
      </c>
      <c r="I283" s="216" t="s">
        <v>201</v>
      </c>
      <c r="J283" s="216" t="s">
        <v>202</v>
      </c>
      <c r="K283" s="216" t="s">
        <v>11</v>
      </c>
    </row>
    <row r="284" spans="1:11" x14ac:dyDescent="0.2">
      <c r="A284" s="26"/>
      <c r="B284" s="16">
        <f>'HDD and CDD'!V5</f>
        <v>765.68500000000006</v>
      </c>
      <c r="C284" s="16">
        <f>'HDD and CDD'!V19</f>
        <v>0</v>
      </c>
      <c r="D284" s="33">
        <f t="shared" ref="D284:D295" si="14">H207</f>
        <v>144.35917379447397</v>
      </c>
      <c r="E284" s="7">
        <f t="shared" ref="E284:E295" si="15">I207</f>
        <v>31</v>
      </c>
      <c r="F284" s="7">
        <f t="shared" ref="F284:F295" si="16">J207</f>
        <v>0</v>
      </c>
      <c r="G284" s="7">
        <f t="shared" ref="G284:G295" si="17">K207</f>
        <v>4146342.9012691271</v>
      </c>
      <c r="H284" s="7">
        <f t="shared" ref="H284:H295" si="18">L207</f>
        <v>352</v>
      </c>
      <c r="I284" s="7">
        <f t="shared" ref="I284:I295" si="19">+M207</f>
        <v>717.9</v>
      </c>
      <c r="J284" s="7">
        <f t="shared" ref="J284:J295" si="20">+N207</f>
        <v>48.268623265741667</v>
      </c>
      <c r="K284" s="7">
        <f t="shared" ref="K284:K295" si="21">$B$261+B284*$B$262+C284*$B$263+D284*$B$264+E284*$B$265+F284*$B$266+G284*$B$267+H284*$B$268+I284*$B$269+J284*$B$270</f>
        <v>178703924.96006665</v>
      </c>
    </row>
    <row r="285" spans="1:11" x14ac:dyDescent="0.2">
      <c r="A285" s="26"/>
      <c r="B285" s="16">
        <f>'HDD and CDD'!V6</f>
        <v>685.41</v>
      </c>
      <c r="C285" s="16">
        <f>'HDD and CDD'!V20</f>
        <v>0</v>
      </c>
      <c r="D285" s="33">
        <f t="shared" si="14"/>
        <v>144.58577586600015</v>
      </c>
      <c r="E285" s="7">
        <f t="shared" si="15"/>
        <v>28</v>
      </c>
      <c r="F285" s="7">
        <f t="shared" si="16"/>
        <v>0</v>
      </c>
      <c r="G285" s="7">
        <f t="shared" si="17"/>
        <v>4144972.5162297329</v>
      </c>
      <c r="H285" s="7">
        <f t="shared" si="18"/>
        <v>304</v>
      </c>
      <c r="I285" s="7">
        <f t="shared" si="19"/>
        <v>717.9</v>
      </c>
      <c r="J285" s="7">
        <f t="shared" si="20"/>
        <v>48.268623265741667</v>
      </c>
      <c r="K285" s="7">
        <f t="shared" si="21"/>
        <v>160912237.48719671</v>
      </c>
    </row>
    <row r="286" spans="1:11" x14ac:dyDescent="0.2">
      <c r="A286" s="26"/>
      <c r="B286" s="16">
        <f>'HDD and CDD'!V7</f>
        <v>571.68500000000006</v>
      </c>
      <c r="C286" s="16">
        <f>'HDD and CDD'!V21</f>
        <v>0</v>
      </c>
      <c r="D286" s="33">
        <f t="shared" si="14"/>
        <v>144.81273363711554</v>
      </c>
      <c r="E286" s="7">
        <f t="shared" si="15"/>
        <v>31</v>
      </c>
      <c r="F286" s="7">
        <f t="shared" si="16"/>
        <v>1</v>
      </c>
      <c r="G286" s="7">
        <f t="shared" si="17"/>
        <v>4143602.1311903386</v>
      </c>
      <c r="H286" s="7">
        <f t="shared" si="18"/>
        <v>336</v>
      </c>
      <c r="I286" s="7">
        <f t="shared" si="19"/>
        <v>717.9</v>
      </c>
      <c r="J286" s="7">
        <f t="shared" si="20"/>
        <v>48.268623265741667</v>
      </c>
      <c r="K286" s="7">
        <f t="shared" si="21"/>
        <v>164872028.55898634</v>
      </c>
    </row>
    <row r="287" spans="1:11" x14ac:dyDescent="0.2">
      <c r="A287" s="26"/>
      <c r="B287" s="16">
        <f>'HDD and CDD'!V8</f>
        <v>346.2</v>
      </c>
      <c r="C287" s="16">
        <f>'HDD and CDD'!V22</f>
        <v>0.39</v>
      </c>
      <c r="D287" s="33">
        <f t="shared" si="14"/>
        <v>145.04004766616546</v>
      </c>
      <c r="E287" s="7">
        <f t="shared" si="15"/>
        <v>30</v>
      </c>
      <c r="F287" s="7">
        <f t="shared" si="16"/>
        <v>1</v>
      </c>
      <c r="G287" s="7">
        <f t="shared" si="17"/>
        <v>4142231.7461509444</v>
      </c>
      <c r="H287" s="7">
        <f t="shared" si="18"/>
        <v>336</v>
      </c>
      <c r="I287" s="7">
        <f t="shared" si="19"/>
        <v>717.9</v>
      </c>
      <c r="J287" s="7">
        <f t="shared" si="20"/>
        <v>48.268623265741667</v>
      </c>
      <c r="K287" s="7">
        <f t="shared" si="21"/>
        <v>152004640.72429833</v>
      </c>
    </row>
    <row r="288" spans="1:11" x14ac:dyDescent="0.2">
      <c r="A288" s="26"/>
      <c r="B288" s="16">
        <f>'HDD and CDD'!V9</f>
        <v>184.17000000000002</v>
      </c>
      <c r="C288" s="16">
        <f>'HDD and CDD'!V23</f>
        <v>9.25</v>
      </c>
      <c r="D288" s="33">
        <f t="shared" si="14"/>
        <v>145.2677185123716</v>
      </c>
      <c r="E288" s="7">
        <f t="shared" si="15"/>
        <v>31</v>
      </c>
      <c r="F288" s="7">
        <f t="shared" si="16"/>
        <v>1</v>
      </c>
      <c r="G288" s="7">
        <f t="shared" si="17"/>
        <v>4140861.3611115501</v>
      </c>
      <c r="H288" s="7">
        <f t="shared" si="18"/>
        <v>336</v>
      </c>
      <c r="I288" s="7">
        <f t="shared" si="19"/>
        <v>717.9</v>
      </c>
      <c r="J288" s="7">
        <f t="shared" si="20"/>
        <v>48.268623265741667</v>
      </c>
      <c r="K288" s="7">
        <f t="shared" si="21"/>
        <v>151506055.02697802</v>
      </c>
    </row>
    <row r="289" spans="1:11" x14ac:dyDescent="0.2">
      <c r="A289" s="26"/>
      <c r="B289" s="16">
        <f>'HDD and CDD'!V10</f>
        <v>50.945000000000007</v>
      </c>
      <c r="C289" s="16">
        <f>'HDD and CDD'!V24</f>
        <v>42.285000000000004</v>
      </c>
      <c r="D289" s="33">
        <f t="shared" si="14"/>
        <v>145.49574673583354</v>
      </c>
      <c r="E289" s="7">
        <f t="shared" si="15"/>
        <v>30</v>
      </c>
      <c r="F289" s="7">
        <f t="shared" si="16"/>
        <v>0</v>
      </c>
      <c r="G289" s="7">
        <f t="shared" si="17"/>
        <v>4139490.9760721559</v>
      </c>
      <c r="H289" s="7">
        <f t="shared" si="18"/>
        <v>336</v>
      </c>
      <c r="I289" s="7">
        <f t="shared" si="19"/>
        <v>717.9</v>
      </c>
      <c r="J289" s="7">
        <f t="shared" si="20"/>
        <v>48.268623265741667</v>
      </c>
      <c r="K289" s="7">
        <f t="shared" si="21"/>
        <v>156765879.51669359</v>
      </c>
    </row>
    <row r="290" spans="1:11" x14ac:dyDescent="0.2">
      <c r="A290" s="26"/>
      <c r="B290" s="16">
        <f>'HDD and CDD'!V11</f>
        <v>12.779999999999998</v>
      </c>
      <c r="C290" s="16">
        <f>'HDD and CDD'!V25</f>
        <v>82.89</v>
      </c>
      <c r="D290" s="33">
        <f t="shared" si="14"/>
        <v>145.72413289752996</v>
      </c>
      <c r="E290" s="7">
        <f t="shared" si="15"/>
        <v>31</v>
      </c>
      <c r="F290" s="7">
        <f t="shared" si="16"/>
        <v>0</v>
      </c>
      <c r="G290" s="7">
        <f t="shared" si="17"/>
        <v>4138120.5910327616</v>
      </c>
      <c r="H290" s="7">
        <f t="shared" si="18"/>
        <v>352</v>
      </c>
      <c r="I290" s="7">
        <f t="shared" si="19"/>
        <v>717.9</v>
      </c>
      <c r="J290" s="7">
        <f t="shared" si="20"/>
        <v>48.268623265741667</v>
      </c>
      <c r="K290" s="7">
        <f t="shared" si="21"/>
        <v>172089492.86068675</v>
      </c>
    </row>
    <row r="291" spans="1:11" x14ac:dyDescent="0.2">
      <c r="A291" s="26"/>
      <c r="B291" s="16">
        <f>'HDD and CDD'!V12</f>
        <v>24.245000000000001</v>
      </c>
      <c r="C291" s="16">
        <f>'HDD and CDD'!V26</f>
        <v>57.370000000000005</v>
      </c>
      <c r="D291" s="33">
        <f t="shared" si="14"/>
        <v>145.9528775593202</v>
      </c>
      <c r="E291" s="7">
        <f t="shared" si="15"/>
        <v>31</v>
      </c>
      <c r="F291" s="7">
        <f t="shared" si="16"/>
        <v>0</v>
      </c>
      <c r="G291" s="7">
        <f t="shared" si="17"/>
        <v>4136750.2059933674</v>
      </c>
      <c r="H291" s="7">
        <f t="shared" si="18"/>
        <v>320</v>
      </c>
      <c r="I291" s="7">
        <f t="shared" si="19"/>
        <v>717.9</v>
      </c>
      <c r="J291" s="7">
        <f t="shared" si="20"/>
        <v>48.268623265741667</v>
      </c>
      <c r="K291" s="7">
        <f t="shared" si="21"/>
        <v>162588129.73815984</v>
      </c>
    </row>
    <row r="292" spans="1:11" x14ac:dyDescent="0.2">
      <c r="A292" s="26"/>
      <c r="B292" s="16">
        <f>'HDD and CDD'!V13</f>
        <v>97.155000000000001</v>
      </c>
      <c r="C292" s="16">
        <f>'HDD and CDD'!V27</f>
        <v>13.904999999999998</v>
      </c>
      <c r="D292" s="33">
        <f t="shared" si="14"/>
        <v>146.18198128394553</v>
      </c>
      <c r="E292" s="7">
        <f t="shared" si="15"/>
        <v>30</v>
      </c>
      <c r="F292" s="7">
        <f t="shared" si="16"/>
        <v>1</v>
      </c>
      <c r="G292" s="7">
        <f t="shared" si="17"/>
        <v>4135379.8209539731</v>
      </c>
      <c r="H292" s="7">
        <f t="shared" si="18"/>
        <v>336</v>
      </c>
      <c r="I292" s="7">
        <f t="shared" si="19"/>
        <v>717.9</v>
      </c>
      <c r="J292" s="7">
        <f t="shared" si="20"/>
        <v>48.268623265741667</v>
      </c>
      <c r="K292" s="7">
        <f t="shared" si="21"/>
        <v>145818168.51829782</v>
      </c>
    </row>
    <row r="293" spans="1:11" x14ac:dyDescent="0.2">
      <c r="A293" s="26"/>
      <c r="B293" s="16">
        <f>'HDD and CDD'!V14</f>
        <v>289.80499999999995</v>
      </c>
      <c r="C293" s="16">
        <f>'HDD and CDD'!V28</f>
        <v>1.35</v>
      </c>
      <c r="D293" s="33">
        <f t="shared" si="14"/>
        <v>146.41144463503053</v>
      </c>
      <c r="E293" s="7">
        <f t="shared" si="15"/>
        <v>31</v>
      </c>
      <c r="F293" s="7">
        <f t="shared" si="16"/>
        <v>1</v>
      </c>
      <c r="G293" s="7">
        <f t="shared" si="17"/>
        <v>4134009.4359145788</v>
      </c>
      <c r="H293" s="7">
        <f t="shared" si="18"/>
        <v>352</v>
      </c>
      <c r="I293" s="7">
        <f t="shared" si="19"/>
        <v>717.9</v>
      </c>
      <c r="J293" s="7">
        <f t="shared" si="20"/>
        <v>48.268623265741667</v>
      </c>
      <c r="K293" s="7">
        <f t="shared" si="21"/>
        <v>155012127.98286325</v>
      </c>
    </row>
    <row r="294" spans="1:11" x14ac:dyDescent="0.2">
      <c r="A294" s="26"/>
      <c r="B294" s="16">
        <f>'HDD and CDD'!V15</f>
        <v>445.81000000000006</v>
      </c>
      <c r="C294" s="16">
        <f>'HDD and CDD'!V29</f>
        <v>0</v>
      </c>
      <c r="D294" s="33">
        <f t="shared" si="14"/>
        <v>146.64126817708456</v>
      </c>
      <c r="E294" s="7">
        <f t="shared" si="15"/>
        <v>30</v>
      </c>
      <c r="F294" s="7">
        <f t="shared" si="16"/>
        <v>1</v>
      </c>
      <c r="G294" s="7">
        <f t="shared" si="17"/>
        <v>4132639.0508751846</v>
      </c>
      <c r="H294" s="7">
        <f t="shared" si="18"/>
        <v>320</v>
      </c>
      <c r="I294" s="7">
        <f t="shared" si="19"/>
        <v>717.9</v>
      </c>
      <c r="J294" s="7">
        <f t="shared" si="20"/>
        <v>48.268623265741667</v>
      </c>
      <c r="K294" s="7">
        <f t="shared" si="21"/>
        <v>155122837.14450255</v>
      </c>
    </row>
    <row r="295" spans="1:11" x14ac:dyDescent="0.2">
      <c r="A295" s="26"/>
      <c r="B295" s="16">
        <f>'HDD and CDD'!V16</f>
        <v>648.66999999999985</v>
      </c>
      <c r="C295" s="16">
        <f>'HDD and CDD'!V30</f>
        <v>0</v>
      </c>
      <c r="D295" s="33">
        <f t="shared" si="14"/>
        <v>146.87145247550308</v>
      </c>
      <c r="E295" s="7">
        <f t="shared" si="15"/>
        <v>31</v>
      </c>
      <c r="F295" s="7">
        <f t="shared" si="16"/>
        <v>0</v>
      </c>
      <c r="G295" s="7">
        <f t="shared" si="17"/>
        <v>4131268.6658357903</v>
      </c>
      <c r="H295" s="7">
        <f t="shared" si="18"/>
        <v>336</v>
      </c>
      <c r="I295" s="7">
        <f t="shared" si="19"/>
        <v>717.9</v>
      </c>
      <c r="J295" s="7">
        <f t="shared" si="20"/>
        <v>48.268623265741667</v>
      </c>
      <c r="K295" s="7">
        <f t="shared" si="21"/>
        <v>173052915.57563123</v>
      </c>
    </row>
    <row r="296" spans="1:11" x14ac:dyDescent="0.2">
      <c r="A296" s="26"/>
      <c r="B296" s="1"/>
      <c r="C296" s="1"/>
      <c r="D296" s="34"/>
      <c r="E296" s="1"/>
      <c r="G296" s="22"/>
      <c r="H296" s="1"/>
      <c r="I296" s="256"/>
      <c r="J296" s="256"/>
      <c r="K296" s="48">
        <f>SUM(K284:K295)</f>
        <v>1928448438.0943611</v>
      </c>
    </row>
    <row r="297" spans="1:11" x14ac:dyDescent="0.2">
      <c r="A297" s="26"/>
      <c r="B297" s="1"/>
      <c r="C297" s="1"/>
      <c r="D297" s="34"/>
      <c r="E297" s="1"/>
      <c r="G297" s="22"/>
      <c r="H297" s="1"/>
      <c r="I297" s="256"/>
      <c r="J297" s="256"/>
      <c r="K297" s="1"/>
    </row>
    <row r="298" spans="1:11" x14ac:dyDescent="0.2">
      <c r="A298" s="26"/>
      <c r="B298" s="1"/>
      <c r="C298" s="1"/>
      <c r="D298" s="34"/>
      <c r="E298" s="1"/>
      <c r="G298" s="22"/>
      <c r="H298" s="1"/>
      <c r="I298" s="256"/>
      <c r="J298" s="256"/>
      <c r="K298" s="1"/>
    </row>
    <row r="299" spans="1:11" x14ac:dyDescent="0.2">
      <c r="A299" s="26" t="s">
        <v>122</v>
      </c>
      <c r="B299" s="1"/>
      <c r="C299" s="1"/>
      <c r="D299" s="34"/>
      <c r="E299" s="1"/>
      <c r="G299" s="22"/>
      <c r="H299" s="1"/>
      <c r="I299" s="256"/>
      <c r="J299" s="256"/>
      <c r="K299" s="1"/>
    </row>
    <row r="300" spans="1:11" x14ac:dyDescent="0.2">
      <c r="A300" s="26"/>
      <c r="B300" s="16">
        <f>'HDD and CDD'!W5</f>
        <v>696.14522556390875</v>
      </c>
      <c r="C300" s="16">
        <f>'HDD and CDD'!W19</f>
        <v>0</v>
      </c>
      <c r="D300" s="33">
        <f t="shared" ref="D300:H300" si="22">D284</f>
        <v>144.35917379447397</v>
      </c>
      <c r="E300" s="7">
        <f t="shared" si="22"/>
        <v>31</v>
      </c>
      <c r="F300" s="7">
        <f t="shared" si="22"/>
        <v>0</v>
      </c>
      <c r="G300" s="7">
        <f t="shared" si="22"/>
        <v>4146342.9012691271</v>
      </c>
      <c r="H300" s="7">
        <f t="shared" si="22"/>
        <v>352</v>
      </c>
      <c r="I300" s="7">
        <f>+I284</f>
        <v>717.9</v>
      </c>
      <c r="J300" s="7">
        <f>+J284</f>
        <v>48.268623265741667</v>
      </c>
      <c r="K300" s="7">
        <f t="shared" ref="K300:K311" si="23">$B$261+B300*$B$262+C300*$B$263+D300*$B$264+E300*$B$265+F300*$B$266+G300*$B$267+H300*$B$268+I300*$B$269+J300*$B$270</f>
        <v>175797700.57999444</v>
      </c>
    </row>
    <row r="301" spans="1:11" x14ac:dyDescent="0.2">
      <c r="A301" s="26"/>
      <c r="B301" s="16">
        <f>'HDD and CDD'!W6</f>
        <v>630.6102255639089</v>
      </c>
      <c r="C301" s="16">
        <f>'HDD and CDD'!W20</f>
        <v>0</v>
      </c>
      <c r="D301" s="33">
        <f t="shared" ref="D301:D311" si="24">D285</f>
        <v>144.58577586600015</v>
      </c>
      <c r="E301" s="7">
        <f t="shared" ref="E301:H311" si="25">E285</f>
        <v>28</v>
      </c>
      <c r="F301" s="7">
        <f t="shared" si="25"/>
        <v>0</v>
      </c>
      <c r="G301" s="7">
        <f t="shared" si="25"/>
        <v>4144972.5162297329</v>
      </c>
      <c r="H301" s="7">
        <f t="shared" si="25"/>
        <v>304</v>
      </c>
      <c r="I301" s="7">
        <f t="shared" ref="I301:J301" si="26">+I285</f>
        <v>717.9</v>
      </c>
      <c r="J301" s="7">
        <f t="shared" si="26"/>
        <v>48.268623265741667</v>
      </c>
      <c r="K301" s="7">
        <f t="shared" si="23"/>
        <v>158622031.02938041</v>
      </c>
    </row>
    <row r="302" spans="1:11" x14ac:dyDescent="0.2">
      <c r="A302" s="26"/>
      <c r="B302" s="16">
        <f>'HDD and CDD'!W7</f>
        <v>527.32992481203109</v>
      </c>
      <c r="C302" s="16">
        <f>'HDD and CDD'!W21</f>
        <v>0</v>
      </c>
      <c r="D302" s="33">
        <f t="shared" si="24"/>
        <v>144.81273363711554</v>
      </c>
      <c r="E302" s="7">
        <f t="shared" si="25"/>
        <v>31</v>
      </c>
      <c r="F302" s="7">
        <f t="shared" si="25"/>
        <v>1</v>
      </c>
      <c r="G302" s="7">
        <f t="shared" si="25"/>
        <v>4143602.1311903386</v>
      </c>
      <c r="H302" s="7">
        <f t="shared" si="25"/>
        <v>336</v>
      </c>
      <c r="I302" s="7">
        <f t="shared" ref="I302:J302" si="27">+I286</f>
        <v>717.9</v>
      </c>
      <c r="J302" s="7">
        <f t="shared" si="27"/>
        <v>48.268623265741667</v>
      </c>
      <c r="K302" s="7">
        <f t="shared" si="23"/>
        <v>163018329.6947532</v>
      </c>
    </row>
    <row r="303" spans="1:11" x14ac:dyDescent="0.2">
      <c r="A303" s="26"/>
      <c r="B303" s="16">
        <f>'HDD and CDD'!W8</f>
        <v>290.26244360902274</v>
      </c>
      <c r="C303" s="16">
        <f>'HDD and CDD'!W22</f>
        <v>0.83368421052631447</v>
      </c>
      <c r="D303" s="33">
        <f t="shared" si="24"/>
        <v>145.04004766616546</v>
      </c>
      <c r="E303" s="7">
        <f t="shared" si="25"/>
        <v>30</v>
      </c>
      <c r="F303" s="7">
        <f t="shared" si="25"/>
        <v>1</v>
      </c>
      <c r="G303" s="7">
        <f t="shared" si="25"/>
        <v>4142231.7461509444</v>
      </c>
      <c r="H303" s="7">
        <f t="shared" si="25"/>
        <v>336</v>
      </c>
      <c r="I303" s="7">
        <f t="shared" ref="I303:J303" si="28">+I287</f>
        <v>717.9</v>
      </c>
      <c r="J303" s="7">
        <f t="shared" si="28"/>
        <v>48.268623265741667</v>
      </c>
      <c r="K303" s="7">
        <f t="shared" si="23"/>
        <v>149798554.40719232</v>
      </c>
    </row>
    <row r="304" spans="1:11" x14ac:dyDescent="0.2">
      <c r="A304" s="26"/>
      <c r="B304" s="16">
        <f>'HDD and CDD'!W9</f>
        <v>142.41969924811929</v>
      </c>
      <c r="C304" s="16">
        <f>'HDD and CDD'!W23</f>
        <v>13.443458646616591</v>
      </c>
      <c r="D304" s="33">
        <f t="shared" si="24"/>
        <v>145.2677185123716</v>
      </c>
      <c r="E304" s="7">
        <f t="shared" si="25"/>
        <v>31</v>
      </c>
      <c r="F304" s="7">
        <f t="shared" si="25"/>
        <v>1</v>
      </c>
      <c r="G304" s="7">
        <f t="shared" si="25"/>
        <v>4140861.3611115501</v>
      </c>
      <c r="H304" s="7">
        <f t="shared" si="25"/>
        <v>336</v>
      </c>
      <c r="I304" s="7">
        <f t="shared" ref="I304:J304" si="29">+I288</f>
        <v>717.9</v>
      </c>
      <c r="J304" s="7">
        <f t="shared" si="29"/>
        <v>48.268623265741667</v>
      </c>
      <c r="K304" s="7">
        <f t="shared" si="23"/>
        <v>151005693.71955627</v>
      </c>
    </row>
    <row r="305" spans="1:11" x14ac:dyDescent="0.2">
      <c r="A305" s="26"/>
      <c r="B305" s="16">
        <f>'HDD and CDD'!W10</f>
        <v>35.386278195488558</v>
      </c>
      <c r="C305" s="16">
        <f>'HDD and CDD'!W24</f>
        <v>50.883496240601517</v>
      </c>
      <c r="D305" s="33">
        <f t="shared" si="24"/>
        <v>145.49574673583354</v>
      </c>
      <c r="E305" s="7">
        <f t="shared" si="25"/>
        <v>30</v>
      </c>
      <c r="F305" s="7">
        <f t="shared" si="25"/>
        <v>0</v>
      </c>
      <c r="G305" s="7">
        <f t="shared" si="25"/>
        <v>4139490.9760721559</v>
      </c>
      <c r="H305" s="7">
        <f t="shared" si="25"/>
        <v>336</v>
      </c>
      <c r="I305" s="7">
        <f t="shared" ref="I305:J305" si="30">+I289</f>
        <v>717.9</v>
      </c>
      <c r="J305" s="7">
        <f t="shared" si="30"/>
        <v>48.268623265741667</v>
      </c>
      <c r="K305" s="7">
        <f t="shared" si="23"/>
        <v>158667391.1972456</v>
      </c>
    </row>
    <row r="306" spans="1:11" x14ac:dyDescent="0.2">
      <c r="A306" s="26"/>
      <c r="B306" s="16">
        <f>'HDD and CDD'!W11</f>
        <v>-1.1234586466166547</v>
      </c>
      <c r="C306" s="16">
        <f>'HDD and CDD'!W25</f>
        <v>117.04443609022564</v>
      </c>
      <c r="D306" s="33">
        <f t="shared" si="24"/>
        <v>145.72413289752996</v>
      </c>
      <c r="E306" s="7">
        <f t="shared" si="25"/>
        <v>31</v>
      </c>
      <c r="F306" s="7">
        <f t="shared" si="25"/>
        <v>0</v>
      </c>
      <c r="G306" s="7">
        <f t="shared" si="25"/>
        <v>4138120.5910327616</v>
      </c>
      <c r="H306" s="7">
        <f t="shared" si="25"/>
        <v>352</v>
      </c>
      <c r="I306" s="7">
        <f t="shared" ref="I306:J306" si="31">+I290</f>
        <v>717.9</v>
      </c>
      <c r="J306" s="7">
        <f t="shared" si="31"/>
        <v>48.268623265741667</v>
      </c>
      <c r="K306" s="7">
        <f t="shared" si="23"/>
        <v>181644329.15820062</v>
      </c>
    </row>
    <row r="307" spans="1:11" x14ac:dyDescent="0.2">
      <c r="A307" s="26"/>
      <c r="B307" s="16">
        <f>'HDD and CDD'!W12</f>
        <v>11.290338345864711</v>
      </c>
      <c r="C307" s="16">
        <f>'HDD and CDD'!W26</f>
        <v>71.086691729322865</v>
      </c>
      <c r="D307" s="33">
        <f t="shared" si="24"/>
        <v>145.9528775593202</v>
      </c>
      <c r="E307" s="7">
        <f t="shared" si="25"/>
        <v>31</v>
      </c>
      <c r="F307" s="7">
        <f t="shared" si="25"/>
        <v>0</v>
      </c>
      <c r="G307" s="7">
        <f t="shared" si="25"/>
        <v>4136750.2059933674</v>
      </c>
      <c r="H307" s="7">
        <f t="shared" si="25"/>
        <v>320</v>
      </c>
      <c r="I307" s="7">
        <f t="shared" ref="I307:J307" si="32">+I291</f>
        <v>717.9</v>
      </c>
      <c r="J307" s="7">
        <f t="shared" si="32"/>
        <v>48.268623265741667</v>
      </c>
      <c r="K307" s="7">
        <f t="shared" si="23"/>
        <v>166117380.06182417</v>
      </c>
    </row>
    <row r="308" spans="1:11" x14ac:dyDescent="0.2">
      <c r="A308" s="26"/>
      <c r="B308" s="16">
        <f>'HDD and CDD'!W13</f>
        <v>69.28676691729288</v>
      </c>
      <c r="C308" s="16">
        <f>'HDD and CDD'!W27</f>
        <v>20.074661654135298</v>
      </c>
      <c r="D308" s="33">
        <f t="shared" si="24"/>
        <v>146.18198128394553</v>
      </c>
      <c r="E308" s="7">
        <f t="shared" si="25"/>
        <v>30</v>
      </c>
      <c r="F308" s="7">
        <f t="shared" si="25"/>
        <v>1</v>
      </c>
      <c r="G308" s="7">
        <f t="shared" si="25"/>
        <v>4135379.8209539731</v>
      </c>
      <c r="H308" s="7">
        <f t="shared" si="25"/>
        <v>336</v>
      </c>
      <c r="I308" s="7">
        <f t="shared" ref="I308:J308" si="33">+I292</f>
        <v>717.9</v>
      </c>
      <c r="J308" s="7">
        <f t="shared" si="33"/>
        <v>48.268623265741667</v>
      </c>
      <c r="K308" s="7">
        <f t="shared" si="23"/>
        <v>146484441.09807932</v>
      </c>
    </row>
    <row r="309" spans="1:11" x14ac:dyDescent="0.2">
      <c r="A309" s="26"/>
      <c r="B309" s="16">
        <f>'HDD and CDD'!W14</f>
        <v>262.96966165413505</v>
      </c>
      <c r="C309" s="16">
        <f>'HDD and CDD'!W28</f>
        <v>1.8239849624060014</v>
      </c>
      <c r="D309" s="33">
        <f t="shared" si="24"/>
        <v>146.41144463503053</v>
      </c>
      <c r="E309" s="7">
        <f t="shared" si="25"/>
        <v>31</v>
      </c>
      <c r="F309" s="7">
        <f t="shared" si="25"/>
        <v>1</v>
      </c>
      <c r="G309" s="7">
        <f t="shared" si="25"/>
        <v>4134009.4359145788</v>
      </c>
      <c r="H309" s="7">
        <f t="shared" si="25"/>
        <v>352</v>
      </c>
      <c r="I309" s="7">
        <f t="shared" ref="I309:J309" si="34">+I293</f>
        <v>717.9</v>
      </c>
      <c r="J309" s="7">
        <f t="shared" si="34"/>
        <v>48.268623265741667</v>
      </c>
      <c r="K309" s="7">
        <f t="shared" si="23"/>
        <v>154031281.39713356</v>
      </c>
    </row>
    <row r="310" spans="1:11" x14ac:dyDescent="0.2">
      <c r="A310" s="26"/>
      <c r="B310" s="16">
        <f>'HDD and CDD'!W15</f>
        <v>384.07263157894704</v>
      </c>
      <c r="C310" s="16">
        <f>'HDD and CDD'!W29</f>
        <v>0</v>
      </c>
      <c r="D310" s="33">
        <f t="shared" si="24"/>
        <v>146.64126817708456</v>
      </c>
      <c r="E310" s="7">
        <f t="shared" si="25"/>
        <v>30</v>
      </c>
      <c r="F310" s="7">
        <f t="shared" si="25"/>
        <v>1</v>
      </c>
      <c r="G310" s="7">
        <f t="shared" si="25"/>
        <v>4132639.0508751846</v>
      </c>
      <c r="H310" s="7">
        <f t="shared" si="25"/>
        <v>320</v>
      </c>
      <c r="I310" s="7">
        <f t="shared" ref="I310:J310" si="35">+I294</f>
        <v>717.9</v>
      </c>
      <c r="J310" s="7">
        <f t="shared" si="35"/>
        <v>48.268623265741667</v>
      </c>
      <c r="K310" s="7">
        <f t="shared" si="23"/>
        <v>152542692.95045346</v>
      </c>
    </row>
    <row r="311" spans="1:11" x14ac:dyDescent="0.2">
      <c r="A311" s="26"/>
      <c r="B311" s="16">
        <f>'HDD and CDD'!W16</f>
        <v>612.82022556390984</v>
      </c>
      <c r="C311" s="16">
        <f>'HDD and CDD'!W30</f>
        <v>0</v>
      </c>
      <c r="D311" s="33">
        <f t="shared" si="24"/>
        <v>146.87145247550308</v>
      </c>
      <c r="E311" s="7">
        <f t="shared" si="25"/>
        <v>31</v>
      </c>
      <c r="F311" s="7">
        <f t="shared" si="25"/>
        <v>0</v>
      </c>
      <c r="G311" s="7">
        <f t="shared" si="25"/>
        <v>4131268.6658357903</v>
      </c>
      <c r="H311" s="7">
        <f t="shared" si="25"/>
        <v>336</v>
      </c>
      <c r="I311" s="7">
        <f t="shared" ref="I311:J311" si="36">+I295</f>
        <v>717.9</v>
      </c>
      <c r="J311" s="7">
        <f t="shared" si="36"/>
        <v>48.268623265741667</v>
      </c>
      <c r="K311" s="7">
        <f t="shared" si="23"/>
        <v>171554672.45748588</v>
      </c>
    </row>
    <row r="312" spans="1:11" x14ac:dyDescent="0.2">
      <c r="A312" s="26"/>
      <c r="B312" s="1"/>
      <c r="C312" s="1"/>
      <c r="D312" s="34"/>
      <c r="E312" s="1"/>
      <c r="G312" s="22"/>
      <c r="H312" s="1"/>
      <c r="I312" s="256"/>
      <c r="J312" s="256"/>
      <c r="K312" s="48">
        <f>SUM(K300:K311)</f>
        <v>1929284497.7512996</v>
      </c>
    </row>
  </sheetData>
  <phoneticPr fontId="0" type="noConversion"/>
  <pageMargins left="0.38" right="0.11" top="0.73" bottom="0.48" header="0.5" footer="0.18"/>
  <pageSetup scale="53" fitToHeight="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Z108"/>
  <sheetViews>
    <sheetView showWhiteSpace="0" topLeftCell="I13" zoomScaleNormal="100" workbookViewId="0">
      <selection activeCell="Q68" sqref="Q68:Q70"/>
    </sheetView>
  </sheetViews>
  <sheetFormatPr defaultRowHeight="12.75" x14ac:dyDescent="0.2"/>
  <cols>
    <col min="1" max="1" width="20.5703125" customWidth="1"/>
    <col min="2" max="3" width="18" style="1" customWidth="1"/>
    <col min="4" max="4" width="29.140625" style="1" customWidth="1"/>
    <col min="5" max="5" width="27.85546875" style="1" customWidth="1"/>
    <col min="6" max="6" width="30" style="1" customWidth="1"/>
    <col min="7" max="8" width="41.85546875" style="5" customWidth="1"/>
    <col min="9" max="9" width="11.28515625" style="5" customWidth="1"/>
    <col min="10" max="10" width="17.140625" style="5" customWidth="1"/>
    <col min="11" max="11" width="16.5703125" style="5" bestFit="1" customWidth="1"/>
    <col min="12" max="12" width="15" style="5" bestFit="1" customWidth="1"/>
    <col min="13" max="13" width="16.5703125" style="5" bestFit="1" customWidth="1"/>
    <col min="14" max="14" width="14.140625" style="5" customWidth="1"/>
    <col min="15" max="15" width="14.7109375" style="5" customWidth="1"/>
    <col min="16" max="16" width="14" style="5" bestFit="1" customWidth="1"/>
    <col min="17" max="17" width="16.5703125" style="5" bestFit="1" customWidth="1"/>
    <col min="18" max="18" width="16.140625" style="5" bestFit="1" customWidth="1"/>
    <col min="19" max="19" width="13.140625" style="5" customWidth="1"/>
    <col min="20" max="20" width="9.140625" style="5"/>
    <col min="21" max="21" width="11.140625" style="5" bestFit="1" customWidth="1"/>
  </cols>
  <sheetData>
    <row r="2" spans="1:21" ht="25.5" x14ac:dyDescent="0.2">
      <c r="B2" s="419" t="s">
        <v>7</v>
      </c>
      <c r="C2" s="419" t="s">
        <v>8</v>
      </c>
      <c r="D2" s="419" t="s">
        <v>20</v>
      </c>
      <c r="E2" s="419" t="s">
        <v>9</v>
      </c>
      <c r="F2" s="419" t="s">
        <v>1</v>
      </c>
      <c r="G2" s="420" t="s">
        <v>2</v>
      </c>
      <c r="H2" s="420"/>
      <c r="I2" s="420"/>
      <c r="J2" s="420"/>
      <c r="K2" s="213" t="s">
        <v>71</v>
      </c>
      <c r="L2" s="421" t="s">
        <v>72</v>
      </c>
      <c r="M2" s="421" t="s">
        <v>73</v>
      </c>
      <c r="N2" s="421" t="s">
        <v>49</v>
      </c>
      <c r="O2" s="421" t="s">
        <v>74</v>
      </c>
      <c r="P2" s="254" t="s">
        <v>75</v>
      </c>
      <c r="Q2" s="421"/>
    </row>
    <row r="4" spans="1:21" x14ac:dyDescent="0.2">
      <c r="A4" s="17"/>
      <c r="B4" s="240" t="s">
        <v>192</v>
      </c>
    </row>
    <row r="5" spans="1:21" ht="13.5" thickBot="1" x14ac:dyDescent="0.25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</row>
    <row r="6" spans="1:21" ht="13.5" thickBot="1" x14ac:dyDescent="0.25">
      <c r="K6" s="500" t="s">
        <v>147</v>
      </c>
      <c r="L6" s="501"/>
      <c r="M6" s="501"/>
      <c r="N6" s="501"/>
      <c r="O6" s="501"/>
      <c r="P6" s="502"/>
    </row>
    <row r="7" spans="1:21" x14ac:dyDescent="0.2">
      <c r="A7">
        <f>'Purchased Power Model '!A222</f>
        <v>1997</v>
      </c>
      <c r="B7" s="5">
        <f>+'Purchased Power Model '!E222</f>
        <v>1835095310</v>
      </c>
      <c r="C7" s="5">
        <f>+'Purchased Power Model '!K222</f>
        <v>1823302505.1213238</v>
      </c>
      <c r="D7" s="37">
        <f>C7-B7</f>
        <v>-11792804.878676176</v>
      </c>
      <c r="E7" s="275">
        <f>D7/B7</f>
        <v>-6.4262628836843231E-3</v>
      </c>
      <c r="F7" s="52"/>
      <c r="G7" s="60">
        <f t="shared" ref="G7:G9" si="0">SUM(K7:P7)</f>
        <v>0</v>
      </c>
      <c r="H7" s="60"/>
      <c r="I7" s="60"/>
      <c r="J7" s="60"/>
      <c r="K7" s="39"/>
      <c r="L7" s="39"/>
      <c r="M7" s="39"/>
      <c r="N7" s="39"/>
      <c r="O7" s="39"/>
      <c r="P7" s="39"/>
      <c r="S7" s="24"/>
      <c r="T7" s="160"/>
      <c r="U7" s="34"/>
    </row>
    <row r="8" spans="1:21" x14ac:dyDescent="0.2">
      <c r="A8">
        <f>'Purchased Power Model '!A223</f>
        <v>1998</v>
      </c>
      <c r="B8" s="5">
        <f>+'Purchased Power Model '!E223</f>
        <v>1835345124</v>
      </c>
      <c r="C8" s="5">
        <f>+'Purchased Power Model '!K223</f>
        <v>1855055888.3889723</v>
      </c>
      <c r="D8" s="37">
        <f t="shared" ref="D8:D22" si="1">C8-B8</f>
        <v>19710764.388972282</v>
      </c>
      <c r="E8" s="275">
        <f t="shared" ref="E8:E22" si="2">D8/B8</f>
        <v>1.0739541098414296E-2</v>
      </c>
      <c r="F8" s="52"/>
      <c r="G8" s="60">
        <f t="shared" si="0"/>
        <v>0</v>
      </c>
      <c r="H8" s="60"/>
      <c r="I8" s="60"/>
      <c r="J8" s="60"/>
      <c r="K8" s="39"/>
      <c r="L8" s="39"/>
      <c r="M8" s="39"/>
      <c r="N8" s="39"/>
      <c r="O8" s="39"/>
      <c r="P8" s="39"/>
      <c r="S8" s="24"/>
      <c r="T8" s="160"/>
      <c r="U8" s="34"/>
    </row>
    <row r="9" spans="1:21" x14ac:dyDescent="0.2">
      <c r="A9">
        <f>'Purchased Power Model '!A224</f>
        <v>1999</v>
      </c>
      <c r="B9" s="5">
        <f>+'Purchased Power Model '!E224</f>
        <v>1899849275</v>
      </c>
      <c r="C9" s="5">
        <f>+'Purchased Power Model '!K224</f>
        <v>1923395303.1594186</v>
      </c>
      <c r="D9" s="37">
        <f t="shared" si="1"/>
        <v>23546028.159418583</v>
      </c>
      <c r="E9" s="275">
        <f t="shared" si="2"/>
        <v>1.2393629573282114E-2</v>
      </c>
      <c r="F9" s="52"/>
      <c r="G9" s="60">
        <f t="shared" si="0"/>
        <v>0</v>
      </c>
      <c r="H9" s="60"/>
      <c r="I9" s="60"/>
      <c r="J9" s="60"/>
      <c r="K9" s="39"/>
      <c r="L9" s="39"/>
      <c r="M9" s="39"/>
      <c r="N9" s="39"/>
      <c r="O9" s="39"/>
      <c r="P9" s="39"/>
      <c r="S9" s="24"/>
      <c r="T9" s="160"/>
      <c r="U9" s="34"/>
    </row>
    <row r="10" spans="1:21" x14ac:dyDescent="0.2">
      <c r="A10">
        <f>'Purchased Power Model '!A225</f>
        <v>2000</v>
      </c>
      <c r="B10" s="5">
        <f>+'Purchased Power Model '!E225</f>
        <v>1917287306</v>
      </c>
      <c r="C10" s="5">
        <f>+'Purchased Power Model '!K225</f>
        <v>1917257433.5265591</v>
      </c>
      <c r="D10" s="37">
        <f t="shared" si="1"/>
        <v>-29872.473440885544</v>
      </c>
      <c r="E10" s="275">
        <f t="shared" si="2"/>
        <v>-1.558059313666866E-5</v>
      </c>
      <c r="F10" s="52">
        <f t="shared" ref="F10:F13" si="3">1 +(B10-G10)/G10</f>
        <v>1.0501463839425154</v>
      </c>
      <c r="G10" s="60">
        <f>SUM(K10:P10)</f>
        <v>1825733379</v>
      </c>
      <c r="H10" s="60"/>
      <c r="I10" s="60"/>
      <c r="J10" s="60"/>
      <c r="K10" s="39">
        <v>561410965</v>
      </c>
      <c r="L10" s="39">
        <v>216113166.22</v>
      </c>
      <c r="M10" s="39">
        <v>842011205</v>
      </c>
      <c r="N10" s="39">
        <v>188086865</v>
      </c>
      <c r="O10" s="39">
        <v>13700705</v>
      </c>
      <c r="P10" s="39">
        <v>4410472.78</v>
      </c>
      <c r="S10" s="24"/>
      <c r="T10" s="160"/>
      <c r="U10" s="34"/>
    </row>
    <row r="11" spans="1:21" x14ac:dyDescent="0.2">
      <c r="A11">
        <f>'Purchased Power Model '!A226</f>
        <v>2001</v>
      </c>
      <c r="B11" s="5">
        <f>+'Purchased Power Model '!E226</f>
        <v>1963866511</v>
      </c>
      <c r="C11" s="5">
        <f>+'Purchased Power Model '!K226</f>
        <v>1953641069.5566638</v>
      </c>
      <c r="D11" s="37">
        <f t="shared" si="1"/>
        <v>-10225441.443336248</v>
      </c>
      <c r="E11" s="275">
        <f t="shared" si="2"/>
        <v>-5.2067904748421302E-3</v>
      </c>
      <c r="F11" s="52">
        <f t="shared" si="3"/>
        <v>1.053035719427349</v>
      </c>
      <c r="G11" s="60">
        <f t="shared" ref="G11:G22" si="4">SUM(K11:P11)</f>
        <v>1864957166</v>
      </c>
      <c r="H11" s="60"/>
      <c r="I11" s="60"/>
      <c r="J11" s="60"/>
      <c r="K11" s="39">
        <v>540863420</v>
      </c>
      <c r="L11" s="39">
        <v>194422245.08000001</v>
      </c>
      <c r="M11" s="39">
        <v>882753581</v>
      </c>
      <c r="N11" s="39">
        <v>229072005</v>
      </c>
      <c r="O11" s="39">
        <v>13878114</v>
      </c>
      <c r="P11" s="39">
        <v>3967800.92</v>
      </c>
      <c r="S11" s="24"/>
      <c r="T11" s="160"/>
      <c r="U11" s="34"/>
    </row>
    <row r="12" spans="1:21" x14ac:dyDescent="0.2">
      <c r="A12">
        <f>'Purchased Power Model '!A227</f>
        <v>2002</v>
      </c>
      <c r="B12" s="5">
        <f>+'Purchased Power Model '!E227</f>
        <v>2036912520</v>
      </c>
      <c r="C12" s="5">
        <f>+'Purchased Power Model '!K227</f>
        <v>2001080172.9767592</v>
      </c>
      <c r="D12" s="37">
        <f t="shared" si="1"/>
        <v>-35832347.023240805</v>
      </c>
      <c r="E12" s="275">
        <f t="shared" si="2"/>
        <v>-1.759150020995541E-2</v>
      </c>
      <c r="F12" s="52">
        <f t="shared" si="3"/>
        <v>1.0357332618068715</v>
      </c>
      <c r="G12" s="60">
        <f t="shared" si="4"/>
        <v>1966638125</v>
      </c>
      <c r="H12" s="60"/>
      <c r="I12" s="60"/>
      <c r="J12" s="60"/>
      <c r="K12" s="39">
        <v>609265500</v>
      </c>
      <c r="L12" s="39">
        <v>219363891.88</v>
      </c>
      <c r="M12" s="39">
        <v>863683912</v>
      </c>
      <c r="N12" s="39">
        <v>257359194</v>
      </c>
      <c r="O12" s="39">
        <v>12488813</v>
      </c>
      <c r="P12" s="39">
        <v>4476814.12</v>
      </c>
      <c r="S12" s="24"/>
      <c r="T12" s="160"/>
      <c r="U12" s="34"/>
    </row>
    <row r="13" spans="1:21" x14ac:dyDescent="0.2">
      <c r="A13">
        <f>'Purchased Power Model '!A228</f>
        <v>2003</v>
      </c>
      <c r="B13" s="5">
        <f>+'Purchased Power Model '!E228</f>
        <v>2013203373</v>
      </c>
      <c r="C13" s="5">
        <f>+'Purchased Power Model '!K228</f>
        <v>1994385066.2226791</v>
      </c>
      <c r="D13" s="37">
        <f t="shared" si="1"/>
        <v>-18818306.777320862</v>
      </c>
      <c r="E13" s="275">
        <f t="shared" si="2"/>
        <v>-9.347444490557617E-3</v>
      </c>
      <c r="F13" s="52">
        <f t="shared" si="3"/>
        <v>1.0217319898566786</v>
      </c>
      <c r="G13" s="60">
        <f t="shared" si="4"/>
        <v>1970383029.0000002</v>
      </c>
      <c r="H13" s="60"/>
      <c r="I13" s="60"/>
      <c r="J13" s="60"/>
      <c r="K13" s="39">
        <v>610213276</v>
      </c>
      <c r="L13" s="39">
        <v>225494014.34</v>
      </c>
      <c r="M13" s="39">
        <v>862174714</v>
      </c>
      <c r="N13" s="39">
        <v>253072527</v>
      </c>
      <c r="O13" s="39">
        <v>14826579</v>
      </c>
      <c r="P13" s="39">
        <v>4601918.66</v>
      </c>
      <c r="S13" s="24"/>
      <c r="T13" s="160"/>
      <c r="U13" s="34"/>
    </row>
    <row r="14" spans="1:21" x14ac:dyDescent="0.2">
      <c r="A14">
        <f>'Purchased Power Model '!A229</f>
        <v>2004</v>
      </c>
      <c r="B14" s="5">
        <f>+'Purchased Power Model '!E229</f>
        <v>2009748106</v>
      </c>
      <c r="C14" s="5">
        <f>+'Purchased Power Model '!K229</f>
        <v>2002479882.2055197</v>
      </c>
      <c r="D14" s="37">
        <f t="shared" si="1"/>
        <v>-7268223.7944803238</v>
      </c>
      <c r="E14" s="275">
        <f t="shared" si="2"/>
        <v>-3.6164849578817436E-3</v>
      </c>
      <c r="F14" s="52">
        <f t="shared" ref="F14:F22" si="5">1 +(B14-G14)/G14</f>
        <v>1.0319716142126036</v>
      </c>
      <c r="G14" s="60">
        <f t="shared" si="4"/>
        <v>1947483902</v>
      </c>
      <c r="H14" s="60"/>
      <c r="I14" s="60"/>
      <c r="J14" s="60"/>
      <c r="K14" s="39">
        <v>593383986</v>
      </c>
      <c r="L14" s="39">
        <v>218381163.56</v>
      </c>
      <c r="M14" s="39">
        <v>881507867</v>
      </c>
      <c r="N14" s="39">
        <v>234737963</v>
      </c>
      <c r="O14" s="39">
        <v>15016164</v>
      </c>
      <c r="P14" s="39">
        <v>4456758.4400000004</v>
      </c>
      <c r="S14" s="24"/>
      <c r="T14" s="160"/>
      <c r="U14" s="34"/>
    </row>
    <row r="15" spans="1:21" x14ac:dyDescent="0.2">
      <c r="A15">
        <f>'Purchased Power Model '!A230</f>
        <v>2005</v>
      </c>
      <c r="B15" s="5">
        <f>+'Purchased Power Model '!E230</f>
        <v>2086364094.5741999</v>
      </c>
      <c r="C15" s="5">
        <f>+'Purchased Power Model '!K230</f>
        <v>2077578251.4867024</v>
      </c>
      <c r="D15" s="37">
        <f t="shared" si="1"/>
        <v>-8785843.0874974728</v>
      </c>
      <c r="E15" s="275">
        <f t="shared" si="2"/>
        <v>-4.2110785506450877E-3</v>
      </c>
      <c r="F15" s="52">
        <f t="shared" si="5"/>
        <v>1.0222902582844764</v>
      </c>
      <c r="G15" s="60">
        <f t="shared" si="4"/>
        <v>2040872519</v>
      </c>
      <c r="H15" s="60"/>
      <c r="I15" s="60"/>
      <c r="J15" s="60"/>
      <c r="K15" s="39">
        <v>640475237</v>
      </c>
      <c r="L15" s="39">
        <v>229601685.31999999</v>
      </c>
      <c r="M15" s="39">
        <v>918952852</v>
      </c>
      <c r="N15" s="39">
        <v>232058404</v>
      </c>
      <c r="O15" s="39">
        <v>15098592</v>
      </c>
      <c r="P15" s="39">
        <v>4685748.68</v>
      </c>
      <c r="S15" s="24"/>
      <c r="T15" s="160"/>
      <c r="U15" s="34"/>
    </row>
    <row r="16" spans="1:21" x14ac:dyDescent="0.2">
      <c r="A16">
        <f>'Purchased Power Model '!A231</f>
        <v>2006</v>
      </c>
      <c r="B16" s="5">
        <f>+'Purchased Power Model '!E231</f>
        <v>1983645710.3185</v>
      </c>
      <c r="C16" s="5">
        <f>+'Purchased Power Model '!K231</f>
        <v>2011422124.3310664</v>
      </c>
      <c r="D16" s="37">
        <f t="shared" si="1"/>
        <v>27776414.012566328</v>
      </c>
      <c r="E16" s="275">
        <f t="shared" si="2"/>
        <v>1.4002709187472023E-2</v>
      </c>
      <c r="F16" s="52">
        <f t="shared" si="5"/>
        <v>1.0343690332116124</v>
      </c>
      <c r="G16" s="60">
        <f t="shared" si="4"/>
        <v>1917735012</v>
      </c>
      <c r="H16" s="60"/>
      <c r="I16" s="60"/>
      <c r="J16" s="60"/>
      <c r="K16" s="39">
        <v>624196150</v>
      </c>
      <c r="L16" s="39">
        <v>231128009</v>
      </c>
      <c r="M16" s="39">
        <v>860411209</v>
      </c>
      <c r="N16" s="39">
        <v>181975799</v>
      </c>
      <c r="O16" s="39">
        <v>15290722</v>
      </c>
      <c r="P16" s="39">
        <v>4733123</v>
      </c>
      <c r="S16" s="24"/>
      <c r="T16" s="160"/>
      <c r="U16" s="34"/>
    </row>
    <row r="17" spans="1:21" x14ac:dyDescent="0.2">
      <c r="A17">
        <f>'Purchased Power Model '!A232</f>
        <v>2007</v>
      </c>
      <c r="B17" s="5">
        <f>+'Purchased Power Model '!E232</f>
        <v>1978990176.4429998</v>
      </c>
      <c r="C17" s="5">
        <f>+'Purchased Power Model '!K232</f>
        <v>1990597954.1714845</v>
      </c>
      <c r="D17" s="37">
        <f t="shared" si="1"/>
        <v>11607777.728484631</v>
      </c>
      <c r="E17" s="275">
        <f t="shared" si="2"/>
        <v>5.8655054818656221E-3</v>
      </c>
      <c r="F17" s="52">
        <f t="shared" si="5"/>
        <v>1.0316964477758013</v>
      </c>
      <c r="G17" s="60">
        <f t="shared" si="4"/>
        <v>1918190356</v>
      </c>
      <c r="H17" s="60"/>
      <c r="I17" s="60"/>
      <c r="J17" s="60"/>
      <c r="K17" s="39">
        <v>639510859</v>
      </c>
      <c r="L17" s="39">
        <v>233685645</v>
      </c>
      <c r="M17" s="39">
        <v>866794206</v>
      </c>
      <c r="N17" s="39">
        <v>157680777</v>
      </c>
      <c r="O17" s="39">
        <v>15541491</v>
      </c>
      <c r="P17" s="39">
        <v>4977378</v>
      </c>
      <c r="S17" s="24"/>
      <c r="T17" s="160"/>
      <c r="U17" s="34"/>
    </row>
    <row r="18" spans="1:21" x14ac:dyDescent="0.2">
      <c r="A18">
        <f>'Purchased Power Model '!A233</f>
        <v>2008</v>
      </c>
      <c r="B18" s="5">
        <f>+'Purchased Power Model '!E233</f>
        <v>1939064404.2694001</v>
      </c>
      <c r="C18" s="5">
        <f>+'Purchased Power Model '!K233</f>
        <v>1963251861.6181324</v>
      </c>
      <c r="D18" s="37">
        <f t="shared" si="1"/>
        <v>24187457.348732233</v>
      </c>
      <c r="E18" s="275">
        <f t="shared" si="2"/>
        <v>1.2473777196609193E-2</v>
      </c>
      <c r="F18" s="52">
        <f t="shared" si="5"/>
        <v>1.032843347951429</v>
      </c>
      <c r="G18" s="60">
        <f t="shared" si="4"/>
        <v>1877404166</v>
      </c>
      <c r="H18" s="60"/>
      <c r="I18" s="60"/>
      <c r="J18" s="60"/>
      <c r="K18" s="39">
        <v>638167356</v>
      </c>
      <c r="L18" s="39">
        <v>233464130</v>
      </c>
      <c r="M18" s="39">
        <v>838013719</v>
      </c>
      <c r="N18" s="39">
        <v>146928777</v>
      </c>
      <c r="O18" s="39">
        <v>17542402</v>
      </c>
      <c r="P18" s="39">
        <v>3287782</v>
      </c>
      <c r="S18" s="24"/>
      <c r="T18" s="160"/>
      <c r="U18" s="34"/>
    </row>
    <row r="19" spans="1:21" x14ac:dyDescent="0.2">
      <c r="A19">
        <f>'Purchased Power Model '!A234</f>
        <v>2009</v>
      </c>
      <c r="B19" s="5">
        <f>+'Purchased Power Model '!E234</f>
        <v>1837133121.4989998</v>
      </c>
      <c r="C19" s="5">
        <f>+'Purchased Power Model '!K234</f>
        <v>1856174590.4812803</v>
      </c>
      <c r="D19" s="37">
        <f t="shared" si="1"/>
        <v>19041468.982280493</v>
      </c>
      <c r="E19" s="275">
        <f t="shared" si="2"/>
        <v>1.0364773657090074E-2</v>
      </c>
      <c r="F19" s="52">
        <f t="shared" si="5"/>
        <v>1.0336063053124931</v>
      </c>
      <c r="G19" s="60">
        <f t="shared" si="4"/>
        <v>1777401233</v>
      </c>
      <c r="H19" s="60"/>
      <c r="I19" s="60"/>
      <c r="J19" s="60"/>
      <c r="K19" s="39">
        <v>626869704</v>
      </c>
      <c r="L19" s="39">
        <v>230572826</v>
      </c>
      <c r="M19" s="39">
        <v>820920003</v>
      </c>
      <c r="N19" s="39">
        <v>79822385</v>
      </c>
      <c r="O19" s="39">
        <v>15920914</v>
      </c>
      <c r="P19" s="39">
        <v>3295401</v>
      </c>
      <c r="S19" s="24"/>
      <c r="T19" s="160"/>
      <c r="U19" s="34"/>
    </row>
    <row r="20" spans="1:21" x14ac:dyDescent="0.2">
      <c r="A20">
        <f>'Purchased Power Model '!A235</f>
        <v>2010</v>
      </c>
      <c r="B20" s="5">
        <f>+'Purchased Power Model '!E235</f>
        <v>1892633519.4493544</v>
      </c>
      <c r="C20" s="5">
        <f>+'Purchased Power Model '!K235</f>
        <v>1889691855.1705751</v>
      </c>
      <c r="D20" s="37">
        <f t="shared" si="1"/>
        <v>-2941664.2787792683</v>
      </c>
      <c r="E20" s="275">
        <f t="shared" si="2"/>
        <v>-1.5542704113341078E-3</v>
      </c>
      <c r="F20" s="52">
        <f t="shared" si="5"/>
        <v>1.0345083413343812</v>
      </c>
      <c r="G20" s="60">
        <f t="shared" si="4"/>
        <v>1829500492</v>
      </c>
      <c r="H20" s="60"/>
      <c r="I20" s="60"/>
      <c r="J20" s="60"/>
      <c r="K20" s="39">
        <v>650651967</v>
      </c>
      <c r="L20" s="39">
        <v>236095929</v>
      </c>
      <c r="M20" s="39">
        <v>876884814</v>
      </c>
      <c r="N20" s="39">
        <v>46563626</v>
      </c>
      <c r="O20" s="39">
        <v>16035117</v>
      </c>
      <c r="P20" s="39">
        <v>3269039</v>
      </c>
      <c r="S20" s="24"/>
      <c r="T20" s="160"/>
      <c r="U20" s="34"/>
    </row>
    <row r="21" spans="1:21" x14ac:dyDescent="0.2">
      <c r="A21">
        <f>'Purchased Power Model '!A236</f>
        <v>2011</v>
      </c>
      <c r="B21" s="5">
        <f>+'Purchased Power Model '!E236</f>
        <v>1895197232.5334651</v>
      </c>
      <c r="C21" s="5">
        <f>+'Purchased Power Model '!K236</f>
        <v>1882841042.2231548</v>
      </c>
      <c r="D21" s="37">
        <f t="shared" si="1"/>
        <v>-12356190.310310364</v>
      </c>
      <c r="E21" s="275">
        <f>D21/B21</f>
        <v>-6.5197384727038853E-3</v>
      </c>
      <c r="F21" s="52">
        <f t="shared" si="5"/>
        <v>1.0334350313702656</v>
      </c>
      <c r="G21" s="60">
        <f t="shared" si="4"/>
        <v>1833881352</v>
      </c>
      <c r="H21" s="60"/>
      <c r="I21" s="60"/>
      <c r="J21" s="60"/>
      <c r="K21" s="39">
        <v>647280211</v>
      </c>
      <c r="L21" s="39">
        <v>240155523</v>
      </c>
      <c r="M21" s="39">
        <v>871254048</v>
      </c>
      <c r="N21" s="39">
        <v>56015269</v>
      </c>
      <c r="O21" s="39">
        <v>15857518</v>
      </c>
      <c r="P21" s="39">
        <v>3318783</v>
      </c>
      <c r="S21" s="24"/>
      <c r="T21" s="160"/>
      <c r="U21" s="34"/>
    </row>
    <row r="22" spans="1:21" x14ac:dyDescent="0.2">
      <c r="A22">
        <f>'Purchased Power Model '!A237</f>
        <v>2012</v>
      </c>
      <c r="B22" s="5">
        <f>+'Purchased Power Model '!E237</f>
        <v>1885738118.3156619</v>
      </c>
      <c r="C22" s="5">
        <f>+'Purchased Power Model '!K237</f>
        <v>1867918901.7622917</v>
      </c>
      <c r="D22" s="37">
        <f t="shared" si="1"/>
        <v>-17819216.553370237</v>
      </c>
      <c r="E22" s="275">
        <f t="shared" si="2"/>
        <v>-9.4494651088064818E-3</v>
      </c>
      <c r="F22" s="52">
        <f t="shared" si="5"/>
        <v>1.0331486403016186</v>
      </c>
      <c r="G22" s="60">
        <f t="shared" si="4"/>
        <v>1825234090</v>
      </c>
      <c r="H22" s="60"/>
      <c r="I22" s="60"/>
      <c r="J22" s="60"/>
      <c r="K22" s="39">
        <v>644467300</v>
      </c>
      <c r="L22" s="39">
        <v>240981970</v>
      </c>
      <c r="M22" s="39">
        <v>850788483</v>
      </c>
      <c r="N22" s="39">
        <v>69356376</v>
      </c>
      <c r="O22" s="39">
        <v>15943501</v>
      </c>
      <c r="P22" s="39">
        <v>3696460</v>
      </c>
      <c r="S22" s="24"/>
      <c r="T22" s="160"/>
      <c r="U22" s="34"/>
    </row>
    <row r="23" spans="1:21" x14ac:dyDescent="0.2">
      <c r="A23">
        <f>'Purchased Power Model '!A238</f>
        <v>2013</v>
      </c>
      <c r="B23" s="5"/>
      <c r="C23" s="5">
        <f>+'Purchased Power Model '!K238</f>
        <v>1906599024.8943377</v>
      </c>
      <c r="D23" s="37"/>
      <c r="E23" s="4"/>
      <c r="F23" s="52"/>
      <c r="G23" s="20">
        <f>C23/$F$27</f>
        <v>1843012763.1098588</v>
      </c>
      <c r="H23" s="487"/>
      <c r="I23" s="487"/>
      <c r="J23" s="487"/>
      <c r="K23" s="26"/>
      <c r="L23" s="26"/>
      <c r="M23" s="26"/>
      <c r="N23" s="26"/>
      <c r="O23" s="26"/>
      <c r="P23" s="26"/>
    </row>
    <row r="24" spans="1:21" x14ac:dyDescent="0.2">
      <c r="A24">
        <f>'Purchased Power Model '!A239</f>
        <v>2014</v>
      </c>
      <c r="B24" s="5"/>
      <c r="C24" s="5">
        <f>+'Purchased Power Model '!K239</f>
        <v>1929106110.4708109</v>
      </c>
      <c r="D24" s="37"/>
      <c r="G24" s="20">
        <f>C24/$F$27</f>
        <v>1864769223.4018412</v>
      </c>
      <c r="H24" s="487"/>
      <c r="I24" s="487"/>
      <c r="J24" s="487"/>
    </row>
    <row r="25" spans="1:21" x14ac:dyDescent="0.2">
      <c r="B25" s="5"/>
      <c r="C25" s="5"/>
      <c r="G25" s="26"/>
      <c r="H25" s="487"/>
      <c r="I25" s="487"/>
      <c r="J25" s="487"/>
    </row>
    <row r="27" spans="1:21" x14ac:dyDescent="0.2">
      <c r="A27" s="18" t="s">
        <v>12</v>
      </c>
      <c r="F27" s="52">
        <f>AVERAGE(F7:F23)</f>
        <v>1.0345012595990843</v>
      </c>
    </row>
    <row r="28" spans="1:21" x14ac:dyDescent="0.2">
      <c r="E28"/>
      <c r="F28"/>
      <c r="G28"/>
      <c r="H28"/>
      <c r="I28"/>
      <c r="J28"/>
    </row>
    <row r="29" spans="1:21" x14ac:dyDescent="0.2">
      <c r="J29"/>
    </row>
    <row r="30" spans="1:21" x14ac:dyDescent="0.2">
      <c r="B30" s="9"/>
      <c r="J30" s="21" t="s">
        <v>14</v>
      </c>
      <c r="K30" s="26"/>
      <c r="L30" s="26"/>
      <c r="M30" s="26"/>
      <c r="N30" s="26"/>
      <c r="O30" s="26"/>
    </row>
    <row r="31" spans="1:21" x14ac:dyDescent="0.2">
      <c r="J31"/>
      <c r="K31" s="26"/>
      <c r="L31" s="26"/>
      <c r="M31" s="26"/>
      <c r="N31" s="26"/>
      <c r="O31" s="26"/>
    </row>
    <row r="32" spans="1:21" x14ac:dyDescent="0.2">
      <c r="F32" s="5"/>
      <c r="J32">
        <f t="shared" ref="J32:J49" si="6">A7</f>
        <v>1997</v>
      </c>
      <c r="K32" s="26"/>
      <c r="L32" s="26"/>
      <c r="M32" s="26"/>
      <c r="N32" s="26"/>
      <c r="O32" s="26"/>
      <c r="P32" s="26"/>
    </row>
    <row r="33" spans="4:17" x14ac:dyDescent="0.2">
      <c r="F33" s="5"/>
      <c r="J33">
        <f t="shared" si="6"/>
        <v>1998</v>
      </c>
      <c r="K33" s="26"/>
      <c r="L33" s="26"/>
      <c r="M33" s="26"/>
      <c r="N33" s="26"/>
      <c r="O33" s="26"/>
      <c r="P33" s="26"/>
    </row>
    <row r="34" spans="4:17" x14ac:dyDescent="0.2">
      <c r="J34">
        <f t="shared" si="6"/>
        <v>1999</v>
      </c>
      <c r="K34" s="26"/>
      <c r="L34" s="26"/>
      <c r="M34" s="26"/>
      <c r="N34" s="26"/>
      <c r="O34" s="26"/>
      <c r="P34" s="26"/>
    </row>
    <row r="35" spans="4:17" x14ac:dyDescent="0.2">
      <c r="J35">
        <f t="shared" si="6"/>
        <v>2000</v>
      </c>
      <c r="K35" s="26">
        <f>K10/'Rate Class Customer Model'!B6</f>
        <v>8814.4659454876601</v>
      </c>
      <c r="L35" s="26">
        <f>L10/'Rate Class Customer Model'!C6</f>
        <v>33004.454218081853</v>
      </c>
      <c r="M35" s="26">
        <f>M10/'Rate Class Customer Model'!D6</f>
        <v>815112.49273959338</v>
      </c>
      <c r="N35" s="26">
        <f>N10/'Rate Class Customer Model'!E6</f>
        <v>62695621.666666664</v>
      </c>
      <c r="O35" s="26">
        <f>O10/'Rate Class Customer Model'!F6</f>
        <v>10208.938627588232</v>
      </c>
      <c r="P35" s="26">
        <f>P10/'Rate Class Customer Model'!G6</f>
        <v>5880.6303733333334</v>
      </c>
    </row>
    <row r="36" spans="4:17" x14ac:dyDescent="0.2">
      <c r="J36">
        <f t="shared" si="6"/>
        <v>2001</v>
      </c>
      <c r="K36" s="26">
        <f>K11/'Rate Class Customer Model'!B7</f>
        <v>8413.6553419202282</v>
      </c>
      <c r="L36" s="26">
        <f>L11/'Rate Class Customer Model'!C7</f>
        <v>29601.438045066992</v>
      </c>
      <c r="M36" s="26">
        <f>M11/'Rate Class Customer Model'!D7</f>
        <v>852902.01062801934</v>
      </c>
      <c r="N36" s="26">
        <f>N11/'Rate Class Customer Model'!E7</f>
        <v>57268001.25</v>
      </c>
      <c r="O36" s="26">
        <f>O11/'Rate Class Customer Model'!F7</f>
        <v>10132.923910879041</v>
      </c>
      <c r="P36" s="26">
        <f>P11/'Rate Class Customer Model'!G7</f>
        <v>5290.4012266666668</v>
      </c>
    </row>
    <row r="37" spans="4:17" x14ac:dyDescent="0.2">
      <c r="J37">
        <f t="shared" si="6"/>
        <v>2002</v>
      </c>
      <c r="K37" s="26">
        <f>K12/'Rate Class Customer Model'!B8</f>
        <v>9275.8476318073172</v>
      </c>
      <c r="L37" s="26">
        <f>L12/'Rate Class Customer Model'!C8</f>
        <v>33393.802995889782</v>
      </c>
      <c r="M37" s="26">
        <f>M12/'Rate Class Customer Model'!D8</f>
        <v>808692.80149812729</v>
      </c>
      <c r="N37" s="26">
        <f>N12/'Rate Class Customer Model'!E8</f>
        <v>64339798.5</v>
      </c>
      <c r="O37" s="26">
        <f>O12/'Rate Class Customer Model'!F8</f>
        <v>8956.4452678474408</v>
      </c>
      <c r="P37" s="26">
        <f>P12/'Rate Class Customer Model'!G8</f>
        <v>5852.0446013071896</v>
      </c>
      <c r="Q37" s="26"/>
    </row>
    <row r="38" spans="4:17" x14ac:dyDescent="0.2">
      <c r="D38" s="5"/>
      <c r="J38">
        <f t="shared" si="6"/>
        <v>2003</v>
      </c>
      <c r="K38" s="26">
        <f>K13/'Rate Class Customer Model'!B9</f>
        <v>9036.5820486620159</v>
      </c>
      <c r="L38" s="26">
        <f>L13/'Rate Class Customer Model'!C9</f>
        <v>33640.76000895122</v>
      </c>
      <c r="M38" s="26">
        <f>M13/'Rate Class Customer Model'!D9</f>
        <v>833019.04734299518</v>
      </c>
      <c r="N38" s="26">
        <f>N13/'Rate Class Customer Model'!E9</f>
        <v>63268131.75</v>
      </c>
      <c r="O38" s="26">
        <f>O13/'Rate Class Customer Model'!F9</f>
        <v>10552.725266903915</v>
      </c>
      <c r="P38" s="26">
        <f>P13/'Rate Class Customer Model'!G9</f>
        <v>6015.5799477124183</v>
      </c>
      <c r="Q38" s="26"/>
    </row>
    <row r="39" spans="4:17" x14ac:dyDescent="0.2">
      <c r="J39">
        <f t="shared" si="6"/>
        <v>2004</v>
      </c>
      <c r="K39" s="26">
        <f>K14/'Rate Class Customer Model'!B10</f>
        <v>8549.5855629997841</v>
      </c>
      <c r="L39" s="26">
        <f>L14/'Rate Class Customer Model'!C10</f>
        <v>32039.489958920189</v>
      </c>
      <c r="M39" s="26">
        <f>M14/'Rate Class Customer Model'!D10</f>
        <v>833183.23913043481</v>
      </c>
      <c r="N39" s="26">
        <f>N14/'Rate Class Customer Model'!E10</f>
        <v>58684490.75</v>
      </c>
      <c r="O39" s="26">
        <f>O14/'Rate Class Customer Model'!F10</f>
        <v>10030.837675350702</v>
      </c>
      <c r="P39" s="26">
        <f>P14/'Rate Class Customer Model'!G10</f>
        <v>5421.8472506082726</v>
      </c>
      <c r="Q39" s="26"/>
    </row>
    <row r="40" spans="4:17" x14ac:dyDescent="0.2">
      <c r="J40">
        <f t="shared" si="6"/>
        <v>2005</v>
      </c>
      <c r="K40" s="26">
        <f>K15/'Rate Class Customer Model'!B11</f>
        <v>8958.9486221849202</v>
      </c>
      <c r="L40" s="26">
        <f>L15/'Rate Class Customer Model'!C11</f>
        <v>33198.624251012145</v>
      </c>
      <c r="M40" s="26">
        <f>M15/'Rate Class Customer Model'!D11</f>
        <v>853252.41597028787</v>
      </c>
      <c r="N40" s="26">
        <f>N15/'Rate Class Customer Model'!E11</f>
        <v>58014601</v>
      </c>
      <c r="O40" s="26">
        <f>O15/'Rate Class Customer Model'!F11</f>
        <v>9952.9281476598553</v>
      </c>
      <c r="P40" s="26">
        <f>P15/'Rate Class Customer Model'!G11</f>
        <v>5806.3800247831468</v>
      </c>
      <c r="Q40" s="26"/>
    </row>
    <row r="41" spans="4:17" x14ac:dyDescent="0.2">
      <c r="J41">
        <f t="shared" si="6"/>
        <v>2006</v>
      </c>
      <c r="K41" s="26">
        <f>K16/'Rate Class Customer Model'!B12</f>
        <v>8566.3567370241271</v>
      </c>
      <c r="L41" s="26">
        <f>L16/'Rate Class Customer Model'!C12</f>
        <v>32788.765640516387</v>
      </c>
      <c r="M41" s="26">
        <f>M16/'Rate Class Customer Model'!D12</f>
        <v>842714.21057786478</v>
      </c>
      <c r="N41" s="26">
        <f>N16/'Rate Class Customer Model'!E12</f>
        <v>45493949.75</v>
      </c>
      <c r="O41" s="26">
        <f>O16/'Rate Class Customer Model'!F12</f>
        <v>9974.3783431180691</v>
      </c>
      <c r="P41" s="26">
        <f>P16/'Rate Class Customer Model'!G12</f>
        <v>5865.0842627013635</v>
      </c>
      <c r="Q41" s="26"/>
    </row>
    <row r="42" spans="4:17" x14ac:dyDescent="0.2">
      <c r="J42">
        <f t="shared" si="6"/>
        <v>2007</v>
      </c>
      <c r="K42" s="26">
        <f>K17/'Rate Class Customer Model'!B13</f>
        <v>8596.5004167114748</v>
      </c>
      <c r="L42" s="26">
        <f>L17/'Rate Class Customer Model'!C13</f>
        <v>32465.357738260627</v>
      </c>
      <c r="M42" s="26">
        <f>M17/'Rate Class Customer Model'!D13</f>
        <v>862481.7970149254</v>
      </c>
      <c r="N42" s="26">
        <f>N17/'Rate Class Customer Model'!E13</f>
        <v>39420194.25</v>
      </c>
      <c r="O42" s="26">
        <f>O17/'Rate Class Customer Model'!F13</f>
        <v>10204.524622455679</v>
      </c>
      <c r="P42" s="26">
        <f>P17/'Rate Class Customer Model'!G12</f>
        <v>6167.7546468401488</v>
      </c>
      <c r="Q42" s="26"/>
    </row>
    <row r="43" spans="4:17" x14ac:dyDescent="0.2">
      <c r="J43">
        <f t="shared" si="6"/>
        <v>2008</v>
      </c>
      <c r="K43" s="26">
        <f>K18/'Rate Class Customer Model'!B14</f>
        <v>8491.4811087480575</v>
      </c>
      <c r="L43" s="26">
        <f>L18/'Rate Class Customer Model'!C14</f>
        <v>32135.830417875863</v>
      </c>
      <c r="M43" s="26">
        <f>M18/'Rate Class Customer Model'!D14</f>
        <v>826307.69334428932</v>
      </c>
      <c r="N43" s="26">
        <f>N18/'Rate Class Customer Model'!E14</f>
        <v>36732194.25</v>
      </c>
      <c r="O43" s="26">
        <f>O18/'Rate Class Customer Model'!F14</f>
        <v>11524.05275311542</v>
      </c>
      <c r="P43" s="26">
        <f>P18/'Rate Class Customer Model'!G13</f>
        <v>4019.2933985330073</v>
      </c>
      <c r="Q43" s="26"/>
    </row>
    <row r="44" spans="4:17" x14ac:dyDescent="0.2">
      <c r="J44">
        <f t="shared" si="6"/>
        <v>2009</v>
      </c>
      <c r="K44" s="26">
        <f>K19/'Rate Class Customer Model'!B15</f>
        <v>8220.6849896509739</v>
      </c>
      <c r="L44" s="26">
        <f>L19/'Rate Class Customer Model'!C15</f>
        <v>31283.907466871693</v>
      </c>
      <c r="M44" s="26">
        <f>M19/'Rate Class Customer Model'!D15</f>
        <v>816903.56049423665</v>
      </c>
      <c r="N44" s="26">
        <f>N19/'Rate Class Customer Model'!E15</f>
        <v>26607461.666666668</v>
      </c>
      <c r="O44" s="26">
        <f>O19/'Rate Class Customer Model'!F15</f>
        <v>10264.934880722114</v>
      </c>
      <c r="P44" s="26">
        <f>P19/'Rate Class Customer Model'!G14</f>
        <v>4018.7817073170731</v>
      </c>
      <c r="Q44" s="26"/>
    </row>
    <row r="45" spans="4:17" x14ac:dyDescent="0.2">
      <c r="J45">
        <f t="shared" si="6"/>
        <v>2010</v>
      </c>
      <c r="K45" s="26">
        <f>K20/'Rate Class Customer Model'!B16</f>
        <v>8394.8683530612179</v>
      </c>
      <c r="L45" s="26">
        <f>L20/'Rate Class Customer Model'!C16</f>
        <v>31701.012050888992</v>
      </c>
      <c r="M45" s="26">
        <f>M20/'Rate Class Customer Model'!D16</f>
        <v>886712.54470380046</v>
      </c>
      <c r="N45" s="26">
        <f>N20/'Rate Class Customer Model'!E16</f>
        <v>34922719.5</v>
      </c>
      <c r="O45" s="26">
        <f>O20/'Rate Class Customer Model'!F16</f>
        <v>10185.89957698752</v>
      </c>
      <c r="P45" s="26">
        <f>P20/'Rate Class Customer Model'!G15</f>
        <v>4001.2717258261932</v>
      </c>
      <c r="Q45" s="26"/>
    </row>
    <row r="46" spans="4:17" x14ac:dyDescent="0.2">
      <c r="J46">
        <f t="shared" si="6"/>
        <v>2011</v>
      </c>
      <c r="K46" s="26">
        <f>K21/'Rate Class Customer Model'!B17</f>
        <v>8218.2833001104609</v>
      </c>
      <c r="L46" s="26">
        <f>L21/'Rate Class Customer Model'!C17</f>
        <v>31859.315866277528</v>
      </c>
      <c r="M46" s="26">
        <f>M21/'Rate Class Customer Model'!D17</f>
        <v>893593.8953846154</v>
      </c>
      <c r="N46" s="26">
        <f>N21/'Rate Class Customer Model'!E17</f>
        <v>28007634.5</v>
      </c>
      <c r="O46" s="26">
        <f>O21/'Rate Class Customer Model'!F17</f>
        <v>10115.363385073357</v>
      </c>
      <c r="P46" s="26">
        <f>P21/'Rate Class Customer Model'!G16</f>
        <v>4092.2108508014799</v>
      </c>
      <c r="Q46" s="26"/>
    </row>
    <row r="47" spans="4:17" x14ac:dyDescent="0.2">
      <c r="J47">
        <f t="shared" si="6"/>
        <v>2012</v>
      </c>
      <c r="K47" s="26">
        <f>K22/'Rate Class Customer Model'!B18</f>
        <v>8056.143355375827</v>
      </c>
      <c r="L47" s="26">
        <f>L22/'Rate Class Customer Model'!C18</f>
        <v>31520.139082664809</v>
      </c>
      <c r="M47" s="26">
        <f>M22/'Rate Class Customer Model'!D18</f>
        <v>893372.57577878889</v>
      </c>
      <c r="N47" s="26">
        <f>N22/'Rate Class Customer Model'!E18</f>
        <v>34678188</v>
      </c>
      <c r="O47" s="26">
        <f>O22/'Rate Class Customer Model'!F18</f>
        <v>10132.99564740096</v>
      </c>
      <c r="P47" s="26">
        <f>P22/'Rate Class Customer Model'!G17</f>
        <v>4395.3151010701549</v>
      </c>
      <c r="Q47" s="26"/>
    </row>
    <row r="48" spans="4:17" x14ac:dyDescent="0.2">
      <c r="J48">
        <f t="shared" si="6"/>
        <v>2013</v>
      </c>
      <c r="K48" s="20">
        <f t="shared" ref="K48:P48" si="7">K47*K68</f>
        <v>7995.9754273820736</v>
      </c>
      <c r="L48" s="20">
        <f t="shared" si="7"/>
        <v>31399.501696105202</v>
      </c>
      <c r="M48" s="20">
        <f t="shared" si="7"/>
        <v>900223.90016592527</v>
      </c>
      <c r="N48" s="20">
        <f t="shared" si="7"/>
        <v>33008414.327518649</v>
      </c>
      <c r="O48" s="20">
        <f t="shared" si="7"/>
        <v>10133.002168928135</v>
      </c>
      <c r="P48" s="20">
        <f t="shared" si="7"/>
        <v>4107.3584019596638</v>
      </c>
      <c r="Q48" s="26"/>
    </row>
    <row r="49" spans="4:26" x14ac:dyDescent="0.2">
      <c r="J49">
        <f t="shared" si="6"/>
        <v>2014</v>
      </c>
      <c r="K49" s="20">
        <f t="shared" ref="K49:P49" si="8">K48*K68</f>
        <v>7936.2568681990979</v>
      </c>
      <c r="L49" s="20">
        <f t="shared" si="8"/>
        <v>31279.326026386305</v>
      </c>
      <c r="M49" s="20">
        <f t="shared" si="8"/>
        <v>907127.76774403302</v>
      </c>
      <c r="N49" s="20">
        <f t="shared" si="8"/>
        <v>31419041.168389145</v>
      </c>
      <c r="O49" s="20">
        <f t="shared" si="8"/>
        <v>10133.008690459508</v>
      </c>
      <c r="P49" s="20">
        <f t="shared" si="8"/>
        <v>3838.2670307394123</v>
      </c>
      <c r="Q49" s="26"/>
    </row>
    <row r="50" spans="4:26" x14ac:dyDescent="0.2">
      <c r="J50"/>
    </row>
    <row r="51" spans="4:26" x14ac:dyDescent="0.2">
      <c r="J51" s="38">
        <v>1997</v>
      </c>
      <c r="K51" s="24"/>
      <c r="L51" s="24"/>
      <c r="M51" s="24"/>
      <c r="N51" s="24"/>
      <c r="O51" s="24"/>
    </row>
    <row r="52" spans="4:26" x14ac:dyDescent="0.2">
      <c r="J52" s="38">
        <v>1998</v>
      </c>
      <c r="K52" s="24"/>
      <c r="L52" s="24"/>
      <c r="M52" s="24"/>
      <c r="N52" s="24"/>
      <c r="O52" s="24"/>
    </row>
    <row r="53" spans="4:26" x14ac:dyDescent="0.2">
      <c r="D53" s="5"/>
      <c r="J53" s="38">
        <v>1999</v>
      </c>
      <c r="K53" s="24"/>
      <c r="L53" s="24"/>
      <c r="M53" s="24"/>
      <c r="N53" s="24"/>
      <c r="O53" s="24"/>
    </row>
    <row r="54" spans="4:26" x14ac:dyDescent="0.2">
      <c r="D54" s="5"/>
      <c r="J54" s="38">
        <v>2000</v>
      </c>
    </row>
    <row r="55" spans="4:26" x14ac:dyDescent="0.2">
      <c r="D55" s="5"/>
      <c r="J55" s="38">
        <v>2001</v>
      </c>
      <c r="K55" s="24">
        <f t="shared" ref="K55:P66" si="9">K36/K35</f>
        <v>0.95452808984160675</v>
      </c>
      <c r="L55" s="24">
        <f t="shared" si="9"/>
        <v>0.89689221489533122</v>
      </c>
      <c r="M55" s="24">
        <f t="shared" si="9"/>
        <v>1.0463611074851955</v>
      </c>
      <c r="N55" s="24">
        <f t="shared" si="9"/>
        <v>0.91342903583405466</v>
      </c>
      <c r="O55" s="24">
        <f t="shared" si="9"/>
        <v>0.99255410190205551</v>
      </c>
      <c r="P55" s="24">
        <f t="shared" si="9"/>
        <v>0.89963165354803531</v>
      </c>
      <c r="R55" s="71"/>
      <c r="S55" s="71"/>
      <c r="T55" s="71"/>
      <c r="U55" s="71"/>
      <c r="V55" s="71"/>
      <c r="W55" s="71"/>
      <c r="X55" s="71"/>
      <c r="Y55" s="71"/>
      <c r="Z55" s="71"/>
    </row>
    <row r="56" spans="4:26" x14ac:dyDescent="0.2">
      <c r="D56" s="5"/>
      <c r="J56" s="38">
        <v>2002</v>
      </c>
      <c r="K56" s="24">
        <f t="shared" si="9"/>
        <v>1.1024753516573587</v>
      </c>
      <c r="L56" s="24">
        <f t="shared" si="9"/>
        <v>1.1281142134057496</v>
      </c>
      <c r="M56" s="24">
        <f t="shared" si="9"/>
        <v>0.94816613329667332</v>
      </c>
      <c r="N56" s="24">
        <f t="shared" si="9"/>
        <v>1.1234860148013286</v>
      </c>
      <c r="O56" s="24">
        <f t="shared" si="9"/>
        <v>0.88389544287720412</v>
      </c>
      <c r="P56" s="24">
        <f t="shared" si="9"/>
        <v>1.1061627182092573</v>
      </c>
      <c r="R56" s="71"/>
      <c r="S56" s="71"/>
      <c r="T56" s="71"/>
      <c r="U56" s="71"/>
      <c r="V56" s="71"/>
      <c r="W56" s="71"/>
      <c r="X56" s="71"/>
      <c r="Y56" s="71"/>
      <c r="Z56" s="71"/>
    </row>
    <row r="57" spans="4:26" x14ac:dyDescent="0.2">
      <c r="D57" s="5"/>
      <c r="J57" s="38">
        <v>2003</v>
      </c>
      <c r="K57" s="24">
        <f t="shared" si="9"/>
        <v>0.97420552895620571</v>
      </c>
      <c r="L57" s="24">
        <f t="shared" si="9"/>
        <v>1.0073952946626605</v>
      </c>
      <c r="M57" s="24">
        <f t="shared" si="9"/>
        <v>1.0300809476723458</v>
      </c>
      <c r="N57" s="24">
        <f t="shared" si="9"/>
        <v>0.98334364149430775</v>
      </c>
      <c r="O57" s="24">
        <f t="shared" si="9"/>
        <v>1.1782269584995877</v>
      </c>
      <c r="P57" s="24">
        <f t="shared" si="9"/>
        <v>1.0279449931684901</v>
      </c>
      <c r="Q57" s="24"/>
      <c r="R57" s="71"/>
      <c r="S57" s="71"/>
      <c r="T57" s="71"/>
      <c r="U57" s="71"/>
      <c r="V57" s="71"/>
      <c r="W57" s="71"/>
      <c r="X57" s="71"/>
      <c r="Y57" s="71"/>
      <c r="Z57" s="71"/>
    </row>
    <row r="58" spans="4:26" x14ac:dyDescent="0.2">
      <c r="D58" s="5"/>
      <c r="J58" s="38">
        <v>2004</v>
      </c>
      <c r="K58" s="24">
        <f t="shared" si="9"/>
        <v>0.94610833133149741</v>
      </c>
      <c r="L58" s="24">
        <f t="shared" si="9"/>
        <v>0.95240089553253371</v>
      </c>
      <c r="M58" s="24">
        <f t="shared" si="9"/>
        <v>1.0001971044815401</v>
      </c>
      <c r="N58" s="24">
        <f t="shared" si="9"/>
        <v>0.9275521360720439</v>
      </c>
      <c r="O58" s="24">
        <f t="shared" si="9"/>
        <v>0.95054475707900887</v>
      </c>
      <c r="P58" s="24">
        <f t="shared" si="9"/>
        <v>0.90130083844535591</v>
      </c>
      <c r="Q58" s="24"/>
      <c r="R58" s="71"/>
      <c r="S58" s="71"/>
      <c r="T58" s="71"/>
      <c r="U58" s="71"/>
      <c r="V58" s="71"/>
      <c r="W58" s="71"/>
      <c r="X58" s="71"/>
      <c r="Y58" s="71"/>
      <c r="Z58" s="71"/>
    </row>
    <row r="59" spans="4:26" x14ac:dyDescent="0.2">
      <c r="D59" s="5"/>
      <c r="J59" s="38">
        <v>2005</v>
      </c>
      <c r="K59" s="24">
        <f t="shared" si="9"/>
        <v>1.0478810412702044</v>
      </c>
      <c r="L59" s="24">
        <f t="shared" si="9"/>
        <v>1.0361783003904916</v>
      </c>
      <c r="M59" s="24">
        <f t="shared" si="9"/>
        <v>1.0240873506538593</v>
      </c>
      <c r="N59" s="24">
        <f t="shared" si="9"/>
        <v>0.98858489284922357</v>
      </c>
      <c r="O59" s="24">
        <f t="shared" si="9"/>
        <v>0.99223299885688532</v>
      </c>
      <c r="P59" s="24">
        <f t="shared" si="9"/>
        <v>1.0709228343037023</v>
      </c>
      <c r="Q59" s="24"/>
      <c r="R59" s="71"/>
      <c r="S59" s="71"/>
      <c r="T59" s="71"/>
      <c r="U59" s="71"/>
      <c r="V59" s="71"/>
      <c r="W59" s="71"/>
      <c r="X59" s="71"/>
      <c r="Y59" s="71"/>
      <c r="Z59" s="71"/>
    </row>
    <row r="60" spans="4:26" x14ac:dyDescent="0.2">
      <c r="D60" s="5"/>
      <c r="J60" s="38">
        <v>2006</v>
      </c>
      <c r="K60" s="24">
        <f t="shared" si="9"/>
        <v>0.95617879935279204</v>
      </c>
      <c r="L60" s="24">
        <f t="shared" si="9"/>
        <v>0.98765434954783515</v>
      </c>
      <c r="M60" s="24">
        <f t="shared" si="9"/>
        <v>0.98764936940677817</v>
      </c>
      <c r="N60" s="24">
        <f t="shared" si="9"/>
        <v>0.78418103315060295</v>
      </c>
      <c r="O60" s="24">
        <f t="shared" si="9"/>
        <v>1.0021551643034072</v>
      </c>
      <c r="P60" s="24">
        <f t="shared" si="9"/>
        <v>1.0101102989586717</v>
      </c>
      <c r="Q60" s="24"/>
      <c r="R60" s="71"/>
      <c r="S60" s="71"/>
      <c r="T60" s="71"/>
      <c r="U60" s="71"/>
      <c r="V60" s="71"/>
      <c r="W60" s="71"/>
      <c r="X60" s="71"/>
      <c r="Y60" s="71"/>
      <c r="Z60" s="71"/>
    </row>
    <row r="61" spans="4:26" x14ac:dyDescent="0.2">
      <c r="D61" s="5"/>
      <c r="J61" s="38">
        <v>2007</v>
      </c>
      <c r="K61" s="24">
        <f t="shared" si="9"/>
        <v>1.0035188447799595</v>
      </c>
      <c r="L61" s="24">
        <f t="shared" si="9"/>
        <v>0.99013662466585406</v>
      </c>
      <c r="M61" s="24">
        <f t="shared" si="9"/>
        <v>1.0234570465158119</v>
      </c>
      <c r="N61" s="24">
        <f t="shared" si="9"/>
        <v>0.86649311538398577</v>
      </c>
      <c r="O61" s="24">
        <f t="shared" si="9"/>
        <v>1.0230737466958433</v>
      </c>
      <c r="P61" s="24">
        <f t="shared" si="9"/>
        <v>1.0516054621863831</v>
      </c>
      <c r="Q61" s="24"/>
      <c r="R61" s="71"/>
      <c r="S61" s="71"/>
      <c r="T61" s="71"/>
      <c r="U61" s="71"/>
      <c r="V61" s="71"/>
      <c r="W61" s="71"/>
      <c r="X61" s="71"/>
      <c r="Y61" s="71"/>
      <c r="Z61" s="71"/>
    </row>
    <row r="62" spans="4:26" x14ac:dyDescent="0.2">
      <c r="D62" s="5"/>
      <c r="J62" s="38">
        <v>2008</v>
      </c>
      <c r="K62" s="24">
        <f t="shared" si="9"/>
        <v>0.98778348131534299</v>
      </c>
      <c r="L62" s="24">
        <f t="shared" si="9"/>
        <v>0.98984987866015672</v>
      </c>
      <c r="M62" s="24">
        <f t="shared" si="9"/>
        <v>0.95805812505743804</v>
      </c>
      <c r="N62" s="24">
        <f t="shared" si="9"/>
        <v>0.93181159933020874</v>
      </c>
      <c r="O62" s="24">
        <f t="shared" si="9"/>
        <v>1.129308143150151</v>
      </c>
      <c r="P62" s="24">
        <f t="shared" si="9"/>
        <v>0.65166233559439068</v>
      </c>
      <c r="Q62" s="24"/>
      <c r="R62" s="71"/>
      <c r="S62" s="71"/>
      <c r="T62" s="71"/>
      <c r="U62" s="71"/>
      <c r="V62" s="71"/>
      <c r="W62" s="71"/>
      <c r="X62" s="71"/>
      <c r="Y62" s="71"/>
      <c r="Z62" s="71"/>
    </row>
    <row r="63" spans="4:26" x14ac:dyDescent="0.2">
      <c r="D63" s="5"/>
      <c r="J63" s="38">
        <v>2009</v>
      </c>
      <c r="K63" s="24">
        <f t="shared" si="9"/>
        <v>0.96810967184298324</v>
      </c>
      <c r="L63" s="24">
        <f t="shared" si="9"/>
        <v>0.97348993506854331</v>
      </c>
      <c r="M63" s="24">
        <f t="shared" si="9"/>
        <v>0.9886190907747795</v>
      </c>
      <c r="N63" s="24">
        <f t="shared" si="9"/>
        <v>0.7243635238770596</v>
      </c>
      <c r="O63" s="24">
        <f t="shared" si="9"/>
        <v>0.89074001140328729</v>
      </c>
      <c r="P63" s="24">
        <f t="shared" si="9"/>
        <v>0.99987269125062606</v>
      </c>
      <c r="Q63" s="24"/>
      <c r="R63" s="71"/>
      <c r="S63" s="71"/>
      <c r="T63" s="71"/>
      <c r="U63" s="71"/>
      <c r="V63" s="71"/>
      <c r="W63" s="71"/>
      <c r="X63" s="71"/>
      <c r="Y63" s="71"/>
      <c r="Z63" s="71"/>
    </row>
    <row r="64" spans="4:26" x14ac:dyDescent="0.2">
      <c r="D64" s="5"/>
      <c r="J64" s="38">
        <v>2010</v>
      </c>
      <c r="K64" s="24">
        <f t="shared" si="9"/>
        <v>1.0211884245205265</v>
      </c>
      <c r="L64" s="24">
        <f t="shared" si="9"/>
        <v>1.0133328799945784</v>
      </c>
      <c r="M64" s="24">
        <f t="shared" si="9"/>
        <v>1.0854556003738416</v>
      </c>
      <c r="N64" s="24">
        <f t="shared" si="9"/>
        <v>1.3125160128953801</v>
      </c>
      <c r="O64" s="24">
        <f t="shared" si="9"/>
        <v>0.99230045736743788</v>
      </c>
      <c r="P64" s="24">
        <f t="shared" si="9"/>
        <v>0.99564296277675413</v>
      </c>
      <c r="Q64" s="24"/>
      <c r="R64" s="71"/>
      <c r="S64" s="71"/>
      <c r="T64" s="71"/>
      <c r="U64" s="71"/>
      <c r="V64" s="71"/>
      <c r="W64" s="71"/>
      <c r="X64" s="71"/>
      <c r="Y64" s="71"/>
      <c r="Z64" s="71"/>
    </row>
    <row r="65" spans="1:26" x14ac:dyDescent="0.2">
      <c r="D65" s="5"/>
      <c r="J65" s="38">
        <v>2011</v>
      </c>
      <c r="K65" s="24">
        <f t="shared" si="9"/>
        <v>0.97896511946058518</v>
      </c>
      <c r="L65" s="24">
        <f t="shared" si="9"/>
        <v>1.0049936517841895</v>
      </c>
      <c r="M65" s="24">
        <f t="shared" si="9"/>
        <v>1.0077605202744859</v>
      </c>
      <c r="N65" s="24">
        <f t="shared" si="9"/>
        <v>0.80198893158936257</v>
      </c>
      <c r="O65" s="24">
        <f t="shared" si="9"/>
        <v>0.99307511414372063</v>
      </c>
      <c r="P65" s="24">
        <f t="shared" si="9"/>
        <v>1.0227275554390172</v>
      </c>
      <c r="Q65" s="24"/>
      <c r="R65" s="71"/>
      <c r="S65" s="71"/>
      <c r="T65" s="71"/>
      <c r="U65" s="71"/>
      <c r="V65" s="71"/>
      <c r="W65" s="71"/>
      <c r="X65" s="71"/>
      <c r="Y65" s="71"/>
      <c r="Z65" s="71"/>
    </row>
    <row r="66" spans="1:26" x14ac:dyDescent="0.2">
      <c r="B66" s="161"/>
      <c r="C66" s="161"/>
      <c r="D66" s="5"/>
      <c r="E66" s="161"/>
      <c r="F66" s="161"/>
      <c r="J66" s="38">
        <v>2012</v>
      </c>
      <c r="K66" s="24">
        <f t="shared" si="9"/>
        <v>0.9802708255710223</v>
      </c>
      <c r="L66" s="24">
        <f t="shared" si="9"/>
        <v>0.98935392131342881</v>
      </c>
      <c r="M66" s="24">
        <f t="shared" si="9"/>
        <v>0.99975232641251288</v>
      </c>
      <c r="N66" s="24">
        <f t="shared" si="9"/>
        <v>1.238169114210627</v>
      </c>
      <c r="O66" s="24">
        <f t="shared" si="9"/>
        <v>1.0017431170444773</v>
      </c>
      <c r="P66" s="24">
        <f t="shared" si="9"/>
        <v>1.0740685808526484</v>
      </c>
      <c r="Q66" s="24"/>
      <c r="R66" s="71"/>
      <c r="S66" s="71"/>
      <c r="T66" s="71"/>
      <c r="U66" s="71"/>
      <c r="V66" s="71"/>
      <c r="W66" s="71"/>
      <c r="X66" s="71"/>
      <c r="Y66" s="71"/>
      <c r="Z66" s="71"/>
    </row>
    <row r="67" spans="1:26" x14ac:dyDescent="0.2">
      <c r="A67" s="2"/>
      <c r="D67" s="5"/>
      <c r="E67" s="5"/>
      <c r="F67" s="5"/>
    </row>
    <row r="68" spans="1:26" x14ac:dyDescent="0.2">
      <c r="D68" s="5"/>
      <c r="H68"/>
      <c r="I68"/>
      <c r="J68"/>
      <c r="K68" s="207">
        <f t="shared" ref="K68:P68" si="10">K70</f>
        <v>0.99253142287325313</v>
      </c>
      <c r="L68" s="207">
        <f t="shared" si="10"/>
        <v>0.99617268863429753</v>
      </c>
      <c r="M68" s="207">
        <f t="shared" si="10"/>
        <v>1.0076690560835313</v>
      </c>
      <c r="N68" s="207">
        <f t="shared" si="10"/>
        <v>0.95184945440398006</v>
      </c>
      <c r="O68" s="207">
        <f t="shared" si="10"/>
        <v>1.0000006435932081</v>
      </c>
      <c r="P68" s="207">
        <f t="shared" si="10"/>
        <v>0.93448553915045129</v>
      </c>
      <c r="Q68" t="s">
        <v>16</v>
      </c>
    </row>
    <row r="69" spans="1:26" x14ac:dyDescent="0.2">
      <c r="A69" s="2"/>
      <c r="D69" s="5"/>
      <c r="K69" s="9"/>
      <c r="L69" s="9"/>
      <c r="O69" s="8"/>
      <c r="P69" s="8"/>
    </row>
    <row r="70" spans="1:26" x14ac:dyDescent="0.2">
      <c r="D70" s="5"/>
      <c r="H70"/>
      <c r="I70"/>
      <c r="J70"/>
      <c r="K70" s="24">
        <f>GEOMEAN(K55:K66)</f>
        <v>0.99253142287325313</v>
      </c>
      <c r="L70" s="24">
        <f>GEOMEAN(L55:L66)</f>
        <v>0.99617268863429753</v>
      </c>
      <c r="M70" s="24">
        <f>GEOMEAN(M55:M66)</f>
        <v>1.0076690560835313</v>
      </c>
      <c r="N70" s="24">
        <f>GEOMEAN(N55:N66)</f>
        <v>0.95184945440398006</v>
      </c>
      <c r="O70" s="24">
        <f>GEOMEAN(O56:O66)</f>
        <v>1.0000006435932081</v>
      </c>
      <c r="P70" s="24">
        <f>GEOMEAN(P62:P66)</f>
        <v>0.93448553915045129</v>
      </c>
      <c r="Q70" t="s">
        <v>13</v>
      </c>
      <c r="R70" s="71"/>
      <c r="S70" s="71"/>
      <c r="T70" s="71"/>
      <c r="U70" s="71"/>
      <c r="V70" s="71"/>
      <c r="W70" s="71"/>
      <c r="X70" s="71"/>
      <c r="Y70" s="71"/>
      <c r="Z70" s="71"/>
    </row>
    <row r="71" spans="1:26" x14ac:dyDescent="0.2">
      <c r="D71" s="5"/>
      <c r="K71" s="24"/>
      <c r="L71" s="24"/>
      <c r="M71" s="24"/>
      <c r="N71" s="24"/>
      <c r="O71" s="24"/>
      <c r="P71" s="24"/>
    </row>
    <row r="73" spans="1:26" x14ac:dyDescent="0.2">
      <c r="B73"/>
      <c r="C73"/>
      <c r="D73"/>
    </row>
    <row r="74" spans="1:26" x14ac:dyDescent="0.2">
      <c r="B74" s="161"/>
      <c r="C74" s="161"/>
      <c r="D74" s="161"/>
      <c r="E74" s="161"/>
    </row>
    <row r="78" spans="1:26" x14ac:dyDescent="0.2">
      <c r="B78" s="161"/>
      <c r="C78" s="161"/>
      <c r="D78" s="161"/>
      <c r="E78" s="161"/>
      <c r="H78" s="19"/>
      <c r="I78" s="19"/>
      <c r="J78" s="499" t="s">
        <v>22</v>
      </c>
      <c r="K78" s="499"/>
      <c r="L78" s="499"/>
      <c r="R78" s="253" t="s">
        <v>298</v>
      </c>
    </row>
    <row r="79" spans="1:26" x14ac:dyDescent="0.2">
      <c r="B79" s="161"/>
      <c r="C79" s="161"/>
      <c r="D79" s="161"/>
      <c r="E79" s="161"/>
      <c r="H79"/>
      <c r="I79"/>
      <c r="J79">
        <v>2013</v>
      </c>
      <c r="K79" s="37">
        <f>SUM(L79:Q79)</f>
        <v>1832190264.9910929</v>
      </c>
      <c r="L79" s="37">
        <f>K48*'Rate Class Customer Model'!B19</f>
        <v>649888511.00451231</v>
      </c>
      <c r="M79" s="37">
        <f>L48*'Rate Class Customer Model'!C19</f>
        <v>242937838.04586461</v>
      </c>
      <c r="N79" s="37">
        <f>M48*'Rate Class Customer Model'!D19</f>
        <v>853836164.52558029</v>
      </c>
      <c r="O79" s="37">
        <f>N48*'Rate Class Customer Model'!E19</f>
        <v>66016828.655037299</v>
      </c>
      <c r="P79" s="37">
        <f>O48*'Rate Class Customer Model'!F19</f>
        <v>15898680.403048243</v>
      </c>
      <c r="Q79" s="37">
        <f>P48*'Rate Class Customer Model'!G19</f>
        <v>3612242.357049867</v>
      </c>
      <c r="R79" s="37">
        <f>SUM(L79:Q79)</f>
        <v>1832190264.9910929</v>
      </c>
    </row>
    <row r="80" spans="1:26" x14ac:dyDescent="0.2">
      <c r="H80"/>
      <c r="I80"/>
      <c r="J80">
        <v>2014</v>
      </c>
      <c r="K80" s="37">
        <f>SUM(L80:Q80)</f>
        <v>1808504312.0802293</v>
      </c>
      <c r="L80" s="37">
        <f>K49*'Rate Class Customer Model'!B20</f>
        <v>655355324.83286905</v>
      </c>
      <c r="M80" s="37">
        <f>L49*'Rate Class Customer Model'!C20</f>
        <v>244909580.39059412</v>
      </c>
      <c r="N80" s="37">
        <f>M49*'Rate Class Customer Model'!D20</f>
        <v>856894763.4094311</v>
      </c>
      <c r="O80" s="37">
        <f>+'Rate Class Load Model'!C58</f>
        <v>31798990.292463161</v>
      </c>
      <c r="P80" s="37">
        <f>O49*'Rate Class Customer Model'!F20</f>
        <v>16128464.711878158</v>
      </c>
      <c r="Q80" s="37">
        <f>P49*'Rate Class Customer Model'!G20</f>
        <v>3417188.4429939534</v>
      </c>
      <c r="R80" s="37">
        <f>SUM(L80:Q80)</f>
        <v>1808504312.0802293</v>
      </c>
    </row>
    <row r="81" spans="2:21" x14ac:dyDescent="0.2">
      <c r="H81" s="486"/>
      <c r="I81" s="486"/>
      <c r="J81" s="1"/>
      <c r="K81" s="37"/>
      <c r="L81" s="37"/>
      <c r="M81" s="37"/>
      <c r="N81" s="37"/>
      <c r="O81" s="37"/>
      <c r="P81" s="37"/>
      <c r="Q81" s="37"/>
    </row>
    <row r="82" spans="2:21" x14ac:dyDescent="0.2">
      <c r="H82" s="462"/>
      <c r="I82" s="462"/>
      <c r="J82" s="499" t="s">
        <v>287</v>
      </c>
      <c r="K82" s="499"/>
      <c r="L82" s="499"/>
      <c r="M82" s="499"/>
      <c r="N82" s="499"/>
      <c r="O82" s="37"/>
      <c r="P82" s="37"/>
      <c r="R82" s="37" t="s">
        <v>299</v>
      </c>
    </row>
    <row r="83" spans="2:21" x14ac:dyDescent="0.2">
      <c r="B83" s="161"/>
      <c r="C83" s="161"/>
      <c r="D83" s="161"/>
      <c r="E83" s="161"/>
      <c r="H83"/>
      <c r="I83"/>
      <c r="J83">
        <v>2013</v>
      </c>
      <c r="K83" s="318">
        <f>G23</f>
        <v>1843012763.1098588</v>
      </c>
      <c r="L83" s="37">
        <f t="shared" ref="L83:P84" si="11">L79+L92</f>
        <v>654399323.61733568</v>
      </c>
      <c r="M83" s="37">
        <f t="shared" si="11"/>
        <v>244624045.82678923</v>
      </c>
      <c r="N83" s="37">
        <f t="shared" si="11"/>
        <v>858461642.25059819</v>
      </c>
      <c r="O83" s="37">
        <f t="shared" si="11"/>
        <v>66016828.655037299</v>
      </c>
      <c r="P83" s="37">
        <f t="shared" si="11"/>
        <v>15898680.403048243</v>
      </c>
      <c r="Q83" s="37">
        <f t="shared" ref="Q83:Q84" si="12">Q79+Q92+Q96</f>
        <v>3612242.357049867</v>
      </c>
      <c r="R83" s="476">
        <f>SUM(L83:Q83)</f>
        <v>1843012763.1098588</v>
      </c>
      <c r="S83" s="37">
        <f>R83-K83</f>
        <v>0</v>
      </c>
    </row>
    <row r="84" spans="2:21" ht="12" customHeight="1" x14ac:dyDescent="0.2">
      <c r="H84"/>
      <c r="I84"/>
      <c r="J84">
        <v>2014</v>
      </c>
      <c r="K84" s="318">
        <f>+G24-(O79-O80)</f>
        <v>1830551385.0392671</v>
      </c>
      <c r="L84" s="37">
        <f>L80+L93</f>
        <v>664563805.78768563</v>
      </c>
      <c r="M84" s="37">
        <f t="shared" si="11"/>
        <v>248350836.02890614</v>
      </c>
      <c r="N84" s="37">
        <f t="shared" si="11"/>
        <v>866292099.77534032</v>
      </c>
      <c r="O84" s="37">
        <f t="shared" si="11"/>
        <v>31798990.292463161</v>
      </c>
      <c r="P84" s="37">
        <f t="shared" si="11"/>
        <v>16128464.711878158</v>
      </c>
      <c r="Q84" s="37">
        <f t="shared" si="12"/>
        <v>3417188.4429939534</v>
      </c>
      <c r="R84" s="476">
        <f>SUM(L84:Q84)</f>
        <v>1830551385.0392671</v>
      </c>
      <c r="S84" s="37">
        <f>R84-K84</f>
        <v>0</v>
      </c>
    </row>
    <row r="85" spans="2:21" ht="13.5" thickBot="1" x14ac:dyDescent="0.25">
      <c r="H85" s="486"/>
      <c r="I85" s="486"/>
      <c r="J85" s="161"/>
      <c r="K85" s="244"/>
      <c r="L85" s="37"/>
      <c r="M85" s="37"/>
      <c r="N85" s="37"/>
      <c r="O85" s="37"/>
      <c r="P85" s="37"/>
      <c r="Q85" s="37"/>
      <c r="R85" s="37"/>
      <c r="S85" s="37"/>
    </row>
    <row r="86" spans="2:21" ht="13.5" thickBot="1" x14ac:dyDescent="0.25">
      <c r="B86"/>
      <c r="C86"/>
      <c r="D86"/>
      <c r="E86"/>
      <c r="H86" s="486"/>
      <c r="I86" s="486"/>
      <c r="J86" s="1"/>
      <c r="K86" s="37"/>
      <c r="L86" s="496" t="s">
        <v>151</v>
      </c>
      <c r="M86" s="497"/>
      <c r="N86" s="497"/>
      <c r="O86" s="497"/>
      <c r="P86" s="497"/>
      <c r="Q86" s="498"/>
      <c r="R86" s="37"/>
    </row>
    <row r="87" spans="2:21" x14ac:dyDescent="0.2">
      <c r="B87" s="161"/>
      <c r="C87" s="161"/>
      <c r="D87" s="161"/>
      <c r="E87" s="161"/>
      <c r="H87" s="51"/>
      <c r="I87" s="51"/>
      <c r="J87" s="51" t="s">
        <v>23</v>
      </c>
      <c r="K87" s="37"/>
      <c r="L87" s="53">
        <f>(100%+N87)/2</f>
        <v>0.82000000000000006</v>
      </c>
      <c r="M87" s="53">
        <f>L87</f>
        <v>0.82000000000000006</v>
      </c>
      <c r="N87" s="53">
        <v>0.64</v>
      </c>
      <c r="O87" s="53"/>
      <c r="P87" s="53"/>
      <c r="Q87" s="53"/>
      <c r="R87" s="37" t="s">
        <v>15</v>
      </c>
    </row>
    <row r="88" spans="2:21" x14ac:dyDescent="0.2">
      <c r="H88"/>
      <c r="I88"/>
      <c r="J88">
        <v>2013</v>
      </c>
      <c r="K88" s="475">
        <f>K83-K79</f>
        <v>10822498.118765831</v>
      </c>
      <c r="L88" s="476">
        <f t="shared" ref="L88:Q88" si="13">L79*L87</f>
        <v>532908579.02370012</v>
      </c>
      <c r="M88" s="476">
        <f t="shared" si="13"/>
        <v>199209027.19760901</v>
      </c>
      <c r="N88" s="476">
        <f t="shared" si="13"/>
        <v>546455145.29637134</v>
      </c>
      <c r="O88" s="476">
        <f t="shared" si="13"/>
        <v>0</v>
      </c>
      <c r="P88" s="476">
        <f t="shared" si="13"/>
        <v>0</v>
      </c>
      <c r="Q88" s="476">
        <f t="shared" si="13"/>
        <v>0</v>
      </c>
      <c r="R88" s="476">
        <f>SUM(L88:Q88)</f>
        <v>1278572751.5176806</v>
      </c>
    </row>
    <row r="89" spans="2:21" x14ac:dyDescent="0.2">
      <c r="H89"/>
      <c r="I89"/>
      <c r="J89">
        <v>2014</v>
      </c>
      <c r="K89" s="475">
        <f>K84-K80</f>
        <v>22047072.959037781</v>
      </c>
      <c r="L89" s="476">
        <f>L80*L87</f>
        <v>537391366.36295271</v>
      </c>
      <c r="M89" s="476">
        <f t="shared" ref="M89:Q89" si="14">M80*M87</f>
        <v>200825855.92028719</v>
      </c>
      <c r="N89" s="476">
        <f t="shared" si="14"/>
        <v>548412648.5820359</v>
      </c>
      <c r="O89" s="476">
        <f t="shared" si="14"/>
        <v>0</v>
      </c>
      <c r="P89" s="476">
        <f t="shared" si="14"/>
        <v>0</v>
      </c>
      <c r="Q89" s="476">
        <f t="shared" si="14"/>
        <v>0</v>
      </c>
      <c r="R89" s="476">
        <f>SUM(L89:Q89)</f>
        <v>1286629870.8652759</v>
      </c>
      <c r="U89"/>
    </row>
    <row r="90" spans="2:21" x14ac:dyDescent="0.2">
      <c r="E90" s="37"/>
      <c r="H90" s="486"/>
      <c r="I90" s="486"/>
      <c r="J90" s="1"/>
      <c r="K90" s="37"/>
      <c r="L90" s="476"/>
      <c r="M90" s="476"/>
      <c r="N90" s="476"/>
      <c r="O90" s="476"/>
      <c r="P90" s="476"/>
      <c r="Q90" s="477"/>
      <c r="R90" s="37"/>
      <c r="U90"/>
    </row>
    <row r="91" spans="2:21" x14ac:dyDescent="0.2">
      <c r="H91"/>
      <c r="I91"/>
      <c r="J91" s="493" t="s">
        <v>24</v>
      </c>
      <c r="K91" s="493"/>
      <c r="L91" s="493"/>
      <c r="M91" s="476"/>
      <c r="N91" s="476"/>
      <c r="O91" s="476"/>
      <c r="P91" s="476"/>
      <c r="Q91" s="477"/>
      <c r="R91" s="37"/>
      <c r="U91"/>
    </row>
    <row r="92" spans="2:21" x14ac:dyDescent="0.2">
      <c r="H92"/>
      <c r="I92"/>
      <c r="J92">
        <v>2013</v>
      </c>
      <c r="L92" s="476">
        <f t="shared" ref="L92:Q92" si="15">L88/$R$88*$K$88</f>
        <v>4510812.6128233168</v>
      </c>
      <c r="M92" s="476">
        <f t="shared" si="15"/>
        <v>1686207.7809246052</v>
      </c>
      <c r="N92" s="476">
        <f t="shared" si="15"/>
        <v>4625477.7250179071</v>
      </c>
      <c r="O92" s="476">
        <f t="shared" si="15"/>
        <v>0</v>
      </c>
      <c r="P92" s="476">
        <f t="shared" si="15"/>
        <v>0</v>
      </c>
      <c r="Q92" s="476">
        <f t="shared" si="15"/>
        <v>0</v>
      </c>
      <c r="R92" s="476">
        <f>SUM(L92:Q92)</f>
        <v>10822498.118765829</v>
      </c>
    </row>
    <row r="93" spans="2:21" x14ac:dyDescent="0.2">
      <c r="H93"/>
      <c r="I93"/>
      <c r="J93">
        <v>2014</v>
      </c>
      <c r="L93" s="476">
        <f t="shared" ref="L93:Q93" si="16">L89/$R$89*$K$89</f>
        <v>9208480.9548165891</v>
      </c>
      <c r="M93" s="476">
        <f t="shared" si="16"/>
        <v>3441255.6383120078</v>
      </c>
      <c r="N93" s="476">
        <f t="shared" si="16"/>
        <v>9397336.3659091834</v>
      </c>
      <c r="O93" s="476">
        <f t="shared" si="16"/>
        <v>0</v>
      </c>
      <c r="P93" s="476">
        <f t="shared" si="16"/>
        <v>0</v>
      </c>
      <c r="Q93" s="476">
        <f t="shared" si="16"/>
        <v>0</v>
      </c>
      <c r="R93" s="476">
        <f>SUM(L93:Q93)</f>
        <v>22047072.959037781</v>
      </c>
    </row>
    <row r="94" spans="2:21" ht="13.5" thickBot="1" x14ac:dyDescent="0.25">
      <c r="H94" s="486"/>
      <c r="I94" s="486"/>
      <c r="J94" s="1"/>
    </row>
    <row r="95" spans="2:21" ht="13.5" thickBot="1" x14ac:dyDescent="0.25">
      <c r="H95"/>
      <c r="I95"/>
      <c r="J95" t="s">
        <v>80</v>
      </c>
      <c r="L95" s="494" t="s">
        <v>304</v>
      </c>
      <c r="M95" s="495"/>
      <c r="N95" s="495"/>
      <c r="O95" s="495"/>
      <c r="P95" s="495"/>
      <c r="Q95" s="485"/>
    </row>
    <row r="96" spans="2:21" x14ac:dyDescent="0.2">
      <c r="H96"/>
      <c r="I96"/>
      <c r="J96">
        <v>2013</v>
      </c>
      <c r="K96" s="475">
        <f>-'CDM Activity'!C29</f>
        <v>-9237398.7678304315</v>
      </c>
      <c r="L96" s="478">
        <f>+K96*'CDM Forecast'!R34</f>
        <v>-1660694.1791093131</v>
      </c>
      <c r="M96" s="478">
        <f>+K96*'CDM Forecast'!S34</f>
        <v>-1627282.0038271837</v>
      </c>
      <c r="N96" s="478">
        <f>+K96*'CDM Forecast'!T34</f>
        <v>-5949422.5848939354</v>
      </c>
      <c r="O96" s="475">
        <v>0</v>
      </c>
      <c r="P96" s="475">
        <v>0</v>
      </c>
      <c r="Q96" s="475">
        <v>0</v>
      </c>
      <c r="R96" s="476">
        <f>SUM(L96:Q96)</f>
        <v>-9237398.7678304315</v>
      </c>
      <c r="S96" s="37"/>
    </row>
    <row r="97" spans="7:19" x14ac:dyDescent="0.2">
      <c r="H97"/>
      <c r="I97"/>
      <c r="J97">
        <v>2014</v>
      </c>
      <c r="K97" s="475">
        <f>-SUM('CDM Activity'!D29,'CDM Activity'!D30)</f>
        <v>-18474797.535660863</v>
      </c>
      <c r="L97" s="478">
        <f>+K97*'CDM Forecast'!R34</f>
        <v>-3321388.3582186261</v>
      </c>
      <c r="M97" s="478">
        <f>+K97*'CDM Forecast'!S34</f>
        <v>-3254564.0076543675</v>
      </c>
      <c r="N97" s="478">
        <f>+K97*'CDM Forecast'!T34</f>
        <v>-11898845.169787871</v>
      </c>
      <c r="O97" s="475">
        <v>0</v>
      </c>
      <c r="P97" s="475">
        <v>0</v>
      </c>
      <c r="Q97" s="475">
        <v>0</v>
      </c>
      <c r="R97" s="476">
        <f>SUM(L97:Q97)</f>
        <v>-18474797.535660863</v>
      </c>
      <c r="S97" s="37"/>
    </row>
    <row r="98" spans="7:19" x14ac:dyDescent="0.2">
      <c r="H98" s="486"/>
      <c r="I98" s="486"/>
      <c r="J98" s="1"/>
    </row>
    <row r="99" spans="7:19" x14ac:dyDescent="0.2">
      <c r="H99" s="462"/>
      <c r="I99" s="462"/>
      <c r="J99" s="19" t="s">
        <v>288</v>
      </c>
      <c r="K99" s="19"/>
      <c r="L99" s="19"/>
      <c r="M99" s="19"/>
      <c r="N99" s="37"/>
      <c r="O99" s="37"/>
      <c r="P99" s="37"/>
      <c r="R99" s="37" t="s">
        <v>300</v>
      </c>
    </row>
    <row r="100" spans="7:19" x14ac:dyDescent="0.2">
      <c r="H100"/>
      <c r="I100"/>
      <c r="J100">
        <v>2013</v>
      </c>
      <c r="K100" s="318">
        <f>+K83+K96</f>
        <v>1833775364.3420284</v>
      </c>
      <c r="L100" s="476">
        <f>+L83+L96</f>
        <v>652738629.43822634</v>
      </c>
      <c r="M100" s="476">
        <f t="shared" ref="M100:Q100" si="17">+M83+M96</f>
        <v>242996763.82296205</v>
      </c>
      <c r="N100" s="476">
        <f t="shared" si="17"/>
        <v>852512219.66570425</v>
      </c>
      <c r="O100" s="476">
        <f t="shared" si="17"/>
        <v>66016828.655037299</v>
      </c>
      <c r="P100" s="476">
        <f t="shared" si="17"/>
        <v>15898680.403048243</v>
      </c>
      <c r="Q100" s="476">
        <f t="shared" si="17"/>
        <v>3612242.357049867</v>
      </c>
      <c r="R100" s="476">
        <f>SUM(L100:Q100)</f>
        <v>1833775364.3420284</v>
      </c>
      <c r="S100" s="37">
        <f>R100-K100</f>
        <v>0</v>
      </c>
    </row>
    <row r="101" spans="7:19" x14ac:dyDescent="0.2">
      <c r="H101"/>
      <c r="I101"/>
      <c r="J101">
        <v>2014</v>
      </c>
      <c r="K101" s="318">
        <f>+K84+K97</f>
        <v>1812076587.5036063</v>
      </c>
      <c r="L101" s="476">
        <f>+L84+L97</f>
        <v>661242417.42946696</v>
      </c>
      <c r="M101" s="476">
        <f t="shared" ref="M101:Q101" si="18">+M84+M97</f>
        <v>245096272.02125177</v>
      </c>
      <c r="N101" s="476">
        <f t="shared" si="18"/>
        <v>854393254.60555243</v>
      </c>
      <c r="O101" s="476">
        <f t="shared" si="18"/>
        <v>31798990.292463161</v>
      </c>
      <c r="P101" s="476">
        <f t="shared" si="18"/>
        <v>16128464.711878158</v>
      </c>
      <c r="Q101" s="476">
        <f t="shared" si="18"/>
        <v>3417188.4429939534</v>
      </c>
      <c r="R101" s="476">
        <f>SUM(L101:Q101)</f>
        <v>1812076587.5036061</v>
      </c>
      <c r="S101" s="37">
        <f>R101-K101</f>
        <v>0</v>
      </c>
    </row>
    <row r="102" spans="7:19" x14ac:dyDescent="0.2">
      <c r="G102" s="1"/>
      <c r="H102" s="486"/>
      <c r="I102" s="486"/>
    </row>
    <row r="103" spans="7:19" x14ac:dyDescent="0.2">
      <c r="G103" s="1"/>
      <c r="H103" s="486"/>
      <c r="I103" s="486"/>
    </row>
    <row r="104" spans="7:19" x14ac:dyDescent="0.2">
      <c r="G104" s="1"/>
      <c r="H104" s="486"/>
      <c r="I104" s="486"/>
      <c r="L104" s="71">
        <f>(L83-L79)/L79</f>
        <v>6.9409022262159172E-3</v>
      </c>
      <c r="M104" s="71">
        <f t="shared" ref="M104:Q104" si="19">(M83-M79)/M79</f>
        <v>6.9409022262158946E-3</v>
      </c>
      <c r="N104" s="71">
        <f t="shared" si="19"/>
        <v>5.4172895424123594E-3</v>
      </c>
      <c r="O104" s="71">
        <f t="shared" si="19"/>
        <v>0</v>
      </c>
      <c r="P104" s="71">
        <f t="shared" si="19"/>
        <v>0</v>
      </c>
      <c r="Q104" s="71">
        <f t="shared" si="19"/>
        <v>0</v>
      </c>
    </row>
    <row r="105" spans="7:19" x14ac:dyDescent="0.2">
      <c r="G105" s="1"/>
      <c r="H105" s="486"/>
      <c r="I105" s="486"/>
      <c r="L105" s="71">
        <f>(L84-L80)/L80</f>
        <v>1.4051127084631467E-2</v>
      </c>
      <c r="M105" s="71">
        <f t="shared" ref="M105:Q105" si="20">(M84-M80)/M80</f>
        <v>1.4051127084631496E-2</v>
      </c>
      <c r="N105" s="71">
        <f t="shared" si="20"/>
        <v>1.0966733334346562E-2</v>
      </c>
      <c r="O105" s="71">
        <f t="shared" si="20"/>
        <v>0</v>
      </c>
      <c r="P105" s="71">
        <f t="shared" si="20"/>
        <v>0</v>
      </c>
      <c r="Q105" s="71">
        <f t="shared" si="20"/>
        <v>0</v>
      </c>
    </row>
    <row r="106" spans="7:19" x14ac:dyDescent="0.2">
      <c r="G106" s="1"/>
      <c r="H106" s="486"/>
      <c r="I106" s="486"/>
    </row>
    <row r="107" spans="7:19" x14ac:dyDescent="0.2">
      <c r="G107" s="1"/>
      <c r="H107" s="486"/>
      <c r="I107" s="486"/>
      <c r="L107" s="71">
        <f t="shared" ref="L107:N108" si="21">L96/$K96</f>
        <v>0.17977941851906831</v>
      </c>
      <c r="M107" s="71">
        <f t="shared" si="21"/>
        <v>0.17616236396486973</v>
      </c>
      <c r="N107" s="71">
        <f t="shared" si="21"/>
        <v>0.64405821751606207</v>
      </c>
    </row>
    <row r="108" spans="7:19" x14ac:dyDescent="0.2">
      <c r="G108" s="1"/>
      <c r="H108" s="486"/>
      <c r="I108" s="486"/>
      <c r="L108" s="71">
        <f t="shared" si="21"/>
        <v>0.17977941851906831</v>
      </c>
      <c r="M108" s="71">
        <f t="shared" si="21"/>
        <v>0.17616236396486973</v>
      </c>
      <c r="N108" s="71">
        <f t="shared" si="21"/>
        <v>0.64405821751606207</v>
      </c>
    </row>
  </sheetData>
  <mergeCells count="6">
    <mergeCell ref="J91:L91"/>
    <mergeCell ref="L95:P95"/>
    <mergeCell ref="L86:Q86"/>
    <mergeCell ref="J82:N82"/>
    <mergeCell ref="K6:P6"/>
    <mergeCell ref="J78:L78"/>
  </mergeCells>
  <phoneticPr fontId="0" type="noConversion"/>
  <pageMargins left="0.38" right="0.24" top="0.73" bottom="0.74" header="0.5" footer="0.5"/>
  <pageSetup scale="96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97"/>
  <sheetViews>
    <sheetView topLeftCell="A7" workbookViewId="0">
      <selection activeCell="K12" sqref="K12"/>
    </sheetView>
  </sheetViews>
  <sheetFormatPr defaultRowHeight="12.75" x14ac:dyDescent="0.2"/>
  <cols>
    <col min="1" max="1" width="9" customWidth="1"/>
    <col min="2" max="2" width="10.140625" style="5" bestFit="1" customWidth="1"/>
    <col min="3" max="4" width="14.140625" style="5" bestFit="1" customWidth="1"/>
    <col min="5" max="5" width="10" style="5" bestFit="1" customWidth="1"/>
    <col min="6" max="6" width="10.42578125" style="5" bestFit="1" customWidth="1"/>
    <col min="7" max="7" width="10" style="5" bestFit="1" customWidth="1"/>
    <col min="8" max="8" width="7.85546875" style="5" bestFit="1" customWidth="1"/>
    <col min="9" max="9" width="9.85546875" style="5" bestFit="1" customWidth="1"/>
    <col min="10" max="10" width="6.5703125" style="5" bestFit="1" customWidth="1"/>
    <col min="11" max="11" width="10.7109375" style="5" bestFit="1" customWidth="1"/>
    <col min="12" max="12" width="7.5703125" style="5" bestFit="1" customWidth="1"/>
    <col min="13" max="13" width="9.140625" style="5"/>
  </cols>
  <sheetData>
    <row r="1" spans="1:11" x14ac:dyDescent="0.2">
      <c r="A1" s="503" t="s">
        <v>144</v>
      </c>
      <c r="B1" s="503"/>
      <c r="C1" s="503"/>
      <c r="D1" s="503"/>
      <c r="E1" s="503"/>
      <c r="F1" s="503"/>
      <c r="G1" s="503"/>
      <c r="H1" s="503"/>
      <c r="I1" s="503"/>
      <c r="J1" s="503"/>
    </row>
    <row r="2" spans="1:11" ht="25.5" x14ac:dyDescent="0.2">
      <c r="B2" s="433" t="str">
        <f>'Rate Class Energy Model'!K2</f>
        <v xml:space="preserve">Residential </v>
      </c>
      <c r="C2" s="433" t="str">
        <f>'Rate Class Energy Model'!L2</f>
        <v>General Service
&lt; 50 kW</v>
      </c>
      <c r="D2" s="433" t="str">
        <f>'Rate Class Energy Model'!M2</f>
        <v>General Service
&gt; 50 kW</v>
      </c>
      <c r="E2" s="433" t="str">
        <f>'Rate Class Energy Model'!N2</f>
        <v>Large User</v>
      </c>
      <c r="F2" s="433" t="str">
        <f>'Rate Class Energy Model'!O2</f>
        <v xml:space="preserve">Streetlights </v>
      </c>
      <c r="G2" s="433" t="str">
        <f>'Rate Class Energy Model'!P2</f>
        <v xml:space="preserve">Unmetered Loads </v>
      </c>
      <c r="H2" s="420" t="s">
        <v>281</v>
      </c>
      <c r="I2" s="433" t="s">
        <v>203</v>
      </c>
      <c r="J2" s="433" t="s">
        <v>10</v>
      </c>
    </row>
    <row r="3" spans="1:11" x14ac:dyDescent="0.2">
      <c r="A3" s="3">
        <v>1997</v>
      </c>
      <c r="B3" s="40"/>
      <c r="C3" s="40"/>
      <c r="D3" s="40"/>
      <c r="E3" s="40"/>
      <c r="F3" s="40"/>
      <c r="G3" s="40"/>
      <c r="H3" s="39"/>
      <c r="I3" s="39"/>
      <c r="J3" s="39"/>
    </row>
    <row r="4" spans="1:11" x14ac:dyDescent="0.2">
      <c r="A4" s="3">
        <v>1998</v>
      </c>
      <c r="B4" s="40"/>
      <c r="C4" s="40"/>
      <c r="D4" s="40"/>
      <c r="E4" s="40"/>
      <c r="F4" s="40"/>
      <c r="G4" s="40"/>
      <c r="H4" s="39"/>
      <c r="I4" s="39"/>
      <c r="J4" s="39"/>
    </row>
    <row r="5" spans="1:11" x14ac:dyDescent="0.2">
      <c r="A5" s="3">
        <v>1999</v>
      </c>
      <c r="B5" s="40">
        <v>62677</v>
      </c>
      <c r="C5" s="40">
        <v>6548</v>
      </c>
      <c r="D5" s="40">
        <v>1004</v>
      </c>
      <c r="E5" s="40">
        <v>3</v>
      </c>
      <c r="F5" s="40">
        <v>1324.5151515151515</v>
      </c>
      <c r="G5" s="40"/>
      <c r="H5" s="39">
        <f t="shared" ref="H5:H16" si="0">SUM(B5:G5)</f>
        <v>71556.515151515152</v>
      </c>
      <c r="I5" s="39"/>
      <c r="J5" s="39">
        <f>H5+I5</f>
        <v>71556.515151515152</v>
      </c>
    </row>
    <row r="6" spans="1:11" x14ac:dyDescent="0.2">
      <c r="A6" s="3">
        <v>2000</v>
      </c>
      <c r="B6" s="39">
        <v>63692</v>
      </c>
      <c r="C6" s="39">
        <v>6548</v>
      </c>
      <c r="D6" s="39">
        <v>1033</v>
      </c>
      <c r="E6" s="39">
        <v>3</v>
      </c>
      <c r="F6" s="39">
        <v>1342.030303030303</v>
      </c>
      <c r="G6" s="39">
        <v>750</v>
      </c>
      <c r="H6" s="39">
        <f t="shared" si="0"/>
        <v>73368.030303030304</v>
      </c>
      <c r="I6" s="39"/>
      <c r="J6" s="39">
        <f t="shared" ref="J6:J20" si="1">H6+I6</f>
        <v>73368.030303030304</v>
      </c>
    </row>
    <row r="7" spans="1:11" x14ac:dyDescent="0.2">
      <c r="A7" s="3">
        <v>2001</v>
      </c>
      <c r="B7" s="40">
        <v>64284</v>
      </c>
      <c r="C7" s="40">
        <v>6568</v>
      </c>
      <c r="D7" s="40">
        <v>1035</v>
      </c>
      <c r="E7" s="40">
        <v>4</v>
      </c>
      <c r="F7" s="40">
        <v>1369.6060606060605</v>
      </c>
      <c r="G7" s="40">
        <v>750</v>
      </c>
      <c r="H7" s="39">
        <f t="shared" si="0"/>
        <v>74010.606060606064</v>
      </c>
      <c r="I7" s="39"/>
      <c r="J7" s="39">
        <f t="shared" si="1"/>
        <v>74010.606060606064</v>
      </c>
    </row>
    <row r="8" spans="1:11" x14ac:dyDescent="0.2">
      <c r="A8" s="3">
        <v>2002</v>
      </c>
      <c r="B8" s="40">
        <v>65683</v>
      </c>
      <c r="C8" s="40">
        <v>6569</v>
      </c>
      <c r="D8" s="40">
        <v>1068</v>
      </c>
      <c r="E8" s="40">
        <v>4</v>
      </c>
      <c r="F8" s="40">
        <v>1394.3939393939395</v>
      </c>
      <c r="G8" s="40">
        <v>765</v>
      </c>
      <c r="H8" s="39">
        <f t="shared" si="0"/>
        <v>75483.393939393936</v>
      </c>
      <c r="I8" s="39">
        <v>1</v>
      </c>
      <c r="J8" s="39">
        <f t="shared" si="1"/>
        <v>75484.393939393936</v>
      </c>
    </row>
    <row r="9" spans="1:11" x14ac:dyDescent="0.2">
      <c r="A9" s="3">
        <v>2003</v>
      </c>
      <c r="B9" s="40">
        <v>67527</v>
      </c>
      <c r="C9" s="40">
        <v>6703</v>
      </c>
      <c r="D9" s="40">
        <v>1035</v>
      </c>
      <c r="E9" s="40">
        <v>4</v>
      </c>
      <c r="F9" s="40">
        <v>1405</v>
      </c>
      <c r="G9" s="40">
        <v>765</v>
      </c>
      <c r="H9" s="39">
        <f t="shared" si="0"/>
        <v>77439</v>
      </c>
      <c r="I9" s="39">
        <v>1</v>
      </c>
      <c r="J9" s="39">
        <f t="shared" si="1"/>
        <v>77440</v>
      </c>
      <c r="K9"/>
    </row>
    <row r="10" spans="1:11" x14ac:dyDescent="0.2">
      <c r="A10" s="3">
        <v>2004</v>
      </c>
      <c r="B10" s="40">
        <v>69405</v>
      </c>
      <c r="C10" s="40">
        <v>6816</v>
      </c>
      <c r="D10" s="40">
        <v>1058</v>
      </c>
      <c r="E10" s="40">
        <v>4</v>
      </c>
      <c r="F10" s="40">
        <v>1497</v>
      </c>
      <c r="G10" s="40">
        <v>822</v>
      </c>
      <c r="H10" s="39">
        <f t="shared" si="0"/>
        <v>79602</v>
      </c>
      <c r="I10" s="39">
        <v>1</v>
      </c>
      <c r="J10" s="39">
        <f t="shared" si="1"/>
        <v>79603</v>
      </c>
      <c r="K10"/>
    </row>
    <row r="11" spans="1:11" x14ac:dyDescent="0.2">
      <c r="A11" s="3">
        <v>2005</v>
      </c>
      <c r="B11" s="40">
        <v>71490</v>
      </c>
      <c r="C11" s="40">
        <v>6916</v>
      </c>
      <c r="D11" s="40">
        <v>1077</v>
      </c>
      <c r="E11" s="40">
        <v>4</v>
      </c>
      <c r="F11" s="40">
        <v>1517</v>
      </c>
      <c r="G11" s="40">
        <v>807</v>
      </c>
      <c r="H11" s="39">
        <f t="shared" si="0"/>
        <v>81811</v>
      </c>
      <c r="I11" s="39">
        <v>1</v>
      </c>
      <c r="J11" s="39">
        <f t="shared" si="1"/>
        <v>81812</v>
      </c>
      <c r="K11"/>
    </row>
    <row r="12" spans="1:11" x14ac:dyDescent="0.2">
      <c r="A12" s="3">
        <v>2006</v>
      </c>
      <c r="B12" s="40">
        <v>72866</v>
      </c>
      <c r="C12" s="40">
        <v>7049</v>
      </c>
      <c r="D12" s="40">
        <v>1021</v>
      </c>
      <c r="E12" s="40">
        <v>4</v>
      </c>
      <c r="F12" s="40">
        <v>1533</v>
      </c>
      <c r="G12" s="40">
        <v>807</v>
      </c>
      <c r="H12" s="39">
        <f t="shared" si="0"/>
        <v>83280</v>
      </c>
      <c r="I12" s="39">
        <v>1</v>
      </c>
      <c r="J12" s="39">
        <f t="shared" si="1"/>
        <v>83281</v>
      </c>
      <c r="K12"/>
    </row>
    <row r="13" spans="1:11" x14ac:dyDescent="0.2">
      <c r="A13" s="3">
        <v>2007</v>
      </c>
      <c r="B13" s="40">
        <v>74392</v>
      </c>
      <c r="C13" s="40">
        <v>7198</v>
      </c>
      <c r="D13" s="40">
        <v>1005</v>
      </c>
      <c r="E13" s="40">
        <v>4</v>
      </c>
      <c r="F13" s="40">
        <v>1523</v>
      </c>
      <c r="G13" s="40">
        <v>818</v>
      </c>
      <c r="H13" s="39">
        <f t="shared" si="0"/>
        <v>84940</v>
      </c>
      <c r="I13" s="39">
        <v>1</v>
      </c>
      <c r="J13" s="39">
        <f t="shared" si="1"/>
        <v>84941</v>
      </c>
      <c r="K13"/>
    </row>
    <row r="14" spans="1:11" x14ac:dyDescent="0.2">
      <c r="A14" s="3">
        <v>2008</v>
      </c>
      <c r="B14" s="40">
        <v>75153.833333333328</v>
      </c>
      <c r="C14" s="40">
        <v>7264.916666666667</v>
      </c>
      <c r="D14" s="40">
        <v>1014.1666666666666</v>
      </c>
      <c r="E14" s="40">
        <v>4</v>
      </c>
      <c r="F14" s="40">
        <v>1522.2424242424242</v>
      </c>
      <c r="G14" s="40">
        <v>820</v>
      </c>
      <c r="H14" s="39">
        <f t="shared" si="0"/>
        <v>85779.159090909103</v>
      </c>
      <c r="I14" s="39">
        <v>1</v>
      </c>
      <c r="J14" s="39">
        <f t="shared" si="1"/>
        <v>85780.159090909103</v>
      </c>
      <c r="K14"/>
    </row>
    <row r="15" spans="1:11" x14ac:dyDescent="0.2">
      <c r="A15" s="3">
        <v>2009</v>
      </c>
      <c r="B15" s="39">
        <v>76255.166666666672</v>
      </c>
      <c r="C15" s="39">
        <v>7370.333333333333</v>
      </c>
      <c r="D15" s="39">
        <v>1004.9166666666666</v>
      </c>
      <c r="E15" s="39">
        <v>3</v>
      </c>
      <c r="F15" s="39">
        <v>1551</v>
      </c>
      <c r="G15" s="39">
        <v>817</v>
      </c>
      <c r="H15" s="39">
        <f t="shared" si="0"/>
        <v>87001.416666666672</v>
      </c>
      <c r="I15" s="39">
        <v>1</v>
      </c>
      <c r="J15" s="39">
        <f t="shared" si="1"/>
        <v>87002.416666666672</v>
      </c>
      <c r="K15"/>
    </row>
    <row r="16" spans="1:11" x14ac:dyDescent="0.2">
      <c r="A16" s="3">
        <v>2010</v>
      </c>
      <c r="B16" s="40">
        <v>77505.916666666672</v>
      </c>
      <c r="C16" s="40">
        <v>7447.583333333333</v>
      </c>
      <c r="D16" s="40">
        <v>988.91666666666663</v>
      </c>
      <c r="E16" s="40">
        <v>1.3333333333333333</v>
      </c>
      <c r="F16" s="40">
        <v>1574.2465237166991</v>
      </c>
      <c r="G16" s="40">
        <v>811</v>
      </c>
      <c r="H16" s="39">
        <f t="shared" si="0"/>
        <v>88328.996523716705</v>
      </c>
      <c r="I16" s="39">
        <v>1</v>
      </c>
      <c r="J16" s="39">
        <f t="shared" si="1"/>
        <v>88329.996523716705</v>
      </c>
    </row>
    <row r="17" spans="1:17" x14ac:dyDescent="0.2">
      <c r="A17" s="3">
        <v>2011</v>
      </c>
      <c r="B17" s="40">
        <v>78761</v>
      </c>
      <c r="C17" s="40">
        <v>7538</v>
      </c>
      <c r="D17" s="40">
        <v>975</v>
      </c>
      <c r="E17" s="40">
        <v>2</v>
      </c>
      <c r="F17" s="40">
        <v>1567.6666666666667</v>
      </c>
      <c r="G17" s="239">
        <f>+(818+864)/2</f>
        <v>841</v>
      </c>
      <c r="H17" s="39">
        <f t="shared" ref="H17:H18" si="2">SUM(B17:G17)</f>
        <v>89684.666666666672</v>
      </c>
      <c r="I17" s="39">
        <v>1</v>
      </c>
      <c r="J17" s="39">
        <f t="shared" si="1"/>
        <v>89685.666666666672</v>
      </c>
    </row>
    <row r="18" spans="1:17" x14ac:dyDescent="0.2">
      <c r="A18" s="3">
        <v>2012</v>
      </c>
      <c r="B18" s="206">
        <v>79997</v>
      </c>
      <c r="C18" s="206">
        <v>7645.333333333333</v>
      </c>
      <c r="D18" s="206">
        <v>952.33333333333337</v>
      </c>
      <c r="E18" s="206">
        <v>2</v>
      </c>
      <c r="F18" s="206">
        <v>1573.4242424242425</v>
      </c>
      <c r="G18" s="206">
        <f>(865+868+871+871)/4</f>
        <v>868.75</v>
      </c>
      <c r="H18" s="39">
        <f t="shared" si="2"/>
        <v>91038.840909090897</v>
      </c>
      <c r="I18" s="39">
        <v>1</v>
      </c>
      <c r="J18" s="39">
        <f t="shared" si="1"/>
        <v>91039.840909090897</v>
      </c>
    </row>
    <row r="19" spans="1:17" x14ac:dyDescent="0.2">
      <c r="A19" s="3">
        <v>2013</v>
      </c>
      <c r="B19" s="20">
        <f>B18*B40</f>
        <v>81276.952000000005</v>
      </c>
      <c r="C19" s="20">
        <f t="shared" ref="C19:G19" si="3">C18*C40</f>
        <v>7736.9966057773026</v>
      </c>
      <c r="D19" s="20">
        <f t="shared" si="3"/>
        <v>948.47089081750107</v>
      </c>
      <c r="E19" s="20">
        <v>2</v>
      </c>
      <c r="F19" s="20">
        <v>1569</v>
      </c>
      <c r="G19" s="20">
        <f t="shared" si="3"/>
        <v>879.45633264592357</v>
      </c>
      <c r="H19" s="20">
        <f>SUM(B19:G19)</f>
        <v>92412.875829240715</v>
      </c>
      <c r="I19" s="20">
        <v>1</v>
      </c>
      <c r="J19" s="20">
        <f t="shared" si="1"/>
        <v>92413.875829240715</v>
      </c>
    </row>
    <row r="20" spans="1:17" x14ac:dyDescent="0.2">
      <c r="A20" s="3">
        <v>2014</v>
      </c>
      <c r="B20" s="20">
        <f>B19*B40</f>
        <v>82577.383232000007</v>
      </c>
      <c r="C20" s="20">
        <f t="shared" ref="C20:G20" si="4">C19*C40</f>
        <v>7829.7588696123348</v>
      </c>
      <c r="D20" s="20">
        <f t="shared" si="4"/>
        <v>944.62411347022476</v>
      </c>
      <c r="E20" s="20">
        <v>1</v>
      </c>
      <c r="F20" s="20">
        <v>1591.6757998109217</v>
      </c>
      <c r="G20" s="20">
        <f t="shared" si="4"/>
        <v>890.29460838102727</v>
      </c>
      <c r="H20" s="20">
        <f>SUM(B20:G20)</f>
        <v>93834.736623274526</v>
      </c>
      <c r="I20" s="20">
        <v>1</v>
      </c>
      <c r="J20" s="20">
        <f t="shared" si="1"/>
        <v>93835.736623274526</v>
      </c>
      <c r="L20" s="280"/>
    </row>
    <row r="21" spans="1:17" x14ac:dyDescent="0.2">
      <c r="A21" s="19"/>
    </row>
    <row r="22" spans="1:17" x14ac:dyDescent="0.2">
      <c r="A22" s="18" t="s">
        <v>21</v>
      </c>
      <c r="B22" s="4"/>
      <c r="C22" s="4"/>
      <c r="D22" s="4"/>
      <c r="E22" s="4"/>
      <c r="F22" s="4"/>
      <c r="G22" s="4"/>
    </row>
    <row r="23" spans="1:17" x14ac:dyDescent="0.2">
      <c r="A23" s="3">
        <v>1997</v>
      </c>
      <c r="B23" s="23"/>
      <c r="C23" s="23"/>
      <c r="D23" s="23"/>
      <c r="E23" s="23"/>
      <c r="F23" s="23"/>
      <c r="G23" s="4"/>
    </row>
    <row r="24" spans="1:17" x14ac:dyDescent="0.2">
      <c r="A24" s="3">
        <v>1998</v>
      </c>
      <c r="B24" s="23"/>
      <c r="C24" s="23"/>
      <c r="D24" s="23"/>
      <c r="E24" s="23"/>
      <c r="F24" s="23"/>
      <c r="G24" s="4"/>
    </row>
    <row r="25" spans="1:17" x14ac:dyDescent="0.2">
      <c r="A25" s="3">
        <v>1999</v>
      </c>
      <c r="B25" s="23"/>
      <c r="C25" s="23"/>
      <c r="D25" s="23"/>
      <c r="E25" s="23"/>
      <c r="F25" s="23"/>
      <c r="G25" s="23"/>
      <c r="K25" s="281"/>
    </row>
    <row r="26" spans="1:17" x14ac:dyDescent="0.2">
      <c r="A26" s="3">
        <v>2000</v>
      </c>
      <c r="B26" s="23">
        <f t="shared" ref="B26:F26" si="5">B6/B5</f>
        <v>1.0161941382006159</v>
      </c>
      <c r="C26" s="23">
        <f t="shared" si="5"/>
        <v>1</v>
      </c>
      <c r="D26" s="23">
        <f t="shared" si="5"/>
        <v>1.0288844621513944</v>
      </c>
      <c r="E26" s="23">
        <f t="shared" si="5"/>
        <v>1</v>
      </c>
      <c r="F26" s="23">
        <f t="shared" si="5"/>
        <v>1.0132238211809925</v>
      </c>
      <c r="G26" s="23"/>
    </row>
    <row r="27" spans="1:17" x14ac:dyDescent="0.2">
      <c r="A27" s="3">
        <v>2001</v>
      </c>
      <c r="B27" s="23">
        <f t="shared" ref="B27:G27" si="6">B7/B6</f>
        <v>1.0092947308924198</v>
      </c>
      <c r="C27" s="23">
        <f t="shared" si="6"/>
        <v>1.0030543677458765</v>
      </c>
      <c r="D27" s="23">
        <f t="shared" si="6"/>
        <v>1.0019361084220717</v>
      </c>
      <c r="E27" s="23">
        <f t="shared" si="6"/>
        <v>1.3333333333333333</v>
      </c>
      <c r="F27" s="23">
        <f t="shared" si="6"/>
        <v>1.0205477905480163</v>
      </c>
      <c r="G27" s="23">
        <f t="shared" si="6"/>
        <v>1</v>
      </c>
      <c r="I27" s="71"/>
      <c r="J27" s="71"/>
      <c r="K27" s="71"/>
      <c r="L27" s="71"/>
      <c r="M27" s="71"/>
      <c r="N27" s="71"/>
      <c r="O27" s="71"/>
      <c r="P27" s="71"/>
      <c r="Q27" s="71"/>
    </row>
    <row r="28" spans="1:17" x14ac:dyDescent="0.2">
      <c r="A28" s="3">
        <v>2002</v>
      </c>
      <c r="B28" s="23">
        <f t="shared" ref="B28:I29" si="7">B8/B7</f>
        <v>1.0217628025636238</v>
      </c>
      <c r="C28" s="23">
        <f t="shared" si="7"/>
        <v>1.0001522533495737</v>
      </c>
      <c r="D28" s="23">
        <f t="shared" si="7"/>
        <v>1.0318840579710145</v>
      </c>
      <c r="E28" s="23">
        <f t="shared" si="7"/>
        <v>1</v>
      </c>
      <c r="F28" s="23">
        <f t="shared" si="7"/>
        <v>1.0180985463636969</v>
      </c>
      <c r="G28" s="23">
        <f t="shared" si="7"/>
        <v>1.02</v>
      </c>
      <c r="I28" s="23"/>
      <c r="J28" s="71"/>
      <c r="K28" s="71"/>
      <c r="L28" s="71"/>
      <c r="M28" s="71"/>
      <c r="N28" s="71"/>
      <c r="O28" s="71"/>
      <c r="P28" s="71"/>
      <c r="Q28" s="71"/>
    </row>
    <row r="29" spans="1:17" x14ac:dyDescent="0.2">
      <c r="A29" s="3">
        <v>2003</v>
      </c>
      <c r="B29" s="23">
        <f t="shared" ref="B29:G29" si="8">B9/B8</f>
        <v>1.0280742353424783</v>
      </c>
      <c r="C29" s="23">
        <f t="shared" si="8"/>
        <v>1.0203988430506927</v>
      </c>
      <c r="D29" s="23">
        <f t="shared" si="8"/>
        <v>0.9691011235955056</v>
      </c>
      <c r="E29" s="23">
        <f t="shared" si="8"/>
        <v>1</v>
      </c>
      <c r="F29" s="23">
        <f t="shared" si="8"/>
        <v>1.0076062153645549</v>
      </c>
      <c r="G29" s="23">
        <f t="shared" si="8"/>
        <v>1</v>
      </c>
      <c r="I29" s="23">
        <f t="shared" si="7"/>
        <v>1</v>
      </c>
      <c r="J29" s="71"/>
      <c r="K29" s="71"/>
      <c r="L29" s="71"/>
      <c r="M29" s="71"/>
      <c r="N29" s="71"/>
      <c r="O29" s="71"/>
      <c r="P29" s="71"/>
      <c r="Q29" s="71"/>
    </row>
    <row r="30" spans="1:17" x14ac:dyDescent="0.2">
      <c r="A30" s="3">
        <v>2004</v>
      </c>
      <c r="B30" s="23">
        <f t="shared" ref="B30:B38" si="9">B10/B9</f>
        <v>1.027811097783109</v>
      </c>
      <c r="C30" s="23">
        <f t="shared" ref="C30:G30" si="10">C10/C9</f>
        <v>1.0168581232284053</v>
      </c>
      <c r="D30" s="23">
        <f t="shared" si="10"/>
        <v>1.0222222222222221</v>
      </c>
      <c r="E30" s="23">
        <f t="shared" si="10"/>
        <v>1</v>
      </c>
      <c r="F30" s="23">
        <f t="shared" si="10"/>
        <v>1.0654804270462634</v>
      </c>
      <c r="G30" s="23">
        <f t="shared" si="10"/>
        <v>1.0745098039215686</v>
      </c>
      <c r="I30" s="23">
        <f t="shared" ref="I30" si="11">I10/I9</f>
        <v>1</v>
      </c>
      <c r="J30" s="71"/>
      <c r="K30" s="71"/>
      <c r="L30" s="71"/>
      <c r="M30" s="71"/>
      <c r="N30" s="71"/>
      <c r="O30" s="71"/>
      <c r="P30" s="71"/>
      <c r="Q30" s="71"/>
    </row>
    <row r="31" spans="1:17" x14ac:dyDescent="0.2">
      <c r="A31" s="3">
        <v>2005</v>
      </c>
      <c r="B31" s="23">
        <f t="shared" si="9"/>
        <v>1.0300410633239681</v>
      </c>
      <c r="C31" s="23">
        <f t="shared" ref="C31:G37" si="12">C11/C10</f>
        <v>1.0146713615023475</v>
      </c>
      <c r="D31" s="23">
        <f t="shared" si="12"/>
        <v>1.0179584120982987</v>
      </c>
      <c r="E31" s="23">
        <f t="shared" si="12"/>
        <v>1</v>
      </c>
      <c r="F31" s="23">
        <f t="shared" si="12"/>
        <v>1.0133600534402138</v>
      </c>
      <c r="G31" s="23">
        <f t="shared" si="12"/>
        <v>0.98175182481751821</v>
      </c>
      <c r="I31" s="23">
        <f t="shared" ref="I31" si="13">I11/I10</f>
        <v>1</v>
      </c>
      <c r="J31" s="71"/>
      <c r="K31" s="71"/>
      <c r="L31" s="71"/>
      <c r="M31" s="71"/>
      <c r="N31" s="71"/>
      <c r="O31" s="71"/>
      <c r="P31" s="71"/>
      <c r="Q31" s="71"/>
    </row>
    <row r="32" spans="1:17" x14ac:dyDescent="0.2">
      <c r="A32" s="3">
        <v>2006</v>
      </c>
      <c r="B32" s="23">
        <f t="shared" si="9"/>
        <v>1.019247447195412</v>
      </c>
      <c r="C32" s="23">
        <f t="shared" si="12"/>
        <v>1.0192307692307692</v>
      </c>
      <c r="D32" s="23">
        <f t="shared" si="12"/>
        <v>0.94800371402042716</v>
      </c>
      <c r="E32" s="23">
        <f t="shared" si="12"/>
        <v>1</v>
      </c>
      <c r="F32" s="23">
        <f t="shared" si="12"/>
        <v>1.0105471324983519</v>
      </c>
      <c r="G32" s="23">
        <f t="shared" si="12"/>
        <v>1</v>
      </c>
      <c r="I32" s="23">
        <f t="shared" ref="I32" si="14">I12/I11</f>
        <v>1</v>
      </c>
      <c r="J32" s="71"/>
      <c r="K32" s="71"/>
      <c r="L32" s="71"/>
      <c r="M32" s="71"/>
      <c r="N32" s="71"/>
      <c r="O32" s="71"/>
      <c r="P32" s="71"/>
      <c r="Q32" s="71"/>
    </row>
    <row r="33" spans="1:17" x14ac:dyDescent="0.2">
      <c r="A33" s="3">
        <v>2007</v>
      </c>
      <c r="B33" s="23">
        <f t="shared" si="9"/>
        <v>1.0209425520819038</v>
      </c>
      <c r="C33" s="23">
        <f t="shared" si="12"/>
        <v>1.0211377500354659</v>
      </c>
      <c r="D33" s="23">
        <f t="shared" si="12"/>
        <v>0.98432908912830563</v>
      </c>
      <c r="E33" s="23">
        <f t="shared" si="12"/>
        <v>1</v>
      </c>
      <c r="F33" s="23">
        <f t="shared" si="12"/>
        <v>0.99347684279191129</v>
      </c>
      <c r="G33" s="23">
        <f t="shared" ref="G33:G37" si="15">G13/G12</f>
        <v>1.0136307311028501</v>
      </c>
      <c r="I33" s="23">
        <f t="shared" ref="I33" si="16">I13/I12</f>
        <v>1</v>
      </c>
      <c r="J33" s="71"/>
      <c r="K33" s="71"/>
      <c r="L33" s="71"/>
      <c r="M33" s="71"/>
      <c r="N33" s="71"/>
      <c r="O33" s="71"/>
      <c r="P33" s="71"/>
      <c r="Q33" s="71"/>
    </row>
    <row r="34" spans="1:17" x14ac:dyDescent="0.2">
      <c r="A34" s="3">
        <v>2008</v>
      </c>
      <c r="B34" s="23">
        <f t="shared" si="9"/>
        <v>1.010240796501416</v>
      </c>
      <c r="C34" s="23">
        <f t="shared" si="12"/>
        <v>1.0092965638603315</v>
      </c>
      <c r="D34" s="23">
        <f t="shared" si="12"/>
        <v>1.0091210613598673</v>
      </c>
      <c r="E34" s="23">
        <f t="shared" si="12"/>
        <v>1</v>
      </c>
      <c r="F34" s="23">
        <f t="shared" si="12"/>
        <v>0.99950257665293774</v>
      </c>
      <c r="G34" s="23">
        <f t="shared" si="15"/>
        <v>1.0024449877750612</v>
      </c>
      <c r="I34" s="23">
        <f t="shared" ref="I34" si="17">I14/I13</f>
        <v>1</v>
      </c>
      <c r="J34" s="71"/>
      <c r="K34" s="71"/>
      <c r="L34" s="71"/>
      <c r="M34" s="71"/>
      <c r="N34" s="71"/>
      <c r="O34" s="71"/>
      <c r="P34" s="71"/>
      <c r="Q34" s="71"/>
    </row>
    <row r="35" spans="1:17" x14ac:dyDescent="0.2">
      <c r="A35" s="3">
        <v>2009</v>
      </c>
      <c r="B35" s="23">
        <f t="shared" si="9"/>
        <v>1.0146543866691211</v>
      </c>
      <c r="C35" s="23">
        <f t="shared" si="12"/>
        <v>1.0145103752050377</v>
      </c>
      <c r="D35" s="23">
        <f t="shared" si="12"/>
        <v>0.99087921117502054</v>
      </c>
      <c r="E35" s="23">
        <f t="shared" si="12"/>
        <v>0.75</v>
      </c>
      <c r="F35" s="23">
        <f t="shared" si="12"/>
        <v>1.0188915873711033</v>
      </c>
      <c r="G35" s="23">
        <f t="shared" si="15"/>
        <v>0.99634146341463414</v>
      </c>
      <c r="I35" s="23">
        <f t="shared" ref="I35" si="18">I15/I14</f>
        <v>1</v>
      </c>
      <c r="J35" s="71"/>
      <c r="K35" s="71"/>
      <c r="L35" s="71"/>
      <c r="M35" s="71"/>
      <c r="N35" s="71"/>
      <c r="O35" s="71"/>
      <c r="P35" s="71"/>
      <c r="Q35" s="71"/>
    </row>
    <row r="36" spans="1:17" x14ac:dyDescent="0.2">
      <c r="A36" s="3">
        <v>2010</v>
      </c>
      <c r="B36" s="23">
        <f t="shared" si="9"/>
        <v>1.0164021672848398</v>
      </c>
      <c r="C36" s="23">
        <f t="shared" si="12"/>
        <v>1.0104812084482837</v>
      </c>
      <c r="D36" s="23">
        <f t="shared" si="12"/>
        <v>0.98407828178124224</v>
      </c>
      <c r="E36" s="23">
        <f t="shared" si="12"/>
        <v>0.44444444444444442</v>
      </c>
      <c r="F36" s="23">
        <f t="shared" si="12"/>
        <v>1.0149880875027073</v>
      </c>
      <c r="G36" s="23">
        <f t="shared" si="15"/>
        <v>0.99265605875152996</v>
      </c>
      <c r="I36" s="23">
        <f t="shared" ref="I36" si="19">I16/I15</f>
        <v>1</v>
      </c>
      <c r="J36" s="71"/>
      <c r="K36" s="71"/>
      <c r="L36" s="71"/>
      <c r="M36" s="71"/>
      <c r="N36" s="71"/>
      <c r="O36" s="71"/>
      <c r="P36" s="71"/>
      <c r="Q36" s="71"/>
    </row>
    <row r="37" spans="1:17" x14ac:dyDescent="0.2">
      <c r="A37" s="3">
        <v>2011</v>
      </c>
      <c r="B37" s="23">
        <f t="shared" si="9"/>
        <v>1.0161933873865543</v>
      </c>
      <c r="C37" s="23">
        <f t="shared" si="12"/>
        <v>1.0121404034865897</v>
      </c>
      <c r="D37" s="23">
        <f t="shared" si="12"/>
        <v>0.98592736159096661</v>
      </c>
      <c r="E37" s="23">
        <f t="shared" si="12"/>
        <v>1.5</v>
      </c>
      <c r="F37" s="23">
        <f t="shared" si="12"/>
        <v>0.99582031343191546</v>
      </c>
      <c r="G37" s="23">
        <f t="shared" si="15"/>
        <v>1.0369913686806411</v>
      </c>
      <c r="I37" s="23">
        <f t="shared" ref="I37" si="20">I17/I16</f>
        <v>1</v>
      </c>
      <c r="J37" s="71"/>
      <c r="K37" s="71"/>
      <c r="L37" s="71"/>
      <c r="M37" s="71"/>
      <c r="N37" s="71"/>
      <c r="O37" s="71"/>
      <c r="P37" s="71"/>
      <c r="Q37" s="71"/>
    </row>
    <row r="38" spans="1:17" x14ac:dyDescent="0.2">
      <c r="A38" s="3">
        <v>2012</v>
      </c>
      <c r="B38" s="23">
        <f t="shared" si="9"/>
        <v>1.0156930460507103</v>
      </c>
      <c r="C38" s="23">
        <f t="shared" ref="C38:G38" si="21">C18/C17</f>
        <v>1.0142389670115857</v>
      </c>
      <c r="D38" s="23">
        <f t="shared" si="21"/>
        <v>0.97675213675213679</v>
      </c>
      <c r="E38" s="23">
        <f t="shared" si="21"/>
        <v>1</v>
      </c>
      <c r="F38" s="23">
        <f t="shared" si="21"/>
        <v>1.0036727040767015</v>
      </c>
      <c r="G38" s="23">
        <f t="shared" si="21"/>
        <v>1.0329964328180736</v>
      </c>
      <c r="I38" s="23">
        <f t="shared" ref="I38" si="22">I18/I17</f>
        <v>1</v>
      </c>
      <c r="J38" s="71"/>
      <c r="K38" s="71"/>
      <c r="L38" s="71"/>
      <c r="M38" s="71"/>
      <c r="N38" s="71"/>
      <c r="O38" s="71"/>
      <c r="P38" s="71"/>
      <c r="Q38" s="71"/>
    </row>
    <row r="40" spans="1:17" x14ac:dyDescent="0.2">
      <c r="A40" t="s">
        <v>41</v>
      </c>
      <c r="B40" s="207">
        <v>1.016</v>
      </c>
      <c r="C40" s="207">
        <f t="shared" ref="C40:F40" si="23">C42</f>
        <v>1.0119894409370382</v>
      </c>
      <c r="D40" s="207">
        <f t="shared" si="23"/>
        <v>0.99594423257000464</v>
      </c>
      <c r="E40" s="207">
        <f t="shared" si="23"/>
        <v>0.96929175495887743</v>
      </c>
      <c r="F40" s="207">
        <f t="shared" si="23"/>
        <v>1.0133348824580737</v>
      </c>
      <c r="G40" s="207">
        <f>G42</f>
        <v>1.0123238361391926</v>
      </c>
      <c r="I40" s="207">
        <f>I42</f>
        <v>1</v>
      </c>
    </row>
    <row r="41" spans="1:17" x14ac:dyDescent="0.2">
      <c r="B41" s="24"/>
      <c r="C41" s="24"/>
      <c r="D41" s="24"/>
      <c r="E41" s="24"/>
      <c r="F41" s="24"/>
      <c r="G41" s="24"/>
      <c r="I41" s="24"/>
    </row>
    <row r="42" spans="1:17" x14ac:dyDescent="0.2">
      <c r="A42" t="s">
        <v>13</v>
      </c>
      <c r="B42" s="24">
        <f>GEOMEAN(B23:B38)</f>
        <v>1.0189460551491896</v>
      </c>
      <c r="C42" s="24">
        <f t="shared" ref="C42:G42" si="24">GEOMEAN(C23:C38)</f>
        <v>1.0119894409370382</v>
      </c>
      <c r="D42" s="24">
        <f t="shared" si="24"/>
        <v>0.99594423257000464</v>
      </c>
      <c r="E42" s="24">
        <f t="shared" si="24"/>
        <v>0.96929175495887743</v>
      </c>
      <c r="F42" s="24">
        <f t="shared" si="24"/>
        <v>1.0133348824580737</v>
      </c>
      <c r="G42" s="24">
        <f t="shared" si="24"/>
        <v>1.0123238361391926</v>
      </c>
      <c r="I42" s="24">
        <f t="shared" ref="I42" si="25">GEOMEAN(I23:I38)</f>
        <v>1</v>
      </c>
    </row>
    <row r="43" spans="1:17" x14ac:dyDescent="0.2">
      <c r="A43" s="3"/>
      <c r="B43" s="24"/>
      <c r="C43" s="24"/>
      <c r="D43" s="24"/>
      <c r="E43" s="24"/>
      <c r="F43" s="24"/>
      <c r="G43" s="24"/>
    </row>
    <row r="44" spans="1:17" x14ac:dyDescent="0.2">
      <c r="A44" s="3"/>
      <c r="B44" s="24"/>
      <c r="C44" s="24"/>
      <c r="D44" s="24"/>
      <c r="E44" s="24"/>
      <c r="F44" s="24"/>
      <c r="G44" s="24"/>
    </row>
    <row r="45" spans="1:17" x14ac:dyDescent="0.2">
      <c r="A45" s="3"/>
      <c r="B45" s="24"/>
      <c r="C45" s="24"/>
      <c r="D45" s="24"/>
      <c r="E45" s="24"/>
      <c r="F45" s="24"/>
      <c r="G45" s="24"/>
    </row>
    <row r="46" spans="1:17" x14ac:dyDescent="0.2">
      <c r="A46" s="3"/>
      <c r="B46" s="24"/>
      <c r="C46" s="24"/>
      <c r="D46" s="24"/>
      <c r="E46" s="24"/>
      <c r="F46" s="24"/>
      <c r="G46" s="24"/>
    </row>
    <row r="47" spans="1:17" x14ac:dyDescent="0.2">
      <c r="A47" s="3"/>
      <c r="B47" s="24"/>
      <c r="C47" s="24"/>
      <c r="D47" s="24"/>
      <c r="E47" s="24"/>
      <c r="F47" s="24"/>
      <c r="G47" s="24"/>
    </row>
    <row r="48" spans="1:17" x14ac:dyDescent="0.2">
      <c r="A48" s="3"/>
      <c r="B48" s="24"/>
      <c r="C48" s="24"/>
      <c r="D48" s="24"/>
      <c r="E48" s="24"/>
      <c r="F48" s="24"/>
      <c r="G48" s="24"/>
    </row>
    <row r="49" spans="1:7" x14ac:dyDescent="0.2">
      <c r="A49" s="3"/>
      <c r="B49" s="24"/>
      <c r="C49" s="24"/>
      <c r="D49" s="24"/>
      <c r="E49" s="24"/>
      <c r="F49" s="24"/>
      <c r="G49" s="24"/>
    </row>
    <row r="50" spans="1:7" x14ac:dyDescent="0.2">
      <c r="A50" s="3"/>
      <c r="B50" s="24"/>
      <c r="C50" s="24"/>
      <c r="D50" s="24"/>
      <c r="E50" s="24"/>
      <c r="F50" s="24"/>
      <c r="G50" s="24"/>
    </row>
    <row r="51" spans="1:7" x14ac:dyDescent="0.2">
      <c r="B51" s="24"/>
      <c r="C51" s="24"/>
      <c r="D51" s="24"/>
      <c r="E51" s="24"/>
      <c r="F51" s="24"/>
      <c r="G51" s="24"/>
    </row>
    <row r="52" spans="1:7" x14ac:dyDescent="0.2">
      <c r="B52" s="24"/>
      <c r="C52" s="24"/>
      <c r="D52" s="24"/>
      <c r="E52" s="24"/>
      <c r="F52" s="24"/>
      <c r="G52" s="24"/>
    </row>
    <row r="53" spans="1:7" x14ac:dyDescent="0.2">
      <c r="B53" s="24"/>
      <c r="C53" s="24"/>
      <c r="D53" s="24"/>
      <c r="E53" s="24"/>
      <c r="F53" s="24"/>
      <c r="G53" s="24"/>
    </row>
    <row r="54" spans="1:7" x14ac:dyDescent="0.2">
      <c r="B54" s="24"/>
      <c r="C54" s="24"/>
      <c r="D54" s="24"/>
      <c r="E54" s="24"/>
      <c r="F54" s="24"/>
      <c r="G54" s="24"/>
    </row>
    <row r="55" spans="1:7" x14ac:dyDescent="0.2">
      <c r="B55" s="24"/>
      <c r="C55" s="24"/>
      <c r="D55" s="24"/>
      <c r="E55" s="24"/>
      <c r="F55" s="24"/>
      <c r="G55" s="24"/>
    </row>
    <row r="56" spans="1:7" x14ac:dyDescent="0.2">
      <c r="B56" s="24"/>
      <c r="C56" s="24"/>
      <c r="D56" s="24"/>
      <c r="E56" s="24"/>
      <c r="F56" s="24"/>
      <c r="G56" s="24"/>
    </row>
    <row r="57" spans="1:7" x14ac:dyDescent="0.2">
      <c r="B57" s="24"/>
      <c r="C57" s="24"/>
      <c r="D57" s="24"/>
      <c r="E57" s="24"/>
      <c r="F57" s="24"/>
      <c r="G57" s="24"/>
    </row>
    <row r="58" spans="1:7" x14ac:dyDescent="0.2">
      <c r="B58" s="24"/>
      <c r="C58" s="24"/>
      <c r="D58" s="24"/>
      <c r="E58" s="24"/>
      <c r="F58" s="24"/>
      <c r="G58" s="24"/>
    </row>
    <row r="59" spans="1:7" x14ac:dyDescent="0.2">
      <c r="B59" s="24"/>
      <c r="C59" s="24"/>
      <c r="D59" s="24"/>
      <c r="E59" s="24"/>
      <c r="F59" s="24"/>
      <c r="G59" s="24"/>
    </row>
    <row r="60" spans="1:7" x14ac:dyDescent="0.2">
      <c r="B60" s="24"/>
      <c r="C60" s="24"/>
      <c r="D60" s="24"/>
      <c r="E60" s="24"/>
      <c r="F60" s="24"/>
      <c r="G60" s="24"/>
    </row>
    <row r="61" spans="1:7" x14ac:dyDescent="0.2">
      <c r="B61" s="24"/>
      <c r="C61" s="24"/>
      <c r="D61" s="24"/>
      <c r="E61" s="24"/>
      <c r="F61" s="24"/>
      <c r="G61" s="24"/>
    </row>
    <row r="62" spans="1:7" x14ac:dyDescent="0.2">
      <c r="B62" s="24"/>
      <c r="C62" s="24"/>
      <c r="D62" s="24"/>
      <c r="E62" s="24"/>
      <c r="F62" s="24"/>
      <c r="G62" s="24"/>
    </row>
    <row r="63" spans="1:7" x14ac:dyDescent="0.2">
      <c r="B63" s="24"/>
      <c r="C63" s="24"/>
      <c r="D63" s="24"/>
      <c r="E63" s="24"/>
      <c r="F63" s="24"/>
      <c r="G63" s="24"/>
    </row>
    <row r="64" spans="1:7" x14ac:dyDescent="0.2">
      <c r="B64" s="24"/>
      <c r="C64" s="24"/>
      <c r="D64" s="24"/>
      <c r="E64" s="24"/>
      <c r="F64" s="24"/>
      <c r="G64" s="24"/>
    </row>
    <row r="65" spans="2:7" x14ac:dyDescent="0.2">
      <c r="B65" s="24"/>
      <c r="C65" s="24"/>
      <c r="D65" s="24"/>
      <c r="E65" s="24"/>
      <c r="F65" s="24"/>
      <c r="G65" s="24"/>
    </row>
    <row r="66" spans="2:7" x14ac:dyDescent="0.2">
      <c r="B66" s="24"/>
      <c r="C66" s="24"/>
      <c r="D66" s="24"/>
      <c r="E66" s="24"/>
      <c r="F66" s="24"/>
      <c r="G66" s="24"/>
    </row>
    <row r="67" spans="2:7" x14ac:dyDescent="0.2">
      <c r="B67" s="24"/>
      <c r="C67" s="24"/>
      <c r="D67" s="24"/>
      <c r="E67" s="24"/>
      <c r="F67" s="24"/>
      <c r="G67" s="24"/>
    </row>
    <row r="68" spans="2:7" x14ac:dyDescent="0.2">
      <c r="B68" s="24"/>
      <c r="C68" s="24"/>
      <c r="D68" s="24"/>
      <c r="E68" s="24"/>
      <c r="F68" s="24"/>
      <c r="G68" s="24"/>
    </row>
    <row r="69" spans="2:7" x14ac:dyDescent="0.2">
      <c r="B69" s="24"/>
      <c r="C69" s="24"/>
      <c r="F69" s="24"/>
      <c r="G69" s="24"/>
    </row>
    <row r="75" spans="2:7" x14ac:dyDescent="0.2">
      <c r="D75" s="25"/>
      <c r="E75" s="25"/>
    </row>
    <row r="76" spans="2:7" x14ac:dyDescent="0.2">
      <c r="B76" s="25"/>
      <c r="C76" s="25"/>
      <c r="D76" s="25"/>
      <c r="E76" s="25"/>
      <c r="F76" s="25"/>
      <c r="G76" s="25"/>
    </row>
    <row r="77" spans="2:7" x14ac:dyDescent="0.2">
      <c r="B77" s="25"/>
      <c r="C77" s="25"/>
      <c r="F77" s="25"/>
      <c r="G77" s="25"/>
    </row>
    <row r="95" spans="2:7" x14ac:dyDescent="0.2">
      <c r="D95" s="13"/>
      <c r="E95" s="13"/>
    </row>
    <row r="96" spans="2:7" x14ac:dyDescent="0.2">
      <c r="B96" s="13"/>
      <c r="C96" s="13"/>
      <c r="D96" s="13"/>
      <c r="E96" s="13"/>
      <c r="F96" s="13"/>
      <c r="G96" s="13"/>
    </row>
    <row r="97" spans="2:7" x14ac:dyDescent="0.2">
      <c r="B97" s="13"/>
      <c r="C97" s="13"/>
      <c r="F97" s="13"/>
      <c r="G97" s="13"/>
    </row>
  </sheetData>
  <mergeCells count="1">
    <mergeCell ref="A1:J1"/>
  </mergeCells>
  <phoneticPr fontId="0" type="noConversion"/>
  <pageMargins left="0.55000000000000004" right="0.18" top="0.73" bottom="0.74" header="0.5" footer="0.5"/>
  <pageSetup scale="91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63"/>
  <sheetViews>
    <sheetView workbookViewId="0">
      <selection activeCell="G4" sqref="G4"/>
    </sheetView>
  </sheetViews>
  <sheetFormatPr defaultRowHeight="12.75" x14ac:dyDescent="0.2"/>
  <cols>
    <col min="1" max="1" width="11" customWidth="1"/>
    <col min="2" max="2" width="14.140625" style="5" bestFit="1" customWidth="1"/>
    <col min="3" max="3" width="16" style="5" bestFit="1" customWidth="1"/>
    <col min="4" max="4" width="17.7109375" style="5" customWidth="1"/>
    <col min="5" max="5" width="18" style="5" customWidth="1"/>
    <col min="6" max="6" width="12.7109375" style="5" bestFit="1" customWidth="1"/>
    <col min="7" max="7" width="11.7109375" bestFit="1" customWidth="1"/>
    <col min="8" max="8" width="10.7109375" bestFit="1" customWidth="1"/>
    <col min="9" max="9" width="17" customWidth="1"/>
    <col min="10" max="10" width="11.28515625" bestFit="1" customWidth="1"/>
  </cols>
  <sheetData>
    <row r="1" spans="1:7" x14ac:dyDescent="0.2">
      <c r="A1" s="504" t="s">
        <v>152</v>
      </c>
      <c r="B1" s="504"/>
      <c r="C1" s="504"/>
      <c r="D1" s="504"/>
      <c r="E1" s="504"/>
    </row>
    <row r="2" spans="1:7" ht="42" customHeight="1" x14ac:dyDescent="0.2">
      <c r="B2" s="6" t="str">
        <f>'Rate Class Customer Model'!D2</f>
        <v>General Service
&gt; 50 kW</v>
      </c>
      <c r="C2" s="6" t="str">
        <f>'Rate Class Customer Model'!E2</f>
        <v>Large User</v>
      </c>
      <c r="D2" s="6" t="str">
        <f>'Rate Class Customer Model'!F2</f>
        <v xml:space="preserve">Streetlights </v>
      </c>
      <c r="E2" s="5" t="s">
        <v>10</v>
      </c>
      <c r="F2" s="153"/>
      <c r="G2" s="153"/>
    </row>
    <row r="3" spans="1:7" x14ac:dyDescent="0.2">
      <c r="A3" s="274">
        <v>2000</v>
      </c>
      <c r="B3" s="46">
        <v>1702404</v>
      </c>
      <c r="C3" s="46">
        <v>339080</v>
      </c>
      <c r="D3" s="46">
        <v>39194</v>
      </c>
      <c r="E3" s="5">
        <f t="shared" ref="E3:E17" si="0">SUM(B3:D3)</f>
        <v>2080678</v>
      </c>
      <c r="G3" s="5"/>
    </row>
    <row r="4" spans="1:7" x14ac:dyDescent="0.2">
      <c r="A4" s="274">
        <v>2001</v>
      </c>
      <c r="B4" s="47">
        <v>2097765</v>
      </c>
      <c r="C4" s="47">
        <v>423831</v>
      </c>
      <c r="D4" s="47">
        <v>39703</v>
      </c>
      <c r="E4" s="5">
        <f t="shared" si="0"/>
        <v>2561299</v>
      </c>
      <c r="G4" s="5"/>
    </row>
    <row r="5" spans="1:7" x14ac:dyDescent="0.2">
      <c r="A5" s="274">
        <v>2002</v>
      </c>
      <c r="B5" s="47">
        <v>2249449</v>
      </c>
      <c r="C5" s="47">
        <v>475022</v>
      </c>
      <c r="D5" s="47">
        <v>36995</v>
      </c>
      <c r="E5" s="5">
        <f t="shared" si="0"/>
        <v>2761466</v>
      </c>
      <c r="G5" s="5"/>
    </row>
    <row r="6" spans="1:7" x14ac:dyDescent="0.2">
      <c r="A6" s="274">
        <v>2003</v>
      </c>
      <c r="B6" s="47">
        <v>2243396</v>
      </c>
      <c r="C6" s="47">
        <v>474685</v>
      </c>
      <c r="D6" s="47">
        <v>41407</v>
      </c>
      <c r="E6" s="5">
        <f t="shared" si="0"/>
        <v>2759488</v>
      </c>
      <c r="G6" s="5"/>
    </row>
    <row r="7" spans="1:7" x14ac:dyDescent="0.2">
      <c r="A7" s="274">
        <v>2004</v>
      </c>
      <c r="B7" s="47">
        <v>2273819</v>
      </c>
      <c r="C7" s="47">
        <v>460426</v>
      </c>
      <c r="D7" s="47">
        <v>41732</v>
      </c>
      <c r="E7" s="5">
        <f t="shared" si="0"/>
        <v>2775977</v>
      </c>
      <c r="G7" s="5"/>
    </row>
    <row r="8" spans="1:7" x14ac:dyDescent="0.2">
      <c r="A8" s="274">
        <v>2005</v>
      </c>
      <c r="B8" s="47">
        <v>2343889</v>
      </c>
      <c r="C8" s="47">
        <v>445748</v>
      </c>
      <c r="D8" s="47">
        <v>42148</v>
      </c>
      <c r="E8" s="5">
        <f t="shared" si="0"/>
        <v>2831785</v>
      </c>
      <c r="G8" s="5"/>
    </row>
    <row r="9" spans="1:7" x14ac:dyDescent="0.2">
      <c r="A9" s="274">
        <v>2006</v>
      </c>
      <c r="B9" s="47">
        <v>2306337</v>
      </c>
      <c r="C9" s="47">
        <v>381847</v>
      </c>
      <c r="D9" s="47">
        <v>42692</v>
      </c>
      <c r="E9" s="5">
        <f t="shared" si="0"/>
        <v>2730876</v>
      </c>
      <c r="G9" s="5"/>
    </row>
    <row r="10" spans="1:7" x14ac:dyDescent="0.2">
      <c r="A10" s="274">
        <v>2007</v>
      </c>
      <c r="B10" s="47">
        <v>2286676</v>
      </c>
      <c r="C10" s="47">
        <v>330481</v>
      </c>
      <c r="D10" s="47">
        <v>43371</v>
      </c>
      <c r="E10" s="5">
        <f t="shared" si="0"/>
        <v>2660528</v>
      </c>
      <c r="G10" s="5"/>
    </row>
    <row r="11" spans="1:7" x14ac:dyDescent="0.2">
      <c r="A11" s="274">
        <v>2008</v>
      </c>
      <c r="B11" s="47">
        <v>2227288</v>
      </c>
      <c r="C11" s="47">
        <v>329862</v>
      </c>
      <c r="D11" s="47">
        <v>45893</v>
      </c>
      <c r="E11" s="5">
        <f t="shared" si="0"/>
        <v>2603043</v>
      </c>
      <c r="G11" s="5"/>
    </row>
    <row r="12" spans="1:7" x14ac:dyDescent="0.2">
      <c r="A12" s="274">
        <v>2009</v>
      </c>
      <c r="B12" s="47">
        <v>2169096</v>
      </c>
      <c r="C12" s="47">
        <v>171311</v>
      </c>
      <c r="D12" s="47">
        <v>44226</v>
      </c>
      <c r="E12" s="5">
        <f t="shared" si="0"/>
        <v>2384633</v>
      </c>
      <c r="G12" s="5"/>
    </row>
    <row r="13" spans="1:7" x14ac:dyDescent="0.2">
      <c r="A13" s="274">
        <v>2010</v>
      </c>
      <c r="B13" s="47">
        <v>2260312</v>
      </c>
      <c r="C13" s="47">
        <v>95621</v>
      </c>
      <c r="D13" s="47">
        <v>44895</v>
      </c>
      <c r="E13" s="5">
        <f t="shared" si="0"/>
        <v>2400828</v>
      </c>
      <c r="G13" s="5"/>
    </row>
    <row r="14" spans="1:7" x14ac:dyDescent="0.2">
      <c r="A14" s="274">
        <v>2011</v>
      </c>
      <c r="B14" s="47">
        <v>2244883</v>
      </c>
      <c r="C14" s="47">
        <v>105771</v>
      </c>
      <c r="D14" s="47">
        <v>44252</v>
      </c>
      <c r="E14" s="5">
        <f t="shared" si="0"/>
        <v>2394906</v>
      </c>
      <c r="G14" s="5"/>
    </row>
    <row r="15" spans="1:7" x14ac:dyDescent="0.2">
      <c r="A15" s="274">
        <v>2012</v>
      </c>
      <c r="B15" s="47">
        <v>2227931</v>
      </c>
      <c r="C15" s="47">
        <v>136790</v>
      </c>
      <c r="D15" s="47">
        <v>44229</v>
      </c>
      <c r="E15" s="5">
        <f t="shared" si="0"/>
        <v>2408950</v>
      </c>
      <c r="G15" s="5"/>
    </row>
    <row r="16" spans="1:7" x14ac:dyDescent="0.2">
      <c r="A16" s="274">
        <v>2013</v>
      </c>
      <c r="B16" s="29">
        <f>'Rate Class Energy Model'!N83*$B$34</f>
        <v>2187519.7565133185</v>
      </c>
      <c r="C16" s="29">
        <f>'Rate Class Energy Model'!O83*C34</f>
        <v>130795.77587097054</v>
      </c>
      <c r="D16" s="29">
        <f>'Rate Class Energy Model'!P83*D34</f>
        <v>44502.095867100063</v>
      </c>
      <c r="E16" s="5">
        <f t="shared" si="0"/>
        <v>2362817.6282513891</v>
      </c>
      <c r="G16" s="5"/>
    </row>
    <row r="17" spans="1:7" x14ac:dyDescent="0.2">
      <c r="A17" s="274">
        <v>2014</v>
      </c>
      <c r="B17" s="29">
        <f>'Rate Class Energy Model'!N84*B34</f>
        <v>2207473.2170931115</v>
      </c>
      <c r="C17" s="29">
        <f>'Rate Class Energy Model'!O84*C34</f>
        <v>63001.717773348704</v>
      </c>
      <c r="D17" s="29">
        <f>'Rate Class Energy Model'!P84*D34</f>
        <v>45145.286564759699</v>
      </c>
      <c r="E17" s="5">
        <f t="shared" si="0"/>
        <v>2315620.22143122</v>
      </c>
      <c r="G17" s="5"/>
    </row>
    <row r="18" spans="1:7" x14ac:dyDescent="0.2">
      <c r="A18" s="19"/>
    </row>
    <row r="19" spans="1:7" x14ac:dyDescent="0.2">
      <c r="A19" s="18" t="s">
        <v>42</v>
      </c>
      <c r="B19" s="4"/>
      <c r="C19" s="4"/>
      <c r="D19" s="4"/>
    </row>
    <row r="20" spans="1:7" x14ac:dyDescent="0.2">
      <c r="A20" s="273">
        <v>2000</v>
      </c>
      <c r="B20" s="27">
        <f>B3/'Rate Class Energy Model'!M10</f>
        <v>2.0218305764707727E-3</v>
      </c>
      <c r="C20" s="27">
        <f>C3/'Rate Class Energy Model'!N10</f>
        <v>1.802784048742585E-3</v>
      </c>
      <c r="D20" s="27">
        <f>D3/'Rate Class Energy Model'!O10</f>
        <v>2.8607286997274959E-3</v>
      </c>
      <c r="F20" s="27"/>
    </row>
    <row r="21" spans="1:7" x14ac:dyDescent="0.2">
      <c r="A21" s="273">
        <v>2001</v>
      </c>
      <c r="B21" s="27">
        <f>B4/'Rate Class Energy Model'!M11</f>
        <v>2.3763879809171797E-3</v>
      </c>
      <c r="C21" s="27">
        <f>C4/'Rate Class Energy Model'!N11</f>
        <v>1.8502086276321718E-3</v>
      </c>
      <c r="D21" s="27">
        <f>D4/'Rate Class Energy Model'!O11</f>
        <v>2.860835413226898E-3</v>
      </c>
      <c r="F21" s="27"/>
    </row>
    <row r="22" spans="1:7" x14ac:dyDescent="0.2">
      <c r="A22" s="273">
        <v>2002</v>
      </c>
      <c r="B22" s="27">
        <f>B5/'Rate Class Energy Model'!M12</f>
        <v>2.604481765546653E-3</v>
      </c>
      <c r="C22" s="27">
        <f>C5/'Rate Class Energy Model'!N12</f>
        <v>1.8457549257012362E-3</v>
      </c>
      <c r="D22" s="27">
        <f>D5/'Rate Class Energy Model'!O12</f>
        <v>2.9622510962410919E-3</v>
      </c>
      <c r="F22" s="27"/>
    </row>
    <row r="23" spans="1:7" x14ac:dyDescent="0.2">
      <c r="A23" s="273">
        <v>2003</v>
      </c>
      <c r="B23" s="27">
        <f>B6/'Rate Class Energy Model'!M13</f>
        <v>2.602020174764717E-3</v>
      </c>
      <c r="C23" s="27">
        <f>C6/'Rate Class Energy Model'!N13</f>
        <v>1.8756875968603262E-3</v>
      </c>
      <c r="D23" s="27">
        <f>D6/'Rate Class Energy Model'!O13</f>
        <v>2.7927548222688456E-3</v>
      </c>
      <c r="F23" s="27"/>
    </row>
    <row r="24" spans="1:7" x14ac:dyDescent="0.2">
      <c r="A24" s="273">
        <v>2004</v>
      </c>
      <c r="B24" s="27">
        <f>B7/'Rate Class Energy Model'!M14</f>
        <v>2.5794653514986726E-3</v>
      </c>
      <c r="C24" s="27">
        <f>C7/'Rate Class Energy Model'!N14</f>
        <v>1.9614466876838326E-3</v>
      </c>
      <c r="D24" s="27">
        <f>D7/'Rate Class Energy Model'!O14</f>
        <v>2.7791385336494727E-3</v>
      </c>
      <c r="F24" s="27"/>
    </row>
    <row r="25" spans="1:7" x14ac:dyDescent="0.2">
      <c r="A25" s="273">
        <v>2005</v>
      </c>
      <c r="B25" s="27">
        <f>B8/'Rate Class Energy Model'!M15</f>
        <v>2.5506085485221389E-3</v>
      </c>
      <c r="C25" s="27">
        <f>C8/'Rate Class Energy Model'!N15</f>
        <v>1.9208440302812735E-3</v>
      </c>
      <c r="D25" s="27">
        <f>D8/'Rate Class Energy Model'!O15</f>
        <v>2.7915185733875052E-3</v>
      </c>
      <c r="F25" s="27"/>
    </row>
    <row r="26" spans="1:7" x14ac:dyDescent="0.2">
      <c r="A26" s="273">
        <v>2006</v>
      </c>
      <c r="B26" s="27">
        <f>B9/'Rate Class Energy Model'!M16</f>
        <v>2.6805055255852668E-3</v>
      </c>
      <c r="C26" s="27">
        <f>C9/'Rate Class Energy Model'!N16</f>
        <v>2.0983394610620725E-3</v>
      </c>
      <c r="D26" s="27">
        <f>D9/'Rate Class Energy Model'!O16</f>
        <v>2.7920198928474403E-3</v>
      </c>
      <c r="F26" s="27"/>
    </row>
    <row r="27" spans="1:7" x14ac:dyDescent="0.2">
      <c r="A27" s="273">
        <v>2007</v>
      </c>
      <c r="B27" s="27">
        <f>B10/'Rate Class Energy Model'!M17</f>
        <v>2.6380840852090327E-3</v>
      </c>
      <c r="C27" s="27">
        <f>C10/'Rate Class Energy Model'!N17</f>
        <v>2.0958864250142551E-3</v>
      </c>
      <c r="D27" s="27">
        <f>D10/'Rate Class Energy Model'!O17</f>
        <v>2.7906588885197696E-3</v>
      </c>
      <c r="F27" s="27"/>
    </row>
    <row r="28" spans="1:7" x14ac:dyDescent="0.2">
      <c r="A28" s="273">
        <v>2008</v>
      </c>
      <c r="B28" s="27">
        <f>B11/'Rate Class Energy Model'!M18</f>
        <v>2.657818063715971E-3</v>
      </c>
      <c r="C28" s="27">
        <f>C11/'Rate Class Energy Model'!N18</f>
        <v>2.2450469318205787E-3</v>
      </c>
      <c r="D28" s="27">
        <f>D11/'Rate Class Energy Model'!O18</f>
        <v>2.6161183628102924E-3</v>
      </c>
      <c r="F28" s="27"/>
    </row>
    <row r="29" spans="1:7" x14ac:dyDescent="0.2">
      <c r="A29" s="273">
        <v>2009</v>
      </c>
      <c r="B29" s="27">
        <f>B12/'Rate Class Energy Model'!M19</f>
        <v>2.642274511612796E-3</v>
      </c>
      <c r="C29" s="27">
        <f>C12/'Rate Class Energy Model'!N19</f>
        <v>2.1461523606441978E-3</v>
      </c>
      <c r="D29" s="27">
        <f>D12/'Rate Class Energy Model'!O19</f>
        <v>2.7778555929640725E-3</v>
      </c>
      <c r="F29" s="27"/>
    </row>
    <row r="30" spans="1:7" x14ac:dyDescent="0.2">
      <c r="A30" s="273">
        <v>2010</v>
      </c>
      <c r="B30" s="27">
        <f>B13/'Rate Class Energy Model'!M20</f>
        <v>2.5776612434298585E-3</v>
      </c>
      <c r="C30" s="27">
        <f>C13/'Rate Class Energy Model'!N20</f>
        <v>2.0535557089132192E-3</v>
      </c>
      <c r="D30" s="27">
        <f>D13/'Rate Class Energy Model'!O20</f>
        <v>2.7997924804664663E-3</v>
      </c>
      <c r="F30" s="27"/>
    </row>
    <row r="31" spans="1:7" x14ac:dyDescent="0.2">
      <c r="A31" s="273">
        <v>2011</v>
      </c>
      <c r="B31" s="27">
        <f>B14/'Rate Class Energy Model'!M21</f>
        <v>2.576611271021607E-3</v>
      </c>
      <c r="C31" s="27">
        <f>C14/'Rate Class Energy Model'!N21</f>
        <v>1.8882530047298353E-3</v>
      </c>
      <c r="D31" s="27">
        <f>D14/'Rate Class Energy Model'!O21</f>
        <v>2.7906006475918867E-3</v>
      </c>
      <c r="F31" s="27"/>
    </row>
    <row r="32" spans="1:7" x14ac:dyDescent="0.2">
      <c r="A32" s="273">
        <v>2012</v>
      </c>
      <c r="B32" s="27">
        <f>B15/'Rate Class Energy Model'!M22</f>
        <v>2.6186661485402361E-3</v>
      </c>
      <c r="C32" s="27">
        <f>C15/'Rate Class Energy Model'!N22</f>
        <v>1.9722772135614469E-3</v>
      </c>
      <c r="D32" s="27">
        <f>D15/'Rate Class Energy Model'!O22</f>
        <v>2.7741083968947596E-3</v>
      </c>
      <c r="F32" s="27"/>
    </row>
    <row r="34" spans="1:6" x14ac:dyDescent="0.2">
      <c r="A34" t="s">
        <v>12</v>
      </c>
      <c r="B34" s="27">
        <f>AVERAGE(B20:B32)</f>
        <v>2.5481857882180691E-3</v>
      </c>
      <c r="C34" s="27">
        <f>AVERAGE(C20:C32)</f>
        <v>1.9812490017420792E-3</v>
      </c>
      <c r="D34" s="27">
        <f t="shared" ref="D34" si="1">AVERAGE(D20:D32)</f>
        <v>2.7991062615843076E-3</v>
      </c>
      <c r="F34" s="27"/>
    </row>
    <row r="36" spans="1:6" x14ac:dyDescent="0.2">
      <c r="B36"/>
      <c r="C36" s="505" t="s">
        <v>229</v>
      </c>
      <c r="D36" s="505"/>
    </row>
    <row r="37" spans="1:6" x14ac:dyDescent="0.2">
      <c r="B37"/>
      <c r="C37" s="284" t="s">
        <v>105</v>
      </c>
      <c r="D37" s="284" t="s">
        <v>134</v>
      </c>
    </row>
    <row r="38" spans="1:6" x14ac:dyDescent="0.2">
      <c r="B38" s="286">
        <v>41436</v>
      </c>
      <c r="C38" s="285">
        <v>2656702.2888000002</v>
      </c>
      <c r="D38" s="285">
        <v>5422.0320000000002</v>
      </c>
    </row>
    <row r="39" spans="1:6" x14ac:dyDescent="0.2">
      <c r="B39" s="286">
        <v>41466</v>
      </c>
      <c r="C39" s="285">
        <v>2453203.4309999999</v>
      </c>
      <c r="D39" s="285">
        <v>5311.152</v>
      </c>
    </row>
    <row r="40" spans="1:6" x14ac:dyDescent="0.2">
      <c r="B40" s="286">
        <v>41497</v>
      </c>
      <c r="C40" s="285">
        <v>2774492.0833999999</v>
      </c>
      <c r="D40" s="285">
        <v>5344.4160000000002</v>
      </c>
    </row>
    <row r="41" spans="1:6" x14ac:dyDescent="0.2">
      <c r="B41" s="286">
        <v>41528</v>
      </c>
      <c r="C41" s="285">
        <v>2610932.9904</v>
      </c>
      <c r="D41" s="285">
        <v>5078.3033999999998</v>
      </c>
    </row>
    <row r="42" spans="1:6" x14ac:dyDescent="0.2">
      <c r="B42" s="286">
        <v>41558</v>
      </c>
      <c r="C42" s="285">
        <v>2766213.639</v>
      </c>
      <c r="D42" s="285">
        <v>4645.8720000000003</v>
      </c>
    </row>
    <row r="43" spans="1:6" x14ac:dyDescent="0.2">
      <c r="B43" s="286">
        <v>41589</v>
      </c>
      <c r="C43" s="285">
        <v>2682213.1836999999</v>
      </c>
      <c r="D43" s="285">
        <v>5488.56</v>
      </c>
    </row>
    <row r="44" spans="1:6" x14ac:dyDescent="0.2">
      <c r="B44" s="286">
        <v>41619</v>
      </c>
      <c r="C44" s="285">
        <v>2331092.8569999998</v>
      </c>
      <c r="D44" s="285">
        <v>5100.4799999999996</v>
      </c>
    </row>
    <row r="45" spans="1:6" x14ac:dyDescent="0.2">
      <c r="B45" s="286">
        <v>41286</v>
      </c>
      <c r="C45" s="285">
        <v>2732241.335</v>
      </c>
      <c r="D45" s="285">
        <v>5189.1840000000002</v>
      </c>
    </row>
    <row r="46" spans="1:6" x14ac:dyDescent="0.2">
      <c r="B46" s="286">
        <v>41317</v>
      </c>
      <c r="C46" s="285">
        <v>2663289.0144000002</v>
      </c>
      <c r="D46" s="285">
        <v>5388.7673999999997</v>
      </c>
    </row>
    <row r="47" spans="1:6" x14ac:dyDescent="0.2">
      <c r="B47" s="286">
        <v>41345</v>
      </c>
      <c r="C47" s="285">
        <v>2804734.7244000002</v>
      </c>
      <c r="D47" s="285">
        <v>5333.3280000000004</v>
      </c>
    </row>
    <row r="48" spans="1:6" x14ac:dyDescent="0.2">
      <c r="B48" s="286">
        <v>41376</v>
      </c>
      <c r="C48" s="285">
        <v>2723836.2228000001</v>
      </c>
      <c r="D48" s="285">
        <v>5344.16</v>
      </c>
    </row>
    <row r="49" spans="2:4" x14ac:dyDescent="0.2">
      <c r="B49" s="286">
        <v>41406</v>
      </c>
      <c r="C49" s="285">
        <v>2908298.3177</v>
      </c>
      <c r="D49" s="285">
        <v>5277.8879999999999</v>
      </c>
    </row>
    <row r="50" spans="2:4" x14ac:dyDescent="0.2">
      <c r="B50" s="286">
        <v>41437</v>
      </c>
      <c r="C50" s="285">
        <v>2687220.7840999998</v>
      </c>
      <c r="D50" s="285">
        <v>5333.3280000000004</v>
      </c>
    </row>
    <row r="51" spans="2:4" x14ac:dyDescent="0.2">
      <c r="B51" s="286">
        <v>41467</v>
      </c>
      <c r="C51" s="285">
        <v>2458095.6228999998</v>
      </c>
      <c r="D51" s="285">
        <v>5288.9759999999997</v>
      </c>
    </row>
    <row r="52" spans="2:4" x14ac:dyDescent="0.2">
      <c r="B52" s="286">
        <v>41498</v>
      </c>
      <c r="C52" s="285">
        <v>2810634.6290000002</v>
      </c>
      <c r="D52" s="285">
        <v>5155.92</v>
      </c>
    </row>
    <row r="53" spans="2:4" x14ac:dyDescent="0.2">
      <c r="B53" s="287">
        <v>41529</v>
      </c>
      <c r="C53" s="285">
        <v>2598209.9136000001</v>
      </c>
      <c r="D53" s="285">
        <v>5288.9759999999997</v>
      </c>
    </row>
    <row r="54" spans="2:4" x14ac:dyDescent="0.2">
      <c r="B54" s="286">
        <v>41559</v>
      </c>
      <c r="C54" s="285">
        <v>2800613.7985999999</v>
      </c>
      <c r="D54" s="285">
        <v>5344.4160000000002</v>
      </c>
    </row>
    <row r="55" spans="2:4" x14ac:dyDescent="0.2">
      <c r="B55" s="286">
        <v>41590</v>
      </c>
      <c r="C55" s="285">
        <v>2611614.1817000001</v>
      </c>
      <c r="D55" s="285">
        <v>5189.1833999999999</v>
      </c>
    </row>
    <row r="56" spans="2:4" x14ac:dyDescent="0.2">
      <c r="B56" s="286">
        <v>41620</v>
      </c>
      <c r="C56" s="285">
        <v>2274762.2788999998</v>
      </c>
      <c r="D56" s="285">
        <v>5155.92</v>
      </c>
    </row>
    <row r="57" spans="2:4" x14ac:dyDescent="0.2">
      <c r="B57" s="288" t="s">
        <v>12</v>
      </c>
      <c r="C57" s="289">
        <f>AVERAGE(C38:C56)</f>
        <v>2649915.8577052634</v>
      </c>
      <c r="D57" s="289">
        <f>AVERAGE(D38:D56)</f>
        <v>5246.3611684210518</v>
      </c>
    </row>
    <row r="58" spans="2:4" x14ac:dyDescent="0.2">
      <c r="B58"/>
      <c r="C58" s="289">
        <f>+C57*12</f>
        <v>31798990.292463161</v>
      </c>
      <c r="D58"/>
    </row>
    <row r="62" spans="2:4" x14ac:dyDescent="0.2">
      <c r="B62" s="13"/>
      <c r="C62" s="13"/>
      <c r="D62" s="13"/>
    </row>
    <row r="63" spans="2:4" x14ac:dyDescent="0.2">
      <c r="B63" s="13"/>
      <c r="C63" s="13"/>
      <c r="D63" s="13"/>
    </row>
  </sheetData>
  <mergeCells count="2">
    <mergeCell ref="A1:E1"/>
    <mergeCell ref="C36:D36"/>
  </mergeCells>
  <phoneticPr fontId="0" type="noConversion"/>
  <pageMargins left="0.38" right="0.75" top="0.73" bottom="0.74" header="0.5" footer="0.5"/>
  <pageSetup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61"/>
  <sheetViews>
    <sheetView zoomScaleNormal="100" workbookViewId="0">
      <selection sqref="A1:H32"/>
    </sheetView>
  </sheetViews>
  <sheetFormatPr defaultRowHeight="12.75" x14ac:dyDescent="0.2"/>
  <cols>
    <col min="1" max="1" width="11.28515625" bestFit="1" customWidth="1"/>
    <col min="2" max="5" width="13.7109375" customWidth="1"/>
    <col min="6" max="6" width="12.85546875" bestFit="1" customWidth="1"/>
    <col min="7" max="7" width="13" bestFit="1" customWidth="1"/>
    <col min="8" max="8" width="12.85546875" bestFit="1" customWidth="1"/>
    <col min="11" max="11" width="12.7109375" customWidth="1"/>
    <col min="17" max="17" width="11.28515625" customWidth="1"/>
    <col min="18" max="18" width="11.28515625" bestFit="1" customWidth="1"/>
    <col min="19" max="19" width="11.42578125" customWidth="1"/>
    <col min="20" max="20" width="11" customWidth="1"/>
    <col min="21" max="21" width="11.28515625" bestFit="1" customWidth="1"/>
    <col min="26" max="26" width="13.140625" customWidth="1"/>
  </cols>
  <sheetData>
    <row r="1" spans="1:15" ht="51" x14ac:dyDescent="0.2">
      <c r="B1" s="255" t="s">
        <v>76</v>
      </c>
      <c r="C1" s="255" t="s">
        <v>77</v>
      </c>
      <c r="D1" s="255" t="s">
        <v>78</v>
      </c>
      <c r="E1" s="255" t="s">
        <v>79</v>
      </c>
      <c r="F1" s="255" t="s">
        <v>54</v>
      </c>
      <c r="G1" s="255" t="s">
        <v>55</v>
      </c>
      <c r="K1" s="493" t="s">
        <v>57</v>
      </c>
      <c r="L1" s="493"/>
    </row>
    <row r="2" spans="1:15" x14ac:dyDescent="0.2">
      <c r="A2">
        <v>2005</v>
      </c>
      <c r="B2" s="208">
        <v>292583</v>
      </c>
      <c r="C2" s="208">
        <f>+B2</f>
        <v>292583</v>
      </c>
      <c r="D2" s="62">
        <f>B2-C2</f>
        <v>0</v>
      </c>
      <c r="E2" s="63">
        <f>D2/C2</f>
        <v>0</v>
      </c>
      <c r="F2" s="58">
        <f>+C2</f>
        <v>292583</v>
      </c>
      <c r="G2" s="58">
        <f>F2</f>
        <v>292583</v>
      </c>
      <c r="H2" s="58">
        <f t="shared" ref="H2:H12" si="0">G2/$O$14</f>
        <v>3751.0641025641025</v>
      </c>
      <c r="K2" s="59">
        <f>+G53</f>
        <v>292583</v>
      </c>
      <c r="L2" s="59">
        <f t="shared" ref="L2:L11" si="1">F2-K2</f>
        <v>0</v>
      </c>
      <c r="N2" s="57" t="s">
        <v>58</v>
      </c>
      <c r="O2" s="57">
        <v>1</v>
      </c>
    </row>
    <row r="3" spans="1:15" x14ac:dyDescent="0.2">
      <c r="A3">
        <v>2006</v>
      </c>
      <c r="B3" s="208">
        <f>6741.06606532815*1000+4688792</f>
        <v>11429858.065328151</v>
      </c>
      <c r="C3" s="208">
        <f>6036.03497123582*1000+4688792</f>
        <v>10724826.971235819</v>
      </c>
      <c r="D3" s="62">
        <f>B3-C3</f>
        <v>705031.09409233183</v>
      </c>
      <c r="E3" s="63">
        <f>D3/C3</f>
        <v>6.5738225519464136E-2</v>
      </c>
      <c r="F3" s="58">
        <f>C3</f>
        <v>10724826.971235819</v>
      </c>
      <c r="G3" s="58">
        <f>+F3-H53</f>
        <v>10184673.740466589</v>
      </c>
      <c r="H3" s="58">
        <f t="shared" si="0"/>
        <v>130572.74026239217</v>
      </c>
      <c r="K3" s="59">
        <f>+G65</f>
        <v>10724826.971235819</v>
      </c>
      <c r="L3" s="59">
        <f>F3-K3</f>
        <v>0</v>
      </c>
      <c r="N3" s="57" t="s">
        <v>59</v>
      </c>
      <c r="O3" s="57">
        <v>2</v>
      </c>
    </row>
    <row r="4" spans="1:15" x14ac:dyDescent="0.2">
      <c r="A4">
        <v>2007</v>
      </c>
      <c r="B4" s="208">
        <f>18586.9486415392*1000+11539979</f>
        <v>30126927.641539197</v>
      </c>
      <c r="C4" s="208">
        <f>9923.81001153257*1000+11539979</f>
        <v>21463789.011532571</v>
      </c>
      <c r="D4" s="62">
        <f t="shared" ref="D4:D11" si="2">B4-C4</f>
        <v>8663138.6300066262</v>
      </c>
      <c r="E4" s="63">
        <f t="shared" ref="E4:E12" si="3">D4/C4</f>
        <v>0.40361646423899761</v>
      </c>
      <c r="F4" s="58">
        <f>C4</f>
        <v>21463789.011532571</v>
      </c>
      <c r="G4" s="58">
        <f>F4-H65</f>
        <v>2121161.1829788648</v>
      </c>
      <c r="H4" s="58">
        <f t="shared" si="0"/>
        <v>27194.374140754677</v>
      </c>
      <c r="K4" s="59">
        <f>+G77</f>
        <v>21463789.011532567</v>
      </c>
      <c r="L4" s="59">
        <f t="shared" si="1"/>
        <v>0</v>
      </c>
      <c r="N4" s="57" t="s">
        <v>60</v>
      </c>
      <c r="O4" s="57">
        <v>3</v>
      </c>
    </row>
    <row r="5" spans="1:15" x14ac:dyDescent="0.2">
      <c r="A5">
        <v>2008</v>
      </c>
      <c r="B5" s="208">
        <f>20499.3367049193*1000+13901639</f>
        <v>34400975.704919301</v>
      </c>
      <c r="C5" s="208">
        <f>13157.2704420728*1000+13901639</f>
        <v>27058909.442072801</v>
      </c>
      <c r="D5" s="62">
        <f t="shared" si="2"/>
        <v>7342066.2628464997</v>
      </c>
      <c r="E5" s="63">
        <f t="shared" si="3"/>
        <v>0.27133636995106014</v>
      </c>
      <c r="F5" s="58">
        <f>C5</f>
        <v>27058909.442072801</v>
      </c>
      <c r="G5" s="58">
        <f>F5-H77</f>
        <v>3800291.7372504361</v>
      </c>
      <c r="H5" s="58">
        <f t="shared" si="0"/>
        <v>48721.688939108157</v>
      </c>
      <c r="K5" s="59">
        <f>+G89</f>
        <v>27058909.44207279</v>
      </c>
      <c r="L5" s="59">
        <f t="shared" si="1"/>
        <v>0</v>
      </c>
      <c r="N5" s="57" t="s">
        <v>61</v>
      </c>
      <c r="O5" s="57">
        <v>4</v>
      </c>
    </row>
    <row r="6" spans="1:15" x14ac:dyDescent="0.2">
      <c r="A6">
        <v>2009</v>
      </c>
      <c r="B6" s="208">
        <f>32612.9542825993*1000+14769006</f>
        <v>47381960.2825993</v>
      </c>
      <c r="C6" s="208">
        <f>21886.5088881811*1000+14769006</f>
        <v>36655514.888181098</v>
      </c>
      <c r="D6" s="62">
        <f t="shared" si="2"/>
        <v>10726445.394418202</v>
      </c>
      <c r="E6" s="63">
        <f t="shared" si="3"/>
        <v>0.2926284196836299</v>
      </c>
      <c r="F6" s="58">
        <f>C6</f>
        <v>36655514.888181098</v>
      </c>
      <c r="G6" s="58">
        <f>F6-H89</f>
        <v>6380973.9761271738</v>
      </c>
      <c r="H6" s="58">
        <f t="shared" si="0"/>
        <v>81807.358668297093</v>
      </c>
      <c r="K6" s="59">
        <f>+G101</f>
        <v>36655514.88818109</v>
      </c>
      <c r="L6" s="59">
        <f t="shared" si="1"/>
        <v>0</v>
      </c>
      <c r="N6" s="57" t="s">
        <v>62</v>
      </c>
      <c r="O6" s="57">
        <v>5</v>
      </c>
    </row>
    <row r="7" spans="1:15" x14ac:dyDescent="0.2">
      <c r="A7">
        <v>2010</v>
      </c>
      <c r="B7" s="208">
        <f>40034.1386800697*1000+14630348</f>
        <v>54664486.6800697</v>
      </c>
      <c r="C7" s="208">
        <f>25013.2501520455*1000+14630348</f>
        <v>39643598.152045503</v>
      </c>
      <c r="D7" s="62">
        <f t="shared" si="2"/>
        <v>15020888.528024197</v>
      </c>
      <c r="E7" s="63">
        <f t="shared" si="3"/>
        <v>0.37889821379014155</v>
      </c>
      <c r="F7" s="58">
        <f>C7</f>
        <v>39643598.152045503</v>
      </c>
      <c r="G7" s="58">
        <f>F7-H101</f>
        <v>-2411202.4082431942</v>
      </c>
      <c r="H7" s="58">
        <f t="shared" si="0"/>
        <v>-30912.851387733259</v>
      </c>
      <c r="K7" s="59">
        <f>+G113</f>
        <v>39643598.152045511</v>
      </c>
      <c r="L7" s="59">
        <f t="shared" si="1"/>
        <v>0</v>
      </c>
      <c r="N7" s="57" t="s">
        <v>63</v>
      </c>
      <c r="O7" s="57">
        <v>6</v>
      </c>
    </row>
    <row r="8" spans="1:15" x14ac:dyDescent="0.2">
      <c r="A8">
        <v>2011</v>
      </c>
      <c r="B8" s="208">
        <f>37801.4631115964*1000+14630348</f>
        <v>52431811.111596398</v>
      </c>
      <c r="C8" s="208">
        <f>22744.6128792553*1000+14630348</f>
        <v>37374960.879255295</v>
      </c>
      <c r="D8" s="62">
        <f t="shared" si="2"/>
        <v>15056850.232341103</v>
      </c>
      <c r="E8" s="63">
        <f t="shared" si="3"/>
        <v>0.40285929076913901</v>
      </c>
      <c r="F8" s="58">
        <f>C8+A27</f>
        <v>50257589.466298394</v>
      </c>
      <c r="G8" s="58">
        <f>F8-H113</f>
        <v>12654239.505843259</v>
      </c>
      <c r="H8" s="58">
        <f t="shared" si="0"/>
        <v>162233.83981850333</v>
      </c>
      <c r="K8" s="59">
        <f>+G125</f>
        <v>50257589.466298394</v>
      </c>
      <c r="L8" s="59">
        <f t="shared" si="1"/>
        <v>0</v>
      </c>
      <c r="N8" s="57" t="s">
        <v>64</v>
      </c>
      <c r="O8" s="57">
        <v>7</v>
      </c>
    </row>
    <row r="9" spans="1:15" x14ac:dyDescent="0.2">
      <c r="A9">
        <v>2012</v>
      </c>
      <c r="B9" s="208">
        <f>36664.3239076692*1000+14282990</f>
        <v>50947313.907669194</v>
      </c>
      <c r="C9" s="208">
        <f>22256.7735965832*1000+14282990</f>
        <v>36539763.596583202</v>
      </c>
      <c r="D9" s="62">
        <f t="shared" si="2"/>
        <v>14407550.311085992</v>
      </c>
      <c r="E9" s="63">
        <f t="shared" si="3"/>
        <v>0.39429785233841053</v>
      </c>
      <c r="F9" s="58">
        <f>C9+B27+B28</f>
        <v>55878489.80257</v>
      </c>
      <c r="G9" s="58">
        <f>F9-H125</f>
        <v>-5086533.0917496309</v>
      </c>
      <c r="H9" s="58">
        <f t="shared" si="0"/>
        <v>-65211.96271473886</v>
      </c>
      <c r="K9" s="59">
        <f>+G137</f>
        <v>55878489.802569993</v>
      </c>
      <c r="L9" s="59">
        <f t="shared" si="1"/>
        <v>0</v>
      </c>
      <c r="N9" s="57" t="s">
        <v>65</v>
      </c>
      <c r="O9" s="57">
        <v>8</v>
      </c>
    </row>
    <row r="10" spans="1:15" x14ac:dyDescent="0.2">
      <c r="A10">
        <v>2013</v>
      </c>
      <c r="B10" s="208">
        <f>36478.9285966012*1000+9108721</f>
        <v>45587649.596601203</v>
      </c>
      <c r="C10" s="208">
        <f>22161.5521973053*1000+9108721</f>
        <v>31270273.197305299</v>
      </c>
      <c r="D10" s="62">
        <f t="shared" si="2"/>
        <v>14317376.399295904</v>
      </c>
      <c r="E10" s="63">
        <f t="shared" si="3"/>
        <v>0.4578590122624735</v>
      </c>
      <c r="F10" s="58">
        <f>C10+C27+C28</f>
        <v>50598448.981729098</v>
      </c>
      <c r="G10" s="58">
        <f>F10-H137</f>
        <v>-976051.28166809678</v>
      </c>
      <c r="H10" s="58">
        <f t="shared" si="0"/>
        <v>-12513.477970103804</v>
      </c>
      <c r="K10" s="59">
        <f>+G149</f>
        <v>50598448.981729098</v>
      </c>
      <c r="L10" s="59">
        <f t="shared" si="1"/>
        <v>0</v>
      </c>
      <c r="N10" s="57" t="s">
        <v>66</v>
      </c>
      <c r="O10" s="57">
        <v>9</v>
      </c>
    </row>
    <row r="11" spans="1:15" x14ac:dyDescent="0.2">
      <c r="A11">
        <v>2014</v>
      </c>
      <c r="B11" s="208">
        <f>34985.6457638537*1000+9108721</f>
        <v>44094366.763853706</v>
      </c>
      <c r="C11" s="208">
        <f>21407.3312835745*1000+9108721</f>
        <v>30516052.283574499</v>
      </c>
      <c r="D11" s="62">
        <f t="shared" si="2"/>
        <v>13578314.480279207</v>
      </c>
      <c r="E11" s="63">
        <f t="shared" si="3"/>
        <v>0.44495645616611557</v>
      </c>
      <c r="F11" s="58">
        <f>C11+D27+D28</f>
        <v>49665669.402629495</v>
      </c>
      <c r="G11" s="58">
        <f>F11-H149</f>
        <v>-106890.03307276219</v>
      </c>
      <c r="H11" s="58">
        <f t="shared" si="0"/>
        <v>-1370.3850393943871</v>
      </c>
      <c r="K11" s="59">
        <f>+G161</f>
        <v>49665669.402629502</v>
      </c>
      <c r="L11" s="59">
        <f t="shared" si="1"/>
        <v>0</v>
      </c>
      <c r="N11" s="57" t="s">
        <v>67</v>
      </c>
      <c r="O11" s="57">
        <v>10</v>
      </c>
    </row>
    <row r="12" spans="1:15" x14ac:dyDescent="0.2">
      <c r="A12" t="s">
        <v>10</v>
      </c>
      <c r="B12" s="58">
        <f>SUM(B2:B11)</f>
        <v>371357932.75417614</v>
      </c>
      <c r="C12" s="58">
        <f>SUM(C2:C11)</f>
        <v>271540271.42178607</v>
      </c>
      <c r="D12" s="58">
        <f>SUM(D2:D11)</f>
        <v>99817661.33239007</v>
      </c>
      <c r="E12" s="63">
        <f t="shared" si="3"/>
        <v>0.36759800235060658</v>
      </c>
      <c r="F12" s="58">
        <f>SUM(F3:F11)</f>
        <v>341946836.11829478</v>
      </c>
      <c r="G12" s="58">
        <f>F12-H150</f>
        <v>341946836.11829478</v>
      </c>
      <c r="H12" s="58">
        <f t="shared" si="0"/>
        <v>4383933.7963883942</v>
      </c>
      <c r="K12" s="58">
        <f>SUM(K3:K11)</f>
        <v>341946836.11829478</v>
      </c>
      <c r="L12" s="59">
        <f>SUM(L3:L11)</f>
        <v>0</v>
      </c>
      <c r="N12" s="57" t="s">
        <v>68</v>
      </c>
      <c r="O12" s="57">
        <v>11</v>
      </c>
    </row>
    <row r="13" spans="1:15" x14ac:dyDescent="0.2">
      <c r="F13" s="58"/>
      <c r="G13" s="58"/>
      <c r="H13" s="58"/>
      <c r="N13" s="57" t="s">
        <v>70</v>
      </c>
      <c r="O13" s="57">
        <v>12</v>
      </c>
    </row>
    <row r="14" spans="1:15" x14ac:dyDescent="0.2">
      <c r="B14" s="58"/>
      <c r="F14" s="58"/>
      <c r="G14" s="58"/>
      <c r="H14" s="58"/>
      <c r="N14" s="57" t="s">
        <v>10</v>
      </c>
      <c r="O14" s="57">
        <f>SUM(O2:O13)</f>
        <v>78</v>
      </c>
    </row>
    <row r="15" spans="1:15" x14ac:dyDescent="0.2">
      <c r="F15" s="58"/>
      <c r="G15" s="58"/>
      <c r="H15" s="58"/>
    </row>
    <row r="16" spans="1:15" x14ac:dyDescent="0.2">
      <c r="A16" s="506" t="s">
        <v>56</v>
      </c>
      <c r="B16" s="506"/>
      <c r="C16" s="506"/>
      <c r="K16" s="59"/>
    </row>
    <row r="17" spans="1:59" x14ac:dyDescent="0.2">
      <c r="A17" s="507">
        <f>+'CDM Forecast'!Q33</f>
        <v>98411344</v>
      </c>
      <c r="B17" s="507"/>
      <c r="C17" s="507"/>
    </row>
    <row r="18" spans="1:59" ht="12.75" customHeight="1" thickBot="1" x14ac:dyDescent="0.25"/>
    <row r="19" spans="1:59" x14ac:dyDescent="0.2">
      <c r="A19" s="508" t="s">
        <v>146</v>
      </c>
      <c r="B19" s="509"/>
      <c r="C19" s="509"/>
      <c r="D19" s="509"/>
      <c r="E19" s="510"/>
    </row>
    <row r="20" spans="1:59" x14ac:dyDescent="0.2">
      <c r="A20" s="65">
        <v>2011</v>
      </c>
      <c r="B20" s="57">
        <v>2012</v>
      </c>
      <c r="C20" s="57">
        <v>2013</v>
      </c>
      <c r="D20" s="57">
        <v>2014</v>
      </c>
      <c r="E20" s="66" t="s">
        <v>10</v>
      </c>
    </row>
    <row r="21" spans="1:59" x14ac:dyDescent="0.2">
      <c r="A21" s="463">
        <f>A27/$A$17</f>
        <v>0.13090593079435131</v>
      </c>
      <c r="B21" s="464">
        <f>B27/$A$17</f>
        <v>0.12983547106100696</v>
      </c>
      <c r="C21" s="464">
        <f>C27/$A$17</f>
        <v>0.12972826368902959</v>
      </c>
      <c r="D21" s="464">
        <f>D27/$A$17</f>
        <v>0.12791385227962132</v>
      </c>
      <c r="E21" s="465">
        <f>SUM(A21:D21)</f>
        <v>0.51838351782400927</v>
      </c>
    </row>
    <row r="22" spans="1:59" x14ac:dyDescent="0.2">
      <c r="A22" s="466"/>
      <c r="B22" s="467">
        <f>B28/$A$17</f>
        <v>6.6673644859478798E-2</v>
      </c>
      <c r="C22" s="467">
        <f>C28/$A$17</f>
        <v>6.6673644859478798E-2</v>
      </c>
      <c r="D22" s="467">
        <f>D28/$A$17</f>
        <v>6.6673644859478798E-2</v>
      </c>
      <c r="E22" s="465">
        <f>SUM(B22:D22)</f>
        <v>0.20002093457843639</v>
      </c>
    </row>
    <row r="23" spans="1:59" x14ac:dyDescent="0.2">
      <c r="A23" s="466"/>
      <c r="B23" s="467"/>
      <c r="C23" s="467">
        <f>(100%-E21-E22)/3</f>
        <v>9.3865182532518118E-2</v>
      </c>
      <c r="D23" s="467">
        <f>C23</f>
        <v>9.3865182532518118E-2</v>
      </c>
      <c r="E23" s="465">
        <f>SUM(C23:D23)</f>
        <v>0.18773036506503624</v>
      </c>
    </row>
    <row r="24" spans="1:59" x14ac:dyDescent="0.2">
      <c r="A24" s="466"/>
      <c r="B24" s="467"/>
      <c r="C24" s="467"/>
      <c r="D24" s="467">
        <f>D23</f>
        <v>9.3865182532518118E-2</v>
      </c>
      <c r="E24" s="465">
        <f>SUM(D24)</f>
        <v>9.3865182532518118E-2</v>
      </c>
    </row>
    <row r="25" spans="1:59" x14ac:dyDescent="0.2">
      <c r="A25" s="466">
        <f>SUM(A21:A24)</f>
        <v>0.13090593079435131</v>
      </c>
      <c r="B25" s="467">
        <f>SUM(B21:B24)</f>
        <v>0.19650911592048576</v>
      </c>
      <c r="C25" s="467">
        <f>SUM(C21:C24)</f>
        <v>0.2902670910810265</v>
      </c>
      <c r="D25" s="467">
        <f>SUM(D21:D24)</f>
        <v>0.38231786220413638</v>
      </c>
      <c r="E25" s="465">
        <f>SUM(E21:E24)</f>
        <v>1</v>
      </c>
    </row>
    <row r="26" spans="1:59" x14ac:dyDescent="0.2">
      <c r="A26" s="511"/>
      <c r="B26" s="506"/>
      <c r="C26" s="506"/>
      <c r="D26" s="506"/>
      <c r="E26" s="512"/>
      <c r="BG26" t="s">
        <v>81</v>
      </c>
    </row>
    <row r="27" spans="1:59" x14ac:dyDescent="0.2">
      <c r="A27" s="468">
        <f>12.8826285870431*1000000</f>
        <v>12882628.587043101</v>
      </c>
      <c r="B27" s="469">
        <f>12.7772832059868*1000000</f>
        <v>12777283.2059868</v>
      </c>
      <c r="C27" s="469">
        <f>12.7667327844238*1000000</f>
        <v>12766732.7844238</v>
      </c>
      <c r="D27" s="469">
        <f>12.588174119055*1000000</f>
        <v>12588174.119054999</v>
      </c>
      <c r="E27" s="470">
        <f>SUM(A27:D27)</f>
        <v>51014818.696508706</v>
      </c>
      <c r="F27" s="163" t="s">
        <v>145</v>
      </c>
      <c r="AC27" s="64"/>
    </row>
    <row r="28" spans="1:59" x14ac:dyDescent="0.2">
      <c r="A28" s="471"/>
      <c r="B28" s="469">
        <f>+'CDM Forecast'!M33</f>
        <v>6561443</v>
      </c>
      <c r="C28" s="469">
        <f>+'CDM Forecast'!M33</f>
        <v>6561443</v>
      </c>
      <c r="D28" s="469">
        <f>+'CDM Forecast'!M33</f>
        <v>6561443</v>
      </c>
      <c r="E28" s="470">
        <f>SUM(A28:D28)</f>
        <v>19684329</v>
      </c>
      <c r="F28" s="163" t="s">
        <v>148</v>
      </c>
    </row>
    <row r="29" spans="1:59" x14ac:dyDescent="0.2">
      <c r="A29" s="471"/>
      <c r="B29" s="332"/>
      <c r="C29" s="332">
        <f>A17*C23</f>
        <v>9237398.7678304315</v>
      </c>
      <c r="D29" s="332">
        <f>C29</f>
        <v>9237398.7678304315</v>
      </c>
      <c r="E29" s="470">
        <f>SUM(A29:D29)</f>
        <v>18474797.535660863</v>
      </c>
    </row>
    <row r="30" spans="1:59" x14ac:dyDescent="0.2">
      <c r="A30" s="471"/>
      <c r="B30" s="332"/>
      <c r="C30" s="332"/>
      <c r="D30" s="332">
        <f>D29</f>
        <v>9237398.7678304315</v>
      </c>
      <c r="E30" s="470">
        <f>SUM(A30:D30)</f>
        <v>9237398.7678304315</v>
      </c>
    </row>
    <row r="31" spans="1:59" ht="13.5" thickBot="1" x14ac:dyDescent="0.25">
      <c r="A31" s="472">
        <f>SUM(A27:A30)</f>
        <v>12882628.587043101</v>
      </c>
      <c r="B31" s="473">
        <f>SUM(B27:B30)</f>
        <v>19338726.205986798</v>
      </c>
      <c r="C31" s="473">
        <f>SUM(C27:C30)</f>
        <v>28565574.55225423</v>
      </c>
      <c r="D31" s="473">
        <f>SUM(D27:D30)</f>
        <v>37624414.654715866</v>
      </c>
      <c r="E31" s="474">
        <f>SUM(A31:D31)</f>
        <v>98411344</v>
      </c>
    </row>
    <row r="32" spans="1:59" x14ac:dyDescent="0.2">
      <c r="B32" s="2"/>
      <c r="C32" s="2"/>
      <c r="D32" s="64"/>
      <c r="E32" s="64"/>
      <c r="F32" s="58"/>
      <c r="G32" s="58"/>
      <c r="H32" s="58"/>
    </row>
    <row r="33" spans="1:8" x14ac:dyDescent="0.2">
      <c r="B33" s="2"/>
      <c r="C33" s="2"/>
      <c r="D33" s="64"/>
      <c r="E33" s="64"/>
      <c r="F33" s="58"/>
      <c r="G33" s="58"/>
      <c r="H33" s="58"/>
    </row>
    <row r="34" spans="1:8" x14ac:dyDescent="0.2">
      <c r="B34" s="2"/>
      <c r="C34" s="2"/>
      <c r="D34" s="64"/>
      <c r="E34" s="64"/>
      <c r="F34" s="58"/>
      <c r="G34" s="58"/>
      <c r="H34" s="58"/>
    </row>
    <row r="35" spans="1:8" x14ac:dyDescent="0.2">
      <c r="B35" s="2"/>
      <c r="C35" s="2"/>
      <c r="D35" s="64"/>
      <c r="E35" s="64"/>
      <c r="F35" s="58"/>
      <c r="G35" s="58"/>
      <c r="H35" s="58"/>
    </row>
    <row r="36" spans="1:8" x14ac:dyDescent="0.2">
      <c r="B36" s="2"/>
      <c r="C36" s="2"/>
      <c r="D36" s="64"/>
      <c r="E36" s="64"/>
      <c r="F36" s="58"/>
      <c r="G36" s="58"/>
      <c r="H36" s="58"/>
    </row>
    <row r="37" spans="1:8" x14ac:dyDescent="0.2">
      <c r="B37" s="2"/>
      <c r="C37" s="2"/>
      <c r="D37" s="64"/>
      <c r="E37" s="64"/>
      <c r="F37" s="58"/>
      <c r="G37" s="58"/>
      <c r="H37" s="58"/>
    </row>
    <row r="38" spans="1:8" x14ac:dyDescent="0.2">
      <c r="B38" s="2"/>
      <c r="C38" s="2"/>
      <c r="D38" s="64"/>
      <c r="E38" s="64"/>
      <c r="F38" s="58"/>
      <c r="G38" s="58"/>
      <c r="H38" s="58"/>
    </row>
    <row r="39" spans="1:8" x14ac:dyDescent="0.2">
      <c r="B39" s="2"/>
      <c r="C39" s="2"/>
      <c r="D39" s="64"/>
      <c r="E39" s="64"/>
      <c r="F39" s="58" t="s">
        <v>69</v>
      </c>
      <c r="H39" s="58"/>
    </row>
    <row r="40" spans="1:8" x14ac:dyDescent="0.2">
      <c r="B40" s="2"/>
      <c r="C40" s="2"/>
      <c r="D40" s="64"/>
      <c r="E40" s="64"/>
      <c r="F40" s="58"/>
    </row>
    <row r="41" spans="1:8" x14ac:dyDescent="0.2">
      <c r="A41" s="2">
        <v>38353</v>
      </c>
      <c r="B41" s="2"/>
      <c r="C41" s="2"/>
      <c r="D41" s="64"/>
      <c r="E41" s="64"/>
      <c r="F41" s="58">
        <f>$H$2</f>
        <v>3751.0641025641025</v>
      </c>
    </row>
    <row r="42" spans="1:8" x14ac:dyDescent="0.2">
      <c r="A42" s="2">
        <v>38384</v>
      </c>
      <c r="B42" s="2"/>
      <c r="C42" s="2"/>
      <c r="D42" s="64"/>
      <c r="E42" s="64"/>
      <c r="F42" s="58">
        <f>F41+$H$2</f>
        <v>7502.1282051282051</v>
      </c>
    </row>
    <row r="43" spans="1:8" x14ac:dyDescent="0.2">
      <c r="A43" s="2">
        <v>38412</v>
      </c>
      <c r="B43" s="2"/>
      <c r="C43" s="2"/>
      <c r="D43" s="64"/>
      <c r="E43" s="64"/>
      <c r="F43" s="58">
        <f t="shared" ref="F43:F52" si="4">F42+$H$2</f>
        <v>11253.192307692309</v>
      </c>
    </row>
    <row r="44" spans="1:8" x14ac:dyDescent="0.2">
      <c r="A44" s="2">
        <v>38443</v>
      </c>
      <c r="B44" s="2"/>
      <c r="C44" s="2"/>
      <c r="D44" s="64"/>
      <c r="E44" s="64"/>
      <c r="F44" s="58">
        <f t="shared" si="4"/>
        <v>15004.25641025641</v>
      </c>
    </row>
    <row r="45" spans="1:8" x14ac:dyDescent="0.2">
      <c r="A45" s="2">
        <v>38473</v>
      </c>
      <c r="B45" s="2"/>
      <c r="C45" s="2"/>
      <c r="D45" s="64"/>
      <c r="E45" s="64"/>
      <c r="F45" s="58">
        <f t="shared" si="4"/>
        <v>18755.320512820512</v>
      </c>
    </row>
    <row r="46" spans="1:8" x14ac:dyDescent="0.2">
      <c r="A46" s="2">
        <v>38504</v>
      </c>
      <c r="B46" s="2"/>
      <c r="C46" s="2"/>
      <c r="D46" s="64"/>
      <c r="E46" s="64"/>
      <c r="F46" s="58">
        <f t="shared" si="4"/>
        <v>22506.384615384613</v>
      </c>
    </row>
    <row r="47" spans="1:8" x14ac:dyDescent="0.2">
      <c r="A47" s="2">
        <v>38534</v>
      </c>
      <c r="B47" s="2"/>
      <c r="C47" s="2"/>
      <c r="D47" s="64"/>
      <c r="E47" s="64"/>
      <c r="F47" s="58">
        <f t="shared" si="4"/>
        <v>26257.448717948715</v>
      </c>
    </row>
    <row r="48" spans="1:8" x14ac:dyDescent="0.2">
      <c r="A48" s="2">
        <v>38565</v>
      </c>
      <c r="B48" s="2"/>
      <c r="C48" s="2"/>
      <c r="D48" s="64"/>
      <c r="E48" s="64"/>
      <c r="F48" s="58">
        <f t="shared" si="4"/>
        <v>30008.512820512817</v>
      </c>
    </row>
    <row r="49" spans="1:8" x14ac:dyDescent="0.2">
      <c r="A49" s="2">
        <v>38596</v>
      </c>
      <c r="B49" s="2"/>
      <c r="C49" s="2"/>
      <c r="D49" s="64"/>
      <c r="E49" s="64"/>
      <c r="F49" s="58">
        <f t="shared" si="4"/>
        <v>33759.576923076922</v>
      </c>
    </row>
    <row r="50" spans="1:8" x14ac:dyDescent="0.2">
      <c r="A50" s="2">
        <v>38626</v>
      </c>
      <c r="B50" s="2"/>
      <c r="C50" s="2"/>
      <c r="D50" s="64"/>
      <c r="E50" s="64"/>
      <c r="F50" s="58">
        <f t="shared" si="4"/>
        <v>37510.641025641024</v>
      </c>
    </row>
    <row r="51" spans="1:8" x14ac:dyDescent="0.2">
      <c r="A51" s="2">
        <v>38657</v>
      </c>
      <c r="B51" s="2"/>
      <c r="C51" s="2"/>
      <c r="D51" s="64"/>
      <c r="E51" s="64"/>
      <c r="F51" s="58">
        <f t="shared" si="4"/>
        <v>41261.705128205125</v>
      </c>
    </row>
    <row r="52" spans="1:8" x14ac:dyDescent="0.2">
      <c r="A52" s="2">
        <v>38687</v>
      </c>
      <c r="B52" s="2"/>
      <c r="C52" s="2"/>
      <c r="D52" s="64"/>
      <c r="E52" s="64"/>
      <c r="F52" s="58">
        <f t="shared" si="4"/>
        <v>45012.769230769227</v>
      </c>
      <c r="G52" s="3" t="s">
        <v>57</v>
      </c>
    </row>
    <row r="53" spans="1:8" x14ac:dyDescent="0.2">
      <c r="A53" s="2">
        <v>38718</v>
      </c>
      <c r="B53" s="2"/>
      <c r="C53" s="2"/>
      <c r="D53" s="64"/>
      <c r="E53" s="64"/>
      <c r="F53" s="58">
        <f>+F52+$H$3</f>
        <v>175585.5094931614</v>
      </c>
      <c r="G53" s="58">
        <f>SUM(F41:F52)</f>
        <v>292583</v>
      </c>
      <c r="H53" s="58">
        <f>F52*12</f>
        <v>540153.23076923075</v>
      </c>
    </row>
    <row r="54" spans="1:8" x14ac:dyDescent="0.2">
      <c r="A54" s="2">
        <v>38749</v>
      </c>
      <c r="B54" s="2"/>
      <c r="C54" s="2"/>
      <c r="D54" s="64"/>
      <c r="E54" s="64"/>
      <c r="F54" s="58">
        <f t="shared" ref="F54:F64" si="5">+F53+$H$3</f>
        <v>306158.24975555355</v>
      </c>
    </row>
    <row r="55" spans="1:8" x14ac:dyDescent="0.2">
      <c r="A55" s="2">
        <v>38777</v>
      </c>
      <c r="B55" s="2"/>
      <c r="C55" s="2"/>
      <c r="D55" s="64"/>
      <c r="E55" s="64"/>
      <c r="F55" s="58">
        <f t="shared" si="5"/>
        <v>436730.9900179457</v>
      </c>
    </row>
    <row r="56" spans="1:8" x14ac:dyDescent="0.2">
      <c r="A56" s="2">
        <v>38808</v>
      </c>
      <c r="B56" s="2"/>
      <c r="C56" s="2"/>
      <c r="D56" s="64"/>
      <c r="E56" s="64"/>
      <c r="F56" s="58">
        <f t="shared" si="5"/>
        <v>567303.73028033786</v>
      </c>
    </row>
    <row r="57" spans="1:8" x14ac:dyDescent="0.2">
      <c r="A57" s="2">
        <v>38838</v>
      </c>
      <c r="B57" s="2"/>
      <c r="C57" s="2"/>
      <c r="D57" s="64"/>
      <c r="E57" s="64"/>
      <c r="F57" s="58">
        <f t="shared" si="5"/>
        <v>697876.47054273007</v>
      </c>
    </row>
    <row r="58" spans="1:8" x14ac:dyDescent="0.2">
      <c r="A58" s="2">
        <v>38869</v>
      </c>
      <c r="B58" s="2"/>
      <c r="C58" s="2"/>
      <c r="D58" s="64"/>
      <c r="E58" s="64"/>
      <c r="F58" s="58">
        <f t="shared" si="5"/>
        <v>828449.21080512227</v>
      </c>
    </row>
    <row r="59" spans="1:8" x14ac:dyDescent="0.2">
      <c r="A59" s="2">
        <v>38899</v>
      </c>
      <c r="B59" s="2"/>
      <c r="C59" s="2"/>
      <c r="D59" s="64"/>
      <c r="E59" s="64"/>
      <c r="F59" s="58">
        <f t="shared" si="5"/>
        <v>959021.95106751448</v>
      </c>
    </row>
    <row r="60" spans="1:8" x14ac:dyDescent="0.2">
      <c r="A60" s="2">
        <v>38930</v>
      </c>
      <c r="B60" s="2"/>
      <c r="C60" s="2"/>
      <c r="D60" s="64"/>
      <c r="E60" s="64"/>
      <c r="F60" s="58">
        <f t="shared" si="5"/>
        <v>1089594.6913299067</v>
      </c>
    </row>
    <row r="61" spans="1:8" x14ac:dyDescent="0.2">
      <c r="A61" s="2">
        <v>38961</v>
      </c>
      <c r="B61" s="2"/>
      <c r="C61" s="2"/>
      <c r="D61" s="64"/>
      <c r="E61" s="64"/>
      <c r="F61" s="58">
        <f t="shared" si="5"/>
        <v>1220167.4315922989</v>
      </c>
    </row>
    <row r="62" spans="1:8" x14ac:dyDescent="0.2">
      <c r="A62" s="2">
        <v>38991</v>
      </c>
      <c r="B62" s="2"/>
      <c r="C62" s="2"/>
      <c r="D62" s="64"/>
      <c r="E62" s="64"/>
      <c r="F62" s="58">
        <f t="shared" si="5"/>
        <v>1350740.1718546911</v>
      </c>
    </row>
    <row r="63" spans="1:8" x14ac:dyDescent="0.2">
      <c r="A63" s="2">
        <v>39022</v>
      </c>
      <c r="B63" s="2"/>
      <c r="C63" s="2"/>
      <c r="D63" s="64"/>
      <c r="E63" s="64"/>
      <c r="F63" s="58">
        <f t="shared" si="5"/>
        <v>1481312.9121170833</v>
      </c>
    </row>
    <row r="64" spans="1:8" x14ac:dyDescent="0.2">
      <c r="A64" s="2">
        <v>39052</v>
      </c>
      <c r="B64" s="2"/>
      <c r="C64" s="2"/>
      <c r="D64" s="64"/>
      <c r="E64" s="64"/>
      <c r="F64" s="58">
        <f t="shared" si="5"/>
        <v>1611885.6523794755</v>
      </c>
      <c r="G64" s="3" t="s">
        <v>57</v>
      </c>
    </row>
    <row r="65" spans="1:8" x14ac:dyDescent="0.2">
      <c r="A65" s="2">
        <v>39083</v>
      </c>
      <c r="B65" s="2"/>
      <c r="C65" s="2"/>
      <c r="D65" s="64"/>
      <c r="E65" s="64"/>
      <c r="F65" s="58">
        <f>+F64+$H$4</f>
        <v>1639080.0265202301</v>
      </c>
      <c r="G65" s="58">
        <f>SUM(F53:F64)</f>
        <v>10724826.971235819</v>
      </c>
      <c r="H65" s="58">
        <f>F64*12</f>
        <v>19342627.828553706</v>
      </c>
    </row>
    <row r="66" spans="1:8" x14ac:dyDescent="0.2">
      <c r="A66" s="2">
        <v>39114</v>
      </c>
      <c r="B66" s="2"/>
      <c r="C66" s="2"/>
      <c r="D66" s="64"/>
      <c r="E66" s="64"/>
      <c r="F66" s="58">
        <f t="shared" ref="F66:F76" si="6">+F65+$H$4</f>
        <v>1666274.4006609847</v>
      </c>
    </row>
    <row r="67" spans="1:8" x14ac:dyDescent="0.2">
      <c r="A67" s="2">
        <v>39142</v>
      </c>
      <c r="B67" s="2"/>
      <c r="C67" s="2"/>
      <c r="D67" s="64"/>
      <c r="E67" s="64"/>
      <c r="F67" s="58">
        <f t="shared" si="6"/>
        <v>1693468.7748017393</v>
      </c>
    </row>
    <row r="68" spans="1:8" x14ac:dyDescent="0.2">
      <c r="A68" s="2">
        <v>39173</v>
      </c>
      <c r="B68" s="2"/>
      <c r="C68" s="2"/>
      <c r="D68" s="64"/>
      <c r="E68" s="64"/>
      <c r="F68" s="58">
        <f t="shared" si="6"/>
        <v>1720663.1489424938</v>
      </c>
    </row>
    <row r="69" spans="1:8" x14ac:dyDescent="0.2">
      <c r="A69" s="2">
        <v>39203</v>
      </c>
      <c r="B69" s="2"/>
      <c r="C69" s="2"/>
      <c r="D69" s="64"/>
      <c r="E69" s="64"/>
      <c r="F69" s="58">
        <f t="shared" si="6"/>
        <v>1747857.5230832484</v>
      </c>
    </row>
    <row r="70" spans="1:8" x14ac:dyDescent="0.2">
      <c r="A70" s="2">
        <v>39234</v>
      </c>
      <c r="B70" s="2"/>
      <c r="C70" s="2"/>
      <c r="D70" s="64"/>
      <c r="E70" s="64"/>
      <c r="F70" s="58">
        <f t="shared" si="6"/>
        <v>1775051.897224003</v>
      </c>
    </row>
    <row r="71" spans="1:8" x14ac:dyDescent="0.2">
      <c r="A71" s="2">
        <v>39264</v>
      </c>
      <c r="B71" s="2"/>
      <c r="C71" s="2"/>
      <c r="D71" s="64"/>
      <c r="E71" s="64"/>
      <c r="F71" s="58">
        <f t="shared" si="6"/>
        <v>1802246.2713647576</v>
      </c>
    </row>
    <row r="72" spans="1:8" x14ac:dyDescent="0.2">
      <c r="A72" s="2">
        <v>39295</v>
      </c>
      <c r="B72" s="2"/>
      <c r="C72" s="2"/>
      <c r="D72" s="64"/>
      <c r="E72" s="64"/>
      <c r="F72" s="58">
        <f t="shared" si="6"/>
        <v>1829440.6455055121</v>
      </c>
    </row>
    <row r="73" spans="1:8" x14ac:dyDescent="0.2">
      <c r="A73" s="2">
        <v>39326</v>
      </c>
      <c r="B73" s="2"/>
      <c r="C73" s="2"/>
      <c r="D73" s="64"/>
      <c r="E73" s="64"/>
      <c r="F73" s="58">
        <f t="shared" si="6"/>
        <v>1856635.0196462667</v>
      </c>
    </row>
    <row r="74" spans="1:8" x14ac:dyDescent="0.2">
      <c r="A74" s="2">
        <v>39356</v>
      </c>
      <c r="B74" s="2"/>
      <c r="C74" s="2"/>
      <c r="D74" s="64"/>
      <c r="E74" s="64"/>
      <c r="F74" s="58">
        <f t="shared" si="6"/>
        <v>1883829.3937870213</v>
      </c>
    </row>
    <row r="75" spans="1:8" x14ac:dyDescent="0.2">
      <c r="A75" s="2">
        <v>39387</v>
      </c>
      <c r="B75" s="2"/>
      <c r="C75" s="2"/>
      <c r="D75" s="64"/>
      <c r="E75" s="64"/>
      <c r="F75" s="58">
        <f t="shared" si="6"/>
        <v>1911023.7679277759</v>
      </c>
    </row>
    <row r="76" spans="1:8" x14ac:dyDescent="0.2">
      <c r="A76" s="2">
        <v>39417</v>
      </c>
      <c r="B76" s="2"/>
      <c r="C76" s="2"/>
      <c r="D76" s="64"/>
      <c r="E76" s="64"/>
      <c r="F76" s="58">
        <f t="shared" si="6"/>
        <v>1938218.1420685304</v>
      </c>
    </row>
    <row r="77" spans="1:8" x14ac:dyDescent="0.2">
      <c r="A77" s="2">
        <v>39448</v>
      </c>
      <c r="B77" s="2"/>
      <c r="C77" s="2"/>
      <c r="D77" s="64"/>
      <c r="E77" s="64"/>
      <c r="F77" s="58">
        <f>F76+$H$5</f>
        <v>1986939.8310076385</v>
      </c>
      <c r="G77" s="58">
        <f>SUM(F65:F76)</f>
        <v>21463789.011532567</v>
      </c>
      <c r="H77" s="58">
        <f>F76*12</f>
        <v>23258617.704822365</v>
      </c>
    </row>
    <row r="78" spans="1:8" x14ac:dyDescent="0.2">
      <c r="A78" s="2">
        <v>39479</v>
      </c>
      <c r="B78" s="2"/>
      <c r="C78" s="2"/>
      <c r="D78" s="64"/>
      <c r="E78" s="64"/>
      <c r="F78" s="58">
        <f t="shared" ref="F78:F88" si="7">F77+$H$5</f>
        <v>2035661.5199467465</v>
      </c>
    </row>
    <row r="79" spans="1:8" x14ac:dyDescent="0.2">
      <c r="A79" s="2">
        <v>39508</v>
      </c>
      <c r="B79" s="2"/>
      <c r="C79" s="2"/>
      <c r="D79" s="64"/>
      <c r="E79" s="64"/>
      <c r="F79" s="58">
        <f t="shared" si="7"/>
        <v>2084383.2088858546</v>
      </c>
    </row>
    <row r="80" spans="1:8" x14ac:dyDescent="0.2">
      <c r="A80" s="2">
        <v>39539</v>
      </c>
      <c r="B80" s="2"/>
      <c r="C80" s="2"/>
      <c r="D80" s="64"/>
      <c r="E80" s="64"/>
      <c r="F80" s="58">
        <f t="shared" si="7"/>
        <v>2133104.8978249626</v>
      </c>
    </row>
    <row r="81" spans="1:8" x14ac:dyDescent="0.2">
      <c r="A81" s="2">
        <v>39569</v>
      </c>
      <c r="B81" s="2"/>
      <c r="C81" s="2"/>
      <c r="D81" s="64"/>
      <c r="E81" s="64"/>
      <c r="F81" s="58">
        <f t="shared" si="7"/>
        <v>2181826.5867640707</v>
      </c>
    </row>
    <row r="82" spans="1:8" x14ac:dyDescent="0.2">
      <c r="A82" s="2">
        <v>39600</v>
      </c>
      <c r="B82" s="2"/>
      <c r="C82" s="2"/>
      <c r="D82" s="64"/>
      <c r="E82" s="64"/>
      <c r="F82" s="58">
        <f t="shared" si="7"/>
        <v>2230548.2757031787</v>
      </c>
    </row>
    <row r="83" spans="1:8" x14ac:dyDescent="0.2">
      <c r="A83" s="2">
        <v>39630</v>
      </c>
      <c r="B83" s="2"/>
      <c r="C83" s="2"/>
      <c r="D83" s="64"/>
      <c r="E83" s="64"/>
      <c r="F83" s="58">
        <f t="shared" si="7"/>
        <v>2279269.9646422868</v>
      </c>
    </row>
    <row r="84" spans="1:8" x14ac:dyDescent="0.2">
      <c r="A84" s="2">
        <v>39661</v>
      </c>
      <c r="B84" s="2"/>
      <c r="C84" s="2"/>
      <c r="D84" s="64"/>
      <c r="E84" s="64"/>
      <c r="F84" s="58">
        <f t="shared" si="7"/>
        <v>2327991.6535813948</v>
      </c>
    </row>
    <row r="85" spans="1:8" x14ac:dyDescent="0.2">
      <c r="A85" s="2">
        <v>39692</v>
      </c>
      <c r="B85" s="2"/>
      <c r="C85" s="2"/>
      <c r="D85" s="64"/>
      <c r="E85" s="64"/>
      <c r="F85" s="58">
        <f t="shared" si="7"/>
        <v>2376713.3425205029</v>
      </c>
    </row>
    <row r="86" spans="1:8" x14ac:dyDescent="0.2">
      <c r="A86" s="2">
        <v>39722</v>
      </c>
      <c r="B86" s="2"/>
      <c r="C86" s="2"/>
      <c r="D86" s="64"/>
      <c r="E86" s="64"/>
      <c r="F86" s="58">
        <f t="shared" si="7"/>
        <v>2425435.0314596109</v>
      </c>
    </row>
    <row r="87" spans="1:8" x14ac:dyDescent="0.2">
      <c r="A87" s="2">
        <v>39753</v>
      </c>
      <c r="B87" s="2"/>
      <c r="C87" s="2"/>
      <c r="D87" s="64"/>
      <c r="E87" s="64"/>
      <c r="F87" s="58">
        <f t="shared" si="7"/>
        <v>2474156.720398719</v>
      </c>
    </row>
    <row r="88" spans="1:8" x14ac:dyDescent="0.2">
      <c r="A88" s="2">
        <v>39783</v>
      </c>
      <c r="B88" s="2"/>
      <c r="C88" s="2"/>
      <c r="D88" s="64"/>
      <c r="E88" s="64"/>
      <c r="F88" s="58">
        <f t="shared" si="7"/>
        <v>2522878.409337827</v>
      </c>
    </row>
    <row r="89" spans="1:8" x14ac:dyDescent="0.2">
      <c r="A89" s="2">
        <v>39814</v>
      </c>
      <c r="B89" s="2"/>
      <c r="C89" s="2"/>
      <c r="D89" s="64"/>
      <c r="E89" s="64"/>
      <c r="F89" s="58">
        <f>F88+$H$6</f>
        <v>2604685.7680061241</v>
      </c>
      <c r="G89" s="58">
        <f>SUM(F77:F88)</f>
        <v>27058909.44207279</v>
      </c>
      <c r="H89" s="58">
        <f>F88*12</f>
        <v>30274540.912053924</v>
      </c>
    </row>
    <row r="90" spans="1:8" x14ac:dyDescent="0.2">
      <c r="A90" s="2">
        <v>39845</v>
      </c>
      <c r="B90" s="2"/>
      <c r="C90" s="2"/>
      <c r="D90" s="64"/>
      <c r="E90" s="64"/>
      <c r="F90" s="58">
        <f t="shared" ref="F90:F100" si="8">F89+$H$6</f>
        <v>2686493.1266744211</v>
      </c>
    </row>
    <row r="91" spans="1:8" x14ac:dyDescent="0.2">
      <c r="A91" s="2">
        <v>39873</v>
      </c>
      <c r="B91" s="2"/>
      <c r="C91" s="2"/>
      <c r="D91" s="64"/>
      <c r="E91" s="64"/>
      <c r="F91" s="58">
        <f t="shared" si="8"/>
        <v>2768300.4853427182</v>
      </c>
    </row>
    <row r="92" spans="1:8" x14ac:dyDescent="0.2">
      <c r="A92" s="2">
        <v>39904</v>
      </c>
      <c r="B92" s="2"/>
      <c r="C92" s="2"/>
      <c r="D92" s="64"/>
      <c r="E92" s="64"/>
      <c r="F92" s="58">
        <f t="shared" si="8"/>
        <v>2850107.8440110153</v>
      </c>
    </row>
    <row r="93" spans="1:8" x14ac:dyDescent="0.2">
      <c r="A93" s="2">
        <v>39934</v>
      </c>
      <c r="B93" s="2"/>
      <c r="C93" s="2"/>
      <c r="D93" s="64"/>
      <c r="E93" s="64"/>
      <c r="F93" s="58">
        <f t="shared" si="8"/>
        <v>2931915.2026793123</v>
      </c>
    </row>
    <row r="94" spans="1:8" x14ac:dyDescent="0.2">
      <c r="A94" s="2">
        <v>39965</v>
      </c>
      <c r="B94" s="2"/>
      <c r="C94" s="2"/>
      <c r="D94" s="64"/>
      <c r="E94" s="64"/>
      <c r="F94" s="58">
        <f t="shared" si="8"/>
        <v>3013722.5613476094</v>
      </c>
    </row>
    <row r="95" spans="1:8" x14ac:dyDescent="0.2">
      <c r="A95" s="2">
        <v>39995</v>
      </c>
      <c r="B95" s="2"/>
      <c r="C95" s="2"/>
      <c r="D95" s="64"/>
      <c r="E95" s="64"/>
      <c r="F95" s="58">
        <f t="shared" si="8"/>
        <v>3095529.9200159064</v>
      </c>
    </row>
    <row r="96" spans="1:8" x14ac:dyDescent="0.2">
      <c r="A96" s="2">
        <v>40026</v>
      </c>
      <c r="B96" s="2"/>
      <c r="C96" s="2"/>
      <c r="D96" s="64"/>
      <c r="E96" s="64"/>
      <c r="F96" s="58">
        <f t="shared" si="8"/>
        <v>3177337.2786842035</v>
      </c>
    </row>
    <row r="97" spans="1:8" x14ac:dyDescent="0.2">
      <c r="A97" s="2">
        <v>40057</v>
      </c>
      <c r="B97" s="2"/>
      <c r="C97" s="2"/>
      <c r="D97" s="64"/>
      <c r="E97" s="64"/>
      <c r="F97" s="58">
        <f t="shared" si="8"/>
        <v>3259144.6373525006</v>
      </c>
    </row>
    <row r="98" spans="1:8" x14ac:dyDescent="0.2">
      <c r="A98" s="2">
        <v>40087</v>
      </c>
      <c r="B98" s="2"/>
      <c r="C98" s="2"/>
      <c r="D98" s="64"/>
      <c r="E98" s="64"/>
      <c r="F98" s="58">
        <f t="shared" si="8"/>
        <v>3340951.9960207976</v>
      </c>
    </row>
    <row r="99" spans="1:8" x14ac:dyDescent="0.2">
      <c r="A99" s="2">
        <v>40118</v>
      </c>
      <c r="B99" s="2"/>
      <c r="C99" s="2"/>
      <c r="D99" s="64"/>
      <c r="E99" s="64"/>
      <c r="F99" s="58">
        <f t="shared" si="8"/>
        <v>3422759.3546890947</v>
      </c>
    </row>
    <row r="100" spans="1:8" x14ac:dyDescent="0.2">
      <c r="A100" s="2">
        <v>40148</v>
      </c>
      <c r="B100" s="2"/>
      <c r="C100" s="2"/>
      <c r="D100" s="64"/>
      <c r="E100" s="64"/>
      <c r="F100" s="58">
        <f t="shared" si="8"/>
        <v>3504566.7133573918</v>
      </c>
    </row>
    <row r="101" spans="1:8" x14ac:dyDescent="0.2">
      <c r="A101" s="2">
        <v>40179</v>
      </c>
      <c r="B101" s="2"/>
      <c r="C101" s="2"/>
      <c r="D101" s="64"/>
      <c r="E101" s="64"/>
      <c r="F101" s="58">
        <f>F100+$H$7</f>
        <v>3473653.8619696586</v>
      </c>
      <c r="G101" s="58">
        <f>SUM(F89:F100)</f>
        <v>36655514.88818109</v>
      </c>
      <c r="H101" s="58">
        <f>F100*12</f>
        <v>42054800.560288697</v>
      </c>
    </row>
    <row r="102" spans="1:8" x14ac:dyDescent="0.2">
      <c r="A102" s="2">
        <v>40210</v>
      </c>
      <c r="B102" s="2"/>
      <c r="C102" s="2"/>
      <c r="D102" s="64"/>
      <c r="E102" s="64"/>
      <c r="F102" s="58">
        <f t="shared" ref="F102:F112" si="9">F101+$H$7</f>
        <v>3442741.0105819255</v>
      </c>
    </row>
    <row r="103" spans="1:8" x14ac:dyDescent="0.2">
      <c r="A103" s="2">
        <v>40238</v>
      </c>
      <c r="B103" s="2"/>
      <c r="C103" s="2"/>
      <c r="D103" s="64"/>
      <c r="E103" s="64"/>
      <c r="F103" s="58">
        <f t="shared" si="9"/>
        <v>3411828.1591941924</v>
      </c>
    </row>
    <row r="104" spans="1:8" x14ac:dyDescent="0.2">
      <c r="A104" s="2">
        <v>40269</v>
      </c>
      <c r="B104" s="2"/>
      <c r="C104" s="2"/>
      <c r="D104" s="64"/>
      <c r="E104" s="64"/>
      <c r="F104" s="58">
        <f t="shared" si="9"/>
        <v>3380915.3078064593</v>
      </c>
    </row>
    <row r="105" spans="1:8" x14ac:dyDescent="0.2">
      <c r="A105" s="2">
        <v>40299</v>
      </c>
      <c r="B105" s="2"/>
      <c r="C105" s="2"/>
      <c r="D105" s="64"/>
      <c r="E105" s="64"/>
      <c r="F105" s="58">
        <f t="shared" si="9"/>
        <v>3350002.4564187261</v>
      </c>
    </row>
    <row r="106" spans="1:8" x14ac:dyDescent="0.2">
      <c r="A106" s="2">
        <v>40330</v>
      </c>
      <c r="B106" s="2"/>
      <c r="C106" s="2"/>
      <c r="D106" s="64"/>
      <c r="E106" s="64"/>
      <c r="F106" s="58">
        <f t="shared" si="9"/>
        <v>3319089.605030993</v>
      </c>
    </row>
    <row r="107" spans="1:8" x14ac:dyDescent="0.2">
      <c r="A107" s="2">
        <v>40360</v>
      </c>
      <c r="B107" s="2"/>
      <c r="C107" s="2"/>
      <c r="D107" s="64"/>
      <c r="E107" s="64"/>
      <c r="F107" s="58">
        <f t="shared" si="9"/>
        <v>3288176.7536432599</v>
      </c>
    </row>
    <row r="108" spans="1:8" x14ac:dyDescent="0.2">
      <c r="A108" s="2">
        <v>40391</v>
      </c>
      <c r="B108" s="2"/>
      <c r="C108" s="2"/>
      <c r="D108" s="64"/>
      <c r="E108" s="64"/>
      <c r="F108" s="58">
        <f t="shared" si="9"/>
        <v>3257263.9022555267</v>
      </c>
    </row>
    <row r="109" spans="1:8" x14ac:dyDescent="0.2">
      <c r="A109" s="2">
        <v>40422</v>
      </c>
      <c r="B109" s="2"/>
      <c r="C109" s="2"/>
      <c r="D109" s="64"/>
      <c r="E109" s="64"/>
      <c r="F109" s="58">
        <f t="shared" si="9"/>
        <v>3226351.0508677936</v>
      </c>
    </row>
    <row r="110" spans="1:8" x14ac:dyDescent="0.2">
      <c r="A110" s="2">
        <v>40452</v>
      </c>
      <c r="B110" s="2"/>
      <c r="C110" s="2"/>
      <c r="D110" s="64"/>
      <c r="E110" s="64"/>
      <c r="F110" s="58">
        <f t="shared" si="9"/>
        <v>3195438.1994800605</v>
      </c>
    </row>
    <row r="111" spans="1:8" x14ac:dyDescent="0.2">
      <c r="A111" s="2">
        <v>40483</v>
      </c>
      <c r="B111" s="2"/>
      <c r="C111" s="2"/>
      <c r="D111" s="64"/>
      <c r="E111" s="64"/>
      <c r="F111" s="58">
        <f t="shared" si="9"/>
        <v>3164525.3480923274</v>
      </c>
    </row>
    <row r="112" spans="1:8" x14ac:dyDescent="0.2">
      <c r="A112" s="2">
        <v>40513</v>
      </c>
      <c r="B112" s="2"/>
      <c r="C112" s="2"/>
      <c r="D112" s="64"/>
      <c r="E112" s="64"/>
      <c r="F112" s="58">
        <f t="shared" si="9"/>
        <v>3133612.4967045942</v>
      </c>
    </row>
    <row r="113" spans="1:8" x14ac:dyDescent="0.2">
      <c r="A113" s="2">
        <v>40544</v>
      </c>
      <c r="B113" s="2"/>
      <c r="C113" s="2"/>
      <c r="D113" s="64"/>
      <c r="E113" s="64"/>
      <c r="F113" s="58">
        <f>F112+$H$8</f>
        <v>3295846.3365230975</v>
      </c>
      <c r="G113" s="58">
        <f>SUM(F101:F112)</f>
        <v>39643598.152045511</v>
      </c>
      <c r="H113" s="58">
        <f>F112*12</f>
        <v>37603349.960455135</v>
      </c>
    </row>
    <row r="114" spans="1:8" x14ac:dyDescent="0.2">
      <c r="A114" s="2">
        <v>40575</v>
      </c>
      <c r="B114" s="2"/>
      <c r="C114" s="2"/>
      <c r="D114" s="64"/>
      <c r="E114" s="64"/>
      <c r="F114" s="58">
        <f t="shared" ref="F114:F124" si="10">F113+$H$8</f>
        <v>3458080.1763416007</v>
      </c>
    </row>
    <row r="115" spans="1:8" x14ac:dyDescent="0.2">
      <c r="A115" s="2">
        <v>40603</v>
      </c>
      <c r="B115" s="2"/>
      <c r="C115" s="2"/>
      <c r="D115" s="64"/>
      <c r="E115" s="64"/>
      <c r="F115" s="58">
        <f t="shared" si="10"/>
        <v>3620314.016160104</v>
      </c>
    </row>
    <row r="116" spans="1:8" x14ac:dyDescent="0.2">
      <c r="A116" s="2">
        <v>40634</v>
      </c>
      <c r="F116" s="58">
        <f t="shared" si="10"/>
        <v>3782547.8559786072</v>
      </c>
    </row>
    <row r="117" spans="1:8" x14ac:dyDescent="0.2">
      <c r="A117" s="2">
        <v>40664</v>
      </c>
      <c r="F117" s="58">
        <f t="shared" si="10"/>
        <v>3944781.6957971104</v>
      </c>
    </row>
    <row r="118" spans="1:8" x14ac:dyDescent="0.2">
      <c r="A118" s="2">
        <v>40695</v>
      </c>
      <c r="F118" s="58">
        <f t="shared" si="10"/>
        <v>4107015.5356156137</v>
      </c>
    </row>
    <row r="119" spans="1:8" x14ac:dyDescent="0.2">
      <c r="A119" s="2">
        <v>40725</v>
      </c>
      <c r="F119" s="58">
        <f t="shared" si="10"/>
        <v>4269249.3754341174</v>
      </c>
    </row>
    <row r="120" spans="1:8" x14ac:dyDescent="0.2">
      <c r="A120" s="2">
        <v>40756</v>
      </c>
      <c r="F120" s="58">
        <f t="shared" si="10"/>
        <v>4431483.2152526211</v>
      </c>
    </row>
    <row r="121" spans="1:8" x14ac:dyDescent="0.2">
      <c r="A121" s="2">
        <v>40787</v>
      </c>
      <c r="F121" s="58">
        <f t="shared" si="10"/>
        <v>4593717.0550711248</v>
      </c>
    </row>
    <row r="122" spans="1:8" x14ac:dyDescent="0.2">
      <c r="A122" s="2">
        <v>40817</v>
      </c>
      <c r="F122" s="58">
        <f t="shared" si="10"/>
        <v>4755950.8948896285</v>
      </c>
    </row>
    <row r="123" spans="1:8" x14ac:dyDescent="0.2">
      <c r="A123" s="2">
        <v>40848</v>
      </c>
      <c r="F123" s="58">
        <f t="shared" si="10"/>
        <v>4918184.7347081322</v>
      </c>
    </row>
    <row r="124" spans="1:8" x14ac:dyDescent="0.2">
      <c r="A124" s="2">
        <v>40878</v>
      </c>
      <c r="F124" s="58">
        <f t="shared" si="10"/>
        <v>5080418.5745266359</v>
      </c>
    </row>
    <row r="125" spans="1:8" x14ac:dyDescent="0.2">
      <c r="A125" s="2">
        <v>40909</v>
      </c>
      <c r="F125" s="58">
        <f>F124+$H$9</f>
        <v>5015206.6118118968</v>
      </c>
      <c r="G125" s="58">
        <f>SUM(F113:F124)</f>
        <v>50257589.466298394</v>
      </c>
      <c r="H125" s="58">
        <f>F124*12</f>
        <v>60965022.894319631</v>
      </c>
    </row>
    <row r="126" spans="1:8" x14ac:dyDescent="0.2">
      <c r="A126" s="2">
        <v>40940</v>
      </c>
      <c r="F126" s="58">
        <f t="shared" ref="F126:F136" si="11">F125+$H$9</f>
        <v>4949994.6490971576</v>
      </c>
    </row>
    <row r="127" spans="1:8" x14ac:dyDescent="0.2">
      <c r="A127" s="2">
        <v>40969</v>
      </c>
      <c r="F127" s="58">
        <f t="shared" si="11"/>
        <v>4884782.6863824185</v>
      </c>
    </row>
    <row r="128" spans="1:8" x14ac:dyDescent="0.2">
      <c r="A128" s="2">
        <v>41000</v>
      </c>
      <c r="F128" s="58">
        <f t="shared" si="11"/>
        <v>4819570.7236676794</v>
      </c>
    </row>
    <row r="129" spans="1:8" x14ac:dyDescent="0.2">
      <c r="A129" s="2">
        <v>41030</v>
      </c>
      <c r="F129" s="58">
        <f t="shared" si="11"/>
        <v>4754358.7609529402</v>
      </c>
    </row>
    <row r="130" spans="1:8" x14ac:dyDescent="0.2">
      <c r="A130" s="2">
        <v>41061</v>
      </c>
      <c r="F130" s="58">
        <f t="shared" si="11"/>
        <v>4689146.7982382011</v>
      </c>
    </row>
    <row r="131" spans="1:8" x14ac:dyDescent="0.2">
      <c r="A131" s="2">
        <v>41091</v>
      </c>
      <c r="F131" s="58">
        <f t="shared" si="11"/>
        <v>4623934.8355234619</v>
      </c>
    </row>
    <row r="132" spans="1:8" x14ac:dyDescent="0.2">
      <c r="A132" s="2">
        <v>41122</v>
      </c>
      <c r="F132" s="58">
        <f t="shared" si="11"/>
        <v>4558722.8728087228</v>
      </c>
    </row>
    <row r="133" spans="1:8" x14ac:dyDescent="0.2">
      <c r="A133" s="2">
        <v>41153</v>
      </c>
      <c r="F133" s="58">
        <f t="shared" si="11"/>
        <v>4493510.9100939836</v>
      </c>
    </row>
    <row r="134" spans="1:8" x14ac:dyDescent="0.2">
      <c r="A134" s="2">
        <v>41183</v>
      </c>
      <c r="F134" s="58">
        <f t="shared" si="11"/>
        <v>4428298.9473792445</v>
      </c>
    </row>
    <row r="135" spans="1:8" x14ac:dyDescent="0.2">
      <c r="A135" s="2">
        <v>41214</v>
      </c>
      <c r="F135" s="58">
        <f t="shared" si="11"/>
        <v>4363086.9846645053</v>
      </c>
    </row>
    <row r="136" spans="1:8" x14ac:dyDescent="0.2">
      <c r="A136" s="2">
        <v>41244</v>
      </c>
      <c r="F136" s="58">
        <f t="shared" si="11"/>
        <v>4297875.0219497662</v>
      </c>
    </row>
    <row r="137" spans="1:8" x14ac:dyDescent="0.2">
      <c r="A137" s="2">
        <v>41275</v>
      </c>
      <c r="F137" s="59">
        <f>F136+$H$10</f>
        <v>4285361.5439796625</v>
      </c>
      <c r="G137" s="58">
        <f>SUM(F125:F136)</f>
        <v>55878489.802569993</v>
      </c>
      <c r="H137" s="58">
        <f>F136*12</f>
        <v>51574500.263397194</v>
      </c>
    </row>
    <row r="138" spans="1:8" x14ac:dyDescent="0.2">
      <c r="A138" s="2">
        <v>41306</v>
      </c>
      <c r="F138" s="59">
        <f t="shared" ref="F138:F148" si="12">F137+$H$10</f>
        <v>4272848.0660095587</v>
      </c>
    </row>
    <row r="139" spans="1:8" x14ac:dyDescent="0.2">
      <c r="A139" s="2">
        <v>41334</v>
      </c>
      <c r="F139" s="59">
        <f t="shared" si="12"/>
        <v>4260334.588039455</v>
      </c>
    </row>
    <row r="140" spans="1:8" x14ac:dyDescent="0.2">
      <c r="A140" s="2">
        <v>41365</v>
      </c>
      <c r="F140" s="59">
        <f t="shared" si="12"/>
        <v>4247821.1100693513</v>
      </c>
    </row>
    <row r="141" spans="1:8" x14ac:dyDescent="0.2">
      <c r="A141" s="2">
        <v>41395</v>
      </c>
      <c r="F141" s="59">
        <f t="shared" si="12"/>
        <v>4235307.6320992475</v>
      </c>
    </row>
    <row r="142" spans="1:8" x14ac:dyDescent="0.2">
      <c r="A142" s="2">
        <v>41426</v>
      </c>
      <c r="F142" s="59">
        <f t="shared" si="12"/>
        <v>4222794.1541291438</v>
      </c>
    </row>
    <row r="143" spans="1:8" x14ac:dyDescent="0.2">
      <c r="A143" s="2">
        <v>41456</v>
      </c>
      <c r="F143" s="59">
        <f t="shared" si="12"/>
        <v>4210280.6761590401</v>
      </c>
    </row>
    <row r="144" spans="1:8" x14ac:dyDescent="0.2">
      <c r="A144" s="2">
        <v>41487</v>
      </c>
      <c r="F144" s="59">
        <f t="shared" si="12"/>
        <v>4197767.1981889363</v>
      </c>
    </row>
    <row r="145" spans="1:8" x14ac:dyDescent="0.2">
      <c r="A145" s="2">
        <v>41518</v>
      </c>
      <c r="F145" s="59">
        <f t="shared" si="12"/>
        <v>4185253.7202188326</v>
      </c>
    </row>
    <row r="146" spans="1:8" x14ac:dyDescent="0.2">
      <c r="A146" s="2">
        <v>41548</v>
      </c>
      <c r="F146" s="59">
        <f t="shared" si="12"/>
        <v>4172740.2422487289</v>
      </c>
    </row>
    <row r="147" spans="1:8" x14ac:dyDescent="0.2">
      <c r="A147" s="2">
        <v>41579</v>
      </c>
      <c r="F147" s="59">
        <f t="shared" si="12"/>
        <v>4160226.7642786251</v>
      </c>
    </row>
    <row r="148" spans="1:8" x14ac:dyDescent="0.2">
      <c r="A148" s="2">
        <v>41609</v>
      </c>
      <c r="F148" s="59">
        <f t="shared" si="12"/>
        <v>4147713.2863085214</v>
      </c>
    </row>
    <row r="149" spans="1:8" x14ac:dyDescent="0.2">
      <c r="A149" s="2">
        <v>41640</v>
      </c>
      <c r="F149" s="59">
        <f>F148+$H$11</f>
        <v>4146342.9012691271</v>
      </c>
      <c r="G149" s="58">
        <f>SUM(F137:F148)</f>
        <v>50598448.981729098</v>
      </c>
      <c r="H149" s="58">
        <f>F148*12</f>
        <v>49772559.435702257</v>
      </c>
    </row>
    <row r="150" spans="1:8" x14ac:dyDescent="0.2">
      <c r="A150" s="2">
        <v>41671</v>
      </c>
      <c r="F150" s="59">
        <f t="shared" ref="F150:F160" si="13">F149+$H$11</f>
        <v>4144972.5162297329</v>
      </c>
    </row>
    <row r="151" spans="1:8" x14ac:dyDescent="0.2">
      <c r="A151" s="2">
        <v>41699</v>
      </c>
      <c r="F151" s="59">
        <f t="shared" si="13"/>
        <v>4143602.1311903386</v>
      </c>
    </row>
    <row r="152" spans="1:8" x14ac:dyDescent="0.2">
      <c r="A152" s="2">
        <v>41730</v>
      </c>
      <c r="F152" s="59">
        <f t="shared" si="13"/>
        <v>4142231.7461509444</v>
      </c>
    </row>
    <row r="153" spans="1:8" x14ac:dyDescent="0.2">
      <c r="A153" s="2">
        <v>41760</v>
      </c>
      <c r="F153" s="59">
        <f t="shared" si="13"/>
        <v>4140861.3611115501</v>
      </c>
    </row>
    <row r="154" spans="1:8" x14ac:dyDescent="0.2">
      <c r="A154" s="2">
        <v>41791</v>
      </c>
      <c r="F154" s="59">
        <f t="shared" si="13"/>
        <v>4139490.9760721559</v>
      </c>
    </row>
    <row r="155" spans="1:8" x14ac:dyDescent="0.2">
      <c r="A155" s="2">
        <v>41821</v>
      </c>
      <c r="F155" s="59">
        <f t="shared" si="13"/>
        <v>4138120.5910327616</v>
      </c>
    </row>
    <row r="156" spans="1:8" x14ac:dyDescent="0.2">
      <c r="A156" s="2">
        <v>41852</v>
      </c>
      <c r="F156" s="59">
        <f t="shared" si="13"/>
        <v>4136750.2059933674</v>
      </c>
    </row>
    <row r="157" spans="1:8" x14ac:dyDescent="0.2">
      <c r="A157" s="2">
        <v>41883</v>
      </c>
      <c r="F157" s="59">
        <f t="shared" si="13"/>
        <v>4135379.8209539731</v>
      </c>
    </row>
    <row r="158" spans="1:8" x14ac:dyDescent="0.2">
      <c r="A158" s="2">
        <v>41913</v>
      </c>
      <c r="F158" s="59">
        <f t="shared" si="13"/>
        <v>4134009.4359145788</v>
      </c>
    </row>
    <row r="159" spans="1:8" x14ac:dyDescent="0.2">
      <c r="A159" s="2">
        <v>41944</v>
      </c>
      <c r="F159" s="59">
        <f t="shared" si="13"/>
        <v>4132639.0508751846</v>
      </c>
    </row>
    <row r="160" spans="1:8" x14ac:dyDescent="0.2">
      <c r="A160" s="2">
        <v>41974</v>
      </c>
      <c r="F160" s="59">
        <f t="shared" si="13"/>
        <v>4131268.6658357903</v>
      </c>
    </row>
    <row r="161" spans="7:8" x14ac:dyDescent="0.2">
      <c r="G161" s="59">
        <f>SUM(F149:F160)</f>
        <v>49665669.402629502</v>
      </c>
      <c r="H161" s="58">
        <f>+F160*12</f>
        <v>49575223.990029484</v>
      </c>
    </row>
  </sheetData>
  <mergeCells count="5">
    <mergeCell ref="K1:L1"/>
    <mergeCell ref="A16:C16"/>
    <mergeCell ref="A17:C17"/>
    <mergeCell ref="A19:E19"/>
    <mergeCell ref="A26:E26"/>
  </mergeCells>
  <phoneticPr fontId="10" type="noConversion"/>
  <pageMargins left="0.75" right="0.18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66"/>
  <sheetViews>
    <sheetView workbookViewId="0">
      <selection activeCell="I28" sqref="I28"/>
    </sheetView>
  </sheetViews>
  <sheetFormatPr defaultRowHeight="12.75" x14ac:dyDescent="0.2"/>
  <cols>
    <col min="1" max="1" width="12.28515625" style="162" bestFit="1" customWidth="1"/>
    <col min="2" max="4" width="8.7109375" style="162" customWidth="1"/>
    <col min="5" max="5" width="8.7109375" style="164" customWidth="1"/>
    <col min="6" max="6" width="8.7109375" style="169" customWidth="1"/>
    <col min="7" max="21" width="8.7109375" customWidth="1"/>
    <col min="22" max="22" width="11.5703125" bestFit="1" customWidth="1"/>
    <col min="23" max="23" width="8.140625" bestFit="1" customWidth="1"/>
    <col min="24" max="25" width="18" customWidth="1"/>
    <col min="26" max="26" width="17.140625" customWidth="1"/>
    <col min="27" max="28" width="15.7109375" customWidth="1"/>
    <col min="29" max="29" width="15" customWidth="1"/>
    <col min="30" max="31" width="14.140625" bestFit="1" customWidth="1"/>
    <col min="32" max="32" width="11.7109375" bestFit="1" customWidth="1"/>
    <col min="33" max="33" width="11.85546875" bestFit="1" customWidth="1"/>
    <col min="34" max="34" width="12.5703125" customWidth="1"/>
    <col min="35" max="35" width="11.28515625" customWidth="1"/>
    <col min="36" max="36" width="11.5703125" customWidth="1"/>
    <col min="37" max="37" width="9.28515625" customWidth="1"/>
    <col min="39" max="39" width="11.7109375" bestFit="1" customWidth="1"/>
    <col min="40" max="40" width="10.7109375" bestFit="1" customWidth="1"/>
    <col min="255" max="255" width="12.28515625" bestFit="1" customWidth="1"/>
    <col min="256" max="259" width="12.28515625" customWidth="1"/>
    <col min="260" max="260" width="11.7109375" customWidth="1"/>
    <col min="261" max="275" width="9.7109375" customWidth="1"/>
    <col min="276" max="276" width="11.5703125" bestFit="1" customWidth="1"/>
    <col min="277" max="277" width="8.140625" bestFit="1" customWidth="1"/>
    <col min="278" max="279" width="11.5703125" bestFit="1" customWidth="1"/>
    <col min="280" max="281" width="18" customWidth="1"/>
    <col min="282" max="282" width="17.140625" customWidth="1"/>
    <col min="283" max="284" width="15.7109375" customWidth="1"/>
    <col min="285" max="285" width="15" customWidth="1"/>
    <col min="286" max="287" width="14.140625" bestFit="1" customWidth="1"/>
    <col min="288" max="288" width="11.7109375" bestFit="1" customWidth="1"/>
    <col min="289" max="289" width="11.85546875" bestFit="1" customWidth="1"/>
    <col min="290" max="290" width="12.5703125" customWidth="1"/>
    <col min="291" max="291" width="11.28515625" customWidth="1"/>
    <col min="292" max="292" width="11.5703125" customWidth="1"/>
    <col min="293" max="293" width="9.28515625" customWidth="1"/>
    <col min="295" max="295" width="11.7109375" bestFit="1" customWidth="1"/>
    <col min="296" max="296" width="10.7109375" bestFit="1" customWidth="1"/>
    <col min="511" max="511" width="12.28515625" bestFit="1" customWidth="1"/>
    <col min="512" max="515" width="12.28515625" customWidth="1"/>
    <col min="516" max="516" width="11.7109375" customWidth="1"/>
    <col min="517" max="531" width="9.7109375" customWidth="1"/>
    <col min="532" max="532" width="11.5703125" bestFit="1" customWidth="1"/>
    <col min="533" max="533" width="8.140625" bestFit="1" customWidth="1"/>
    <col min="534" max="535" width="11.5703125" bestFit="1" customWidth="1"/>
    <col min="536" max="537" width="18" customWidth="1"/>
    <col min="538" max="538" width="17.140625" customWidth="1"/>
    <col min="539" max="540" width="15.7109375" customWidth="1"/>
    <col min="541" max="541" width="15" customWidth="1"/>
    <col min="542" max="543" width="14.140625" bestFit="1" customWidth="1"/>
    <col min="544" max="544" width="11.7109375" bestFit="1" customWidth="1"/>
    <col min="545" max="545" width="11.85546875" bestFit="1" customWidth="1"/>
    <col min="546" max="546" width="12.5703125" customWidth="1"/>
    <col min="547" max="547" width="11.28515625" customWidth="1"/>
    <col min="548" max="548" width="11.5703125" customWidth="1"/>
    <col min="549" max="549" width="9.28515625" customWidth="1"/>
    <col min="551" max="551" width="11.7109375" bestFit="1" customWidth="1"/>
    <col min="552" max="552" width="10.7109375" bestFit="1" customWidth="1"/>
    <col min="767" max="767" width="12.28515625" bestFit="1" customWidth="1"/>
    <col min="768" max="771" width="12.28515625" customWidth="1"/>
    <col min="772" max="772" width="11.7109375" customWidth="1"/>
    <col min="773" max="787" width="9.7109375" customWidth="1"/>
    <col min="788" max="788" width="11.5703125" bestFit="1" customWidth="1"/>
    <col min="789" max="789" width="8.140625" bestFit="1" customWidth="1"/>
    <col min="790" max="791" width="11.5703125" bestFit="1" customWidth="1"/>
    <col min="792" max="793" width="18" customWidth="1"/>
    <col min="794" max="794" width="17.140625" customWidth="1"/>
    <col min="795" max="796" width="15.7109375" customWidth="1"/>
    <col min="797" max="797" width="15" customWidth="1"/>
    <col min="798" max="799" width="14.140625" bestFit="1" customWidth="1"/>
    <col min="800" max="800" width="11.7109375" bestFit="1" customWidth="1"/>
    <col min="801" max="801" width="11.85546875" bestFit="1" customWidth="1"/>
    <col min="802" max="802" width="12.5703125" customWidth="1"/>
    <col min="803" max="803" width="11.28515625" customWidth="1"/>
    <col min="804" max="804" width="11.5703125" customWidth="1"/>
    <col min="805" max="805" width="9.28515625" customWidth="1"/>
    <col min="807" max="807" width="11.7109375" bestFit="1" customWidth="1"/>
    <col min="808" max="808" width="10.7109375" bestFit="1" customWidth="1"/>
    <col min="1023" max="1023" width="12.28515625" bestFit="1" customWidth="1"/>
    <col min="1024" max="1027" width="12.28515625" customWidth="1"/>
    <col min="1028" max="1028" width="11.7109375" customWidth="1"/>
    <col min="1029" max="1043" width="9.7109375" customWidth="1"/>
    <col min="1044" max="1044" width="11.5703125" bestFit="1" customWidth="1"/>
    <col min="1045" max="1045" width="8.140625" bestFit="1" customWidth="1"/>
    <col min="1046" max="1047" width="11.5703125" bestFit="1" customWidth="1"/>
    <col min="1048" max="1049" width="18" customWidth="1"/>
    <col min="1050" max="1050" width="17.140625" customWidth="1"/>
    <col min="1051" max="1052" width="15.7109375" customWidth="1"/>
    <col min="1053" max="1053" width="15" customWidth="1"/>
    <col min="1054" max="1055" width="14.140625" bestFit="1" customWidth="1"/>
    <col min="1056" max="1056" width="11.7109375" bestFit="1" customWidth="1"/>
    <col min="1057" max="1057" width="11.85546875" bestFit="1" customWidth="1"/>
    <col min="1058" max="1058" width="12.5703125" customWidth="1"/>
    <col min="1059" max="1059" width="11.28515625" customWidth="1"/>
    <col min="1060" max="1060" width="11.5703125" customWidth="1"/>
    <col min="1061" max="1061" width="9.28515625" customWidth="1"/>
    <col min="1063" max="1063" width="11.7109375" bestFit="1" customWidth="1"/>
    <col min="1064" max="1064" width="10.7109375" bestFit="1" customWidth="1"/>
    <col min="1279" max="1279" width="12.28515625" bestFit="1" customWidth="1"/>
    <col min="1280" max="1283" width="12.28515625" customWidth="1"/>
    <col min="1284" max="1284" width="11.7109375" customWidth="1"/>
    <col min="1285" max="1299" width="9.7109375" customWidth="1"/>
    <col min="1300" max="1300" width="11.5703125" bestFit="1" customWidth="1"/>
    <col min="1301" max="1301" width="8.140625" bestFit="1" customWidth="1"/>
    <col min="1302" max="1303" width="11.5703125" bestFit="1" customWidth="1"/>
    <col min="1304" max="1305" width="18" customWidth="1"/>
    <col min="1306" max="1306" width="17.140625" customWidth="1"/>
    <col min="1307" max="1308" width="15.7109375" customWidth="1"/>
    <col min="1309" max="1309" width="15" customWidth="1"/>
    <col min="1310" max="1311" width="14.140625" bestFit="1" customWidth="1"/>
    <col min="1312" max="1312" width="11.7109375" bestFit="1" customWidth="1"/>
    <col min="1313" max="1313" width="11.85546875" bestFit="1" customWidth="1"/>
    <col min="1314" max="1314" width="12.5703125" customWidth="1"/>
    <col min="1315" max="1315" width="11.28515625" customWidth="1"/>
    <col min="1316" max="1316" width="11.5703125" customWidth="1"/>
    <col min="1317" max="1317" width="9.28515625" customWidth="1"/>
    <col min="1319" max="1319" width="11.7109375" bestFit="1" customWidth="1"/>
    <col min="1320" max="1320" width="10.7109375" bestFit="1" customWidth="1"/>
    <col min="1535" max="1535" width="12.28515625" bestFit="1" customWidth="1"/>
    <col min="1536" max="1539" width="12.28515625" customWidth="1"/>
    <col min="1540" max="1540" width="11.7109375" customWidth="1"/>
    <col min="1541" max="1555" width="9.7109375" customWidth="1"/>
    <col min="1556" max="1556" width="11.5703125" bestFit="1" customWidth="1"/>
    <col min="1557" max="1557" width="8.140625" bestFit="1" customWidth="1"/>
    <col min="1558" max="1559" width="11.5703125" bestFit="1" customWidth="1"/>
    <col min="1560" max="1561" width="18" customWidth="1"/>
    <col min="1562" max="1562" width="17.140625" customWidth="1"/>
    <col min="1563" max="1564" width="15.7109375" customWidth="1"/>
    <col min="1565" max="1565" width="15" customWidth="1"/>
    <col min="1566" max="1567" width="14.140625" bestFit="1" customWidth="1"/>
    <col min="1568" max="1568" width="11.7109375" bestFit="1" customWidth="1"/>
    <col min="1569" max="1569" width="11.85546875" bestFit="1" customWidth="1"/>
    <col min="1570" max="1570" width="12.5703125" customWidth="1"/>
    <col min="1571" max="1571" width="11.28515625" customWidth="1"/>
    <col min="1572" max="1572" width="11.5703125" customWidth="1"/>
    <col min="1573" max="1573" width="9.28515625" customWidth="1"/>
    <col min="1575" max="1575" width="11.7109375" bestFit="1" customWidth="1"/>
    <col min="1576" max="1576" width="10.7109375" bestFit="1" customWidth="1"/>
    <col min="1791" max="1791" width="12.28515625" bestFit="1" customWidth="1"/>
    <col min="1792" max="1795" width="12.28515625" customWidth="1"/>
    <col min="1796" max="1796" width="11.7109375" customWidth="1"/>
    <col min="1797" max="1811" width="9.7109375" customWidth="1"/>
    <col min="1812" max="1812" width="11.5703125" bestFit="1" customWidth="1"/>
    <col min="1813" max="1813" width="8.140625" bestFit="1" customWidth="1"/>
    <col min="1814" max="1815" width="11.5703125" bestFit="1" customWidth="1"/>
    <col min="1816" max="1817" width="18" customWidth="1"/>
    <col min="1818" max="1818" width="17.140625" customWidth="1"/>
    <col min="1819" max="1820" width="15.7109375" customWidth="1"/>
    <col min="1821" max="1821" width="15" customWidth="1"/>
    <col min="1822" max="1823" width="14.140625" bestFit="1" customWidth="1"/>
    <col min="1824" max="1824" width="11.7109375" bestFit="1" customWidth="1"/>
    <col min="1825" max="1825" width="11.85546875" bestFit="1" customWidth="1"/>
    <col min="1826" max="1826" width="12.5703125" customWidth="1"/>
    <col min="1827" max="1827" width="11.28515625" customWidth="1"/>
    <col min="1828" max="1828" width="11.5703125" customWidth="1"/>
    <col min="1829" max="1829" width="9.28515625" customWidth="1"/>
    <col min="1831" max="1831" width="11.7109375" bestFit="1" customWidth="1"/>
    <col min="1832" max="1832" width="10.7109375" bestFit="1" customWidth="1"/>
    <col min="2047" max="2047" width="12.28515625" bestFit="1" customWidth="1"/>
    <col min="2048" max="2051" width="12.28515625" customWidth="1"/>
    <col min="2052" max="2052" width="11.7109375" customWidth="1"/>
    <col min="2053" max="2067" width="9.7109375" customWidth="1"/>
    <col min="2068" max="2068" width="11.5703125" bestFit="1" customWidth="1"/>
    <col min="2069" max="2069" width="8.140625" bestFit="1" customWidth="1"/>
    <col min="2070" max="2071" width="11.5703125" bestFit="1" customWidth="1"/>
    <col min="2072" max="2073" width="18" customWidth="1"/>
    <col min="2074" max="2074" width="17.140625" customWidth="1"/>
    <col min="2075" max="2076" width="15.7109375" customWidth="1"/>
    <col min="2077" max="2077" width="15" customWidth="1"/>
    <col min="2078" max="2079" width="14.140625" bestFit="1" customWidth="1"/>
    <col min="2080" max="2080" width="11.7109375" bestFit="1" customWidth="1"/>
    <col min="2081" max="2081" width="11.85546875" bestFit="1" customWidth="1"/>
    <col min="2082" max="2082" width="12.5703125" customWidth="1"/>
    <col min="2083" max="2083" width="11.28515625" customWidth="1"/>
    <col min="2084" max="2084" width="11.5703125" customWidth="1"/>
    <col min="2085" max="2085" width="9.28515625" customWidth="1"/>
    <col min="2087" max="2087" width="11.7109375" bestFit="1" customWidth="1"/>
    <col min="2088" max="2088" width="10.7109375" bestFit="1" customWidth="1"/>
    <col min="2303" max="2303" width="12.28515625" bestFit="1" customWidth="1"/>
    <col min="2304" max="2307" width="12.28515625" customWidth="1"/>
    <col min="2308" max="2308" width="11.7109375" customWidth="1"/>
    <col min="2309" max="2323" width="9.7109375" customWidth="1"/>
    <col min="2324" max="2324" width="11.5703125" bestFit="1" customWidth="1"/>
    <col min="2325" max="2325" width="8.140625" bestFit="1" customWidth="1"/>
    <col min="2326" max="2327" width="11.5703125" bestFit="1" customWidth="1"/>
    <col min="2328" max="2329" width="18" customWidth="1"/>
    <col min="2330" max="2330" width="17.140625" customWidth="1"/>
    <col min="2331" max="2332" width="15.7109375" customWidth="1"/>
    <col min="2333" max="2333" width="15" customWidth="1"/>
    <col min="2334" max="2335" width="14.140625" bestFit="1" customWidth="1"/>
    <col min="2336" max="2336" width="11.7109375" bestFit="1" customWidth="1"/>
    <col min="2337" max="2337" width="11.85546875" bestFit="1" customWidth="1"/>
    <col min="2338" max="2338" width="12.5703125" customWidth="1"/>
    <col min="2339" max="2339" width="11.28515625" customWidth="1"/>
    <col min="2340" max="2340" width="11.5703125" customWidth="1"/>
    <col min="2341" max="2341" width="9.28515625" customWidth="1"/>
    <col min="2343" max="2343" width="11.7109375" bestFit="1" customWidth="1"/>
    <col min="2344" max="2344" width="10.7109375" bestFit="1" customWidth="1"/>
    <col min="2559" max="2559" width="12.28515625" bestFit="1" customWidth="1"/>
    <col min="2560" max="2563" width="12.28515625" customWidth="1"/>
    <col min="2564" max="2564" width="11.7109375" customWidth="1"/>
    <col min="2565" max="2579" width="9.7109375" customWidth="1"/>
    <col min="2580" max="2580" width="11.5703125" bestFit="1" customWidth="1"/>
    <col min="2581" max="2581" width="8.140625" bestFit="1" customWidth="1"/>
    <col min="2582" max="2583" width="11.5703125" bestFit="1" customWidth="1"/>
    <col min="2584" max="2585" width="18" customWidth="1"/>
    <col min="2586" max="2586" width="17.140625" customWidth="1"/>
    <col min="2587" max="2588" width="15.7109375" customWidth="1"/>
    <col min="2589" max="2589" width="15" customWidth="1"/>
    <col min="2590" max="2591" width="14.140625" bestFit="1" customWidth="1"/>
    <col min="2592" max="2592" width="11.7109375" bestFit="1" customWidth="1"/>
    <col min="2593" max="2593" width="11.85546875" bestFit="1" customWidth="1"/>
    <col min="2594" max="2594" width="12.5703125" customWidth="1"/>
    <col min="2595" max="2595" width="11.28515625" customWidth="1"/>
    <col min="2596" max="2596" width="11.5703125" customWidth="1"/>
    <col min="2597" max="2597" width="9.28515625" customWidth="1"/>
    <col min="2599" max="2599" width="11.7109375" bestFit="1" customWidth="1"/>
    <col min="2600" max="2600" width="10.7109375" bestFit="1" customWidth="1"/>
    <col min="2815" max="2815" width="12.28515625" bestFit="1" customWidth="1"/>
    <col min="2816" max="2819" width="12.28515625" customWidth="1"/>
    <col min="2820" max="2820" width="11.7109375" customWidth="1"/>
    <col min="2821" max="2835" width="9.7109375" customWidth="1"/>
    <col min="2836" max="2836" width="11.5703125" bestFit="1" customWidth="1"/>
    <col min="2837" max="2837" width="8.140625" bestFit="1" customWidth="1"/>
    <col min="2838" max="2839" width="11.5703125" bestFit="1" customWidth="1"/>
    <col min="2840" max="2841" width="18" customWidth="1"/>
    <col min="2842" max="2842" width="17.140625" customWidth="1"/>
    <col min="2843" max="2844" width="15.7109375" customWidth="1"/>
    <col min="2845" max="2845" width="15" customWidth="1"/>
    <col min="2846" max="2847" width="14.140625" bestFit="1" customWidth="1"/>
    <col min="2848" max="2848" width="11.7109375" bestFit="1" customWidth="1"/>
    <col min="2849" max="2849" width="11.85546875" bestFit="1" customWidth="1"/>
    <col min="2850" max="2850" width="12.5703125" customWidth="1"/>
    <col min="2851" max="2851" width="11.28515625" customWidth="1"/>
    <col min="2852" max="2852" width="11.5703125" customWidth="1"/>
    <col min="2853" max="2853" width="9.28515625" customWidth="1"/>
    <col min="2855" max="2855" width="11.7109375" bestFit="1" customWidth="1"/>
    <col min="2856" max="2856" width="10.7109375" bestFit="1" customWidth="1"/>
    <col min="3071" max="3071" width="12.28515625" bestFit="1" customWidth="1"/>
    <col min="3072" max="3075" width="12.28515625" customWidth="1"/>
    <col min="3076" max="3076" width="11.7109375" customWidth="1"/>
    <col min="3077" max="3091" width="9.7109375" customWidth="1"/>
    <col min="3092" max="3092" width="11.5703125" bestFit="1" customWidth="1"/>
    <col min="3093" max="3093" width="8.140625" bestFit="1" customWidth="1"/>
    <col min="3094" max="3095" width="11.5703125" bestFit="1" customWidth="1"/>
    <col min="3096" max="3097" width="18" customWidth="1"/>
    <col min="3098" max="3098" width="17.140625" customWidth="1"/>
    <col min="3099" max="3100" width="15.7109375" customWidth="1"/>
    <col min="3101" max="3101" width="15" customWidth="1"/>
    <col min="3102" max="3103" width="14.140625" bestFit="1" customWidth="1"/>
    <col min="3104" max="3104" width="11.7109375" bestFit="1" customWidth="1"/>
    <col min="3105" max="3105" width="11.85546875" bestFit="1" customWidth="1"/>
    <col min="3106" max="3106" width="12.5703125" customWidth="1"/>
    <col min="3107" max="3107" width="11.28515625" customWidth="1"/>
    <col min="3108" max="3108" width="11.5703125" customWidth="1"/>
    <col min="3109" max="3109" width="9.28515625" customWidth="1"/>
    <col min="3111" max="3111" width="11.7109375" bestFit="1" customWidth="1"/>
    <col min="3112" max="3112" width="10.7109375" bestFit="1" customWidth="1"/>
    <col min="3327" max="3327" width="12.28515625" bestFit="1" customWidth="1"/>
    <col min="3328" max="3331" width="12.28515625" customWidth="1"/>
    <col min="3332" max="3332" width="11.7109375" customWidth="1"/>
    <col min="3333" max="3347" width="9.7109375" customWidth="1"/>
    <col min="3348" max="3348" width="11.5703125" bestFit="1" customWidth="1"/>
    <col min="3349" max="3349" width="8.140625" bestFit="1" customWidth="1"/>
    <col min="3350" max="3351" width="11.5703125" bestFit="1" customWidth="1"/>
    <col min="3352" max="3353" width="18" customWidth="1"/>
    <col min="3354" max="3354" width="17.140625" customWidth="1"/>
    <col min="3355" max="3356" width="15.7109375" customWidth="1"/>
    <col min="3357" max="3357" width="15" customWidth="1"/>
    <col min="3358" max="3359" width="14.140625" bestFit="1" customWidth="1"/>
    <col min="3360" max="3360" width="11.7109375" bestFit="1" customWidth="1"/>
    <col min="3361" max="3361" width="11.85546875" bestFit="1" customWidth="1"/>
    <col min="3362" max="3362" width="12.5703125" customWidth="1"/>
    <col min="3363" max="3363" width="11.28515625" customWidth="1"/>
    <col min="3364" max="3364" width="11.5703125" customWidth="1"/>
    <col min="3365" max="3365" width="9.28515625" customWidth="1"/>
    <col min="3367" max="3367" width="11.7109375" bestFit="1" customWidth="1"/>
    <col min="3368" max="3368" width="10.7109375" bestFit="1" customWidth="1"/>
    <col min="3583" max="3583" width="12.28515625" bestFit="1" customWidth="1"/>
    <col min="3584" max="3587" width="12.28515625" customWidth="1"/>
    <col min="3588" max="3588" width="11.7109375" customWidth="1"/>
    <col min="3589" max="3603" width="9.7109375" customWidth="1"/>
    <col min="3604" max="3604" width="11.5703125" bestFit="1" customWidth="1"/>
    <col min="3605" max="3605" width="8.140625" bestFit="1" customWidth="1"/>
    <col min="3606" max="3607" width="11.5703125" bestFit="1" customWidth="1"/>
    <col min="3608" max="3609" width="18" customWidth="1"/>
    <col min="3610" max="3610" width="17.140625" customWidth="1"/>
    <col min="3611" max="3612" width="15.7109375" customWidth="1"/>
    <col min="3613" max="3613" width="15" customWidth="1"/>
    <col min="3614" max="3615" width="14.140625" bestFit="1" customWidth="1"/>
    <col min="3616" max="3616" width="11.7109375" bestFit="1" customWidth="1"/>
    <col min="3617" max="3617" width="11.85546875" bestFit="1" customWidth="1"/>
    <col min="3618" max="3618" width="12.5703125" customWidth="1"/>
    <col min="3619" max="3619" width="11.28515625" customWidth="1"/>
    <col min="3620" max="3620" width="11.5703125" customWidth="1"/>
    <col min="3621" max="3621" width="9.28515625" customWidth="1"/>
    <col min="3623" max="3623" width="11.7109375" bestFit="1" customWidth="1"/>
    <col min="3624" max="3624" width="10.7109375" bestFit="1" customWidth="1"/>
    <col min="3839" max="3839" width="12.28515625" bestFit="1" customWidth="1"/>
    <col min="3840" max="3843" width="12.28515625" customWidth="1"/>
    <col min="3844" max="3844" width="11.7109375" customWidth="1"/>
    <col min="3845" max="3859" width="9.7109375" customWidth="1"/>
    <col min="3860" max="3860" width="11.5703125" bestFit="1" customWidth="1"/>
    <col min="3861" max="3861" width="8.140625" bestFit="1" customWidth="1"/>
    <col min="3862" max="3863" width="11.5703125" bestFit="1" customWidth="1"/>
    <col min="3864" max="3865" width="18" customWidth="1"/>
    <col min="3866" max="3866" width="17.140625" customWidth="1"/>
    <col min="3867" max="3868" width="15.7109375" customWidth="1"/>
    <col min="3869" max="3869" width="15" customWidth="1"/>
    <col min="3870" max="3871" width="14.140625" bestFit="1" customWidth="1"/>
    <col min="3872" max="3872" width="11.7109375" bestFit="1" customWidth="1"/>
    <col min="3873" max="3873" width="11.85546875" bestFit="1" customWidth="1"/>
    <col min="3874" max="3874" width="12.5703125" customWidth="1"/>
    <col min="3875" max="3875" width="11.28515625" customWidth="1"/>
    <col min="3876" max="3876" width="11.5703125" customWidth="1"/>
    <col min="3877" max="3877" width="9.28515625" customWidth="1"/>
    <col min="3879" max="3879" width="11.7109375" bestFit="1" customWidth="1"/>
    <col min="3880" max="3880" width="10.7109375" bestFit="1" customWidth="1"/>
    <col min="4095" max="4095" width="12.28515625" bestFit="1" customWidth="1"/>
    <col min="4096" max="4099" width="12.28515625" customWidth="1"/>
    <col min="4100" max="4100" width="11.7109375" customWidth="1"/>
    <col min="4101" max="4115" width="9.7109375" customWidth="1"/>
    <col min="4116" max="4116" width="11.5703125" bestFit="1" customWidth="1"/>
    <col min="4117" max="4117" width="8.140625" bestFit="1" customWidth="1"/>
    <col min="4118" max="4119" width="11.5703125" bestFit="1" customWidth="1"/>
    <col min="4120" max="4121" width="18" customWidth="1"/>
    <col min="4122" max="4122" width="17.140625" customWidth="1"/>
    <col min="4123" max="4124" width="15.7109375" customWidth="1"/>
    <col min="4125" max="4125" width="15" customWidth="1"/>
    <col min="4126" max="4127" width="14.140625" bestFit="1" customWidth="1"/>
    <col min="4128" max="4128" width="11.7109375" bestFit="1" customWidth="1"/>
    <col min="4129" max="4129" width="11.85546875" bestFit="1" customWidth="1"/>
    <col min="4130" max="4130" width="12.5703125" customWidth="1"/>
    <col min="4131" max="4131" width="11.28515625" customWidth="1"/>
    <col min="4132" max="4132" width="11.5703125" customWidth="1"/>
    <col min="4133" max="4133" width="9.28515625" customWidth="1"/>
    <col min="4135" max="4135" width="11.7109375" bestFit="1" customWidth="1"/>
    <col min="4136" max="4136" width="10.7109375" bestFit="1" customWidth="1"/>
    <col min="4351" max="4351" width="12.28515625" bestFit="1" customWidth="1"/>
    <col min="4352" max="4355" width="12.28515625" customWidth="1"/>
    <col min="4356" max="4356" width="11.7109375" customWidth="1"/>
    <col min="4357" max="4371" width="9.7109375" customWidth="1"/>
    <col min="4372" max="4372" width="11.5703125" bestFit="1" customWidth="1"/>
    <col min="4373" max="4373" width="8.140625" bestFit="1" customWidth="1"/>
    <col min="4374" max="4375" width="11.5703125" bestFit="1" customWidth="1"/>
    <col min="4376" max="4377" width="18" customWidth="1"/>
    <col min="4378" max="4378" width="17.140625" customWidth="1"/>
    <col min="4379" max="4380" width="15.7109375" customWidth="1"/>
    <col min="4381" max="4381" width="15" customWidth="1"/>
    <col min="4382" max="4383" width="14.140625" bestFit="1" customWidth="1"/>
    <col min="4384" max="4384" width="11.7109375" bestFit="1" customWidth="1"/>
    <col min="4385" max="4385" width="11.85546875" bestFit="1" customWidth="1"/>
    <col min="4386" max="4386" width="12.5703125" customWidth="1"/>
    <col min="4387" max="4387" width="11.28515625" customWidth="1"/>
    <col min="4388" max="4388" width="11.5703125" customWidth="1"/>
    <col min="4389" max="4389" width="9.28515625" customWidth="1"/>
    <col min="4391" max="4391" width="11.7109375" bestFit="1" customWidth="1"/>
    <col min="4392" max="4392" width="10.7109375" bestFit="1" customWidth="1"/>
    <col min="4607" max="4607" width="12.28515625" bestFit="1" customWidth="1"/>
    <col min="4608" max="4611" width="12.28515625" customWidth="1"/>
    <col min="4612" max="4612" width="11.7109375" customWidth="1"/>
    <col min="4613" max="4627" width="9.7109375" customWidth="1"/>
    <col min="4628" max="4628" width="11.5703125" bestFit="1" customWidth="1"/>
    <col min="4629" max="4629" width="8.140625" bestFit="1" customWidth="1"/>
    <col min="4630" max="4631" width="11.5703125" bestFit="1" customWidth="1"/>
    <col min="4632" max="4633" width="18" customWidth="1"/>
    <col min="4634" max="4634" width="17.140625" customWidth="1"/>
    <col min="4635" max="4636" width="15.7109375" customWidth="1"/>
    <col min="4637" max="4637" width="15" customWidth="1"/>
    <col min="4638" max="4639" width="14.140625" bestFit="1" customWidth="1"/>
    <col min="4640" max="4640" width="11.7109375" bestFit="1" customWidth="1"/>
    <col min="4641" max="4641" width="11.85546875" bestFit="1" customWidth="1"/>
    <col min="4642" max="4642" width="12.5703125" customWidth="1"/>
    <col min="4643" max="4643" width="11.28515625" customWidth="1"/>
    <col min="4644" max="4644" width="11.5703125" customWidth="1"/>
    <col min="4645" max="4645" width="9.28515625" customWidth="1"/>
    <col min="4647" max="4647" width="11.7109375" bestFit="1" customWidth="1"/>
    <col min="4648" max="4648" width="10.7109375" bestFit="1" customWidth="1"/>
    <col min="4863" max="4863" width="12.28515625" bestFit="1" customWidth="1"/>
    <col min="4864" max="4867" width="12.28515625" customWidth="1"/>
    <col min="4868" max="4868" width="11.7109375" customWidth="1"/>
    <col min="4869" max="4883" width="9.7109375" customWidth="1"/>
    <col min="4884" max="4884" width="11.5703125" bestFit="1" customWidth="1"/>
    <col min="4885" max="4885" width="8.140625" bestFit="1" customWidth="1"/>
    <col min="4886" max="4887" width="11.5703125" bestFit="1" customWidth="1"/>
    <col min="4888" max="4889" width="18" customWidth="1"/>
    <col min="4890" max="4890" width="17.140625" customWidth="1"/>
    <col min="4891" max="4892" width="15.7109375" customWidth="1"/>
    <col min="4893" max="4893" width="15" customWidth="1"/>
    <col min="4894" max="4895" width="14.140625" bestFit="1" customWidth="1"/>
    <col min="4896" max="4896" width="11.7109375" bestFit="1" customWidth="1"/>
    <col min="4897" max="4897" width="11.85546875" bestFit="1" customWidth="1"/>
    <col min="4898" max="4898" width="12.5703125" customWidth="1"/>
    <col min="4899" max="4899" width="11.28515625" customWidth="1"/>
    <col min="4900" max="4900" width="11.5703125" customWidth="1"/>
    <col min="4901" max="4901" width="9.28515625" customWidth="1"/>
    <col min="4903" max="4903" width="11.7109375" bestFit="1" customWidth="1"/>
    <col min="4904" max="4904" width="10.7109375" bestFit="1" customWidth="1"/>
    <col min="5119" max="5119" width="12.28515625" bestFit="1" customWidth="1"/>
    <col min="5120" max="5123" width="12.28515625" customWidth="1"/>
    <col min="5124" max="5124" width="11.7109375" customWidth="1"/>
    <col min="5125" max="5139" width="9.7109375" customWidth="1"/>
    <col min="5140" max="5140" width="11.5703125" bestFit="1" customWidth="1"/>
    <col min="5141" max="5141" width="8.140625" bestFit="1" customWidth="1"/>
    <col min="5142" max="5143" width="11.5703125" bestFit="1" customWidth="1"/>
    <col min="5144" max="5145" width="18" customWidth="1"/>
    <col min="5146" max="5146" width="17.140625" customWidth="1"/>
    <col min="5147" max="5148" width="15.7109375" customWidth="1"/>
    <col min="5149" max="5149" width="15" customWidth="1"/>
    <col min="5150" max="5151" width="14.140625" bestFit="1" customWidth="1"/>
    <col min="5152" max="5152" width="11.7109375" bestFit="1" customWidth="1"/>
    <col min="5153" max="5153" width="11.85546875" bestFit="1" customWidth="1"/>
    <col min="5154" max="5154" width="12.5703125" customWidth="1"/>
    <col min="5155" max="5155" width="11.28515625" customWidth="1"/>
    <col min="5156" max="5156" width="11.5703125" customWidth="1"/>
    <col min="5157" max="5157" width="9.28515625" customWidth="1"/>
    <col min="5159" max="5159" width="11.7109375" bestFit="1" customWidth="1"/>
    <col min="5160" max="5160" width="10.7109375" bestFit="1" customWidth="1"/>
    <col min="5375" max="5375" width="12.28515625" bestFit="1" customWidth="1"/>
    <col min="5376" max="5379" width="12.28515625" customWidth="1"/>
    <col min="5380" max="5380" width="11.7109375" customWidth="1"/>
    <col min="5381" max="5395" width="9.7109375" customWidth="1"/>
    <col min="5396" max="5396" width="11.5703125" bestFit="1" customWidth="1"/>
    <col min="5397" max="5397" width="8.140625" bestFit="1" customWidth="1"/>
    <col min="5398" max="5399" width="11.5703125" bestFit="1" customWidth="1"/>
    <col min="5400" max="5401" width="18" customWidth="1"/>
    <col min="5402" max="5402" width="17.140625" customWidth="1"/>
    <col min="5403" max="5404" width="15.7109375" customWidth="1"/>
    <col min="5405" max="5405" width="15" customWidth="1"/>
    <col min="5406" max="5407" width="14.140625" bestFit="1" customWidth="1"/>
    <col min="5408" max="5408" width="11.7109375" bestFit="1" customWidth="1"/>
    <col min="5409" max="5409" width="11.85546875" bestFit="1" customWidth="1"/>
    <col min="5410" max="5410" width="12.5703125" customWidth="1"/>
    <col min="5411" max="5411" width="11.28515625" customWidth="1"/>
    <col min="5412" max="5412" width="11.5703125" customWidth="1"/>
    <col min="5413" max="5413" width="9.28515625" customWidth="1"/>
    <col min="5415" max="5415" width="11.7109375" bestFit="1" customWidth="1"/>
    <col min="5416" max="5416" width="10.7109375" bestFit="1" customWidth="1"/>
    <col min="5631" max="5631" width="12.28515625" bestFit="1" customWidth="1"/>
    <col min="5632" max="5635" width="12.28515625" customWidth="1"/>
    <col min="5636" max="5636" width="11.7109375" customWidth="1"/>
    <col min="5637" max="5651" width="9.7109375" customWidth="1"/>
    <col min="5652" max="5652" width="11.5703125" bestFit="1" customWidth="1"/>
    <col min="5653" max="5653" width="8.140625" bestFit="1" customWidth="1"/>
    <col min="5654" max="5655" width="11.5703125" bestFit="1" customWidth="1"/>
    <col min="5656" max="5657" width="18" customWidth="1"/>
    <col min="5658" max="5658" width="17.140625" customWidth="1"/>
    <col min="5659" max="5660" width="15.7109375" customWidth="1"/>
    <col min="5661" max="5661" width="15" customWidth="1"/>
    <col min="5662" max="5663" width="14.140625" bestFit="1" customWidth="1"/>
    <col min="5664" max="5664" width="11.7109375" bestFit="1" customWidth="1"/>
    <col min="5665" max="5665" width="11.85546875" bestFit="1" customWidth="1"/>
    <col min="5666" max="5666" width="12.5703125" customWidth="1"/>
    <col min="5667" max="5667" width="11.28515625" customWidth="1"/>
    <col min="5668" max="5668" width="11.5703125" customWidth="1"/>
    <col min="5669" max="5669" width="9.28515625" customWidth="1"/>
    <col min="5671" max="5671" width="11.7109375" bestFit="1" customWidth="1"/>
    <col min="5672" max="5672" width="10.7109375" bestFit="1" customWidth="1"/>
    <col min="5887" max="5887" width="12.28515625" bestFit="1" customWidth="1"/>
    <col min="5888" max="5891" width="12.28515625" customWidth="1"/>
    <col min="5892" max="5892" width="11.7109375" customWidth="1"/>
    <col min="5893" max="5907" width="9.7109375" customWidth="1"/>
    <col min="5908" max="5908" width="11.5703125" bestFit="1" customWidth="1"/>
    <col min="5909" max="5909" width="8.140625" bestFit="1" customWidth="1"/>
    <col min="5910" max="5911" width="11.5703125" bestFit="1" customWidth="1"/>
    <col min="5912" max="5913" width="18" customWidth="1"/>
    <col min="5914" max="5914" width="17.140625" customWidth="1"/>
    <col min="5915" max="5916" width="15.7109375" customWidth="1"/>
    <col min="5917" max="5917" width="15" customWidth="1"/>
    <col min="5918" max="5919" width="14.140625" bestFit="1" customWidth="1"/>
    <col min="5920" max="5920" width="11.7109375" bestFit="1" customWidth="1"/>
    <col min="5921" max="5921" width="11.85546875" bestFit="1" customWidth="1"/>
    <col min="5922" max="5922" width="12.5703125" customWidth="1"/>
    <col min="5923" max="5923" width="11.28515625" customWidth="1"/>
    <col min="5924" max="5924" width="11.5703125" customWidth="1"/>
    <col min="5925" max="5925" width="9.28515625" customWidth="1"/>
    <col min="5927" max="5927" width="11.7109375" bestFit="1" customWidth="1"/>
    <col min="5928" max="5928" width="10.7109375" bestFit="1" customWidth="1"/>
    <col min="6143" max="6143" width="12.28515625" bestFit="1" customWidth="1"/>
    <col min="6144" max="6147" width="12.28515625" customWidth="1"/>
    <col min="6148" max="6148" width="11.7109375" customWidth="1"/>
    <col min="6149" max="6163" width="9.7109375" customWidth="1"/>
    <col min="6164" max="6164" width="11.5703125" bestFit="1" customWidth="1"/>
    <col min="6165" max="6165" width="8.140625" bestFit="1" customWidth="1"/>
    <col min="6166" max="6167" width="11.5703125" bestFit="1" customWidth="1"/>
    <col min="6168" max="6169" width="18" customWidth="1"/>
    <col min="6170" max="6170" width="17.140625" customWidth="1"/>
    <col min="6171" max="6172" width="15.7109375" customWidth="1"/>
    <col min="6173" max="6173" width="15" customWidth="1"/>
    <col min="6174" max="6175" width="14.140625" bestFit="1" customWidth="1"/>
    <col min="6176" max="6176" width="11.7109375" bestFit="1" customWidth="1"/>
    <col min="6177" max="6177" width="11.85546875" bestFit="1" customWidth="1"/>
    <col min="6178" max="6178" width="12.5703125" customWidth="1"/>
    <col min="6179" max="6179" width="11.28515625" customWidth="1"/>
    <col min="6180" max="6180" width="11.5703125" customWidth="1"/>
    <col min="6181" max="6181" width="9.28515625" customWidth="1"/>
    <col min="6183" max="6183" width="11.7109375" bestFit="1" customWidth="1"/>
    <col min="6184" max="6184" width="10.7109375" bestFit="1" customWidth="1"/>
    <col min="6399" max="6399" width="12.28515625" bestFit="1" customWidth="1"/>
    <col min="6400" max="6403" width="12.28515625" customWidth="1"/>
    <col min="6404" max="6404" width="11.7109375" customWidth="1"/>
    <col min="6405" max="6419" width="9.7109375" customWidth="1"/>
    <col min="6420" max="6420" width="11.5703125" bestFit="1" customWidth="1"/>
    <col min="6421" max="6421" width="8.140625" bestFit="1" customWidth="1"/>
    <col min="6422" max="6423" width="11.5703125" bestFit="1" customWidth="1"/>
    <col min="6424" max="6425" width="18" customWidth="1"/>
    <col min="6426" max="6426" width="17.140625" customWidth="1"/>
    <col min="6427" max="6428" width="15.7109375" customWidth="1"/>
    <col min="6429" max="6429" width="15" customWidth="1"/>
    <col min="6430" max="6431" width="14.140625" bestFit="1" customWidth="1"/>
    <col min="6432" max="6432" width="11.7109375" bestFit="1" customWidth="1"/>
    <col min="6433" max="6433" width="11.85546875" bestFit="1" customWidth="1"/>
    <col min="6434" max="6434" width="12.5703125" customWidth="1"/>
    <col min="6435" max="6435" width="11.28515625" customWidth="1"/>
    <col min="6436" max="6436" width="11.5703125" customWidth="1"/>
    <col min="6437" max="6437" width="9.28515625" customWidth="1"/>
    <col min="6439" max="6439" width="11.7109375" bestFit="1" customWidth="1"/>
    <col min="6440" max="6440" width="10.7109375" bestFit="1" customWidth="1"/>
    <col min="6655" max="6655" width="12.28515625" bestFit="1" customWidth="1"/>
    <col min="6656" max="6659" width="12.28515625" customWidth="1"/>
    <col min="6660" max="6660" width="11.7109375" customWidth="1"/>
    <col min="6661" max="6675" width="9.7109375" customWidth="1"/>
    <col min="6676" max="6676" width="11.5703125" bestFit="1" customWidth="1"/>
    <col min="6677" max="6677" width="8.140625" bestFit="1" customWidth="1"/>
    <col min="6678" max="6679" width="11.5703125" bestFit="1" customWidth="1"/>
    <col min="6680" max="6681" width="18" customWidth="1"/>
    <col min="6682" max="6682" width="17.140625" customWidth="1"/>
    <col min="6683" max="6684" width="15.7109375" customWidth="1"/>
    <col min="6685" max="6685" width="15" customWidth="1"/>
    <col min="6686" max="6687" width="14.140625" bestFit="1" customWidth="1"/>
    <col min="6688" max="6688" width="11.7109375" bestFit="1" customWidth="1"/>
    <col min="6689" max="6689" width="11.85546875" bestFit="1" customWidth="1"/>
    <col min="6690" max="6690" width="12.5703125" customWidth="1"/>
    <col min="6691" max="6691" width="11.28515625" customWidth="1"/>
    <col min="6692" max="6692" width="11.5703125" customWidth="1"/>
    <col min="6693" max="6693" width="9.28515625" customWidth="1"/>
    <col min="6695" max="6695" width="11.7109375" bestFit="1" customWidth="1"/>
    <col min="6696" max="6696" width="10.7109375" bestFit="1" customWidth="1"/>
    <col min="6911" max="6911" width="12.28515625" bestFit="1" customWidth="1"/>
    <col min="6912" max="6915" width="12.28515625" customWidth="1"/>
    <col min="6916" max="6916" width="11.7109375" customWidth="1"/>
    <col min="6917" max="6931" width="9.7109375" customWidth="1"/>
    <col min="6932" max="6932" width="11.5703125" bestFit="1" customWidth="1"/>
    <col min="6933" max="6933" width="8.140625" bestFit="1" customWidth="1"/>
    <col min="6934" max="6935" width="11.5703125" bestFit="1" customWidth="1"/>
    <col min="6936" max="6937" width="18" customWidth="1"/>
    <col min="6938" max="6938" width="17.140625" customWidth="1"/>
    <col min="6939" max="6940" width="15.7109375" customWidth="1"/>
    <col min="6941" max="6941" width="15" customWidth="1"/>
    <col min="6942" max="6943" width="14.140625" bestFit="1" customWidth="1"/>
    <col min="6944" max="6944" width="11.7109375" bestFit="1" customWidth="1"/>
    <col min="6945" max="6945" width="11.85546875" bestFit="1" customWidth="1"/>
    <col min="6946" max="6946" width="12.5703125" customWidth="1"/>
    <col min="6947" max="6947" width="11.28515625" customWidth="1"/>
    <col min="6948" max="6948" width="11.5703125" customWidth="1"/>
    <col min="6949" max="6949" width="9.28515625" customWidth="1"/>
    <col min="6951" max="6951" width="11.7109375" bestFit="1" customWidth="1"/>
    <col min="6952" max="6952" width="10.7109375" bestFit="1" customWidth="1"/>
    <col min="7167" max="7167" width="12.28515625" bestFit="1" customWidth="1"/>
    <col min="7168" max="7171" width="12.28515625" customWidth="1"/>
    <col min="7172" max="7172" width="11.7109375" customWidth="1"/>
    <col min="7173" max="7187" width="9.7109375" customWidth="1"/>
    <col min="7188" max="7188" width="11.5703125" bestFit="1" customWidth="1"/>
    <col min="7189" max="7189" width="8.140625" bestFit="1" customWidth="1"/>
    <col min="7190" max="7191" width="11.5703125" bestFit="1" customWidth="1"/>
    <col min="7192" max="7193" width="18" customWidth="1"/>
    <col min="7194" max="7194" width="17.140625" customWidth="1"/>
    <col min="7195" max="7196" width="15.7109375" customWidth="1"/>
    <col min="7197" max="7197" width="15" customWidth="1"/>
    <col min="7198" max="7199" width="14.140625" bestFit="1" customWidth="1"/>
    <col min="7200" max="7200" width="11.7109375" bestFit="1" customWidth="1"/>
    <col min="7201" max="7201" width="11.85546875" bestFit="1" customWidth="1"/>
    <col min="7202" max="7202" width="12.5703125" customWidth="1"/>
    <col min="7203" max="7203" width="11.28515625" customWidth="1"/>
    <col min="7204" max="7204" width="11.5703125" customWidth="1"/>
    <col min="7205" max="7205" width="9.28515625" customWidth="1"/>
    <col min="7207" max="7207" width="11.7109375" bestFit="1" customWidth="1"/>
    <col min="7208" max="7208" width="10.7109375" bestFit="1" customWidth="1"/>
    <col min="7423" max="7423" width="12.28515625" bestFit="1" customWidth="1"/>
    <col min="7424" max="7427" width="12.28515625" customWidth="1"/>
    <col min="7428" max="7428" width="11.7109375" customWidth="1"/>
    <col min="7429" max="7443" width="9.7109375" customWidth="1"/>
    <col min="7444" max="7444" width="11.5703125" bestFit="1" customWidth="1"/>
    <col min="7445" max="7445" width="8.140625" bestFit="1" customWidth="1"/>
    <col min="7446" max="7447" width="11.5703125" bestFit="1" customWidth="1"/>
    <col min="7448" max="7449" width="18" customWidth="1"/>
    <col min="7450" max="7450" width="17.140625" customWidth="1"/>
    <col min="7451" max="7452" width="15.7109375" customWidth="1"/>
    <col min="7453" max="7453" width="15" customWidth="1"/>
    <col min="7454" max="7455" width="14.140625" bestFit="1" customWidth="1"/>
    <col min="7456" max="7456" width="11.7109375" bestFit="1" customWidth="1"/>
    <col min="7457" max="7457" width="11.85546875" bestFit="1" customWidth="1"/>
    <col min="7458" max="7458" width="12.5703125" customWidth="1"/>
    <col min="7459" max="7459" width="11.28515625" customWidth="1"/>
    <col min="7460" max="7460" width="11.5703125" customWidth="1"/>
    <col min="7461" max="7461" width="9.28515625" customWidth="1"/>
    <col min="7463" max="7463" width="11.7109375" bestFit="1" customWidth="1"/>
    <col min="7464" max="7464" width="10.7109375" bestFit="1" customWidth="1"/>
    <col min="7679" max="7679" width="12.28515625" bestFit="1" customWidth="1"/>
    <col min="7680" max="7683" width="12.28515625" customWidth="1"/>
    <col min="7684" max="7684" width="11.7109375" customWidth="1"/>
    <col min="7685" max="7699" width="9.7109375" customWidth="1"/>
    <col min="7700" max="7700" width="11.5703125" bestFit="1" customWidth="1"/>
    <col min="7701" max="7701" width="8.140625" bestFit="1" customWidth="1"/>
    <col min="7702" max="7703" width="11.5703125" bestFit="1" customWidth="1"/>
    <col min="7704" max="7705" width="18" customWidth="1"/>
    <col min="7706" max="7706" width="17.140625" customWidth="1"/>
    <col min="7707" max="7708" width="15.7109375" customWidth="1"/>
    <col min="7709" max="7709" width="15" customWidth="1"/>
    <col min="7710" max="7711" width="14.140625" bestFit="1" customWidth="1"/>
    <col min="7712" max="7712" width="11.7109375" bestFit="1" customWidth="1"/>
    <col min="7713" max="7713" width="11.85546875" bestFit="1" customWidth="1"/>
    <col min="7714" max="7714" width="12.5703125" customWidth="1"/>
    <col min="7715" max="7715" width="11.28515625" customWidth="1"/>
    <col min="7716" max="7716" width="11.5703125" customWidth="1"/>
    <col min="7717" max="7717" width="9.28515625" customWidth="1"/>
    <col min="7719" max="7719" width="11.7109375" bestFit="1" customWidth="1"/>
    <col min="7720" max="7720" width="10.7109375" bestFit="1" customWidth="1"/>
    <col min="7935" max="7935" width="12.28515625" bestFit="1" customWidth="1"/>
    <col min="7936" max="7939" width="12.28515625" customWidth="1"/>
    <col min="7940" max="7940" width="11.7109375" customWidth="1"/>
    <col min="7941" max="7955" width="9.7109375" customWidth="1"/>
    <col min="7956" max="7956" width="11.5703125" bestFit="1" customWidth="1"/>
    <col min="7957" max="7957" width="8.140625" bestFit="1" customWidth="1"/>
    <col min="7958" max="7959" width="11.5703125" bestFit="1" customWidth="1"/>
    <col min="7960" max="7961" width="18" customWidth="1"/>
    <col min="7962" max="7962" width="17.140625" customWidth="1"/>
    <col min="7963" max="7964" width="15.7109375" customWidth="1"/>
    <col min="7965" max="7965" width="15" customWidth="1"/>
    <col min="7966" max="7967" width="14.140625" bestFit="1" customWidth="1"/>
    <col min="7968" max="7968" width="11.7109375" bestFit="1" customWidth="1"/>
    <col min="7969" max="7969" width="11.85546875" bestFit="1" customWidth="1"/>
    <col min="7970" max="7970" width="12.5703125" customWidth="1"/>
    <col min="7971" max="7971" width="11.28515625" customWidth="1"/>
    <col min="7972" max="7972" width="11.5703125" customWidth="1"/>
    <col min="7973" max="7973" width="9.28515625" customWidth="1"/>
    <col min="7975" max="7975" width="11.7109375" bestFit="1" customWidth="1"/>
    <col min="7976" max="7976" width="10.7109375" bestFit="1" customWidth="1"/>
    <col min="8191" max="8191" width="12.28515625" bestFit="1" customWidth="1"/>
    <col min="8192" max="8195" width="12.28515625" customWidth="1"/>
    <col min="8196" max="8196" width="11.7109375" customWidth="1"/>
    <col min="8197" max="8211" width="9.7109375" customWidth="1"/>
    <col min="8212" max="8212" width="11.5703125" bestFit="1" customWidth="1"/>
    <col min="8213" max="8213" width="8.140625" bestFit="1" customWidth="1"/>
    <col min="8214" max="8215" width="11.5703125" bestFit="1" customWidth="1"/>
    <col min="8216" max="8217" width="18" customWidth="1"/>
    <col min="8218" max="8218" width="17.140625" customWidth="1"/>
    <col min="8219" max="8220" width="15.7109375" customWidth="1"/>
    <col min="8221" max="8221" width="15" customWidth="1"/>
    <col min="8222" max="8223" width="14.140625" bestFit="1" customWidth="1"/>
    <col min="8224" max="8224" width="11.7109375" bestFit="1" customWidth="1"/>
    <col min="8225" max="8225" width="11.85546875" bestFit="1" customWidth="1"/>
    <col min="8226" max="8226" width="12.5703125" customWidth="1"/>
    <col min="8227" max="8227" width="11.28515625" customWidth="1"/>
    <col min="8228" max="8228" width="11.5703125" customWidth="1"/>
    <col min="8229" max="8229" width="9.28515625" customWidth="1"/>
    <col min="8231" max="8231" width="11.7109375" bestFit="1" customWidth="1"/>
    <col min="8232" max="8232" width="10.7109375" bestFit="1" customWidth="1"/>
    <col min="8447" max="8447" width="12.28515625" bestFit="1" customWidth="1"/>
    <col min="8448" max="8451" width="12.28515625" customWidth="1"/>
    <col min="8452" max="8452" width="11.7109375" customWidth="1"/>
    <col min="8453" max="8467" width="9.7109375" customWidth="1"/>
    <col min="8468" max="8468" width="11.5703125" bestFit="1" customWidth="1"/>
    <col min="8469" max="8469" width="8.140625" bestFit="1" customWidth="1"/>
    <col min="8470" max="8471" width="11.5703125" bestFit="1" customWidth="1"/>
    <col min="8472" max="8473" width="18" customWidth="1"/>
    <col min="8474" max="8474" width="17.140625" customWidth="1"/>
    <col min="8475" max="8476" width="15.7109375" customWidth="1"/>
    <col min="8477" max="8477" width="15" customWidth="1"/>
    <col min="8478" max="8479" width="14.140625" bestFit="1" customWidth="1"/>
    <col min="8480" max="8480" width="11.7109375" bestFit="1" customWidth="1"/>
    <col min="8481" max="8481" width="11.85546875" bestFit="1" customWidth="1"/>
    <col min="8482" max="8482" width="12.5703125" customWidth="1"/>
    <col min="8483" max="8483" width="11.28515625" customWidth="1"/>
    <col min="8484" max="8484" width="11.5703125" customWidth="1"/>
    <col min="8485" max="8485" width="9.28515625" customWidth="1"/>
    <col min="8487" max="8487" width="11.7109375" bestFit="1" customWidth="1"/>
    <col min="8488" max="8488" width="10.7109375" bestFit="1" customWidth="1"/>
    <col min="8703" max="8703" width="12.28515625" bestFit="1" customWidth="1"/>
    <col min="8704" max="8707" width="12.28515625" customWidth="1"/>
    <col min="8708" max="8708" width="11.7109375" customWidth="1"/>
    <col min="8709" max="8723" width="9.7109375" customWidth="1"/>
    <col min="8724" max="8724" width="11.5703125" bestFit="1" customWidth="1"/>
    <col min="8725" max="8725" width="8.140625" bestFit="1" customWidth="1"/>
    <col min="8726" max="8727" width="11.5703125" bestFit="1" customWidth="1"/>
    <col min="8728" max="8729" width="18" customWidth="1"/>
    <col min="8730" max="8730" width="17.140625" customWidth="1"/>
    <col min="8731" max="8732" width="15.7109375" customWidth="1"/>
    <col min="8733" max="8733" width="15" customWidth="1"/>
    <col min="8734" max="8735" width="14.140625" bestFit="1" customWidth="1"/>
    <col min="8736" max="8736" width="11.7109375" bestFit="1" customWidth="1"/>
    <col min="8737" max="8737" width="11.85546875" bestFit="1" customWidth="1"/>
    <col min="8738" max="8738" width="12.5703125" customWidth="1"/>
    <col min="8739" max="8739" width="11.28515625" customWidth="1"/>
    <col min="8740" max="8740" width="11.5703125" customWidth="1"/>
    <col min="8741" max="8741" width="9.28515625" customWidth="1"/>
    <col min="8743" max="8743" width="11.7109375" bestFit="1" customWidth="1"/>
    <col min="8744" max="8744" width="10.7109375" bestFit="1" customWidth="1"/>
    <col min="8959" max="8959" width="12.28515625" bestFit="1" customWidth="1"/>
    <col min="8960" max="8963" width="12.28515625" customWidth="1"/>
    <col min="8964" max="8964" width="11.7109375" customWidth="1"/>
    <col min="8965" max="8979" width="9.7109375" customWidth="1"/>
    <col min="8980" max="8980" width="11.5703125" bestFit="1" customWidth="1"/>
    <col min="8981" max="8981" width="8.140625" bestFit="1" customWidth="1"/>
    <col min="8982" max="8983" width="11.5703125" bestFit="1" customWidth="1"/>
    <col min="8984" max="8985" width="18" customWidth="1"/>
    <col min="8986" max="8986" width="17.140625" customWidth="1"/>
    <col min="8987" max="8988" width="15.7109375" customWidth="1"/>
    <col min="8989" max="8989" width="15" customWidth="1"/>
    <col min="8990" max="8991" width="14.140625" bestFit="1" customWidth="1"/>
    <col min="8992" max="8992" width="11.7109375" bestFit="1" customWidth="1"/>
    <col min="8993" max="8993" width="11.85546875" bestFit="1" customWidth="1"/>
    <col min="8994" max="8994" width="12.5703125" customWidth="1"/>
    <col min="8995" max="8995" width="11.28515625" customWidth="1"/>
    <col min="8996" max="8996" width="11.5703125" customWidth="1"/>
    <col min="8997" max="8997" width="9.28515625" customWidth="1"/>
    <col min="8999" max="8999" width="11.7109375" bestFit="1" customWidth="1"/>
    <col min="9000" max="9000" width="10.7109375" bestFit="1" customWidth="1"/>
    <col min="9215" max="9215" width="12.28515625" bestFit="1" customWidth="1"/>
    <col min="9216" max="9219" width="12.28515625" customWidth="1"/>
    <col min="9220" max="9220" width="11.7109375" customWidth="1"/>
    <col min="9221" max="9235" width="9.7109375" customWidth="1"/>
    <col min="9236" max="9236" width="11.5703125" bestFit="1" customWidth="1"/>
    <col min="9237" max="9237" width="8.140625" bestFit="1" customWidth="1"/>
    <col min="9238" max="9239" width="11.5703125" bestFit="1" customWidth="1"/>
    <col min="9240" max="9241" width="18" customWidth="1"/>
    <col min="9242" max="9242" width="17.140625" customWidth="1"/>
    <col min="9243" max="9244" width="15.7109375" customWidth="1"/>
    <col min="9245" max="9245" width="15" customWidth="1"/>
    <col min="9246" max="9247" width="14.140625" bestFit="1" customWidth="1"/>
    <col min="9248" max="9248" width="11.7109375" bestFit="1" customWidth="1"/>
    <col min="9249" max="9249" width="11.85546875" bestFit="1" customWidth="1"/>
    <col min="9250" max="9250" width="12.5703125" customWidth="1"/>
    <col min="9251" max="9251" width="11.28515625" customWidth="1"/>
    <col min="9252" max="9252" width="11.5703125" customWidth="1"/>
    <col min="9253" max="9253" width="9.28515625" customWidth="1"/>
    <col min="9255" max="9255" width="11.7109375" bestFit="1" customWidth="1"/>
    <col min="9256" max="9256" width="10.7109375" bestFit="1" customWidth="1"/>
    <col min="9471" max="9471" width="12.28515625" bestFit="1" customWidth="1"/>
    <col min="9472" max="9475" width="12.28515625" customWidth="1"/>
    <col min="9476" max="9476" width="11.7109375" customWidth="1"/>
    <col min="9477" max="9491" width="9.7109375" customWidth="1"/>
    <col min="9492" max="9492" width="11.5703125" bestFit="1" customWidth="1"/>
    <col min="9493" max="9493" width="8.140625" bestFit="1" customWidth="1"/>
    <col min="9494" max="9495" width="11.5703125" bestFit="1" customWidth="1"/>
    <col min="9496" max="9497" width="18" customWidth="1"/>
    <col min="9498" max="9498" width="17.140625" customWidth="1"/>
    <col min="9499" max="9500" width="15.7109375" customWidth="1"/>
    <col min="9501" max="9501" width="15" customWidth="1"/>
    <col min="9502" max="9503" width="14.140625" bestFit="1" customWidth="1"/>
    <col min="9504" max="9504" width="11.7109375" bestFit="1" customWidth="1"/>
    <col min="9505" max="9505" width="11.85546875" bestFit="1" customWidth="1"/>
    <col min="9506" max="9506" width="12.5703125" customWidth="1"/>
    <col min="9507" max="9507" width="11.28515625" customWidth="1"/>
    <col min="9508" max="9508" width="11.5703125" customWidth="1"/>
    <col min="9509" max="9509" width="9.28515625" customWidth="1"/>
    <col min="9511" max="9511" width="11.7109375" bestFit="1" customWidth="1"/>
    <col min="9512" max="9512" width="10.7109375" bestFit="1" customWidth="1"/>
    <col min="9727" max="9727" width="12.28515625" bestFit="1" customWidth="1"/>
    <col min="9728" max="9731" width="12.28515625" customWidth="1"/>
    <col min="9732" max="9732" width="11.7109375" customWidth="1"/>
    <col min="9733" max="9747" width="9.7109375" customWidth="1"/>
    <col min="9748" max="9748" width="11.5703125" bestFit="1" customWidth="1"/>
    <col min="9749" max="9749" width="8.140625" bestFit="1" customWidth="1"/>
    <col min="9750" max="9751" width="11.5703125" bestFit="1" customWidth="1"/>
    <col min="9752" max="9753" width="18" customWidth="1"/>
    <col min="9754" max="9754" width="17.140625" customWidth="1"/>
    <col min="9755" max="9756" width="15.7109375" customWidth="1"/>
    <col min="9757" max="9757" width="15" customWidth="1"/>
    <col min="9758" max="9759" width="14.140625" bestFit="1" customWidth="1"/>
    <col min="9760" max="9760" width="11.7109375" bestFit="1" customWidth="1"/>
    <col min="9761" max="9761" width="11.85546875" bestFit="1" customWidth="1"/>
    <col min="9762" max="9762" width="12.5703125" customWidth="1"/>
    <col min="9763" max="9763" width="11.28515625" customWidth="1"/>
    <col min="9764" max="9764" width="11.5703125" customWidth="1"/>
    <col min="9765" max="9765" width="9.28515625" customWidth="1"/>
    <col min="9767" max="9767" width="11.7109375" bestFit="1" customWidth="1"/>
    <col min="9768" max="9768" width="10.7109375" bestFit="1" customWidth="1"/>
    <col min="9983" max="9983" width="12.28515625" bestFit="1" customWidth="1"/>
    <col min="9984" max="9987" width="12.28515625" customWidth="1"/>
    <col min="9988" max="9988" width="11.7109375" customWidth="1"/>
    <col min="9989" max="10003" width="9.7109375" customWidth="1"/>
    <col min="10004" max="10004" width="11.5703125" bestFit="1" customWidth="1"/>
    <col min="10005" max="10005" width="8.140625" bestFit="1" customWidth="1"/>
    <col min="10006" max="10007" width="11.5703125" bestFit="1" customWidth="1"/>
    <col min="10008" max="10009" width="18" customWidth="1"/>
    <col min="10010" max="10010" width="17.140625" customWidth="1"/>
    <col min="10011" max="10012" width="15.7109375" customWidth="1"/>
    <col min="10013" max="10013" width="15" customWidth="1"/>
    <col min="10014" max="10015" width="14.140625" bestFit="1" customWidth="1"/>
    <col min="10016" max="10016" width="11.7109375" bestFit="1" customWidth="1"/>
    <col min="10017" max="10017" width="11.85546875" bestFit="1" customWidth="1"/>
    <col min="10018" max="10018" width="12.5703125" customWidth="1"/>
    <col min="10019" max="10019" width="11.28515625" customWidth="1"/>
    <col min="10020" max="10020" width="11.5703125" customWidth="1"/>
    <col min="10021" max="10021" width="9.28515625" customWidth="1"/>
    <col min="10023" max="10023" width="11.7109375" bestFit="1" customWidth="1"/>
    <col min="10024" max="10024" width="10.7109375" bestFit="1" customWidth="1"/>
    <col min="10239" max="10239" width="12.28515625" bestFit="1" customWidth="1"/>
    <col min="10240" max="10243" width="12.28515625" customWidth="1"/>
    <col min="10244" max="10244" width="11.7109375" customWidth="1"/>
    <col min="10245" max="10259" width="9.7109375" customWidth="1"/>
    <col min="10260" max="10260" width="11.5703125" bestFit="1" customWidth="1"/>
    <col min="10261" max="10261" width="8.140625" bestFit="1" customWidth="1"/>
    <col min="10262" max="10263" width="11.5703125" bestFit="1" customWidth="1"/>
    <col min="10264" max="10265" width="18" customWidth="1"/>
    <col min="10266" max="10266" width="17.140625" customWidth="1"/>
    <col min="10267" max="10268" width="15.7109375" customWidth="1"/>
    <col min="10269" max="10269" width="15" customWidth="1"/>
    <col min="10270" max="10271" width="14.140625" bestFit="1" customWidth="1"/>
    <col min="10272" max="10272" width="11.7109375" bestFit="1" customWidth="1"/>
    <col min="10273" max="10273" width="11.85546875" bestFit="1" customWidth="1"/>
    <col min="10274" max="10274" width="12.5703125" customWidth="1"/>
    <col min="10275" max="10275" width="11.28515625" customWidth="1"/>
    <col min="10276" max="10276" width="11.5703125" customWidth="1"/>
    <col min="10277" max="10277" width="9.28515625" customWidth="1"/>
    <col min="10279" max="10279" width="11.7109375" bestFit="1" customWidth="1"/>
    <col min="10280" max="10280" width="10.7109375" bestFit="1" customWidth="1"/>
    <col min="10495" max="10495" width="12.28515625" bestFit="1" customWidth="1"/>
    <col min="10496" max="10499" width="12.28515625" customWidth="1"/>
    <col min="10500" max="10500" width="11.7109375" customWidth="1"/>
    <col min="10501" max="10515" width="9.7109375" customWidth="1"/>
    <col min="10516" max="10516" width="11.5703125" bestFit="1" customWidth="1"/>
    <col min="10517" max="10517" width="8.140625" bestFit="1" customWidth="1"/>
    <col min="10518" max="10519" width="11.5703125" bestFit="1" customWidth="1"/>
    <col min="10520" max="10521" width="18" customWidth="1"/>
    <col min="10522" max="10522" width="17.140625" customWidth="1"/>
    <col min="10523" max="10524" width="15.7109375" customWidth="1"/>
    <col min="10525" max="10525" width="15" customWidth="1"/>
    <col min="10526" max="10527" width="14.140625" bestFit="1" customWidth="1"/>
    <col min="10528" max="10528" width="11.7109375" bestFit="1" customWidth="1"/>
    <col min="10529" max="10529" width="11.85546875" bestFit="1" customWidth="1"/>
    <col min="10530" max="10530" width="12.5703125" customWidth="1"/>
    <col min="10531" max="10531" width="11.28515625" customWidth="1"/>
    <col min="10532" max="10532" width="11.5703125" customWidth="1"/>
    <col min="10533" max="10533" width="9.28515625" customWidth="1"/>
    <col min="10535" max="10535" width="11.7109375" bestFit="1" customWidth="1"/>
    <col min="10536" max="10536" width="10.7109375" bestFit="1" customWidth="1"/>
    <col min="10751" max="10751" width="12.28515625" bestFit="1" customWidth="1"/>
    <col min="10752" max="10755" width="12.28515625" customWidth="1"/>
    <col min="10756" max="10756" width="11.7109375" customWidth="1"/>
    <col min="10757" max="10771" width="9.7109375" customWidth="1"/>
    <col min="10772" max="10772" width="11.5703125" bestFit="1" customWidth="1"/>
    <col min="10773" max="10773" width="8.140625" bestFit="1" customWidth="1"/>
    <col min="10774" max="10775" width="11.5703125" bestFit="1" customWidth="1"/>
    <col min="10776" max="10777" width="18" customWidth="1"/>
    <col min="10778" max="10778" width="17.140625" customWidth="1"/>
    <col min="10779" max="10780" width="15.7109375" customWidth="1"/>
    <col min="10781" max="10781" width="15" customWidth="1"/>
    <col min="10782" max="10783" width="14.140625" bestFit="1" customWidth="1"/>
    <col min="10784" max="10784" width="11.7109375" bestFit="1" customWidth="1"/>
    <col min="10785" max="10785" width="11.85546875" bestFit="1" customWidth="1"/>
    <col min="10786" max="10786" width="12.5703125" customWidth="1"/>
    <col min="10787" max="10787" width="11.28515625" customWidth="1"/>
    <col min="10788" max="10788" width="11.5703125" customWidth="1"/>
    <col min="10789" max="10789" width="9.28515625" customWidth="1"/>
    <col min="10791" max="10791" width="11.7109375" bestFit="1" customWidth="1"/>
    <col min="10792" max="10792" width="10.7109375" bestFit="1" customWidth="1"/>
    <col min="11007" max="11007" width="12.28515625" bestFit="1" customWidth="1"/>
    <col min="11008" max="11011" width="12.28515625" customWidth="1"/>
    <col min="11012" max="11012" width="11.7109375" customWidth="1"/>
    <col min="11013" max="11027" width="9.7109375" customWidth="1"/>
    <col min="11028" max="11028" width="11.5703125" bestFit="1" customWidth="1"/>
    <col min="11029" max="11029" width="8.140625" bestFit="1" customWidth="1"/>
    <col min="11030" max="11031" width="11.5703125" bestFit="1" customWidth="1"/>
    <col min="11032" max="11033" width="18" customWidth="1"/>
    <col min="11034" max="11034" width="17.140625" customWidth="1"/>
    <col min="11035" max="11036" width="15.7109375" customWidth="1"/>
    <col min="11037" max="11037" width="15" customWidth="1"/>
    <col min="11038" max="11039" width="14.140625" bestFit="1" customWidth="1"/>
    <col min="11040" max="11040" width="11.7109375" bestFit="1" customWidth="1"/>
    <col min="11041" max="11041" width="11.85546875" bestFit="1" customWidth="1"/>
    <col min="11042" max="11042" width="12.5703125" customWidth="1"/>
    <col min="11043" max="11043" width="11.28515625" customWidth="1"/>
    <col min="11044" max="11044" width="11.5703125" customWidth="1"/>
    <col min="11045" max="11045" width="9.28515625" customWidth="1"/>
    <col min="11047" max="11047" width="11.7109375" bestFit="1" customWidth="1"/>
    <col min="11048" max="11048" width="10.7109375" bestFit="1" customWidth="1"/>
    <col min="11263" max="11263" width="12.28515625" bestFit="1" customWidth="1"/>
    <col min="11264" max="11267" width="12.28515625" customWidth="1"/>
    <col min="11268" max="11268" width="11.7109375" customWidth="1"/>
    <col min="11269" max="11283" width="9.7109375" customWidth="1"/>
    <col min="11284" max="11284" width="11.5703125" bestFit="1" customWidth="1"/>
    <col min="11285" max="11285" width="8.140625" bestFit="1" customWidth="1"/>
    <col min="11286" max="11287" width="11.5703125" bestFit="1" customWidth="1"/>
    <col min="11288" max="11289" width="18" customWidth="1"/>
    <col min="11290" max="11290" width="17.140625" customWidth="1"/>
    <col min="11291" max="11292" width="15.7109375" customWidth="1"/>
    <col min="11293" max="11293" width="15" customWidth="1"/>
    <col min="11294" max="11295" width="14.140625" bestFit="1" customWidth="1"/>
    <col min="11296" max="11296" width="11.7109375" bestFit="1" customWidth="1"/>
    <col min="11297" max="11297" width="11.85546875" bestFit="1" customWidth="1"/>
    <col min="11298" max="11298" width="12.5703125" customWidth="1"/>
    <col min="11299" max="11299" width="11.28515625" customWidth="1"/>
    <col min="11300" max="11300" width="11.5703125" customWidth="1"/>
    <col min="11301" max="11301" width="9.28515625" customWidth="1"/>
    <col min="11303" max="11303" width="11.7109375" bestFit="1" customWidth="1"/>
    <col min="11304" max="11304" width="10.7109375" bestFit="1" customWidth="1"/>
    <col min="11519" max="11519" width="12.28515625" bestFit="1" customWidth="1"/>
    <col min="11520" max="11523" width="12.28515625" customWidth="1"/>
    <col min="11524" max="11524" width="11.7109375" customWidth="1"/>
    <col min="11525" max="11539" width="9.7109375" customWidth="1"/>
    <col min="11540" max="11540" width="11.5703125" bestFit="1" customWidth="1"/>
    <col min="11541" max="11541" width="8.140625" bestFit="1" customWidth="1"/>
    <col min="11542" max="11543" width="11.5703125" bestFit="1" customWidth="1"/>
    <col min="11544" max="11545" width="18" customWidth="1"/>
    <col min="11546" max="11546" width="17.140625" customWidth="1"/>
    <col min="11547" max="11548" width="15.7109375" customWidth="1"/>
    <col min="11549" max="11549" width="15" customWidth="1"/>
    <col min="11550" max="11551" width="14.140625" bestFit="1" customWidth="1"/>
    <col min="11552" max="11552" width="11.7109375" bestFit="1" customWidth="1"/>
    <col min="11553" max="11553" width="11.85546875" bestFit="1" customWidth="1"/>
    <col min="11554" max="11554" width="12.5703125" customWidth="1"/>
    <col min="11555" max="11555" width="11.28515625" customWidth="1"/>
    <col min="11556" max="11556" width="11.5703125" customWidth="1"/>
    <col min="11557" max="11557" width="9.28515625" customWidth="1"/>
    <col min="11559" max="11559" width="11.7109375" bestFit="1" customWidth="1"/>
    <col min="11560" max="11560" width="10.7109375" bestFit="1" customWidth="1"/>
    <col min="11775" max="11775" width="12.28515625" bestFit="1" customWidth="1"/>
    <col min="11776" max="11779" width="12.28515625" customWidth="1"/>
    <col min="11780" max="11780" width="11.7109375" customWidth="1"/>
    <col min="11781" max="11795" width="9.7109375" customWidth="1"/>
    <col min="11796" max="11796" width="11.5703125" bestFit="1" customWidth="1"/>
    <col min="11797" max="11797" width="8.140625" bestFit="1" customWidth="1"/>
    <col min="11798" max="11799" width="11.5703125" bestFit="1" customWidth="1"/>
    <col min="11800" max="11801" width="18" customWidth="1"/>
    <col min="11802" max="11802" width="17.140625" customWidth="1"/>
    <col min="11803" max="11804" width="15.7109375" customWidth="1"/>
    <col min="11805" max="11805" width="15" customWidth="1"/>
    <col min="11806" max="11807" width="14.140625" bestFit="1" customWidth="1"/>
    <col min="11808" max="11808" width="11.7109375" bestFit="1" customWidth="1"/>
    <col min="11809" max="11809" width="11.85546875" bestFit="1" customWidth="1"/>
    <col min="11810" max="11810" width="12.5703125" customWidth="1"/>
    <col min="11811" max="11811" width="11.28515625" customWidth="1"/>
    <col min="11812" max="11812" width="11.5703125" customWidth="1"/>
    <col min="11813" max="11813" width="9.28515625" customWidth="1"/>
    <col min="11815" max="11815" width="11.7109375" bestFit="1" customWidth="1"/>
    <col min="11816" max="11816" width="10.7109375" bestFit="1" customWidth="1"/>
    <col min="12031" max="12031" width="12.28515625" bestFit="1" customWidth="1"/>
    <col min="12032" max="12035" width="12.28515625" customWidth="1"/>
    <col min="12036" max="12036" width="11.7109375" customWidth="1"/>
    <col min="12037" max="12051" width="9.7109375" customWidth="1"/>
    <col min="12052" max="12052" width="11.5703125" bestFit="1" customWidth="1"/>
    <col min="12053" max="12053" width="8.140625" bestFit="1" customWidth="1"/>
    <col min="12054" max="12055" width="11.5703125" bestFit="1" customWidth="1"/>
    <col min="12056" max="12057" width="18" customWidth="1"/>
    <col min="12058" max="12058" width="17.140625" customWidth="1"/>
    <col min="12059" max="12060" width="15.7109375" customWidth="1"/>
    <col min="12061" max="12061" width="15" customWidth="1"/>
    <col min="12062" max="12063" width="14.140625" bestFit="1" customWidth="1"/>
    <col min="12064" max="12064" width="11.7109375" bestFit="1" customWidth="1"/>
    <col min="12065" max="12065" width="11.85546875" bestFit="1" customWidth="1"/>
    <col min="12066" max="12066" width="12.5703125" customWidth="1"/>
    <col min="12067" max="12067" width="11.28515625" customWidth="1"/>
    <col min="12068" max="12068" width="11.5703125" customWidth="1"/>
    <col min="12069" max="12069" width="9.28515625" customWidth="1"/>
    <col min="12071" max="12071" width="11.7109375" bestFit="1" customWidth="1"/>
    <col min="12072" max="12072" width="10.7109375" bestFit="1" customWidth="1"/>
    <col min="12287" max="12287" width="12.28515625" bestFit="1" customWidth="1"/>
    <col min="12288" max="12291" width="12.28515625" customWidth="1"/>
    <col min="12292" max="12292" width="11.7109375" customWidth="1"/>
    <col min="12293" max="12307" width="9.7109375" customWidth="1"/>
    <col min="12308" max="12308" width="11.5703125" bestFit="1" customWidth="1"/>
    <col min="12309" max="12309" width="8.140625" bestFit="1" customWidth="1"/>
    <col min="12310" max="12311" width="11.5703125" bestFit="1" customWidth="1"/>
    <col min="12312" max="12313" width="18" customWidth="1"/>
    <col min="12314" max="12314" width="17.140625" customWidth="1"/>
    <col min="12315" max="12316" width="15.7109375" customWidth="1"/>
    <col min="12317" max="12317" width="15" customWidth="1"/>
    <col min="12318" max="12319" width="14.140625" bestFit="1" customWidth="1"/>
    <col min="12320" max="12320" width="11.7109375" bestFit="1" customWidth="1"/>
    <col min="12321" max="12321" width="11.85546875" bestFit="1" customWidth="1"/>
    <col min="12322" max="12322" width="12.5703125" customWidth="1"/>
    <col min="12323" max="12323" width="11.28515625" customWidth="1"/>
    <col min="12324" max="12324" width="11.5703125" customWidth="1"/>
    <col min="12325" max="12325" width="9.28515625" customWidth="1"/>
    <col min="12327" max="12327" width="11.7109375" bestFit="1" customWidth="1"/>
    <col min="12328" max="12328" width="10.7109375" bestFit="1" customWidth="1"/>
    <col min="12543" max="12543" width="12.28515625" bestFit="1" customWidth="1"/>
    <col min="12544" max="12547" width="12.28515625" customWidth="1"/>
    <col min="12548" max="12548" width="11.7109375" customWidth="1"/>
    <col min="12549" max="12563" width="9.7109375" customWidth="1"/>
    <col min="12564" max="12564" width="11.5703125" bestFit="1" customWidth="1"/>
    <col min="12565" max="12565" width="8.140625" bestFit="1" customWidth="1"/>
    <col min="12566" max="12567" width="11.5703125" bestFit="1" customWidth="1"/>
    <col min="12568" max="12569" width="18" customWidth="1"/>
    <col min="12570" max="12570" width="17.140625" customWidth="1"/>
    <col min="12571" max="12572" width="15.7109375" customWidth="1"/>
    <col min="12573" max="12573" width="15" customWidth="1"/>
    <col min="12574" max="12575" width="14.140625" bestFit="1" customWidth="1"/>
    <col min="12576" max="12576" width="11.7109375" bestFit="1" customWidth="1"/>
    <col min="12577" max="12577" width="11.85546875" bestFit="1" customWidth="1"/>
    <col min="12578" max="12578" width="12.5703125" customWidth="1"/>
    <col min="12579" max="12579" width="11.28515625" customWidth="1"/>
    <col min="12580" max="12580" width="11.5703125" customWidth="1"/>
    <col min="12581" max="12581" width="9.28515625" customWidth="1"/>
    <col min="12583" max="12583" width="11.7109375" bestFit="1" customWidth="1"/>
    <col min="12584" max="12584" width="10.7109375" bestFit="1" customWidth="1"/>
    <col min="12799" max="12799" width="12.28515625" bestFit="1" customWidth="1"/>
    <col min="12800" max="12803" width="12.28515625" customWidth="1"/>
    <col min="12804" max="12804" width="11.7109375" customWidth="1"/>
    <col min="12805" max="12819" width="9.7109375" customWidth="1"/>
    <col min="12820" max="12820" width="11.5703125" bestFit="1" customWidth="1"/>
    <col min="12821" max="12821" width="8.140625" bestFit="1" customWidth="1"/>
    <col min="12822" max="12823" width="11.5703125" bestFit="1" customWidth="1"/>
    <col min="12824" max="12825" width="18" customWidth="1"/>
    <col min="12826" max="12826" width="17.140625" customWidth="1"/>
    <col min="12827" max="12828" width="15.7109375" customWidth="1"/>
    <col min="12829" max="12829" width="15" customWidth="1"/>
    <col min="12830" max="12831" width="14.140625" bestFit="1" customWidth="1"/>
    <col min="12832" max="12832" width="11.7109375" bestFit="1" customWidth="1"/>
    <col min="12833" max="12833" width="11.85546875" bestFit="1" customWidth="1"/>
    <col min="12834" max="12834" width="12.5703125" customWidth="1"/>
    <col min="12835" max="12835" width="11.28515625" customWidth="1"/>
    <col min="12836" max="12836" width="11.5703125" customWidth="1"/>
    <col min="12837" max="12837" width="9.28515625" customWidth="1"/>
    <col min="12839" max="12839" width="11.7109375" bestFit="1" customWidth="1"/>
    <col min="12840" max="12840" width="10.7109375" bestFit="1" customWidth="1"/>
    <col min="13055" max="13055" width="12.28515625" bestFit="1" customWidth="1"/>
    <col min="13056" max="13059" width="12.28515625" customWidth="1"/>
    <col min="13060" max="13060" width="11.7109375" customWidth="1"/>
    <col min="13061" max="13075" width="9.7109375" customWidth="1"/>
    <col min="13076" max="13076" width="11.5703125" bestFit="1" customWidth="1"/>
    <col min="13077" max="13077" width="8.140625" bestFit="1" customWidth="1"/>
    <col min="13078" max="13079" width="11.5703125" bestFit="1" customWidth="1"/>
    <col min="13080" max="13081" width="18" customWidth="1"/>
    <col min="13082" max="13082" width="17.140625" customWidth="1"/>
    <col min="13083" max="13084" width="15.7109375" customWidth="1"/>
    <col min="13085" max="13085" width="15" customWidth="1"/>
    <col min="13086" max="13087" width="14.140625" bestFit="1" customWidth="1"/>
    <col min="13088" max="13088" width="11.7109375" bestFit="1" customWidth="1"/>
    <col min="13089" max="13089" width="11.85546875" bestFit="1" customWidth="1"/>
    <col min="13090" max="13090" width="12.5703125" customWidth="1"/>
    <col min="13091" max="13091" width="11.28515625" customWidth="1"/>
    <col min="13092" max="13092" width="11.5703125" customWidth="1"/>
    <col min="13093" max="13093" width="9.28515625" customWidth="1"/>
    <col min="13095" max="13095" width="11.7109375" bestFit="1" customWidth="1"/>
    <col min="13096" max="13096" width="10.7109375" bestFit="1" customWidth="1"/>
    <col min="13311" max="13311" width="12.28515625" bestFit="1" customWidth="1"/>
    <col min="13312" max="13315" width="12.28515625" customWidth="1"/>
    <col min="13316" max="13316" width="11.7109375" customWidth="1"/>
    <col min="13317" max="13331" width="9.7109375" customWidth="1"/>
    <col min="13332" max="13332" width="11.5703125" bestFit="1" customWidth="1"/>
    <col min="13333" max="13333" width="8.140625" bestFit="1" customWidth="1"/>
    <col min="13334" max="13335" width="11.5703125" bestFit="1" customWidth="1"/>
    <col min="13336" max="13337" width="18" customWidth="1"/>
    <col min="13338" max="13338" width="17.140625" customWidth="1"/>
    <col min="13339" max="13340" width="15.7109375" customWidth="1"/>
    <col min="13341" max="13341" width="15" customWidth="1"/>
    <col min="13342" max="13343" width="14.140625" bestFit="1" customWidth="1"/>
    <col min="13344" max="13344" width="11.7109375" bestFit="1" customWidth="1"/>
    <col min="13345" max="13345" width="11.85546875" bestFit="1" customWidth="1"/>
    <col min="13346" max="13346" width="12.5703125" customWidth="1"/>
    <col min="13347" max="13347" width="11.28515625" customWidth="1"/>
    <col min="13348" max="13348" width="11.5703125" customWidth="1"/>
    <col min="13349" max="13349" width="9.28515625" customWidth="1"/>
    <col min="13351" max="13351" width="11.7109375" bestFit="1" customWidth="1"/>
    <col min="13352" max="13352" width="10.7109375" bestFit="1" customWidth="1"/>
    <col min="13567" max="13567" width="12.28515625" bestFit="1" customWidth="1"/>
    <col min="13568" max="13571" width="12.28515625" customWidth="1"/>
    <col min="13572" max="13572" width="11.7109375" customWidth="1"/>
    <col min="13573" max="13587" width="9.7109375" customWidth="1"/>
    <col min="13588" max="13588" width="11.5703125" bestFit="1" customWidth="1"/>
    <col min="13589" max="13589" width="8.140625" bestFit="1" customWidth="1"/>
    <col min="13590" max="13591" width="11.5703125" bestFit="1" customWidth="1"/>
    <col min="13592" max="13593" width="18" customWidth="1"/>
    <col min="13594" max="13594" width="17.140625" customWidth="1"/>
    <col min="13595" max="13596" width="15.7109375" customWidth="1"/>
    <col min="13597" max="13597" width="15" customWidth="1"/>
    <col min="13598" max="13599" width="14.140625" bestFit="1" customWidth="1"/>
    <col min="13600" max="13600" width="11.7109375" bestFit="1" customWidth="1"/>
    <col min="13601" max="13601" width="11.85546875" bestFit="1" customWidth="1"/>
    <col min="13602" max="13602" width="12.5703125" customWidth="1"/>
    <col min="13603" max="13603" width="11.28515625" customWidth="1"/>
    <col min="13604" max="13604" width="11.5703125" customWidth="1"/>
    <col min="13605" max="13605" width="9.28515625" customWidth="1"/>
    <col min="13607" max="13607" width="11.7109375" bestFit="1" customWidth="1"/>
    <col min="13608" max="13608" width="10.7109375" bestFit="1" customWidth="1"/>
    <col min="13823" max="13823" width="12.28515625" bestFit="1" customWidth="1"/>
    <col min="13824" max="13827" width="12.28515625" customWidth="1"/>
    <col min="13828" max="13828" width="11.7109375" customWidth="1"/>
    <col min="13829" max="13843" width="9.7109375" customWidth="1"/>
    <col min="13844" max="13844" width="11.5703125" bestFit="1" customWidth="1"/>
    <col min="13845" max="13845" width="8.140625" bestFit="1" customWidth="1"/>
    <col min="13846" max="13847" width="11.5703125" bestFit="1" customWidth="1"/>
    <col min="13848" max="13849" width="18" customWidth="1"/>
    <col min="13850" max="13850" width="17.140625" customWidth="1"/>
    <col min="13851" max="13852" width="15.7109375" customWidth="1"/>
    <col min="13853" max="13853" width="15" customWidth="1"/>
    <col min="13854" max="13855" width="14.140625" bestFit="1" customWidth="1"/>
    <col min="13856" max="13856" width="11.7109375" bestFit="1" customWidth="1"/>
    <col min="13857" max="13857" width="11.85546875" bestFit="1" customWidth="1"/>
    <col min="13858" max="13858" width="12.5703125" customWidth="1"/>
    <col min="13859" max="13859" width="11.28515625" customWidth="1"/>
    <col min="13860" max="13860" width="11.5703125" customWidth="1"/>
    <col min="13861" max="13861" width="9.28515625" customWidth="1"/>
    <col min="13863" max="13863" width="11.7109375" bestFit="1" customWidth="1"/>
    <col min="13864" max="13864" width="10.7109375" bestFit="1" customWidth="1"/>
    <col min="14079" max="14079" width="12.28515625" bestFit="1" customWidth="1"/>
    <col min="14080" max="14083" width="12.28515625" customWidth="1"/>
    <col min="14084" max="14084" width="11.7109375" customWidth="1"/>
    <col min="14085" max="14099" width="9.7109375" customWidth="1"/>
    <col min="14100" max="14100" width="11.5703125" bestFit="1" customWidth="1"/>
    <col min="14101" max="14101" width="8.140625" bestFit="1" customWidth="1"/>
    <col min="14102" max="14103" width="11.5703125" bestFit="1" customWidth="1"/>
    <col min="14104" max="14105" width="18" customWidth="1"/>
    <col min="14106" max="14106" width="17.140625" customWidth="1"/>
    <col min="14107" max="14108" width="15.7109375" customWidth="1"/>
    <col min="14109" max="14109" width="15" customWidth="1"/>
    <col min="14110" max="14111" width="14.140625" bestFit="1" customWidth="1"/>
    <col min="14112" max="14112" width="11.7109375" bestFit="1" customWidth="1"/>
    <col min="14113" max="14113" width="11.85546875" bestFit="1" customWidth="1"/>
    <col min="14114" max="14114" width="12.5703125" customWidth="1"/>
    <col min="14115" max="14115" width="11.28515625" customWidth="1"/>
    <col min="14116" max="14116" width="11.5703125" customWidth="1"/>
    <col min="14117" max="14117" width="9.28515625" customWidth="1"/>
    <col min="14119" max="14119" width="11.7109375" bestFit="1" customWidth="1"/>
    <col min="14120" max="14120" width="10.7109375" bestFit="1" customWidth="1"/>
    <col min="14335" max="14335" width="12.28515625" bestFit="1" customWidth="1"/>
    <col min="14336" max="14339" width="12.28515625" customWidth="1"/>
    <col min="14340" max="14340" width="11.7109375" customWidth="1"/>
    <col min="14341" max="14355" width="9.7109375" customWidth="1"/>
    <col min="14356" max="14356" width="11.5703125" bestFit="1" customWidth="1"/>
    <col min="14357" max="14357" width="8.140625" bestFit="1" customWidth="1"/>
    <col min="14358" max="14359" width="11.5703125" bestFit="1" customWidth="1"/>
    <col min="14360" max="14361" width="18" customWidth="1"/>
    <col min="14362" max="14362" width="17.140625" customWidth="1"/>
    <col min="14363" max="14364" width="15.7109375" customWidth="1"/>
    <col min="14365" max="14365" width="15" customWidth="1"/>
    <col min="14366" max="14367" width="14.140625" bestFit="1" customWidth="1"/>
    <col min="14368" max="14368" width="11.7109375" bestFit="1" customWidth="1"/>
    <col min="14369" max="14369" width="11.85546875" bestFit="1" customWidth="1"/>
    <col min="14370" max="14370" width="12.5703125" customWidth="1"/>
    <col min="14371" max="14371" width="11.28515625" customWidth="1"/>
    <col min="14372" max="14372" width="11.5703125" customWidth="1"/>
    <col min="14373" max="14373" width="9.28515625" customWidth="1"/>
    <col min="14375" max="14375" width="11.7109375" bestFit="1" customWidth="1"/>
    <col min="14376" max="14376" width="10.7109375" bestFit="1" customWidth="1"/>
    <col min="14591" max="14591" width="12.28515625" bestFit="1" customWidth="1"/>
    <col min="14592" max="14595" width="12.28515625" customWidth="1"/>
    <col min="14596" max="14596" width="11.7109375" customWidth="1"/>
    <col min="14597" max="14611" width="9.7109375" customWidth="1"/>
    <col min="14612" max="14612" width="11.5703125" bestFit="1" customWidth="1"/>
    <col min="14613" max="14613" width="8.140625" bestFit="1" customWidth="1"/>
    <col min="14614" max="14615" width="11.5703125" bestFit="1" customWidth="1"/>
    <col min="14616" max="14617" width="18" customWidth="1"/>
    <col min="14618" max="14618" width="17.140625" customWidth="1"/>
    <col min="14619" max="14620" width="15.7109375" customWidth="1"/>
    <col min="14621" max="14621" width="15" customWidth="1"/>
    <col min="14622" max="14623" width="14.140625" bestFit="1" customWidth="1"/>
    <col min="14624" max="14624" width="11.7109375" bestFit="1" customWidth="1"/>
    <col min="14625" max="14625" width="11.85546875" bestFit="1" customWidth="1"/>
    <col min="14626" max="14626" width="12.5703125" customWidth="1"/>
    <col min="14627" max="14627" width="11.28515625" customWidth="1"/>
    <col min="14628" max="14628" width="11.5703125" customWidth="1"/>
    <col min="14629" max="14629" width="9.28515625" customWidth="1"/>
    <col min="14631" max="14631" width="11.7109375" bestFit="1" customWidth="1"/>
    <col min="14632" max="14632" width="10.7109375" bestFit="1" customWidth="1"/>
    <col min="14847" max="14847" width="12.28515625" bestFit="1" customWidth="1"/>
    <col min="14848" max="14851" width="12.28515625" customWidth="1"/>
    <col min="14852" max="14852" width="11.7109375" customWidth="1"/>
    <col min="14853" max="14867" width="9.7109375" customWidth="1"/>
    <col min="14868" max="14868" width="11.5703125" bestFit="1" customWidth="1"/>
    <col min="14869" max="14869" width="8.140625" bestFit="1" customWidth="1"/>
    <col min="14870" max="14871" width="11.5703125" bestFit="1" customWidth="1"/>
    <col min="14872" max="14873" width="18" customWidth="1"/>
    <col min="14874" max="14874" width="17.140625" customWidth="1"/>
    <col min="14875" max="14876" width="15.7109375" customWidth="1"/>
    <col min="14877" max="14877" width="15" customWidth="1"/>
    <col min="14878" max="14879" width="14.140625" bestFit="1" customWidth="1"/>
    <col min="14880" max="14880" width="11.7109375" bestFit="1" customWidth="1"/>
    <col min="14881" max="14881" width="11.85546875" bestFit="1" customWidth="1"/>
    <col min="14882" max="14882" width="12.5703125" customWidth="1"/>
    <col min="14883" max="14883" width="11.28515625" customWidth="1"/>
    <col min="14884" max="14884" width="11.5703125" customWidth="1"/>
    <col min="14885" max="14885" width="9.28515625" customWidth="1"/>
    <col min="14887" max="14887" width="11.7109375" bestFit="1" customWidth="1"/>
    <col min="14888" max="14888" width="10.7109375" bestFit="1" customWidth="1"/>
    <col min="15103" max="15103" width="12.28515625" bestFit="1" customWidth="1"/>
    <col min="15104" max="15107" width="12.28515625" customWidth="1"/>
    <col min="15108" max="15108" width="11.7109375" customWidth="1"/>
    <col min="15109" max="15123" width="9.7109375" customWidth="1"/>
    <col min="15124" max="15124" width="11.5703125" bestFit="1" customWidth="1"/>
    <col min="15125" max="15125" width="8.140625" bestFit="1" customWidth="1"/>
    <col min="15126" max="15127" width="11.5703125" bestFit="1" customWidth="1"/>
    <col min="15128" max="15129" width="18" customWidth="1"/>
    <col min="15130" max="15130" width="17.140625" customWidth="1"/>
    <col min="15131" max="15132" width="15.7109375" customWidth="1"/>
    <col min="15133" max="15133" width="15" customWidth="1"/>
    <col min="15134" max="15135" width="14.140625" bestFit="1" customWidth="1"/>
    <col min="15136" max="15136" width="11.7109375" bestFit="1" customWidth="1"/>
    <col min="15137" max="15137" width="11.85546875" bestFit="1" customWidth="1"/>
    <col min="15138" max="15138" width="12.5703125" customWidth="1"/>
    <col min="15139" max="15139" width="11.28515625" customWidth="1"/>
    <col min="15140" max="15140" width="11.5703125" customWidth="1"/>
    <col min="15141" max="15141" width="9.28515625" customWidth="1"/>
    <col min="15143" max="15143" width="11.7109375" bestFit="1" customWidth="1"/>
    <col min="15144" max="15144" width="10.7109375" bestFit="1" customWidth="1"/>
    <col min="15359" max="15359" width="12.28515625" bestFit="1" customWidth="1"/>
    <col min="15360" max="15363" width="12.28515625" customWidth="1"/>
    <col min="15364" max="15364" width="11.7109375" customWidth="1"/>
    <col min="15365" max="15379" width="9.7109375" customWidth="1"/>
    <col min="15380" max="15380" width="11.5703125" bestFit="1" customWidth="1"/>
    <col min="15381" max="15381" width="8.140625" bestFit="1" customWidth="1"/>
    <col min="15382" max="15383" width="11.5703125" bestFit="1" customWidth="1"/>
    <col min="15384" max="15385" width="18" customWidth="1"/>
    <col min="15386" max="15386" width="17.140625" customWidth="1"/>
    <col min="15387" max="15388" width="15.7109375" customWidth="1"/>
    <col min="15389" max="15389" width="15" customWidth="1"/>
    <col min="15390" max="15391" width="14.140625" bestFit="1" customWidth="1"/>
    <col min="15392" max="15392" width="11.7109375" bestFit="1" customWidth="1"/>
    <col min="15393" max="15393" width="11.85546875" bestFit="1" customWidth="1"/>
    <col min="15394" max="15394" width="12.5703125" customWidth="1"/>
    <col min="15395" max="15395" width="11.28515625" customWidth="1"/>
    <col min="15396" max="15396" width="11.5703125" customWidth="1"/>
    <col min="15397" max="15397" width="9.28515625" customWidth="1"/>
    <col min="15399" max="15399" width="11.7109375" bestFit="1" customWidth="1"/>
    <col min="15400" max="15400" width="10.7109375" bestFit="1" customWidth="1"/>
    <col min="15615" max="15615" width="12.28515625" bestFit="1" customWidth="1"/>
    <col min="15616" max="15619" width="12.28515625" customWidth="1"/>
    <col min="15620" max="15620" width="11.7109375" customWidth="1"/>
    <col min="15621" max="15635" width="9.7109375" customWidth="1"/>
    <col min="15636" max="15636" width="11.5703125" bestFit="1" customWidth="1"/>
    <col min="15637" max="15637" width="8.140625" bestFit="1" customWidth="1"/>
    <col min="15638" max="15639" width="11.5703125" bestFit="1" customWidth="1"/>
    <col min="15640" max="15641" width="18" customWidth="1"/>
    <col min="15642" max="15642" width="17.140625" customWidth="1"/>
    <col min="15643" max="15644" width="15.7109375" customWidth="1"/>
    <col min="15645" max="15645" width="15" customWidth="1"/>
    <col min="15646" max="15647" width="14.140625" bestFit="1" customWidth="1"/>
    <col min="15648" max="15648" width="11.7109375" bestFit="1" customWidth="1"/>
    <col min="15649" max="15649" width="11.85546875" bestFit="1" customWidth="1"/>
    <col min="15650" max="15650" width="12.5703125" customWidth="1"/>
    <col min="15651" max="15651" width="11.28515625" customWidth="1"/>
    <col min="15652" max="15652" width="11.5703125" customWidth="1"/>
    <col min="15653" max="15653" width="9.28515625" customWidth="1"/>
    <col min="15655" max="15655" width="11.7109375" bestFit="1" customWidth="1"/>
    <col min="15656" max="15656" width="10.7109375" bestFit="1" customWidth="1"/>
    <col min="15871" max="15871" width="12.28515625" bestFit="1" customWidth="1"/>
    <col min="15872" max="15875" width="12.28515625" customWidth="1"/>
    <col min="15876" max="15876" width="11.7109375" customWidth="1"/>
    <col min="15877" max="15891" width="9.7109375" customWidth="1"/>
    <col min="15892" max="15892" width="11.5703125" bestFit="1" customWidth="1"/>
    <col min="15893" max="15893" width="8.140625" bestFit="1" customWidth="1"/>
    <col min="15894" max="15895" width="11.5703125" bestFit="1" customWidth="1"/>
    <col min="15896" max="15897" width="18" customWidth="1"/>
    <col min="15898" max="15898" width="17.140625" customWidth="1"/>
    <col min="15899" max="15900" width="15.7109375" customWidth="1"/>
    <col min="15901" max="15901" width="15" customWidth="1"/>
    <col min="15902" max="15903" width="14.140625" bestFit="1" customWidth="1"/>
    <col min="15904" max="15904" width="11.7109375" bestFit="1" customWidth="1"/>
    <col min="15905" max="15905" width="11.85546875" bestFit="1" customWidth="1"/>
    <col min="15906" max="15906" width="12.5703125" customWidth="1"/>
    <col min="15907" max="15907" width="11.28515625" customWidth="1"/>
    <col min="15908" max="15908" width="11.5703125" customWidth="1"/>
    <col min="15909" max="15909" width="9.28515625" customWidth="1"/>
    <col min="15911" max="15911" width="11.7109375" bestFit="1" customWidth="1"/>
    <col min="15912" max="15912" width="10.7109375" bestFit="1" customWidth="1"/>
    <col min="16127" max="16127" width="12.28515625" bestFit="1" customWidth="1"/>
    <col min="16128" max="16131" width="12.28515625" customWidth="1"/>
    <col min="16132" max="16132" width="11.7109375" customWidth="1"/>
    <col min="16133" max="16147" width="9.7109375" customWidth="1"/>
    <col min="16148" max="16148" width="11.5703125" bestFit="1" customWidth="1"/>
    <col min="16149" max="16149" width="8.140625" bestFit="1" customWidth="1"/>
    <col min="16150" max="16151" width="11.5703125" bestFit="1" customWidth="1"/>
    <col min="16152" max="16153" width="18" customWidth="1"/>
    <col min="16154" max="16154" width="17.140625" customWidth="1"/>
    <col min="16155" max="16156" width="15.7109375" customWidth="1"/>
    <col min="16157" max="16157" width="15" customWidth="1"/>
    <col min="16158" max="16159" width="14.140625" bestFit="1" customWidth="1"/>
    <col min="16160" max="16160" width="11.7109375" bestFit="1" customWidth="1"/>
    <col min="16161" max="16161" width="11.85546875" bestFit="1" customWidth="1"/>
    <col min="16162" max="16162" width="12.5703125" customWidth="1"/>
    <col min="16163" max="16163" width="11.28515625" customWidth="1"/>
    <col min="16164" max="16164" width="11.5703125" customWidth="1"/>
    <col min="16165" max="16165" width="9.28515625" customWidth="1"/>
    <col min="16167" max="16167" width="11.7109375" bestFit="1" customWidth="1"/>
    <col min="16168" max="16168" width="10.7109375" bestFit="1" customWidth="1"/>
  </cols>
  <sheetData>
    <row r="2" spans="1:27" x14ac:dyDescent="0.2">
      <c r="A2" t="s">
        <v>124</v>
      </c>
      <c r="B2" s="163" t="s">
        <v>228</v>
      </c>
      <c r="C2"/>
      <c r="D2"/>
      <c r="E2"/>
      <c r="F2"/>
    </row>
    <row r="3" spans="1:27" x14ac:dyDescent="0.2">
      <c r="B3"/>
      <c r="C3"/>
      <c r="D3"/>
      <c r="E3"/>
      <c r="F3"/>
      <c r="W3" s="161"/>
    </row>
    <row r="4" spans="1:27" ht="24" x14ac:dyDescent="0.2">
      <c r="A4" s="276" t="s">
        <v>3</v>
      </c>
      <c r="B4" s="220">
        <v>1993</v>
      </c>
      <c r="C4" s="220">
        <v>1994</v>
      </c>
      <c r="D4" s="220">
        <v>1995</v>
      </c>
      <c r="E4" s="220">
        <v>1996</v>
      </c>
      <c r="F4" s="220">
        <v>1997</v>
      </c>
      <c r="G4" s="220">
        <v>1998</v>
      </c>
      <c r="H4" s="220">
        <v>1999</v>
      </c>
      <c r="I4" s="220">
        <v>2000</v>
      </c>
      <c r="J4" s="220">
        <v>2001</v>
      </c>
      <c r="K4" s="220">
        <v>2002</v>
      </c>
      <c r="L4" s="220">
        <v>2003</v>
      </c>
      <c r="M4" s="220">
        <v>2004</v>
      </c>
      <c r="N4" s="220">
        <v>2005</v>
      </c>
      <c r="O4" s="220">
        <v>2006</v>
      </c>
      <c r="P4" s="220">
        <v>2007</v>
      </c>
      <c r="Q4" s="220">
        <v>2008</v>
      </c>
      <c r="R4" s="220">
        <v>2009</v>
      </c>
      <c r="S4" s="220">
        <v>2010</v>
      </c>
      <c r="T4" s="220">
        <v>2011</v>
      </c>
      <c r="U4" s="220">
        <v>2012</v>
      </c>
      <c r="V4" s="221" t="s">
        <v>121</v>
      </c>
      <c r="W4" s="221" t="s">
        <v>122</v>
      </c>
      <c r="Y4" s="164"/>
      <c r="Z4" s="164"/>
      <c r="AA4" s="164"/>
    </row>
    <row r="5" spans="1:27" x14ac:dyDescent="0.2">
      <c r="A5" s="165" t="s">
        <v>58</v>
      </c>
      <c r="B5" s="217">
        <v>718.3</v>
      </c>
      <c r="C5" s="217">
        <v>1203.5</v>
      </c>
      <c r="D5" s="217">
        <v>913.3</v>
      </c>
      <c r="E5" s="217">
        <v>789.4</v>
      </c>
      <c r="F5" s="217">
        <f>+'Purchased Power Model '!F3</f>
        <v>777.9</v>
      </c>
      <c r="G5" s="217">
        <f>+'Purchased Power Model '!F15</f>
        <v>652.79999999999995</v>
      </c>
      <c r="H5" s="217">
        <f>+'Purchased Power Model '!F27</f>
        <v>789.6</v>
      </c>
      <c r="I5" s="217">
        <f>+'Purchased Power Model '!F39</f>
        <v>773</v>
      </c>
      <c r="J5" s="217">
        <f>+'Purchased Power Model '!F51</f>
        <v>715</v>
      </c>
      <c r="K5" s="217">
        <f>+'Purchased Power Model '!F63</f>
        <v>625.70000000000005</v>
      </c>
      <c r="L5" s="218">
        <f>+'Purchased Power Model '!F75</f>
        <v>868.4</v>
      </c>
      <c r="M5" s="218">
        <f>+'Purchased Power Model '!F87</f>
        <v>879.2</v>
      </c>
      <c r="N5" s="218">
        <f>+'Purchased Power Model '!F99</f>
        <v>814.7</v>
      </c>
      <c r="O5" s="218">
        <f>+'Purchased Power Model '!F111</f>
        <v>590.6</v>
      </c>
      <c r="P5" s="218">
        <f>+'Purchased Power Model '!F123</f>
        <v>698.3</v>
      </c>
      <c r="Q5" s="219">
        <f>+'Purchased Power Model '!F135</f>
        <v>676.8</v>
      </c>
      <c r="R5" s="219">
        <f>+'Purchased Power Model '!F147</f>
        <v>891.79999999999984</v>
      </c>
      <c r="S5" s="219">
        <f>+'Purchased Power Model '!F159</f>
        <v>751.94999999999982</v>
      </c>
      <c r="T5" s="219">
        <f>+'Purchased Power Model '!F171</f>
        <v>827.80000000000007</v>
      </c>
      <c r="U5" s="219">
        <f>+'Purchased Power Model '!F183</f>
        <v>657.30000000000007</v>
      </c>
      <c r="V5" s="168">
        <f>AVERAGE(L5:U5)</f>
        <v>765.68500000000006</v>
      </c>
      <c r="W5" s="167">
        <f>TREND(B5:U5,$B$4:$U$4,2014)</f>
        <v>696.14522556390875</v>
      </c>
    </row>
    <row r="6" spans="1:27" x14ac:dyDescent="0.2">
      <c r="A6" s="165" t="s">
        <v>59</v>
      </c>
      <c r="B6" s="217">
        <v>684</v>
      </c>
      <c r="C6" s="217">
        <v>923.9</v>
      </c>
      <c r="D6" s="217">
        <v>874.6</v>
      </c>
      <c r="E6" s="217">
        <v>712.6</v>
      </c>
      <c r="F6" s="217">
        <f>+'Purchased Power Model '!F4</f>
        <v>615</v>
      </c>
      <c r="G6" s="217">
        <f>+'Purchased Power Model '!F16</f>
        <v>547.1</v>
      </c>
      <c r="H6" s="217">
        <f>+'Purchased Power Model '!F28</f>
        <v>578.4</v>
      </c>
      <c r="I6" s="217">
        <f>+'Purchased Power Model '!F40</f>
        <v>643.79999999999995</v>
      </c>
      <c r="J6" s="217">
        <f>+'Purchased Power Model '!F52</f>
        <v>620.20000000000005</v>
      </c>
      <c r="K6" s="217">
        <f>+'Purchased Power Model '!F64</f>
        <v>592</v>
      </c>
      <c r="L6" s="218">
        <f>+'Purchased Power Model '!F76</f>
        <v>755.9</v>
      </c>
      <c r="M6" s="218">
        <f>+'Purchased Power Model '!F88</f>
        <v>699.2</v>
      </c>
      <c r="N6" s="218">
        <f>+'Purchased Power Model '!F100</f>
        <v>683.5</v>
      </c>
      <c r="O6" s="218">
        <f>+'Purchased Power Model '!F112</f>
        <v>651.20000000000005</v>
      </c>
      <c r="P6" s="218">
        <f>+'Purchased Power Model '!F124</f>
        <v>785.1</v>
      </c>
      <c r="Q6" s="219">
        <f>+'Purchased Power Model '!F136</f>
        <v>730.3</v>
      </c>
      <c r="R6" s="219">
        <f>+'Purchased Power Model '!F148</f>
        <v>649.59999999999991</v>
      </c>
      <c r="S6" s="219">
        <f>+'Purchased Power Model '!F160</f>
        <v>644.6999999999997</v>
      </c>
      <c r="T6" s="219">
        <f>+'Purchased Power Model '!F172</f>
        <v>681.6</v>
      </c>
      <c r="U6" s="219">
        <f>+'Purchased Power Model '!F184</f>
        <v>573</v>
      </c>
      <c r="V6" s="168">
        <f t="shared" ref="V6:V16" si="0">AVERAGE(L6:U6)</f>
        <v>685.41</v>
      </c>
      <c r="W6" s="167">
        <f t="shared" ref="W6:W16" si="1">TREND(B6:U6,$B$4:$U$4,2014)</f>
        <v>630.6102255639089</v>
      </c>
    </row>
    <row r="7" spans="1:27" x14ac:dyDescent="0.2">
      <c r="A7" s="165" t="s">
        <v>60</v>
      </c>
      <c r="B7" s="217">
        <v>552.70000000000005</v>
      </c>
      <c r="C7" s="217">
        <v>638.5</v>
      </c>
      <c r="D7" s="217">
        <v>696.5</v>
      </c>
      <c r="E7" s="217">
        <v>670.4</v>
      </c>
      <c r="F7" s="217">
        <f>+'Purchased Power Model '!F5</f>
        <v>619.1</v>
      </c>
      <c r="G7" s="217">
        <f>+'Purchased Power Model '!F17</f>
        <v>505.1</v>
      </c>
      <c r="H7" s="217">
        <f>+'Purchased Power Model '!F29</f>
        <v>592.5</v>
      </c>
      <c r="I7" s="217">
        <f>+'Purchased Power Model '!F41</f>
        <v>446.9</v>
      </c>
      <c r="J7" s="217">
        <f>+'Purchased Power Model '!F53</f>
        <v>618.70000000000005</v>
      </c>
      <c r="K7" s="217">
        <f>+'Purchased Power Model '!F65</f>
        <v>581.20000000000005</v>
      </c>
      <c r="L7" s="218">
        <f>+'Purchased Power Model '!F77</f>
        <v>638.70000000000005</v>
      </c>
      <c r="M7" s="218">
        <f>+'Purchased Power Model '!F89</f>
        <v>540.9</v>
      </c>
      <c r="N7" s="218">
        <f>+'Purchased Power Model '!F101</f>
        <v>680.5</v>
      </c>
      <c r="O7" s="218">
        <f>+'Purchased Power Model '!F113</f>
        <v>562.4</v>
      </c>
      <c r="P7" s="218">
        <f>+'Purchased Power Model '!F125</f>
        <v>582</v>
      </c>
      <c r="Q7" s="219">
        <f>+'Purchased Power Model '!F137</f>
        <v>686.1</v>
      </c>
      <c r="R7" s="219">
        <f>+'Purchased Power Model '!F149</f>
        <v>562.6</v>
      </c>
      <c r="S7" s="219">
        <f>+'Purchased Power Model '!F161</f>
        <v>470.90000000000003</v>
      </c>
      <c r="T7" s="219">
        <f>+'Purchased Power Model '!F173</f>
        <v>622.65000000000009</v>
      </c>
      <c r="U7" s="219">
        <f>+'Purchased Power Model '!F185</f>
        <v>370.1</v>
      </c>
      <c r="V7" s="168">
        <f t="shared" si="0"/>
        <v>571.68500000000006</v>
      </c>
      <c r="W7" s="167">
        <f t="shared" si="1"/>
        <v>527.32992481203109</v>
      </c>
    </row>
    <row r="8" spans="1:27" x14ac:dyDescent="0.2">
      <c r="A8" s="165" t="s">
        <v>61</v>
      </c>
      <c r="B8" s="217">
        <v>480.7</v>
      </c>
      <c r="C8" s="217">
        <v>493.3</v>
      </c>
      <c r="D8" s="217">
        <v>524.1</v>
      </c>
      <c r="E8" s="217">
        <v>421.9</v>
      </c>
      <c r="F8" s="217">
        <f>+'Purchased Power Model '!F6</f>
        <v>391.9</v>
      </c>
      <c r="G8" s="217">
        <f>+'Purchased Power Model '!F18</f>
        <v>312</v>
      </c>
      <c r="H8" s="217">
        <f>+'Purchased Power Model '!F30</f>
        <v>332.6</v>
      </c>
      <c r="I8" s="217">
        <f>+'Purchased Power Model '!F42</f>
        <v>358.3</v>
      </c>
      <c r="J8" s="217">
        <f>+'Purchased Power Model '!F54</f>
        <v>324.60000000000002</v>
      </c>
      <c r="K8" s="217">
        <f>+'Purchased Power Model '!F66</f>
        <v>356.2</v>
      </c>
      <c r="L8" s="218">
        <f>+'Purchased Power Model '!F78</f>
        <v>397.4</v>
      </c>
      <c r="M8" s="218">
        <f>+'Purchased Power Model '!F90</f>
        <v>354.1</v>
      </c>
      <c r="N8" s="218">
        <f>+'Purchased Power Model '!F102</f>
        <v>354.6</v>
      </c>
      <c r="O8" s="218">
        <f>+'Purchased Power Model '!F114</f>
        <v>322.5</v>
      </c>
      <c r="P8" s="218">
        <f>+'Purchased Power Model '!F126</f>
        <v>403</v>
      </c>
      <c r="Q8" s="219">
        <f>+'Purchased Power Model '!F138</f>
        <v>297.89999999999998</v>
      </c>
      <c r="R8" s="219">
        <f>+'Purchased Power Model '!F150</f>
        <v>341.50000000000006</v>
      </c>
      <c r="S8" s="219">
        <f>+'Purchased Power Model '!F162</f>
        <v>265.95</v>
      </c>
      <c r="T8" s="219">
        <f>+'Purchased Power Model '!F174</f>
        <v>359.74999999999994</v>
      </c>
      <c r="U8" s="219">
        <f>+'Purchased Power Model '!F186</f>
        <v>365.3</v>
      </c>
      <c r="V8" s="168">
        <f t="shared" si="0"/>
        <v>346.2</v>
      </c>
      <c r="W8" s="167">
        <f t="shared" si="1"/>
        <v>290.26244360902274</v>
      </c>
    </row>
    <row r="9" spans="1:27" x14ac:dyDescent="0.2">
      <c r="A9" s="165" t="s">
        <v>62</v>
      </c>
      <c r="B9" s="217">
        <v>278.7</v>
      </c>
      <c r="C9" s="217">
        <v>283.39999999999998</v>
      </c>
      <c r="D9" s="217">
        <v>256.89999999999998</v>
      </c>
      <c r="E9" s="217">
        <v>216.1</v>
      </c>
      <c r="F9" s="217">
        <f>+'Purchased Power Model '!F7</f>
        <v>289</v>
      </c>
      <c r="G9" s="217">
        <f>+'Purchased Power Model '!F19</f>
        <v>77.099999999999994</v>
      </c>
      <c r="H9" s="217">
        <f>+'Purchased Power Model '!F31</f>
        <v>126.7</v>
      </c>
      <c r="I9" s="217">
        <f>+'Purchased Power Model '!F43</f>
        <v>152.4</v>
      </c>
      <c r="J9" s="217">
        <f>+'Purchased Power Model '!F55</f>
        <v>140.30000000000001</v>
      </c>
      <c r="K9" s="217">
        <f>+'Purchased Power Model '!F67</f>
        <v>266.8</v>
      </c>
      <c r="L9" s="218">
        <f>+'Purchased Power Model '!F79</f>
        <v>217</v>
      </c>
      <c r="M9" s="218">
        <f>+'Purchased Power Model '!F91</f>
        <v>196.2</v>
      </c>
      <c r="N9" s="218">
        <f>+'Purchased Power Model '!F103</f>
        <v>244.9</v>
      </c>
      <c r="O9" s="218">
        <f>+'Purchased Power Model '!F115</f>
        <v>177.8</v>
      </c>
      <c r="P9" s="218">
        <f>+'Purchased Power Model '!F127</f>
        <v>166.4</v>
      </c>
      <c r="Q9" s="219">
        <f>+'Purchased Power Model '!F139</f>
        <v>243.1</v>
      </c>
      <c r="R9" s="219">
        <f>+'Purchased Power Model '!F151</f>
        <v>192.8</v>
      </c>
      <c r="S9" s="219">
        <f>+'Purchased Power Model '!F163</f>
        <v>144.69999999999999</v>
      </c>
      <c r="T9" s="219">
        <f>+'Purchased Power Model '!F175</f>
        <v>152.19999999999996</v>
      </c>
      <c r="U9" s="219">
        <f>+'Purchased Power Model '!F187</f>
        <v>106.6</v>
      </c>
      <c r="V9" s="168">
        <f t="shared" si="0"/>
        <v>184.17000000000002</v>
      </c>
      <c r="W9" s="167">
        <f t="shared" si="1"/>
        <v>142.41969924811929</v>
      </c>
    </row>
    <row r="10" spans="1:27" x14ac:dyDescent="0.2">
      <c r="A10" s="165" t="s">
        <v>63</v>
      </c>
      <c r="B10" s="217">
        <v>126</v>
      </c>
      <c r="C10" s="217">
        <v>89.8</v>
      </c>
      <c r="D10" s="217">
        <v>74.7</v>
      </c>
      <c r="E10" s="217">
        <v>29.4</v>
      </c>
      <c r="F10" s="217">
        <f>+'Purchased Power Model '!F8</f>
        <v>30.4</v>
      </c>
      <c r="G10" s="217">
        <f>+'Purchased Power Model '!F20</f>
        <v>66.7</v>
      </c>
      <c r="H10" s="217">
        <f>+'Purchased Power Model '!F32</f>
        <v>44.4</v>
      </c>
      <c r="I10" s="217">
        <f>+'Purchased Power Model '!F44</f>
        <v>41.1</v>
      </c>
      <c r="J10" s="217">
        <f>+'Purchased Power Model '!F56</f>
        <v>47</v>
      </c>
      <c r="K10" s="217">
        <f>+'Purchased Power Model '!F68</f>
        <v>53.1</v>
      </c>
      <c r="L10" s="218">
        <f>+'Purchased Power Model '!F80</f>
        <v>65.3</v>
      </c>
      <c r="M10" s="218">
        <f>+'Purchased Power Model '!F92</f>
        <v>92.5</v>
      </c>
      <c r="N10" s="218">
        <f>+'Purchased Power Model '!F104</f>
        <v>27.3</v>
      </c>
      <c r="O10" s="218">
        <f>+'Purchased Power Model '!F116</f>
        <v>44.1</v>
      </c>
      <c r="P10" s="218">
        <f>+'Purchased Power Model '!F128</f>
        <v>35.5</v>
      </c>
      <c r="Q10" s="219">
        <f>+'Purchased Power Model '!F140</f>
        <v>40.6</v>
      </c>
      <c r="R10" s="219">
        <f>+'Purchased Power Model '!F152</f>
        <v>75.7</v>
      </c>
      <c r="S10" s="219">
        <f>+'Purchased Power Model '!F164</f>
        <v>37.849999999999994</v>
      </c>
      <c r="T10" s="219">
        <f>+'Purchased Power Model '!F176</f>
        <v>48.500000000000007</v>
      </c>
      <c r="U10" s="219">
        <f>+'Purchased Power Model '!F188</f>
        <v>42.100000000000009</v>
      </c>
      <c r="V10" s="168">
        <f t="shared" si="0"/>
        <v>50.945000000000007</v>
      </c>
      <c r="W10" s="167">
        <f t="shared" si="1"/>
        <v>35.386278195488558</v>
      </c>
    </row>
    <row r="11" spans="1:27" x14ac:dyDescent="0.2">
      <c r="A11" s="165" t="s">
        <v>64</v>
      </c>
      <c r="B11" s="217">
        <v>43.7</v>
      </c>
      <c r="C11" s="217">
        <v>66.599999999999994</v>
      </c>
      <c r="D11" s="217">
        <v>49.9</v>
      </c>
      <c r="E11" s="217">
        <v>18.899999999999999</v>
      </c>
      <c r="F11" s="217">
        <f>+'Purchased Power Model '!F9</f>
        <v>22.1</v>
      </c>
      <c r="G11" s="217">
        <f>+'Purchased Power Model '!F21</f>
        <v>6.9</v>
      </c>
      <c r="H11" s="217">
        <f>+'Purchased Power Model '!F33</f>
        <v>3.2</v>
      </c>
      <c r="I11" s="217">
        <f>+'Purchased Power Model '!F45</f>
        <v>18.600000000000001</v>
      </c>
      <c r="J11" s="217">
        <f>+'Purchased Power Model '!F57</f>
        <v>22.3</v>
      </c>
      <c r="K11" s="217">
        <f>+'Purchased Power Model '!F69</f>
        <v>4.7</v>
      </c>
      <c r="L11" s="218">
        <f>+'Purchased Power Model '!F81</f>
        <v>12.5</v>
      </c>
      <c r="M11" s="218">
        <f>+'Purchased Power Model '!F93</f>
        <v>21.3</v>
      </c>
      <c r="N11" s="218">
        <f>+'Purchased Power Model '!F105</f>
        <v>6.8</v>
      </c>
      <c r="O11" s="218">
        <f>+'Purchased Power Model '!F117</f>
        <v>6.5</v>
      </c>
      <c r="P11" s="218">
        <f>+'Purchased Power Model '!F129</f>
        <v>28</v>
      </c>
      <c r="Q11" s="219">
        <f>+'Purchased Power Model '!F141</f>
        <v>7.6</v>
      </c>
      <c r="R11" s="219">
        <f>+'Purchased Power Model '!F153</f>
        <v>37.599999999999987</v>
      </c>
      <c r="S11" s="219">
        <f>+'Purchased Power Model '!F165</f>
        <v>6.7</v>
      </c>
      <c r="T11" s="219">
        <f>+'Purchased Power Model '!F177</f>
        <v>0.8</v>
      </c>
      <c r="U11" s="219">
        <f>+'Purchased Power Model '!F189</f>
        <v>0</v>
      </c>
      <c r="V11" s="168">
        <f t="shared" si="0"/>
        <v>12.779999999999998</v>
      </c>
      <c r="W11" s="167">
        <f t="shared" si="1"/>
        <v>-1.1234586466166547</v>
      </c>
    </row>
    <row r="12" spans="1:27" x14ac:dyDescent="0.2">
      <c r="A12" s="165" t="s">
        <v>65</v>
      </c>
      <c r="B12" s="217">
        <v>38.9</v>
      </c>
      <c r="C12" s="217">
        <v>95.3</v>
      </c>
      <c r="D12" s="217">
        <v>38.6</v>
      </c>
      <c r="E12" s="217">
        <v>6.2</v>
      </c>
      <c r="F12" s="217">
        <f>+'Purchased Power Model '!F10</f>
        <v>49.4</v>
      </c>
      <c r="G12" s="217">
        <f>+'Purchased Power Model '!F22</f>
        <v>12.1</v>
      </c>
      <c r="H12" s="217">
        <f>+'Purchased Power Model '!F34</f>
        <v>28.8</v>
      </c>
      <c r="I12" s="217">
        <f>+'Purchased Power Model '!F46</f>
        <v>29.7</v>
      </c>
      <c r="J12" s="217">
        <f>+'Purchased Power Model '!F58</f>
        <v>2.2999999999999998</v>
      </c>
      <c r="K12" s="217">
        <f>+'Purchased Power Model '!F70</f>
        <v>11</v>
      </c>
      <c r="L12" s="218">
        <f>+'Purchased Power Model '!F82</f>
        <v>18.899999999999999</v>
      </c>
      <c r="M12" s="218">
        <f>+'Purchased Power Model '!F94</f>
        <v>55</v>
      </c>
      <c r="N12" s="218">
        <f>+'Purchased Power Model '!F106</f>
        <v>11.9</v>
      </c>
      <c r="O12" s="218">
        <f>+'Purchased Power Model '!F118</f>
        <v>27.5</v>
      </c>
      <c r="P12" s="218">
        <f>+'Purchased Power Model '!F130</f>
        <v>19.7</v>
      </c>
      <c r="Q12" s="219">
        <f>+'Purchased Power Model '!F142</f>
        <v>36.200000000000003</v>
      </c>
      <c r="R12" s="219">
        <f>+'Purchased Power Model '!F154</f>
        <v>34.4</v>
      </c>
      <c r="S12" s="219">
        <f>+'Purchased Power Model '!F166</f>
        <v>11.5</v>
      </c>
      <c r="T12" s="219">
        <f>+'Purchased Power Model '!F178</f>
        <v>6.8999999999999995</v>
      </c>
      <c r="U12" s="219">
        <f>+'Purchased Power Model '!F190</f>
        <v>20.450000000000006</v>
      </c>
      <c r="V12" s="168">
        <f t="shared" si="0"/>
        <v>24.245000000000001</v>
      </c>
      <c r="W12" s="167">
        <f t="shared" si="1"/>
        <v>11.290338345864711</v>
      </c>
    </row>
    <row r="13" spans="1:27" x14ac:dyDescent="0.2">
      <c r="A13" s="165" t="s">
        <v>66</v>
      </c>
      <c r="B13" s="217">
        <v>246.1</v>
      </c>
      <c r="C13" s="217">
        <v>137.80000000000001</v>
      </c>
      <c r="D13" s="217">
        <v>229.4</v>
      </c>
      <c r="E13" s="217">
        <v>102.2</v>
      </c>
      <c r="F13" s="217">
        <f>+'Purchased Power Model '!F11</f>
        <v>115.2</v>
      </c>
      <c r="G13" s="217">
        <f>+'Purchased Power Model '!F23</f>
        <v>63</v>
      </c>
      <c r="H13" s="217">
        <f>+'Purchased Power Model '!F35</f>
        <v>88.9</v>
      </c>
      <c r="I13" s="217">
        <f>+'Purchased Power Model '!F47</f>
        <v>134</v>
      </c>
      <c r="J13" s="217">
        <f>+'Purchased Power Model '!F59</f>
        <v>118.8</v>
      </c>
      <c r="K13" s="217">
        <f>+'Purchased Power Model '!F71</f>
        <v>50.2</v>
      </c>
      <c r="L13" s="218">
        <f>+'Purchased Power Model '!F83</f>
        <v>104.1</v>
      </c>
      <c r="M13" s="218">
        <f>+'Purchased Power Model '!F95</f>
        <v>71.3</v>
      </c>
      <c r="N13" s="218">
        <f>+'Purchased Power Model '!F107</f>
        <v>63.4</v>
      </c>
      <c r="O13" s="218">
        <f>+'Purchased Power Model '!F119</f>
        <v>130.30000000000001</v>
      </c>
      <c r="P13" s="218">
        <f>+'Purchased Power Model '!F131</f>
        <v>74.7</v>
      </c>
      <c r="Q13" s="219">
        <f>+'Purchased Power Model '!F143</f>
        <v>93.2</v>
      </c>
      <c r="R13" s="219">
        <f>+'Purchased Power Model '!F155</f>
        <v>88.8</v>
      </c>
      <c r="S13" s="219">
        <f>+'Purchased Power Model '!F167</f>
        <v>122.70000000000002</v>
      </c>
      <c r="T13" s="219">
        <f>+'Purchased Power Model '!F179</f>
        <v>97.65</v>
      </c>
      <c r="U13" s="219">
        <f>+'Purchased Power Model '!F191</f>
        <v>125.40000000000002</v>
      </c>
      <c r="V13" s="168">
        <f t="shared" si="0"/>
        <v>97.155000000000001</v>
      </c>
      <c r="W13" s="167">
        <f t="shared" si="1"/>
        <v>69.28676691729288</v>
      </c>
    </row>
    <row r="14" spans="1:27" x14ac:dyDescent="0.2">
      <c r="A14" s="165" t="s">
        <v>67</v>
      </c>
      <c r="B14" s="217">
        <v>416.3</v>
      </c>
      <c r="C14" s="217">
        <v>321.39999999999998</v>
      </c>
      <c r="D14" s="217">
        <v>397</v>
      </c>
      <c r="E14" s="217">
        <v>301.39999999999998</v>
      </c>
      <c r="F14" s="217">
        <f>+'Purchased Power Model '!F12</f>
        <v>288.89999999999998</v>
      </c>
      <c r="G14" s="217">
        <f>+'Purchased Power Model '!F24</f>
        <v>257.60000000000002</v>
      </c>
      <c r="H14" s="217">
        <f>+'Purchased Power Model '!F36</f>
        <v>319</v>
      </c>
      <c r="I14" s="217">
        <f>+'Purchased Power Model '!F48</f>
        <v>251.6</v>
      </c>
      <c r="J14" s="217">
        <f>+'Purchased Power Model '!F60</f>
        <v>276.7</v>
      </c>
      <c r="K14" s="217">
        <f>+'Purchased Power Model '!F72</f>
        <v>345.6</v>
      </c>
      <c r="L14" s="218">
        <f>+'Purchased Power Model '!F84</f>
        <v>331.9</v>
      </c>
      <c r="M14" s="218">
        <f>+'Purchased Power Model '!F96</f>
        <v>287.5</v>
      </c>
      <c r="N14" s="218">
        <f>+'Purchased Power Model '!F108</f>
        <v>259.89999999999998</v>
      </c>
      <c r="O14" s="218">
        <f>+'Purchased Power Model '!F120</f>
        <v>335.1</v>
      </c>
      <c r="P14" s="218">
        <f>+'Purchased Power Model '!F132</f>
        <v>184.7</v>
      </c>
      <c r="Q14" s="219">
        <f>+'Purchased Power Model '!F144</f>
        <v>325.7</v>
      </c>
      <c r="R14" s="219">
        <f>+'Purchased Power Model '!F156</f>
        <v>329.1</v>
      </c>
      <c r="S14" s="219">
        <f>+'Purchased Power Model '!F168</f>
        <v>285.04999999999995</v>
      </c>
      <c r="T14" s="219">
        <f>+'Purchased Power Model '!F180</f>
        <v>279.89999999999998</v>
      </c>
      <c r="U14" s="219">
        <f>+'Purchased Power Model '!F192</f>
        <v>279.2</v>
      </c>
      <c r="V14" s="168">
        <f t="shared" si="0"/>
        <v>289.80499999999995</v>
      </c>
      <c r="W14" s="167">
        <f t="shared" si="1"/>
        <v>262.96966165413505</v>
      </c>
    </row>
    <row r="15" spans="1:27" x14ac:dyDescent="0.2">
      <c r="A15" s="165" t="s">
        <v>68</v>
      </c>
      <c r="B15" s="217">
        <v>598.9</v>
      </c>
      <c r="C15" s="217">
        <v>553.4</v>
      </c>
      <c r="D15" s="217">
        <v>804.2</v>
      </c>
      <c r="E15" s="217">
        <v>548.1</v>
      </c>
      <c r="F15" s="217">
        <f>+'Purchased Power Model '!F13</f>
        <v>471.4</v>
      </c>
      <c r="G15" s="217">
        <f>+'Purchased Power Model '!F25</f>
        <v>440.1</v>
      </c>
      <c r="H15" s="217">
        <f>+'Purchased Power Model '!F37</f>
        <v>405.1</v>
      </c>
      <c r="I15" s="217">
        <f>+'Purchased Power Model '!F49</f>
        <v>470.9</v>
      </c>
      <c r="J15" s="217">
        <f>+'Purchased Power Model '!F61</f>
        <v>370.8</v>
      </c>
      <c r="K15" s="217">
        <f>+'Purchased Power Model '!F73</f>
        <v>486.4</v>
      </c>
      <c r="L15" s="218">
        <f>+'Purchased Power Model '!F85</f>
        <v>434.4</v>
      </c>
      <c r="M15" s="218">
        <f>+'Purchased Power Model '!F97</f>
        <v>432.9</v>
      </c>
      <c r="N15" s="218">
        <f>+'Purchased Power Model '!F109</f>
        <v>433.1</v>
      </c>
      <c r="O15" s="218">
        <f>+'Purchased Power Model '!F121</f>
        <v>415.9</v>
      </c>
      <c r="P15" s="218">
        <f>+'Purchased Power Model '!F133</f>
        <v>511.8</v>
      </c>
      <c r="Q15" s="219">
        <f>+'Purchased Power Model '!F145</f>
        <v>499.7</v>
      </c>
      <c r="R15" s="219">
        <f>+'Purchased Power Model '!F157</f>
        <v>396.49999999999994</v>
      </c>
      <c r="S15" s="219">
        <f>+'Purchased Power Model '!F169</f>
        <v>467.79999999999995</v>
      </c>
      <c r="T15" s="219">
        <f>+'Purchased Power Model '!F181</f>
        <v>382.4</v>
      </c>
      <c r="U15" s="219">
        <f>+'Purchased Power Model '!F193</f>
        <v>483.60000000000014</v>
      </c>
      <c r="V15" s="168">
        <f t="shared" si="0"/>
        <v>445.81000000000006</v>
      </c>
      <c r="W15" s="167">
        <f t="shared" si="1"/>
        <v>384.07263157894704</v>
      </c>
    </row>
    <row r="16" spans="1:27" x14ac:dyDescent="0.2">
      <c r="A16" s="165" t="s">
        <v>70</v>
      </c>
      <c r="B16" s="217">
        <v>640.1</v>
      </c>
      <c r="C16" s="217">
        <v>761.8</v>
      </c>
      <c r="D16" s="217">
        <v>958.9</v>
      </c>
      <c r="E16" s="217">
        <v>596.5</v>
      </c>
      <c r="F16" s="217">
        <f>+'Purchased Power Model '!F14</f>
        <v>630.70000000000005</v>
      </c>
      <c r="G16" s="217">
        <f>+'Purchased Power Model '!F26</f>
        <v>572.1</v>
      </c>
      <c r="H16" s="217">
        <f>+'Purchased Power Model '!F38</f>
        <v>623.70000000000005</v>
      </c>
      <c r="I16" s="217">
        <f>+'Purchased Power Model '!F50</f>
        <v>826.5</v>
      </c>
      <c r="J16" s="217">
        <f>+'Purchased Power Model '!F62</f>
        <v>563.29999999999995</v>
      </c>
      <c r="K16" s="217">
        <f>+'Purchased Power Model '!F74</f>
        <v>675.6</v>
      </c>
      <c r="L16" s="218">
        <f>+'Purchased Power Model '!F86</f>
        <v>610</v>
      </c>
      <c r="M16" s="218">
        <f>+'Purchased Power Model '!F98</f>
        <v>700.1</v>
      </c>
      <c r="N16" s="218">
        <f>+'Purchased Power Model '!F110</f>
        <v>721.6</v>
      </c>
      <c r="O16" s="218">
        <f>+'Purchased Power Model '!F122</f>
        <v>545.20000000000005</v>
      </c>
      <c r="P16" s="218">
        <f>+'Purchased Power Model '!F134</f>
        <v>686.6</v>
      </c>
      <c r="Q16" s="219">
        <f>+'Purchased Power Model '!F146</f>
        <v>694</v>
      </c>
      <c r="R16" s="219">
        <f>+'Purchased Power Model '!F158</f>
        <v>669.49999999999977</v>
      </c>
      <c r="S16" s="219">
        <f>+'Purchased Power Model '!F170</f>
        <v>719.39999999999986</v>
      </c>
      <c r="T16" s="219">
        <f>+'Purchased Power Model '!F182</f>
        <v>574.79999999999995</v>
      </c>
      <c r="U16" s="219">
        <f>+'Purchased Power Model '!F194</f>
        <v>565.50000000000011</v>
      </c>
      <c r="V16" s="168">
        <f t="shared" si="0"/>
        <v>648.66999999999985</v>
      </c>
      <c r="W16" s="167">
        <f t="shared" si="1"/>
        <v>612.82022556390984</v>
      </c>
    </row>
    <row r="17" spans="1:23" x14ac:dyDescent="0.2">
      <c r="A17" s="165"/>
      <c r="B17" s="165"/>
      <c r="C17" s="165"/>
      <c r="D17" s="165"/>
      <c r="E17" s="166"/>
      <c r="F17" s="166"/>
      <c r="V17" s="48">
        <f>SUM(V5:V16)</f>
        <v>4122.5600000000004</v>
      </c>
      <c r="W17" s="48">
        <f>SUM(W5:W16)</f>
        <v>3661.4699624060122</v>
      </c>
    </row>
    <row r="18" spans="1:23" ht="24" x14ac:dyDescent="0.2">
      <c r="A18" s="276" t="s">
        <v>4</v>
      </c>
      <c r="B18" s="220">
        <f>B4</f>
        <v>1993</v>
      </c>
      <c r="C18" s="220">
        <f>C4</f>
        <v>1994</v>
      </c>
      <c r="D18" s="220">
        <f>D4</f>
        <v>1995</v>
      </c>
      <c r="E18" s="220">
        <f>E4</f>
        <v>1996</v>
      </c>
      <c r="F18" s="220">
        <f t="shared" ref="F18:U18" si="2">F4</f>
        <v>1997</v>
      </c>
      <c r="G18" s="220">
        <f t="shared" si="2"/>
        <v>1998</v>
      </c>
      <c r="H18" s="220">
        <f t="shared" si="2"/>
        <v>1999</v>
      </c>
      <c r="I18" s="220">
        <f t="shared" si="2"/>
        <v>2000</v>
      </c>
      <c r="J18" s="220">
        <f t="shared" si="2"/>
        <v>2001</v>
      </c>
      <c r="K18" s="220">
        <f t="shared" si="2"/>
        <v>2002</v>
      </c>
      <c r="L18" s="220">
        <f t="shared" si="2"/>
        <v>2003</v>
      </c>
      <c r="M18" s="220">
        <f t="shared" si="2"/>
        <v>2004</v>
      </c>
      <c r="N18" s="220">
        <f t="shared" si="2"/>
        <v>2005</v>
      </c>
      <c r="O18" s="220">
        <f t="shared" si="2"/>
        <v>2006</v>
      </c>
      <c r="P18" s="220">
        <f t="shared" si="2"/>
        <v>2007</v>
      </c>
      <c r="Q18" s="220">
        <f t="shared" si="2"/>
        <v>2008</v>
      </c>
      <c r="R18" s="220">
        <f t="shared" si="2"/>
        <v>2009</v>
      </c>
      <c r="S18" s="220">
        <f t="shared" si="2"/>
        <v>2010</v>
      </c>
      <c r="T18" s="220">
        <f t="shared" si="2"/>
        <v>2011</v>
      </c>
      <c r="U18" s="220">
        <f t="shared" si="2"/>
        <v>2012</v>
      </c>
    </row>
    <row r="19" spans="1:23" x14ac:dyDescent="0.2">
      <c r="A19" s="165" t="s">
        <v>58</v>
      </c>
      <c r="B19" s="217">
        <v>0</v>
      </c>
      <c r="C19" s="217">
        <v>0</v>
      </c>
      <c r="D19" s="217">
        <v>0</v>
      </c>
      <c r="E19" s="217">
        <v>0</v>
      </c>
      <c r="F19" s="217">
        <f>+'Purchased Power Model '!G3</f>
        <v>0</v>
      </c>
      <c r="G19" s="217">
        <f>+'Purchased Power Model '!G15</f>
        <v>0</v>
      </c>
      <c r="H19" s="217">
        <f>+'Purchased Power Model '!G27</f>
        <v>0</v>
      </c>
      <c r="I19" s="217">
        <f>+'Purchased Power Model '!G39</f>
        <v>0</v>
      </c>
      <c r="J19" s="217">
        <f>+'Purchased Power Model '!G51</f>
        <v>0</v>
      </c>
      <c r="K19" s="217">
        <f>+'Purchased Power Model '!G63</f>
        <v>0</v>
      </c>
      <c r="L19" s="218">
        <f>+'Purchased Power Model '!G75</f>
        <v>0</v>
      </c>
      <c r="M19" s="218">
        <f>+'Purchased Power Model '!G87</f>
        <v>0</v>
      </c>
      <c r="N19" s="218">
        <f>+'Purchased Power Model '!G99</f>
        <v>0</v>
      </c>
      <c r="O19" s="218">
        <f>+'Purchased Power Model '!G111</f>
        <v>0</v>
      </c>
      <c r="P19" s="218">
        <f>+'Purchased Power Model '!G123</f>
        <v>0</v>
      </c>
      <c r="Q19" s="219">
        <f>+'Purchased Power Model '!G135</f>
        <v>0</v>
      </c>
      <c r="R19" s="219">
        <f>+'Purchased Power Model '!G147</f>
        <v>0</v>
      </c>
      <c r="S19" s="219">
        <f>+'Purchased Power Model '!G159</f>
        <v>0</v>
      </c>
      <c r="T19" s="219">
        <f>+'Purchased Power Model '!G171</f>
        <v>0</v>
      </c>
      <c r="U19" s="219">
        <f>+'Purchased Power Model '!G183</f>
        <v>0</v>
      </c>
      <c r="V19" s="168">
        <f>AVERAGE(L19:U19)</f>
        <v>0</v>
      </c>
      <c r="W19" s="167">
        <f>TREND(B19:U19,$B$4:$U$4,2014)</f>
        <v>0</v>
      </c>
    </row>
    <row r="20" spans="1:23" x14ac:dyDescent="0.2">
      <c r="A20" s="165" t="s">
        <v>59</v>
      </c>
      <c r="B20" s="217">
        <v>0</v>
      </c>
      <c r="C20" s="217">
        <v>0</v>
      </c>
      <c r="D20" s="217">
        <v>0</v>
      </c>
      <c r="E20" s="217">
        <v>0</v>
      </c>
      <c r="F20" s="217">
        <f>+'Purchased Power Model '!G4</f>
        <v>0</v>
      </c>
      <c r="G20" s="217">
        <f>+'Purchased Power Model '!G16</f>
        <v>0</v>
      </c>
      <c r="H20" s="217">
        <f>+'Purchased Power Model '!G28</f>
        <v>0</v>
      </c>
      <c r="I20" s="217">
        <f>+'Purchased Power Model '!G40</f>
        <v>0</v>
      </c>
      <c r="J20" s="217">
        <f>+'Purchased Power Model '!G52</f>
        <v>0</v>
      </c>
      <c r="K20" s="217">
        <f>+'Purchased Power Model '!G64</f>
        <v>0</v>
      </c>
      <c r="L20" s="218">
        <f>+'Purchased Power Model '!G76</f>
        <v>0</v>
      </c>
      <c r="M20" s="218">
        <f>+'Purchased Power Model '!G88</f>
        <v>0</v>
      </c>
      <c r="N20" s="218">
        <f>+'Purchased Power Model '!G100</f>
        <v>0</v>
      </c>
      <c r="O20" s="218">
        <f>+'Purchased Power Model '!G112</f>
        <v>0</v>
      </c>
      <c r="P20" s="218">
        <f>+'Purchased Power Model '!G124</f>
        <v>0</v>
      </c>
      <c r="Q20" s="219">
        <f>+'Purchased Power Model '!G136</f>
        <v>0</v>
      </c>
      <c r="R20" s="219">
        <f>+'Purchased Power Model '!G148</f>
        <v>0</v>
      </c>
      <c r="S20" s="219">
        <f>+'Purchased Power Model '!G160</f>
        <v>0</v>
      </c>
      <c r="T20" s="219">
        <f>+'Purchased Power Model '!G172</f>
        <v>0</v>
      </c>
      <c r="U20" s="219">
        <f>+'Purchased Power Model '!G184</f>
        <v>0</v>
      </c>
      <c r="V20" s="168">
        <f t="shared" ref="V20:V30" si="3">AVERAGE(L20:U20)</f>
        <v>0</v>
      </c>
      <c r="W20" s="167">
        <f t="shared" ref="W20:W30" si="4">TREND(B20:U20,$B$4:$U$4,2014)</f>
        <v>0</v>
      </c>
    </row>
    <row r="21" spans="1:23" x14ac:dyDescent="0.2">
      <c r="A21" s="165" t="s">
        <v>60</v>
      </c>
      <c r="B21" s="217">
        <v>0</v>
      </c>
      <c r="C21" s="217">
        <v>0</v>
      </c>
      <c r="D21" s="217">
        <v>0</v>
      </c>
      <c r="E21" s="217">
        <v>0</v>
      </c>
      <c r="F21" s="217">
        <f>+'Purchased Power Model '!G5</f>
        <v>0</v>
      </c>
      <c r="G21" s="217">
        <f>+'Purchased Power Model '!G17</f>
        <v>0</v>
      </c>
      <c r="H21" s="217">
        <f>+'Purchased Power Model '!G29</f>
        <v>0</v>
      </c>
      <c r="I21" s="217">
        <f>+'Purchased Power Model '!G41</f>
        <v>0</v>
      </c>
      <c r="J21" s="217">
        <f>+'Purchased Power Model '!G53</f>
        <v>0</v>
      </c>
      <c r="K21" s="217">
        <f>+'Purchased Power Model '!G65</f>
        <v>0</v>
      </c>
      <c r="L21" s="218">
        <f>+'Purchased Power Model '!G77</f>
        <v>0</v>
      </c>
      <c r="M21" s="218">
        <f>+'Purchased Power Model '!G89</f>
        <v>0</v>
      </c>
      <c r="N21" s="218">
        <f>+'Purchased Power Model '!G101</f>
        <v>0</v>
      </c>
      <c r="O21" s="218">
        <f>+'Purchased Power Model '!G113</f>
        <v>0</v>
      </c>
      <c r="P21" s="218">
        <f>+'Purchased Power Model '!G125</f>
        <v>0</v>
      </c>
      <c r="Q21" s="219">
        <f>+'Purchased Power Model '!G137</f>
        <v>0</v>
      </c>
      <c r="R21" s="219">
        <f>+'Purchased Power Model '!G149</f>
        <v>0</v>
      </c>
      <c r="S21" s="219">
        <f>+'Purchased Power Model '!G161</f>
        <v>0</v>
      </c>
      <c r="T21" s="219">
        <f>+'Purchased Power Model '!G173</f>
        <v>0</v>
      </c>
      <c r="U21" s="219">
        <f>+'Purchased Power Model '!G185</f>
        <v>0</v>
      </c>
      <c r="V21" s="168">
        <f t="shared" si="3"/>
        <v>0</v>
      </c>
      <c r="W21" s="167">
        <f t="shared" si="4"/>
        <v>0</v>
      </c>
    </row>
    <row r="22" spans="1:23" x14ac:dyDescent="0.2">
      <c r="A22" s="165" t="s">
        <v>61</v>
      </c>
      <c r="B22" s="217">
        <v>0</v>
      </c>
      <c r="C22" s="217">
        <v>0</v>
      </c>
      <c r="D22" s="217">
        <v>0</v>
      </c>
      <c r="E22" s="217">
        <v>0</v>
      </c>
      <c r="F22" s="217">
        <f>+'Purchased Power Model '!G6</f>
        <v>0</v>
      </c>
      <c r="G22" s="217">
        <f>+'Purchased Power Model '!G18</f>
        <v>0</v>
      </c>
      <c r="H22" s="217">
        <f>+'Purchased Power Model '!G30</f>
        <v>0</v>
      </c>
      <c r="I22" s="217">
        <f>+'Purchased Power Model '!G42</f>
        <v>0</v>
      </c>
      <c r="J22" s="217">
        <f>+'Purchased Power Model '!G54</f>
        <v>0</v>
      </c>
      <c r="K22" s="217">
        <f>+'Purchased Power Model '!G66</f>
        <v>6.6</v>
      </c>
      <c r="L22" s="218">
        <f>+'Purchased Power Model '!G78</f>
        <v>0.7</v>
      </c>
      <c r="M22" s="218">
        <f>+'Purchased Power Model '!G90</f>
        <v>0</v>
      </c>
      <c r="N22" s="218">
        <f>+'Purchased Power Model '!G102</f>
        <v>0</v>
      </c>
      <c r="O22" s="218">
        <f>+'Purchased Power Model '!G114</f>
        <v>0</v>
      </c>
      <c r="P22" s="218">
        <f>+'Purchased Power Model '!G126</f>
        <v>0</v>
      </c>
      <c r="Q22" s="219">
        <f>+'Purchased Power Model '!G138</f>
        <v>0</v>
      </c>
      <c r="R22" s="219">
        <f>+'Purchased Power Model '!G150</f>
        <v>3.2</v>
      </c>
      <c r="S22" s="219">
        <f>+'Purchased Power Model '!G162</f>
        <v>0</v>
      </c>
      <c r="T22" s="219">
        <f>+'Purchased Power Model '!G174</f>
        <v>0</v>
      </c>
      <c r="U22" s="219">
        <f>+'Purchased Power Model '!G186</f>
        <v>0</v>
      </c>
      <c r="V22" s="168">
        <f t="shared" si="3"/>
        <v>0.39</v>
      </c>
      <c r="W22" s="167">
        <f t="shared" si="4"/>
        <v>0.83368421052631447</v>
      </c>
    </row>
    <row r="23" spans="1:23" x14ac:dyDescent="0.2">
      <c r="A23" s="165" t="s">
        <v>62</v>
      </c>
      <c r="B23" s="217">
        <v>0</v>
      </c>
      <c r="C23" s="217">
        <v>0</v>
      </c>
      <c r="D23" s="217">
        <v>10.7</v>
      </c>
      <c r="E23" s="217">
        <v>10</v>
      </c>
      <c r="F23" s="217">
        <f>+'Purchased Power Model '!G7</f>
        <v>0</v>
      </c>
      <c r="G23" s="217">
        <f>+'Purchased Power Model '!G19</f>
        <v>16.8</v>
      </c>
      <c r="H23" s="217">
        <f>+'Purchased Power Model '!G31</f>
        <v>10.5</v>
      </c>
      <c r="I23" s="217">
        <f>+'Purchased Power Model '!G43</f>
        <v>18.7</v>
      </c>
      <c r="J23" s="217">
        <f>+'Purchased Power Model '!G55</f>
        <v>7.7</v>
      </c>
      <c r="K23" s="217">
        <f>+'Purchased Power Model '!G67</f>
        <v>5.3</v>
      </c>
      <c r="L23" s="218">
        <f>+'Purchased Power Model '!G79</f>
        <v>0</v>
      </c>
      <c r="M23" s="218">
        <f>+'Purchased Power Model '!G91</f>
        <v>6.7</v>
      </c>
      <c r="N23" s="218">
        <f>+'Purchased Power Model '!G103</f>
        <v>0</v>
      </c>
      <c r="O23" s="218">
        <f>+'Purchased Power Model '!G115</f>
        <v>17.7</v>
      </c>
      <c r="P23" s="218">
        <f>+'Purchased Power Model '!G127</f>
        <v>11.2</v>
      </c>
      <c r="Q23" s="219">
        <f>+'Purchased Power Model '!G139</f>
        <v>0.7</v>
      </c>
      <c r="R23" s="219">
        <f>+'Purchased Power Model '!G151</f>
        <v>2.2999999999999998</v>
      </c>
      <c r="S23" s="219">
        <f>+'Purchased Power Model '!G163</f>
        <v>21</v>
      </c>
      <c r="T23" s="219">
        <f>+'Purchased Power Model '!G175</f>
        <v>13.2</v>
      </c>
      <c r="U23" s="219">
        <f>+'Purchased Power Model '!G187</f>
        <v>19.7</v>
      </c>
      <c r="V23" s="168">
        <f t="shared" si="3"/>
        <v>9.25</v>
      </c>
      <c r="W23" s="167">
        <f t="shared" si="4"/>
        <v>13.443458646616591</v>
      </c>
    </row>
    <row r="24" spans="1:23" x14ac:dyDescent="0.2">
      <c r="A24" s="165" t="s">
        <v>63</v>
      </c>
      <c r="B24" s="217">
        <v>2.1</v>
      </c>
      <c r="C24" s="217">
        <v>11.6</v>
      </c>
      <c r="D24" s="217">
        <v>24.5</v>
      </c>
      <c r="E24" s="217">
        <v>38.6</v>
      </c>
      <c r="F24" s="217">
        <f>+'Purchased Power Model '!G8</f>
        <v>50.4</v>
      </c>
      <c r="G24" s="217">
        <f>+'Purchased Power Model '!G20</f>
        <v>63.7</v>
      </c>
      <c r="H24" s="217">
        <f>+'Purchased Power Model '!G32</f>
        <v>76.5</v>
      </c>
      <c r="I24" s="217">
        <f>+'Purchased Power Model '!G44</f>
        <v>35.4</v>
      </c>
      <c r="J24" s="217">
        <f>+'Purchased Power Model '!G56</f>
        <v>62.4</v>
      </c>
      <c r="K24" s="217">
        <f>+'Purchased Power Model '!G68</f>
        <v>54.5</v>
      </c>
      <c r="L24" s="218">
        <f>+'Purchased Power Model '!G80</f>
        <v>25.5</v>
      </c>
      <c r="M24" s="218">
        <f>+'Purchased Power Model '!G92</f>
        <v>16.3</v>
      </c>
      <c r="N24" s="218">
        <f>+'Purchased Power Model '!G104</f>
        <v>104.8</v>
      </c>
      <c r="O24" s="218">
        <f>+'Purchased Power Model '!G116</f>
        <v>32.200000000000003</v>
      </c>
      <c r="P24" s="218">
        <f>+'Purchased Power Model '!G128</f>
        <v>51.2</v>
      </c>
      <c r="Q24" s="219">
        <f>+'Purchased Power Model '!G140</f>
        <v>53</v>
      </c>
      <c r="R24" s="219">
        <f>+'Purchased Power Model '!G152</f>
        <v>26.200000000000006</v>
      </c>
      <c r="S24" s="219">
        <f>+'Purchased Power Model '!G164</f>
        <v>30.850000000000005</v>
      </c>
      <c r="T24" s="219">
        <f>+'Purchased Power Model '!G176</f>
        <v>21.599999999999998</v>
      </c>
      <c r="U24" s="219">
        <f>+'Purchased Power Model '!G188</f>
        <v>61.199999999999996</v>
      </c>
      <c r="V24" s="168">
        <f t="shared" si="3"/>
        <v>42.285000000000004</v>
      </c>
      <c r="W24" s="167">
        <f t="shared" si="4"/>
        <v>50.883496240601517</v>
      </c>
    </row>
    <row r="25" spans="1:23" x14ac:dyDescent="0.2">
      <c r="A25" s="165" t="s">
        <v>64</v>
      </c>
      <c r="B25" s="217">
        <v>6.8</v>
      </c>
      <c r="C25" s="217">
        <v>10.9</v>
      </c>
      <c r="D25" s="217">
        <v>15.9</v>
      </c>
      <c r="E25" s="217">
        <v>41.9</v>
      </c>
      <c r="F25" s="217">
        <f>+'Purchased Power Model '!G9</f>
        <v>59.8</v>
      </c>
      <c r="G25" s="217">
        <f>+'Purchased Power Model '!G21</f>
        <v>64.8</v>
      </c>
      <c r="H25" s="217">
        <f>+'Purchased Power Model '!G33</f>
        <v>138.9</v>
      </c>
      <c r="I25" s="217">
        <f>+'Purchased Power Model '!G45</f>
        <v>44.8</v>
      </c>
      <c r="J25" s="217">
        <f>+'Purchased Power Model '!G57</f>
        <v>65.7</v>
      </c>
      <c r="K25" s="217">
        <f>+'Purchased Power Model '!G69</f>
        <v>129</v>
      </c>
      <c r="L25" s="218">
        <f>+'Purchased Power Model '!G81</f>
        <v>50.1</v>
      </c>
      <c r="M25" s="218">
        <f>+'Purchased Power Model '!G93</f>
        <v>49.3</v>
      </c>
      <c r="N25" s="218">
        <f>+'Purchased Power Model '!G105</f>
        <v>105.4</v>
      </c>
      <c r="O25" s="218">
        <f>+'Purchased Power Model '!G117</f>
        <v>117.2</v>
      </c>
      <c r="P25" s="218">
        <f>+'Purchased Power Model '!G129</f>
        <v>53.8</v>
      </c>
      <c r="Q25" s="219">
        <f>+'Purchased Power Model '!G141</f>
        <v>75.8</v>
      </c>
      <c r="R25" s="219">
        <f>+'Purchased Power Model '!G153</f>
        <v>14.5</v>
      </c>
      <c r="S25" s="219">
        <f>+'Purchased Power Model '!G165</f>
        <v>106.09999999999998</v>
      </c>
      <c r="T25" s="219">
        <f>+'Purchased Power Model '!G177</f>
        <v>130.79999999999998</v>
      </c>
      <c r="U25" s="219">
        <f>+'Purchased Power Model '!G189</f>
        <v>125.90000000000002</v>
      </c>
      <c r="V25" s="168">
        <f t="shared" si="3"/>
        <v>82.89</v>
      </c>
      <c r="W25" s="167">
        <f t="shared" si="4"/>
        <v>117.04443609022564</v>
      </c>
    </row>
    <row r="26" spans="1:23" x14ac:dyDescent="0.2">
      <c r="A26" s="165" t="s">
        <v>65</v>
      </c>
      <c r="B26" s="217">
        <v>32.4</v>
      </c>
      <c r="C26" s="217">
        <v>9.1999999999999993</v>
      </c>
      <c r="D26" s="217">
        <v>33.6</v>
      </c>
      <c r="E26" s="217">
        <v>55.2</v>
      </c>
      <c r="F26" s="217">
        <f>+'Purchased Power Model '!G10</f>
        <v>21.9</v>
      </c>
      <c r="G26" s="217">
        <f>+'Purchased Power Model '!G22</f>
        <v>83.1</v>
      </c>
      <c r="H26" s="217">
        <f>+'Purchased Power Model '!G34</f>
        <v>30.9</v>
      </c>
      <c r="I26" s="217">
        <f>+'Purchased Power Model '!G46</f>
        <v>46.3</v>
      </c>
      <c r="J26" s="217">
        <f>+'Purchased Power Model '!G58</f>
        <v>94.2</v>
      </c>
      <c r="K26" s="217">
        <f>+'Purchased Power Model '!G70</f>
        <v>72.3</v>
      </c>
      <c r="L26" s="218">
        <f>+'Purchased Power Model '!G82</f>
        <v>72.400000000000006</v>
      </c>
      <c r="M26" s="218">
        <f>+'Purchased Power Model '!G94</f>
        <v>30.6</v>
      </c>
      <c r="N26" s="218">
        <f>+'Purchased Power Model '!G106</f>
        <v>67.900000000000006</v>
      </c>
      <c r="O26" s="218">
        <f>+'Purchased Power Model '!G118</f>
        <v>45.5</v>
      </c>
      <c r="P26" s="218">
        <f>+'Purchased Power Model '!G130</f>
        <v>65.099999999999994</v>
      </c>
      <c r="Q26" s="219">
        <f>+'Purchased Power Model '!G142</f>
        <v>29.5</v>
      </c>
      <c r="R26" s="219">
        <f>+'Purchased Power Model '!G154</f>
        <v>57.3</v>
      </c>
      <c r="S26" s="219">
        <f>+'Purchased Power Model '!G166</f>
        <v>83.600000000000023</v>
      </c>
      <c r="T26" s="219">
        <f>+'Purchased Power Model '!G178</f>
        <v>63.599999999999994</v>
      </c>
      <c r="U26" s="219">
        <f>+'Purchased Power Model '!G190</f>
        <v>58.20000000000001</v>
      </c>
      <c r="V26" s="168">
        <f t="shared" si="3"/>
        <v>57.370000000000005</v>
      </c>
      <c r="W26" s="167">
        <f t="shared" si="4"/>
        <v>71.086691729322865</v>
      </c>
    </row>
    <row r="27" spans="1:23" x14ac:dyDescent="0.2">
      <c r="A27" s="165" t="s">
        <v>66</v>
      </c>
      <c r="B27" s="217">
        <v>0</v>
      </c>
      <c r="C27" s="217">
        <v>1.2</v>
      </c>
      <c r="D27" s="217">
        <v>9.8000000000000007</v>
      </c>
      <c r="E27" s="217">
        <v>12.6</v>
      </c>
      <c r="F27" s="217">
        <f>+'Purchased Power Model '!G11</f>
        <v>5.4</v>
      </c>
      <c r="G27" s="217">
        <f>+'Purchased Power Model '!G23</f>
        <v>26</v>
      </c>
      <c r="H27" s="217">
        <f>+'Purchased Power Model '!G35</f>
        <v>27.7</v>
      </c>
      <c r="I27" s="217">
        <f>+'Purchased Power Model '!G47</f>
        <v>23.8</v>
      </c>
      <c r="J27" s="217">
        <f>+'Purchased Power Model '!G59</f>
        <v>19.2</v>
      </c>
      <c r="K27" s="217">
        <f>+'Purchased Power Model '!G71</f>
        <v>47</v>
      </c>
      <c r="L27" s="218">
        <f>+'Purchased Power Model '!G83</f>
        <v>6</v>
      </c>
      <c r="M27" s="218">
        <f>+'Purchased Power Model '!G95</f>
        <v>13.7</v>
      </c>
      <c r="N27" s="218">
        <f>+'Purchased Power Model '!G107</f>
        <v>13.7</v>
      </c>
      <c r="O27" s="218">
        <f>+'Purchased Power Model '!G119</f>
        <v>2.2999999999999998</v>
      </c>
      <c r="P27" s="218">
        <f>+'Purchased Power Model '!G131</f>
        <v>28</v>
      </c>
      <c r="Q27" s="219">
        <f>+'Purchased Power Model '!G143</f>
        <v>12</v>
      </c>
      <c r="R27" s="219">
        <f>+'Purchased Power Model '!G155</f>
        <v>5.5</v>
      </c>
      <c r="S27" s="219">
        <f>+'Purchased Power Model '!G167</f>
        <v>21.2</v>
      </c>
      <c r="T27" s="219">
        <f>+'Purchased Power Model '!G179</f>
        <v>20.25</v>
      </c>
      <c r="U27" s="219">
        <f>+'Purchased Power Model '!G191</f>
        <v>16.399999999999999</v>
      </c>
      <c r="V27" s="168">
        <f t="shared" si="3"/>
        <v>13.904999999999998</v>
      </c>
      <c r="W27" s="167">
        <f t="shared" si="4"/>
        <v>20.074661654135298</v>
      </c>
    </row>
    <row r="28" spans="1:23" x14ac:dyDescent="0.2">
      <c r="A28" s="165" t="s">
        <v>67</v>
      </c>
      <c r="B28" s="217">
        <v>0</v>
      </c>
      <c r="C28" s="217">
        <v>0</v>
      </c>
      <c r="D28" s="217">
        <v>0</v>
      </c>
      <c r="E28" s="217">
        <v>0</v>
      </c>
      <c r="F28" s="217">
        <f>+'Purchased Power Model '!G12</f>
        <v>1.6</v>
      </c>
      <c r="G28" s="217">
        <f>+'Purchased Power Model '!G24</f>
        <v>0</v>
      </c>
      <c r="H28" s="217">
        <f>+'Purchased Power Model '!G36</f>
        <v>0</v>
      </c>
      <c r="I28" s="217">
        <f>+'Purchased Power Model '!G48</f>
        <v>0</v>
      </c>
      <c r="J28" s="217">
        <f>+'Purchased Power Model '!G60</f>
        <v>0</v>
      </c>
      <c r="K28" s="217">
        <f>+'Purchased Power Model '!G72</f>
        <v>6.3</v>
      </c>
      <c r="L28" s="218">
        <f>+'Purchased Power Model '!G84</f>
        <v>0</v>
      </c>
      <c r="M28" s="218">
        <f>+'Purchased Power Model '!G96</f>
        <v>0</v>
      </c>
      <c r="N28" s="218">
        <f>+'Purchased Power Model '!G108</f>
        <v>2.6</v>
      </c>
      <c r="O28" s="218">
        <f>+'Purchased Power Model '!G120</f>
        <v>0</v>
      </c>
      <c r="P28" s="218">
        <f>+'Purchased Power Model '!G132</f>
        <v>10.9</v>
      </c>
      <c r="Q28" s="219">
        <f>+'Purchased Power Model '!G144</f>
        <v>0</v>
      </c>
      <c r="R28" s="219">
        <f>+'Purchased Power Model '!G156</f>
        <v>0</v>
      </c>
      <c r="S28" s="219">
        <f>+'Purchased Power Model '!G168</f>
        <v>0</v>
      </c>
      <c r="T28" s="219">
        <f>+'Purchased Power Model '!G180</f>
        <v>0</v>
      </c>
      <c r="U28" s="219">
        <f>+'Purchased Power Model '!G192</f>
        <v>0</v>
      </c>
      <c r="V28" s="168">
        <f t="shared" si="3"/>
        <v>1.35</v>
      </c>
      <c r="W28" s="167">
        <f t="shared" si="4"/>
        <v>1.8239849624060014</v>
      </c>
    </row>
    <row r="29" spans="1:23" x14ac:dyDescent="0.2">
      <c r="A29" s="165" t="s">
        <v>68</v>
      </c>
      <c r="B29" s="217">
        <v>0</v>
      </c>
      <c r="C29" s="217">
        <v>0</v>
      </c>
      <c r="D29" s="217">
        <v>0</v>
      </c>
      <c r="E29" s="217">
        <v>0</v>
      </c>
      <c r="F29" s="217">
        <f>+'Purchased Power Model '!G13</f>
        <v>0</v>
      </c>
      <c r="G29" s="217">
        <f>+'Purchased Power Model '!G25</f>
        <v>0</v>
      </c>
      <c r="H29" s="217">
        <f>+'Purchased Power Model '!G37</f>
        <v>0</v>
      </c>
      <c r="I29" s="217">
        <f>+'Purchased Power Model '!G49</f>
        <v>0</v>
      </c>
      <c r="J29" s="217">
        <f>+'Purchased Power Model '!G61</f>
        <v>0</v>
      </c>
      <c r="K29" s="217">
        <f>+'Purchased Power Model '!G73</f>
        <v>0</v>
      </c>
      <c r="L29" s="218">
        <f>+'Purchased Power Model '!G85</f>
        <v>0</v>
      </c>
      <c r="M29" s="218">
        <f>+'Purchased Power Model '!G97</f>
        <v>0</v>
      </c>
      <c r="N29" s="218">
        <f>+'Purchased Power Model '!G109</f>
        <v>0</v>
      </c>
      <c r="O29" s="218">
        <f>+'Purchased Power Model '!G121</f>
        <v>0</v>
      </c>
      <c r="P29" s="218">
        <f>+'Purchased Power Model '!G133</f>
        <v>0</v>
      </c>
      <c r="Q29" s="219">
        <f>+'Purchased Power Model '!G145</f>
        <v>0</v>
      </c>
      <c r="R29" s="219">
        <f>+'Purchased Power Model '!G157</f>
        <v>0</v>
      </c>
      <c r="S29" s="219">
        <f>+'Purchased Power Model '!G169</f>
        <v>0</v>
      </c>
      <c r="T29" s="219">
        <f>+'Purchased Power Model '!G181</f>
        <v>0</v>
      </c>
      <c r="U29" s="219">
        <f>+'Purchased Power Model '!G193</f>
        <v>0</v>
      </c>
      <c r="V29" s="168">
        <f t="shared" si="3"/>
        <v>0</v>
      </c>
      <c r="W29" s="167">
        <f t="shared" si="4"/>
        <v>0</v>
      </c>
    </row>
    <row r="30" spans="1:23" x14ac:dyDescent="0.2">
      <c r="A30" s="165" t="s">
        <v>70</v>
      </c>
      <c r="B30" s="217">
        <v>0</v>
      </c>
      <c r="C30" s="217">
        <v>0</v>
      </c>
      <c r="D30" s="217">
        <v>0</v>
      </c>
      <c r="E30" s="217">
        <v>0</v>
      </c>
      <c r="F30" s="217">
        <f>+'Purchased Power Model '!G14</f>
        <v>0</v>
      </c>
      <c r="G30" s="217">
        <f>+'Purchased Power Model '!G26</f>
        <v>0</v>
      </c>
      <c r="H30" s="217">
        <f>+'Purchased Power Model '!G38</f>
        <v>0</v>
      </c>
      <c r="I30" s="217">
        <f>+'Purchased Power Model '!G50</f>
        <v>0</v>
      </c>
      <c r="J30" s="217">
        <f>+'Purchased Power Model '!G62</f>
        <v>0</v>
      </c>
      <c r="K30" s="217">
        <f>+'Purchased Power Model '!G74</f>
        <v>0</v>
      </c>
      <c r="L30" s="218">
        <f>+'Purchased Power Model '!G86</f>
        <v>0</v>
      </c>
      <c r="M30" s="218">
        <f>+'Purchased Power Model '!G98</f>
        <v>0</v>
      </c>
      <c r="N30" s="218">
        <f>+'Purchased Power Model '!G110</f>
        <v>0</v>
      </c>
      <c r="O30" s="218">
        <f>+'Purchased Power Model '!G122</f>
        <v>0</v>
      </c>
      <c r="P30" s="218">
        <f>+'Purchased Power Model '!G134</f>
        <v>0</v>
      </c>
      <c r="Q30" s="219">
        <f>+'Purchased Power Model '!G146</f>
        <v>0</v>
      </c>
      <c r="R30" s="219">
        <f>+'Purchased Power Model '!G158</f>
        <v>0</v>
      </c>
      <c r="S30" s="219">
        <f>+'Purchased Power Model '!G170</f>
        <v>0</v>
      </c>
      <c r="T30" s="219">
        <f>+'Purchased Power Model '!G182</f>
        <v>0</v>
      </c>
      <c r="U30" s="219">
        <f>+'Purchased Power Model '!G194</f>
        <v>0</v>
      </c>
      <c r="V30" s="168">
        <f t="shared" si="3"/>
        <v>0</v>
      </c>
      <c r="W30" s="167">
        <f t="shared" si="4"/>
        <v>0</v>
      </c>
    </row>
    <row r="31" spans="1:23" x14ac:dyDescent="0.2">
      <c r="A31" s="165"/>
      <c r="B31" s="165"/>
      <c r="C31" s="165"/>
      <c r="D31" s="165"/>
      <c r="E31" s="166"/>
      <c r="F31" s="166"/>
      <c r="V31" s="48">
        <f>SUM(V19:V30)</f>
        <v>207.44</v>
      </c>
      <c r="W31" s="48">
        <f>SUM(W19:W30)</f>
        <v>275.1904135338342</v>
      </c>
    </row>
    <row r="32" spans="1:23" x14ac:dyDescent="0.2">
      <c r="A32" s="165"/>
      <c r="B32" s="165"/>
      <c r="C32" s="165"/>
      <c r="D32" s="165"/>
      <c r="E32" s="166"/>
      <c r="F32" s="166"/>
    </row>
    <row r="33" spans="1:6" x14ac:dyDescent="0.2">
      <c r="A33"/>
      <c r="B33"/>
      <c r="C33"/>
      <c r="D33"/>
      <c r="E33"/>
      <c r="F33"/>
    </row>
    <row r="34" spans="1:6" x14ac:dyDescent="0.2">
      <c r="A34"/>
      <c r="B34"/>
      <c r="C34"/>
      <c r="D34"/>
      <c r="E34"/>
      <c r="F34"/>
    </row>
    <row r="35" spans="1:6" x14ac:dyDescent="0.2">
      <c r="A35"/>
      <c r="B35"/>
      <c r="C35"/>
      <c r="D35"/>
      <c r="E35"/>
      <c r="F35"/>
    </row>
    <row r="36" spans="1:6" x14ac:dyDescent="0.2">
      <c r="A36"/>
      <c r="B36"/>
      <c r="C36"/>
      <c r="D36"/>
      <c r="E36"/>
      <c r="F36"/>
    </row>
    <row r="37" spans="1:6" x14ac:dyDescent="0.2">
      <c r="A37"/>
      <c r="B37"/>
      <c r="C37"/>
      <c r="D37"/>
      <c r="E37"/>
      <c r="F37"/>
    </row>
    <row r="38" spans="1:6" x14ac:dyDescent="0.2">
      <c r="A38"/>
      <c r="B38"/>
      <c r="C38"/>
      <c r="D38"/>
      <c r="E38"/>
      <c r="F38"/>
    </row>
    <row r="39" spans="1:6" x14ac:dyDescent="0.2">
      <c r="A39"/>
      <c r="B39"/>
      <c r="C39"/>
      <c r="D39"/>
      <c r="E39"/>
      <c r="F39"/>
    </row>
    <row r="40" spans="1:6" x14ac:dyDescent="0.2">
      <c r="A40"/>
      <c r="B40"/>
      <c r="C40"/>
      <c r="D40"/>
      <c r="E40"/>
      <c r="F40"/>
    </row>
    <row r="41" spans="1:6" x14ac:dyDescent="0.2">
      <c r="A41"/>
      <c r="B41"/>
      <c r="C41"/>
      <c r="D41"/>
      <c r="E41"/>
      <c r="F41"/>
    </row>
    <row r="42" spans="1:6" x14ac:dyDescent="0.2">
      <c r="A42"/>
      <c r="B42"/>
      <c r="C42"/>
      <c r="D42"/>
      <c r="E42"/>
      <c r="F42"/>
    </row>
    <row r="43" spans="1:6" x14ac:dyDescent="0.2">
      <c r="A43"/>
      <c r="B43"/>
      <c r="C43"/>
      <c r="D43"/>
      <c r="E43"/>
      <c r="F43"/>
    </row>
    <row r="44" spans="1:6" x14ac:dyDescent="0.2">
      <c r="A44"/>
      <c r="B44"/>
      <c r="C44"/>
      <c r="D44"/>
      <c r="E44"/>
      <c r="F44"/>
    </row>
    <row r="45" spans="1:6" x14ac:dyDescent="0.2">
      <c r="A45"/>
      <c r="B45"/>
      <c r="C45"/>
      <c r="D45"/>
      <c r="E45"/>
      <c r="F45"/>
    </row>
    <row r="46" spans="1:6" x14ac:dyDescent="0.2">
      <c r="A46"/>
      <c r="B46"/>
      <c r="C46"/>
      <c r="D46"/>
      <c r="E46"/>
      <c r="F46"/>
    </row>
    <row r="47" spans="1:6" x14ac:dyDescent="0.2">
      <c r="A47"/>
      <c r="B47"/>
      <c r="C47"/>
      <c r="D47"/>
      <c r="E47"/>
      <c r="F47"/>
    </row>
    <row r="48" spans="1:6" x14ac:dyDescent="0.2">
      <c r="A48"/>
      <c r="B48"/>
      <c r="C48"/>
      <c r="D48"/>
      <c r="E48"/>
      <c r="F48"/>
    </row>
    <row r="49" spans="1:6" x14ac:dyDescent="0.2">
      <c r="A49"/>
      <c r="B49"/>
      <c r="C49"/>
      <c r="D49"/>
      <c r="E49"/>
      <c r="F49"/>
    </row>
    <row r="50" spans="1:6" x14ac:dyDescent="0.2">
      <c r="A50"/>
      <c r="B50"/>
      <c r="C50"/>
      <c r="D50"/>
      <c r="E50"/>
      <c r="F50"/>
    </row>
    <row r="51" spans="1:6" x14ac:dyDescent="0.2">
      <c r="A51"/>
      <c r="B51"/>
      <c r="C51"/>
      <c r="D51"/>
      <c r="E51"/>
      <c r="F51"/>
    </row>
    <row r="52" spans="1:6" x14ac:dyDescent="0.2">
      <c r="A52"/>
      <c r="B52"/>
      <c r="C52"/>
      <c r="D52"/>
      <c r="E52"/>
      <c r="F52"/>
    </row>
    <row r="53" spans="1:6" x14ac:dyDescent="0.2">
      <c r="A53"/>
      <c r="B53"/>
      <c r="C53"/>
      <c r="D53"/>
      <c r="E53"/>
      <c r="F53"/>
    </row>
    <row r="54" spans="1:6" x14ac:dyDescent="0.2">
      <c r="A54"/>
      <c r="B54"/>
      <c r="C54"/>
      <c r="D54"/>
      <c r="E54"/>
      <c r="F54"/>
    </row>
    <row r="55" spans="1:6" x14ac:dyDescent="0.2">
      <c r="A55"/>
      <c r="B55"/>
      <c r="C55"/>
      <c r="D55"/>
      <c r="E55"/>
      <c r="F55"/>
    </row>
    <row r="56" spans="1:6" x14ac:dyDescent="0.2">
      <c r="A56"/>
      <c r="B56"/>
      <c r="C56"/>
      <c r="D56"/>
      <c r="E56"/>
      <c r="F56"/>
    </row>
    <row r="57" spans="1:6" x14ac:dyDescent="0.2">
      <c r="A57"/>
      <c r="B57"/>
      <c r="C57"/>
      <c r="D57"/>
      <c r="E57"/>
      <c r="F57"/>
    </row>
    <row r="58" spans="1:6" x14ac:dyDescent="0.2">
      <c r="A58"/>
      <c r="B58"/>
      <c r="C58"/>
      <c r="D58"/>
      <c r="E58"/>
      <c r="F58"/>
    </row>
    <row r="59" spans="1:6" x14ac:dyDescent="0.2">
      <c r="A59"/>
      <c r="B59"/>
      <c r="C59"/>
      <c r="D59"/>
      <c r="E59"/>
      <c r="F59"/>
    </row>
    <row r="60" spans="1:6" x14ac:dyDescent="0.2">
      <c r="A60"/>
      <c r="B60"/>
      <c r="C60"/>
      <c r="D60"/>
      <c r="E60"/>
      <c r="F60"/>
    </row>
    <row r="61" spans="1:6" x14ac:dyDescent="0.2">
      <c r="A61"/>
      <c r="B61"/>
      <c r="C61"/>
      <c r="D61"/>
      <c r="E61"/>
      <c r="F61"/>
    </row>
    <row r="62" spans="1:6" x14ac:dyDescent="0.2">
      <c r="A62"/>
      <c r="B62"/>
      <c r="C62"/>
      <c r="D62"/>
      <c r="E62"/>
      <c r="F62"/>
    </row>
    <row r="63" spans="1:6" x14ac:dyDescent="0.2">
      <c r="A63"/>
      <c r="B63"/>
      <c r="C63"/>
      <c r="D63"/>
      <c r="E63"/>
      <c r="F63"/>
    </row>
    <row r="64" spans="1:6" x14ac:dyDescent="0.2">
      <c r="A64"/>
      <c r="B64"/>
      <c r="C64"/>
      <c r="D64"/>
      <c r="E64"/>
      <c r="F64"/>
    </row>
    <row r="65" spans="1:6" x14ac:dyDescent="0.2">
      <c r="A65"/>
      <c r="B65"/>
      <c r="C65"/>
      <c r="D65"/>
      <c r="E65"/>
      <c r="F65"/>
    </row>
    <row r="66" spans="1:6" x14ac:dyDescent="0.2">
      <c r="A66"/>
      <c r="B66"/>
      <c r="C66"/>
      <c r="D66"/>
      <c r="E66"/>
      <c r="F66"/>
    </row>
  </sheetData>
  <pageMargins left="0.21" right="0.18" top="0.73" bottom="0.74" header="0.5" footer="0.5"/>
  <pageSetup scale="65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90"/>
  <sheetViews>
    <sheetView workbookViewId="0">
      <selection sqref="A1:F90"/>
    </sheetView>
  </sheetViews>
  <sheetFormatPr defaultRowHeight="12.75" x14ac:dyDescent="0.2"/>
  <cols>
    <col min="1" max="1" width="31.42578125" bestFit="1" customWidth="1"/>
    <col min="2" max="2" width="18.5703125" customWidth="1"/>
    <col min="3" max="3" width="11.7109375" customWidth="1"/>
    <col min="4" max="4" width="13.42578125" customWidth="1"/>
    <col min="5" max="5" width="10" customWidth="1"/>
    <col min="6" max="6" width="12.7109375" customWidth="1"/>
    <col min="7" max="7" width="9.7109375" bestFit="1" customWidth="1"/>
    <col min="11" max="11" width="12.7109375" bestFit="1" customWidth="1"/>
    <col min="257" max="257" width="31.42578125" bestFit="1" customWidth="1"/>
    <col min="258" max="258" width="12.7109375" customWidth="1"/>
    <col min="259" max="259" width="11.7109375" customWidth="1"/>
    <col min="260" max="260" width="12.7109375" customWidth="1"/>
    <col min="261" max="261" width="10" customWidth="1"/>
    <col min="262" max="262" width="12.7109375" customWidth="1"/>
    <col min="513" max="513" width="31.42578125" bestFit="1" customWidth="1"/>
    <col min="514" max="514" width="12.7109375" customWidth="1"/>
    <col min="515" max="515" width="11.7109375" customWidth="1"/>
    <col min="516" max="516" width="12.7109375" customWidth="1"/>
    <col min="517" max="517" width="10" customWidth="1"/>
    <col min="518" max="518" width="12.7109375" customWidth="1"/>
    <col min="769" max="769" width="31.42578125" bestFit="1" customWidth="1"/>
    <col min="770" max="770" width="12.7109375" customWidth="1"/>
    <col min="771" max="771" width="11.7109375" customWidth="1"/>
    <col min="772" max="772" width="12.7109375" customWidth="1"/>
    <col min="773" max="773" width="10" customWidth="1"/>
    <col min="774" max="774" width="12.7109375" customWidth="1"/>
    <col min="1025" max="1025" width="31.42578125" bestFit="1" customWidth="1"/>
    <col min="1026" max="1026" width="12.7109375" customWidth="1"/>
    <col min="1027" max="1027" width="11.7109375" customWidth="1"/>
    <col min="1028" max="1028" width="12.7109375" customWidth="1"/>
    <col min="1029" max="1029" width="10" customWidth="1"/>
    <col min="1030" max="1030" width="12.7109375" customWidth="1"/>
    <col min="1281" max="1281" width="31.42578125" bestFit="1" customWidth="1"/>
    <col min="1282" max="1282" width="12.7109375" customWidth="1"/>
    <col min="1283" max="1283" width="11.7109375" customWidth="1"/>
    <col min="1284" max="1284" width="12.7109375" customWidth="1"/>
    <col min="1285" max="1285" width="10" customWidth="1"/>
    <col min="1286" max="1286" width="12.7109375" customWidth="1"/>
    <col min="1537" max="1537" width="31.42578125" bestFit="1" customWidth="1"/>
    <col min="1538" max="1538" width="12.7109375" customWidth="1"/>
    <col min="1539" max="1539" width="11.7109375" customWidth="1"/>
    <col min="1540" max="1540" width="12.7109375" customWidth="1"/>
    <col min="1541" max="1541" width="10" customWidth="1"/>
    <col min="1542" max="1542" width="12.7109375" customWidth="1"/>
    <col min="1793" max="1793" width="31.42578125" bestFit="1" customWidth="1"/>
    <col min="1794" max="1794" width="12.7109375" customWidth="1"/>
    <col min="1795" max="1795" width="11.7109375" customWidth="1"/>
    <col min="1796" max="1796" width="12.7109375" customWidth="1"/>
    <col min="1797" max="1797" width="10" customWidth="1"/>
    <col min="1798" max="1798" width="12.7109375" customWidth="1"/>
    <col min="2049" max="2049" width="31.42578125" bestFit="1" customWidth="1"/>
    <col min="2050" max="2050" width="12.7109375" customWidth="1"/>
    <col min="2051" max="2051" width="11.7109375" customWidth="1"/>
    <col min="2052" max="2052" width="12.7109375" customWidth="1"/>
    <col min="2053" max="2053" width="10" customWidth="1"/>
    <col min="2054" max="2054" width="12.7109375" customWidth="1"/>
    <col min="2305" max="2305" width="31.42578125" bestFit="1" customWidth="1"/>
    <col min="2306" max="2306" width="12.7109375" customWidth="1"/>
    <col min="2307" max="2307" width="11.7109375" customWidth="1"/>
    <col min="2308" max="2308" width="12.7109375" customWidth="1"/>
    <col min="2309" max="2309" width="10" customWidth="1"/>
    <col min="2310" max="2310" width="12.7109375" customWidth="1"/>
    <col min="2561" max="2561" width="31.42578125" bestFit="1" customWidth="1"/>
    <col min="2562" max="2562" width="12.7109375" customWidth="1"/>
    <col min="2563" max="2563" width="11.7109375" customWidth="1"/>
    <col min="2564" max="2564" width="12.7109375" customWidth="1"/>
    <col min="2565" max="2565" width="10" customWidth="1"/>
    <col min="2566" max="2566" width="12.7109375" customWidth="1"/>
    <col min="2817" max="2817" width="31.42578125" bestFit="1" customWidth="1"/>
    <col min="2818" max="2818" width="12.7109375" customWidth="1"/>
    <col min="2819" max="2819" width="11.7109375" customWidth="1"/>
    <col min="2820" max="2820" width="12.7109375" customWidth="1"/>
    <col min="2821" max="2821" width="10" customWidth="1"/>
    <col min="2822" max="2822" width="12.7109375" customWidth="1"/>
    <col min="3073" max="3073" width="31.42578125" bestFit="1" customWidth="1"/>
    <col min="3074" max="3074" width="12.7109375" customWidth="1"/>
    <col min="3075" max="3075" width="11.7109375" customWidth="1"/>
    <col min="3076" max="3076" width="12.7109375" customWidth="1"/>
    <col min="3077" max="3077" width="10" customWidth="1"/>
    <col min="3078" max="3078" width="12.7109375" customWidth="1"/>
    <col min="3329" max="3329" width="31.42578125" bestFit="1" customWidth="1"/>
    <col min="3330" max="3330" width="12.7109375" customWidth="1"/>
    <col min="3331" max="3331" width="11.7109375" customWidth="1"/>
    <col min="3332" max="3332" width="12.7109375" customWidth="1"/>
    <col min="3333" max="3333" width="10" customWidth="1"/>
    <col min="3334" max="3334" width="12.7109375" customWidth="1"/>
    <col min="3585" max="3585" width="31.42578125" bestFit="1" customWidth="1"/>
    <col min="3586" max="3586" width="12.7109375" customWidth="1"/>
    <col min="3587" max="3587" width="11.7109375" customWidth="1"/>
    <col min="3588" max="3588" width="12.7109375" customWidth="1"/>
    <col min="3589" max="3589" width="10" customWidth="1"/>
    <col min="3590" max="3590" width="12.7109375" customWidth="1"/>
    <col min="3841" max="3841" width="31.42578125" bestFit="1" customWidth="1"/>
    <col min="3842" max="3842" width="12.7109375" customWidth="1"/>
    <col min="3843" max="3843" width="11.7109375" customWidth="1"/>
    <col min="3844" max="3844" width="12.7109375" customWidth="1"/>
    <col min="3845" max="3845" width="10" customWidth="1"/>
    <col min="3846" max="3846" width="12.7109375" customWidth="1"/>
    <col min="4097" max="4097" width="31.42578125" bestFit="1" customWidth="1"/>
    <col min="4098" max="4098" width="12.7109375" customWidth="1"/>
    <col min="4099" max="4099" width="11.7109375" customWidth="1"/>
    <col min="4100" max="4100" width="12.7109375" customWidth="1"/>
    <col min="4101" max="4101" width="10" customWidth="1"/>
    <col min="4102" max="4102" width="12.7109375" customWidth="1"/>
    <col min="4353" max="4353" width="31.42578125" bestFit="1" customWidth="1"/>
    <col min="4354" max="4354" width="12.7109375" customWidth="1"/>
    <col min="4355" max="4355" width="11.7109375" customWidth="1"/>
    <col min="4356" max="4356" width="12.7109375" customWidth="1"/>
    <col min="4357" max="4357" width="10" customWidth="1"/>
    <col min="4358" max="4358" width="12.7109375" customWidth="1"/>
    <col min="4609" max="4609" width="31.42578125" bestFit="1" customWidth="1"/>
    <col min="4610" max="4610" width="12.7109375" customWidth="1"/>
    <col min="4611" max="4611" width="11.7109375" customWidth="1"/>
    <col min="4612" max="4612" width="12.7109375" customWidth="1"/>
    <col min="4613" max="4613" width="10" customWidth="1"/>
    <col min="4614" max="4614" width="12.7109375" customWidth="1"/>
    <col min="4865" max="4865" width="31.42578125" bestFit="1" customWidth="1"/>
    <col min="4866" max="4866" width="12.7109375" customWidth="1"/>
    <col min="4867" max="4867" width="11.7109375" customWidth="1"/>
    <col min="4868" max="4868" width="12.7109375" customWidth="1"/>
    <col min="4869" max="4869" width="10" customWidth="1"/>
    <col min="4870" max="4870" width="12.7109375" customWidth="1"/>
    <col min="5121" max="5121" width="31.42578125" bestFit="1" customWidth="1"/>
    <col min="5122" max="5122" width="12.7109375" customWidth="1"/>
    <col min="5123" max="5123" width="11.7109375" customWidth="1"/>
    <col min="5124" max="5124" width="12.7109375" customWidth="1"/>
    <col min="5125" max="5125" width="10" customWidth="1"/>
    <col min="5126" max="5126" width="12.7109375" customWidth="1"/>
    <col min="5377" max="5377" width="31.42578125" bestFit="1" customWidth="1"/>
    <col min="5378" max="5378" width="12.7109375" customWidth="1"/>
    <col min="5379" max="5379" width="11.7109375" customWidth="1"/>
    <col min="5380" max="5380" width="12.7109375" customWidth="1"/>
    <col min="5381" max="5381" width="10" customWidth="1"/>
    <col min="5382" max="5382" width="12.7109375" customWidth="1"/>
    <col min="5633" max="5633" width="31.42578125" bestFit="1" customWidth="1"/>
    <col min="5634" max="5634" width="12.7109375" customWidth="1"/>
    <col min="5635" max="5635" width="11.7109375" customWidth="1"/>
    <col min="5636" max="5636" width="12.7109375" customWidth="1"/>
    <col min="5637" max="5637" width="10" customWidth="1"/>
    <col min="5638" max="5638" width="12.7109375" customWidth="1"/>
    <col min="5889" max="5889" width="31.42578125" bestFit="1" customWidth="1"/>
    <col min="5890" max="5890" width="12.7109375" customWidth="1"/>
    <col min="5891" max="5891" width="11.7109375" customWidth="1"/>
    <col min="5892" max="5892" width="12.7109375" customWidth="1"/>
    <col min="5893" max="5893" width="10" customWidth="1"/>
    <col min="5894" max="5894" width="12.7109375" customWidth="1"/>
    <col min="6145" max="6145" width="31.42578125" bestFit="1" customWidth="1"/>
    <col min="6146" max="6146" width="12.7109375" customWidth="1"/>
    <col min="6147" max="6147" width="11.7109375" customWidth="1"/>
    <col min="6148" max="6148" width="12.7109375" customWidth="1"/>
    <col min="6149" max="6149" width="10" customWidth="1"/>
    <col min="6150" max="6150" width="12.7109375" customWidth="1"/>
    <col min="6401" max="6401" width="31.42578125" bestFit="1" customWidth="1"/>
    <col min="6402" max="6402" width="12.7109375" customWidth="1"/>
    <col min="6403" max="6403" width="11.7109375" customWidth="1"/>
    <col min="6404" max="6404" width="12.7109375" customWidth="1"/>
    <col min="6405" max="6405" width="10" customWidth="1"/>
    <col min="6406" max="6406" width="12.7109375" customWidth="1"/>
    <col min="6657" max="6657" width="31.42578125" bestFit="1" customWidth="1"/>
    <col min="6658" max="6658" width="12.7109375" customWidth="1"/>
    <col min="6659" max="6659" width="11.7109375" customWidth="1"/>
    <col min="6660" max="6660" width="12.7109375" customWidth="1"/>
    <col min="6661" max="6661" width="10" customWidth="1"/>
    <col min="6662" max="6662" width="12.7109375" customWidth="1"/>
    <col min="6913" max="6913" width="31.42578125" bestFit="1" customWidth="1"/>
    <col min="6914" max="6914" width="12.7109375" customWidth="1"/>
    <col min="6915" max="6915" width="11.7109375" customWidth="1"/>
    <col min="6916" max="6916" width="12.7109375" customWidth="1"/>
    <col min="6917" max="6917" width="10" customWidth="1"/>
    <col min="6918" max="6918" width="12.7109375" customWidth="1"/>
    <col min="7169" max="7169" width="31.42578125" bestFit="1" customWidth="1"/>
    <col min="7170" max="7170" width="12.7109375" customWidth="1"/>
    <col min="7171" max="7171" width="11.7109375" customWidth="1"/>
    <col min="7172" max="7172" width="12.7109375" customWidth="1"/>
    <col min="7173" max="7173" width="10" customWidth="1"/>
    <col min="7174" max="7174" width="12.7109375" customWidth="1"/>
    <col min="7425" max="7425" width="31.42578125" bestFit="1" customWidth="1"/>
    <col min="7426" max="7426" width="12.7109375" customWidth="1"/>
    <col min="7427" max="7427" width="11.7109375" customWidth="1"/>
    <col min="7428" max="7428" width="12.7109375" customWidth="1"/>
    <col min="7429" max="7429" width="10" customWidth="1"/>
    <col min="7430" max="7430" width="12.7109375" customWidth="1"/>
    <col min="7681" max="7681" width="31.42578125" bestFit="1" customWidth="1"/>
    <col min="7682" max="7682" width="12.7109375" customWidth="1"/>
    <col min="7683" max="7683" width="11.7109375" customWidth="1"/>
    <col min="7684" max="7684" width="12.7109375" customWidth="1"/>
    <col min="7685" max="7685" width="10" customWidth="1"/>
    <col min="7686" max="7686" width="12.7109375" customWidth="1"/>
    <col min="7937" max="7937" width="31.42578125" bestFit="1" customWidth="1"/>
    <col min="7938" max="7938" width="12.7109375" customWidth="1"/>
    <col min="7939" max="7939" width="11.7109375" customWidth="1"/>
    <col min="7940" max="7940" width="12.7109375" customWidth="1"/>
    <col min="7941" max="7941" width="10" customWidth="1"/>
    <col min="7942" max="7942" width="12.7109375" customWidth="1"/>
    <col min="8193" max="8193" width="31.42578125" bestFit="1" customWidth="1"/>
    <col min="8194" max="8194" width="12.7109375" customWidth="1"/>
    <col min="8195" max="8195" width="11.7109375" customWidth="1"/>
    <col min="8196" max="8196" width="12.7109375" customWidth="1"/>
    <col min="8197" max="8197" width="10" customWidth="1"/>
    <col min="8198" max="8198" width="12.7109375" customWidth="1"/>
    <col min="8449" max="8449" width="31.42578125" bestFit="1" customWidth="1"/>
    <col min="8450" max="8450" width="12.7109375" customWidth="1"/>
    <col min="8451" max="8451" width="11.7109375" customWidth="1"/>
    <col min="8452" max="8452" width="12.7109375" customWidth="1"/>
    <col min="8453" max="8453" width="10" customWidth="1"/>
    <col min="8454" max="8454" width="12.7109375" customWidth="1"/>
    <col min="8705" max="8705" width="31.42578125" bestFit="1" customWidth="1"/>
    <col min="8706" max="8706" width="12.7109375" customWidth="1"/>
    <col min="8707" max="8707" width="11.7109375" customWidth="1"/>
    <col min="8708" max="8708" width="12.7109375" customWidth="1"/>
    <col min="8709" max="8709" width="10" customWidth="1"/>
    <col min="8710" max="8710" width="12.7109375" customWidth="1"/>
    <col min="8961" max="8961" width="31.42578125" bestFit="1" customWidth="1"/>
    <col min="8962" max="8962" width="12.7109375" customWidth="1"/>
    <col min="8963" max="8963" width="11.7109375" customWidth="1"/>
    <col min="8964" max="8964" width="12.7109375" customWidth="1"/>
    <col min="8965" max="8965" width="10" customWidth="1"/>
    <col min="8966" max="8966" width="12.7109375" customWidth="1"/>
    <col min="9217" max="9217" width="31.42578125" bestFit="1" customWidth="1"/>
    <col min="9218" max="9218" width="12.7109375" customWidth="1"/>
    <col min="9219" max="9219" width="11.7109375" customWidth="1"/>
    <col min="9220" max="9220" width="12.7109375" customWidth="1"/>
    <col min="9221" max="9221" width="10" customWidth="1"/>
    <col min="9222" max="9222" width="12.7109375" customWidth="1"/>
    <col min="9473" max="9473" width="31.42578125" bestFit="1" customWidth="1"/>
    <col min="9474" max="9474" width="12.7109375" customWidth="1"/>
    <col min="9475" max="9475" width="11.7109375" customWidth="1"/>
    <col min="9476" max="9476" width="12.7109375" customWidth="1"/>
    <col min="9477" max="9477" width="10" customWidth="1"/>
    <col min="9478" max="9478" width="12.7109375" customWidth="1"/>
    <col min="9729" max="9729" width="31.42578125" bestFit="1" customWidth="1"/>
    <col min="9730" max="9730" width="12.7109375" customWidth="1"/>
    <col min="9731" max="9731" width="11.7109375" customWidth="1"/>
    <col min="9732" max="9732" width="12.7109375" customWidth="1"/>
    <col min="9733" max="9733" width="10" customWidth="1"/>
    <col min="9734" max="9734" width="12.7109375" customWidth="1"/>
    <col min="9985" max="9985" width="31.42578125" bestFit="1" customWidth="1"/>
    <col min="9986" max="9986" width="12.7109375" customWidth="1"/>
    <col min="9987" max="9987" width="11.7109375" customWidth="1"/>
    <col min="9988" max="9988" width="12.7109375" customWidth="1"/>
    <col min="9989" max="9989" width="10" customWidth="1"/>
    <col min="9990" max="9990" width="12.7109375" customWidth="1"/>
    <col min="10241" max="10241" width="31.42578125" bestFit="1" customWidth="1"/>
    <col min="10242" max="10242" width="12.7109375" customWidth="1"/>
    <col min="10243" max="10243" width="11.7109375" customWidth="1"/>
    <col min="10244" max="10244" width="12.7109375" customWidth="1"/>
    <col min="10245" max="10245" width="10" customWidth="1"/>
    <col min="10246" max="10246" width="12.7109375" customWidth="1"/>
    <col min="10497" max="10497" width="31.42578125" bestFit="1" customWidth="1"/>
    <col min="10498" max="10498" width="12.7109375" customWidth="1"/>
    <col min="10499" max="10499" width="11.7109375" customWidth="1"/>
    <col min="10500" max="10500" width="12.7109375" customWidth="1"/>
    <col min="10501" max="10501" width="10" customWidth="1"/>
    <col min="10502" max="10502" width="12.7109375" customWidth="1"/>
    <col min="10753" max="10753" width="31.42578125" bestFit="1" customWidth="1"/>
    <col min="10754" max="10754" width="12.7109375" customWidth="1"/>
    <col min="10755" max="10755" width="11.7109375" customWidth="1"/>
    <col min="10756" max="10756" width="12.7109375" customWidth="1"/>
    <col min="10757" max="10757" width="10" customWidth="1"/>
    <col min="10758" max="10758" width="12.7109375" customWidth="1"/>
    <col min="11009" max="11009" width="31.42578125" bestFit="1" customWidth="1"/>
    <col min="11010" max="11010" width="12.7109375" customWidth="1"/>
    <col min="11011" max="11011" width="11.7109375" customWidth="1"/>
    <col min="11012" max="11012" width="12.7109375" customWidth="1"/>
    <col min="11013" max="11013" width="10" customWidth="1"/>
    <col min="11014" max="11014" width="12.7109375" customWidth="1"/>
    <col min="11265" max="11265" width="31.42578125" bestFit="1" customWidth="1"/>
    <col min="11266" max="11266" width="12.7109375" customWidth="1"/>
    <col min="11267" max="11267" width="11.7109375" customWidth="1"/>
    <col min="11268" max="11268" width="12.7109375" customWidth="1"/>
    <col min="11269" max="11269" width="10" customWidth="1"/>
    <col min="11270" max="11270" width="12.7109375" customWidth="1"/>
    <col min="11521" max="11521" width="31.42578125" bestFit="1" customWidth="1"/>
    <col min="11522" max="11522" width="12.7109375" customWidth="1"/>
    <col min="11523" max="11523" width="11.7109375" customWidth="1"/>
    <col min="11524" max="11524" width="12.7109375" customWidth="1"/>
    <col min="11525" max="11525" width="10" customWidth="1"/>
    <col min="11526" max="11526" width="12.7109375" customWidth="1"/>
    <col min="11777" max="11777" width="31.42578125" bestFit="1" customWidth="1"/>
    <col min="11778" max="11778" width="12.7109375" customWidth="1"/>
    <col min="11779" max="11779" width="11.7109375" customWidth="1"/>
    <col min="11780" max="11780" width="12.7109375" customWidth="1"/>
    <col min="11781" max="11781" width="10" customWidth="1"/>
    <col min="11782" max="11782" width="12.7109375" customWidth="1"/>
    <col min="12033" max="12033" width="31.42578125" bestFit="1" customWidth="1"/>
    <col min="12034" max="12034" width="12.7109375" customWidth="1"/>
    <col min="12035" max="12035" width="11.7109375" customWidth="1"/>
    <col min="12036" max="12036" width="12.7109375" customWidth="1"/>
    <col min="12037" max="12037" width="10" customWidth="1"/>
    <col min="12038" max="12038" width="12.7109375" customWidth="1"/>
    <col min="12289" max="12289" width="31.42578125" bestFit="1" customWidth="1"/>
    <col min="12290" max="12290" width="12.7109375" customWidth="1"/>
    <col min="12291" max="12291" width="11.7109375" customWidth="1"/>
    <col min="12292" max="12292" width="12.7109375" customWidth="1"/>
    <col min="12293" max="12293" width="10" customWidth="1"/>
    <col min="12294" max="12294" width="12.7109375" customWidth="1"/>
    <col min="12545" max="12545" width="31.42578125" bestFit="1" customWidth="1"/>
    <col min="12546" max="12546" width="12.7109375" customWidth="1"/>
    <col min="12547" max="12547" width="11.7109375" customWidth="1"/>
    <col min="12548" max="12548" width="12.7109375" customWidth="1"/>
    <col min="12549" max="12549" width="10" customWidth="1"/>
    <col min="12550" max="12550" width="12.7109375" customWidth="1"/>
    <col min="12801" max="12801" width="31.42578125" bestFit="1" customWidth="1"/>
    <col min="12802" max="12802" width="12.7109375" customWidth="1"/>
    <col min="12803" max="12803" width="11.7109375" customWidth="1"/>
    <col min="12804" max="12804" width="12.7109375" customWidth="1"/>
    <col min="12805" max="12805" width="10" customWidth="1"/>
    <col min="12806" max="12806" width="12.7109375" customWidth="1"/>
    <col min="13057" max="13057" width="31.42578125" bestFit="1" customWidth="1"/>
    <col min="13058" max="13058" width="12.7109375" customWidth="1"/>
    <col min="13059" max="13059" width="11.7109375" customWidth="1"/>
    <col min="13060" max="13060" width="12.7109375" customWidth="1"/>
    <col min="13061" max="13061" width="10" customWidth="1"/>
    <col min="13062" max="13062" width="12.7109375" customWidth="1"/>
    <col min="13313" max="13313" width="31.42578125" bestFit="1" customWidth="1"/>
    <col min="13314" max="13314" width="12.7109375" customWidth="1"/>
    <col min="13315" max="13315" width="11.7109375" customWidth="1"/>
    <col min="13316" max="13316" width="12.7109375" customWidth="1"/>
    <col min="13317" max="13317" width="10" customWidth="1"/>
    <col min="13318" max="13318" width="12.7109375" customWidth="1"/>
    <col min="13569" max="13569" width="31.42578125" bestFit="1" customWidth="1"/>
    <col min="13570" max="13570" width="12.7109375" customWidth="1"/>
    <col min="13571" max="13571" width="11.7109375" customWidth="1"/>
    <col min="13572" max="13572" width="12.7109375" customWidth="1"/>
    <col min="13573" max="13573" width="10" customWidth="1"/>
    <col min="13574" max="13574" width="12.7109375" customWidth="1"/>
    <col min="13825" max="13825" width="31.42578125" bestFit="1" customWidth="1"/>
    <col min="13826" max="13826" width="12.7109375" customWidth="1"/>
    <col min="13827" max="13827" width="11.7109375" customWidth="1"/>
    <col min="13828" max="13828" width="12.7109375" customWidth="1"/>
    <col min="13829" max="13829" width="10" customWidth="1"/>
    <col min="13830" max="13830" width="12.7109375" customWidth="1"/>
    <col min="14081" max="14081" width="31.42578125" bestFit="1" customWidth="1"/>
    <col min="14082" max="14082" width="12.7109375" customWidth="1"/>
    <col min="14083" max="14083" width="11.7109375" customWidth="1"/>
    <col min="14084" max="14084" width="12.7109375" customWidth="1"/>
    <col min="14085" max="14085" width="10" customWidth="1"/>
    <col min="14086" max="14086" width="12.7109375" customWidth="1"/>
    <col min="14337" max="14337" width="31.42578125" bestFit="1" customWidth="1"/>
    <col min="14338" max="14338" width="12.7109375" customWidth="1"/>
    <col min="14339" max="14339" width="11.7109375" customWidth="1"/>
    <col min="14340" max="14340" width="12.7109375" customWidth="1"/>
    <col min="14341" max="14341" width="10" customWidth="1"/>
    <col min="14342" max="14342" width="12.7109375" customWidth="1"/>
    <col min="14593" max="14593" width="31.42578125" bestFit="1" customWidth="1"/>
    <col min="14594" max="14594" width="12.7109375" customWidth="1"/>
    <col min="14595" max="14595" width="11.7109375" customWidth="1"/>
    <col min="14596" max="14596" width="12.7109375" customWidth="1"/>
    <col min="14597" max="14597" width="10" customWidth="1"/>
    <col min="14598" max="14598" width="12.7109375" customWidth="1"/>
    <col min="14849" max="14849" width="31.42578125" bestFit="1" customWidth="1"/>
    <col min="14850" max="14850" width="12.7109375" customWidth="1"/>
    <col min="14851" max="14851" width="11.7109375" customWidth="1"/>
    <col min="14852" max="14852" width="12.7109375" customWidth="1"/>
    <col min="14853" max="14853" width="10" customWidth="1"/>
    <col min="14854" max="14854" width="12.7109375" customWidth="1"/>
    <col min="15105" max="15105" width="31.42578125" bestFit="1" customWidth="1"/>
    <col min="15106" max="15106" width="12.7109375" customWidth="1"/>
    <col min="15107" max="15107" width="11.7109375" customWidth="1"/>
    <col min="15108" max="15108" width="12.7109375" customWidth="1"/>
    <col min="15109" max="15109" width="10" customWidth="1"/>
    <col min="15110" max="15110" width="12.7109375" customWidth="1"/>
    <col min="15361" max="15361" width="31.42578125" bestFit="1" customWidth="1"/>
    <col min="15362" max="15362" width="12.7109375" customWidth="1"/>
    <col min="15363" max="15363" width="11.7109375" customWidth="1"/>
    <col min="15364" max="15364" width="12.7109375" customWidth="1"/>
    <col min="15365" max="15365" width="10" customWidth="1"/>
    <col min="15366" max="15366" width="12.7109375" customWidth="1"/>
    <col min="15617" max="15617" width="31.42578125" bestFit="1" customWidth="1"/>
    <col min="15618" max="15618" width="12.7109375" customWidth="1"/>
    <col min="15619" max="15619" width="11.7109375" customWidth="1"/>
    <col min="15620" max="15620" width="12.7109375" customWidth="1"/>
    <col min="15621" max="15621" width="10" customWidth="1"/>
    <col min="15622" max="15622" width="12.7109375" customWidth="1"/>
    <col min="15873" max="15873" width="31.42578125" bestFit="1" customWidth="1"/>
    <col min="15874" max="15874" width="12.7109375" customWidth="1"/>
    <col min="15875" max="15875" width="11.7109375" customWidth="1"/>
    <col min="15876" max="15876" width="12.7109375" customWidth="1"/>
    <col min="15877" max="15877" width="10" customWidth="1"/>
    <col min="15878" max="15878" width="12.7109375" customWidth="1"/>
    <col min="16129" max="16129" width="31.42578125" bestFit="1" customWidth="1"/>
    <col min="16130" max="16130" width="12.7109375" customWidth="1"/>
    <col min="16131" max="16131" width="11.7109375" customWidth="1"/>
    <col min="16132" max="16132" width="12.7109375" customWidth="1"/>
    <col min="16133" max="16133" width="10" customWidth="1"/>
    <col min="16134" max="16134" width="12.7109375" customWidth="1"/>
  </cols>
  <sheetData>
    <row r="1" spans="1:11" x14ac:dyDescent="0.2">
      <c r="A1" s="431" t="s">
        <v>301</v>
      </c>
      <c r="B1" s="205" t="s">
        <v>105</v>
      </c>
      <c r="C1" s="205" t="s">
        <v>134</v>
      </c>
      <c r="D1" s="205" t="s">
        <v>153</v>
      </c>
      <c r="F1" s="282"/>
      <c r="G1" s="282"/>
    </row>
    <row r="2" spans="1:11" x14ac:dyDescent="0.2">
      <c r="A2" s="434" t="str">
        <f>'Rate Class Energy Model'!K2</f>
        <v xml:space="preserve">Residential </v>
      </c>
      <c r="B2" s="196">
        <f>Summary!O13</f>
        <v>652738629.43822634</v>
      </c>
      <c r="C2" s="195"/>
      <c r="D2" s="283">
        <v>0.93893975395513607</v>
      </c>
    </row>
    <row r="3" spans="1:11" x14ac:dyDescent="0.2">
      <c r="A3" s="434" t="str">
        <f>'Rate Class Energy Model'!L2</f>
        <v>General Service
&lt; 50 kW</v>
      </c>
      <c r="B3" s="196">
        <f>Summary!O17</f>
        <v>242996763.82296205</v>
      </c>
      <c r="C3" s="195"/>
      <c r="D3" s="283">
        <v>0.86067746631608777</v>
      </c>
      <c r="F3" s="282" t="s">
        <v>273</v>
      </c>
      <c r="G3" s="282"/>
    </row>
    <row r="4" spans="1:11" x14ac:dyDescent="0.2">
      <c r="A4" s="434" t="str">
        <f>'Rate Class Energy Model'!M2</f>
        <v>General Service
&gt; 50 kW</v>
      </c>
      <c r="B4" s="196">
        <f>Summary!O21</f>
        <v>852512219.66570425</v>
      </c>
      <c r="C4" s="204">
        <f>Summary!O22</f>
        <v>2187519.7565133185</v>
      </c>
      <c r="D4" s="283">
        <v>0.14149376128842736</v>
      </c>
      <c r="F4" s="37">
        <f>40285418.4544/2</f>
        <v>20142709.227200001</v>
      </c>
      <c r="G4" s="154"/>
    </row>
    <row r="5" spans="1:11" x14ac:dyDescent="0.2">
      <c r="A5" s="434" t="str">
        <f>'Rate Class Energy Model'!N2</f>
        <v>Large User</v>
      </c>
      <c r="B5" s="196">
        <f>Summary!O26</f>
        <v>66016828.655037299</v>
      </c>
      <c r="C5" s="204">
        <f>Summary!O27</f>
        <v>130795.77587097054</v>
      </c>
      <c r="D5" s="283">
        <v>0</v>
      </c>
      <c r="K5" s="154"/>
    </row>
    <row r="6" spans="1:11" x14ac:dyDescent="0.2">
      <c r="A6" s="434" t="str">
        <f>'Rate Class Customer Model'!F2</f>
        <v xml:space="preserve">Streetlights </v>
      </c>
      <c r="B6" s="196">
        <f>Summary!O31</f>
        <v>15898680.403048243</v>
      </c>
      <c r="C6" s="204">
        <f>Summary!O32</f>
        <v>44502.095867100063</v>
      </c>
      <c r="D6" s="283">
        <v>0</v>
      </c>
      <c r="F6" s="408"/>
    </row>
    <row r="7" spans="1:11" x14ac:dyDescent="0.2">
      <c r="A7" s="434" t="str">
        <f>'Rate Class Customer Model'!G2</f>
        <v xml:space="preserve">Unmetered Loads </v>
      </c>
      <c r="B7" s="196">
        <f>Summary!O36</f>
        <v>3612242.357049867</v>
      </c>
      <c r="C7" s="195"/>
      <c r="D7" s="283">
        <v>0</v>
      </c>
      <c r="F7" s="37"/>
    </row>
    <row r="8" spans="1:11" x14ac:dyDescent="0.2">
      <c r="A8" s="435" t="s">
        <v>203</v>
      </c>
      <c r="B8" s="196">
        <v>0</v>
      </c>
      <c r="C8" s="195">
        <v>0</v>
      </c>
      <c r="D8" s="283">
        <v>0</v>
      </c>
    </row>
    <row r="9" spans="1:11" x14ac:dyDescent="0.2">
      <c r="A9" s="436" t="s">
        <v>125</v>
      </c>
      <c r="B9" s="170">
        <f>SUM(B2:B8)</f>
        <v>1833775364.3420284</v>
      </c>
      <c r="C9" s="170">
        <f>SUM(C2:C8)</f>
        <v>2362817.6282513891</v>
      </c>
      <c r="D9" s="170"/>
    </row>
    <row r="10" spans="1:11" x14ac:dyDescent="0.2">
      <c r="B10" s="64"/>
      <c r="C10" s="64"/>
    </row>
    <row r="12" spans="1:11" x14ac:dyDescent="0.2">
      <c r="A12" s="431" t="s">
        <v>141</v>
      </c>
      <c r="B12" s="518" t="s">
        <v>142</v>
      </c>
      <c r="C12" s="520" t="s">
        <v>143</v>
      </c>
      <c r="D12" s="171"/>
      <c r="E12" s="198"/>
      <c r="F12" s="197"/>
    </row>
    <row r="13" spans="1:11" x14ac:dyDescent="0.2">
      <c r="A13" s="180" t="s">
        <v>140</v>
      </c>
      <c r="B13" s="519"/>
      <c r="C13" s="521"/>
      <c r="D13" s="522">
        <v>2013</v>
      </c>
      <c r="E13" s="523"/>
      <c r="F13" s="524"/>
    </row>
    <row r="14" spans="1:11" x14ac:dyDescent="0.2">
      <c r="A14" s="434" t="str">
        <f t="shared" ref="A14:A20" si="0">A2</f>
        <v xml:space="preserve">Residential </v>
      </c>
      <c r="B14" s="196">
        <f t="shared" ref="B14:B20" si="1">B2*D2</f>
        <v>612882248.12174094</v>
      </c>
      <c r="C14" s="278">
        <v>1.0351420520000001</v>
      </c>
      <c r="D14" s="183">
        <f t="shared" ref="D14:D19" si="2">B14*C14</f>
        <v>634420187.9551121</v>
      </c>
      <c r="E14" s="293">
        <v>8.3949999999999997E-2</v>
      </c>
      <c r="F14" s="182">
        <f t="shared" ref="F14:F19" si="3">D14*E14</f>
        <v>53259574.778831661</v>
      </c>
    </row>
    <row r="15" spans="1:11" x14ac:dyDescent="0.2">
      <c r="A15" s="434" t="str">
        <f t="shared" si="0"/>
        <v>General Service
&lt; 50 kW</v>
      </c>
      <c r="B15" s="196">
        <f t="shared" si="1"/>
        <v>209141839.01015574</v>
      </c>
      <c r="C15" s="278">
        <v>1.0351420520000001</v>
      </c>
      <c r="D15" s="183">
        <f t="shared" si="2"/>
        <v>216491512.39202628</v>
      </c>
      <c r="E15" s="293">
        <f>E14</f>
        <v>8.3949999999999997E-2</v>
      </c>
      <c r="F15" s="182">
        <f t="shared" si="3"/>
        <v>18174462.465310603</v>
      </c>
    </row>
    <row r="16" spans="1:11" x14ac:dyDescent="0.2">
      <c r="A16" s="434" t="str">
        <f t="shared" si="0"/>
        <v>General Service
&gt; 50 kW</v>
      </c>
      <c r="B16" s="196">
        <f t="shared" si="1"/>
        <v>120625160.50484651</v>
      </c>
      <c r="C16" s="278">
        <v>1.0351420520000001</v>
      </c>
      <c r="D16" s="183">
        <f t="shared" si="2"/>
        <v>124864176.16781619</v>
      </c>
      <c r="E16" s="293">
        <f t="shared" ref="E16:E20" si="4">E15</f>
        <v>8.3949999999999997E-2</v>
      </c>
      <c r="F16" s="182">
        <f t="shared" si="3"/>
        <v>10482347.58928817</v>
      </c>
    </row>
    <row r="17" spans="1:10" x14ac:dyDescent="0.2">
      <c r="A17" s="434" t="str">
        <f t="shared" si="0"/>
        <v>Large User</v>
      </c>
      <c r="B17" s="196">
        <f t="shared" si="1"/>
        <v>0</v>
      </c>
      <c r="C17" s="278">
        <v>1.0351420520000001</v>
      </c>
      <c r="D17" s="183">
        <f t="shared" si="2"/>
        <v>0</v>
      </c>
      <c r="E17" s="293">
        <f t="shared" si="4"/>
        <v>8.3949999999999997E-2</v>
      </c>
      <c r="F17" s="182">
        <f t="shared" si="3"/>
        <v>0</v>
      </c>
    </row>
    <row r="18" spans="1:10" x14ac:dyDescent="0.2">
      <c r="A18" s="434" t="str">
        <f t="shared" si="0"/>
        <v xml:space="preserve">Streetlights </v>
      </c>
      <c r="B18" s="196">
        <f t="shared" si="1"/>
        <v>0</v>
      </c>
      <c r="C18" s="278">
        <v>1.0351420520000001</v>
      </c>
      <c r="D18" s="183">
        <f t="shared" si="2"/>
        <v>0</v>
      </c>
      <c r="E18" s="293">
        <f t="shared" si="4"/>
        <v>8.3949999999999997E-2</v>
      </c>
      <c r="F18" s="182">
        <f t="shared" si="3"/>
        <v>0</v>
      </c>
    </row>
    <row r="19" spans="1:10" x14ac:dyDescent="0.2">
      <c r="A19" s="434" t="str">
        <f t="shared" si="0"/>
        <v xml:space="preserve">Unmetered Loads </v>
      </c>
      <c r="B19" s="196">
        <f t="shared" si="1"/>
        <v>0</v>
      </c>
      <c r="C19" s="278">
        <v>1.0351420520000001</v>
      </c>
      <c r="D19" s="183">
        <f t="shared" si="2"/>
        <v>0</v>
      </c>
      <c r="E19" s="293">
        <f t="shared" si="4"/>
        <v>8.3949999999999997E-2</v>
      </c>
      <c r="F19" s="182">
        <f t="shared" si="3"/>
        <v>0</v>
      </c>
    </row>
    <row r="20" spans="1:10" x14ac:dyDescent="0.2">
      <c r="A20" s="434" t="str">
        <f t="shared" si="0"/>
        <v>Embedded Distributor</v>
      </c>
      <c r="B20" s="196">
        <f t="shared" si="1"/>
        <v>0</v>
      </c>
      <c r="C20" s="278">
        <v>1.0351420520000001</v>
      </c>
      <c r="D20" s="183">
        <f t="shared" ref="D20" si="5">B20*C20</f>
        <v>0</v>
      </c>
      <c r="E20" s="293">
        <f t="shared" si="4"/>
        <v>8.3949999999999997E-2</v>
      </c>
      <c r="F20" s="182">
        <f t="shared" ref="F20" si="6">D20*E20</f>
        <v>0</v>
      </c>
    </row>
    <row r="21" spans="1:10" x14ac:dyDescent="0.2">
      <c r="A21" s="436" t="s">
        <v>125</v>
      </c>
      <c r="B21" s="170">
        <f>SUM(B14:B19)</f>
        <v>942649247.63674331</v>
      </c>
      <c r="C21" s="180"/>
      <c r="D21" s="170">
        <f>SUM(D14:D19)</f>
        <v>975775876.51495457</v>
      </c>
      <c r="E21" s="179"/>
      <c r="F21" s="194">
        <f>SUM(F14:F19)</f>
        <v>81916384.833430439</v>
      </c>
    </row>
    <row r="22" spans="1:10" x14ac:dyDescent="0.2">
      <c r="A22" s="203"/>
      <c r="B22" s="201"/>
      <c r="C22" s="202"/>
      <c r="D22" s="201"/>
      <c r="E22" s="200"/>
      <c r="F22" s="199"/>
    </row>
    <row r="23" spans="1:10" x14ac:dyDescent="0.2">
      <c r="A23" s="431" t="s">
        <v>139</v>
      </c>
      <c r="B23" s="518" t="s">
        <v>142</v>
      </c>
      <c r="C23" s="520" t="s">
        <v>143</v>
      </c>
      <c r="D23" s="171"/>
      <c r="E23" s="198"/>
      <c r="F23" s="197"/>
    </row>
    <row r="24" spans="1:10" x14ac:dyDescent="0.2">
      <c r="A24" s="180" t="s">
        <v>131</v>
      </c>
      <c r="B24" s="519"/>
      <c r="C24" s="521"/>
      <c r="D24" s="522">
        <v>2013</v>
      </c>
      <c r="E24" s="523"/>
      <c r="F24" s="524"/>
    </row>
    <row r="25" spans="1:10" x14ac:dyDescent="0.2">
      <c r="A25" s="434" t="str">
        <f t="shared" ref="A25:A31" si="7">A14</f>
        <v xml:space="preserve">Residential </v>
      </c>
      <c r="B25" s="196">
        <f t="shared" ref="B25:B31" si="8">B2-B14</f>
        <v>39856381.316485405</v>
      </c>
      <c r="C25" s="278">
        <f t="shared" ref="C25:C31" si="9">C14</f>
        <v>1.0351420520000001</v>
      </c>
      <c r="D25" s="183">
        <f t="shared" ref="D25:D30" si="10">B25*C25</f>
        <v>41257016.341241166</v>
      </c>
      <c r="E25" s="292">
        <f>0.02105+0.06612</f>
        <v>8.7169999999999997E-2</v>
      </c>
      <c r="F25" s="182">
        <f t="shared" ref="F25:F30" si="11">D25*E25</f>
        <v>3596374.1144659924</v>
      </c>
    </row>
    <row r="26" spans="1:10" x14ac:dyDescent="0.2">
      <c r="A26" s="434" t="str">
        <f t="shared" si="7"/>
        <v>General Service
&lt; 50 kW</v>
      </c>
      <c r="B26" s="196">
        <f t="shared" si="8"/>
        <v>33854924.812806308</v>
      </c>
      <c r="C26" s="278">
        <f t="shared" si="9"/>
        <v>1.0351420520000001</v>
      </c>
      <c r="D26" s="183">
        <f t="shared" si="10"/>
        <v>35044656.34103404</v>
      </c>
      <c r="E26" s="292">
        <f>E25</f>
        <v>8.7169999999999997E-2</v>
      </c>
      <c r="F26" s="182">
        <f t="shared" si="11"/>
        <v>3054842.6932479371</v>
      </c>
    </row>
    <row r="27" spans="1:10" x14ac:dyDescent="0.2">
      <c r="A27" s="434" t="str">
        <f t="shared" si="7"/>
        <v>General Service
&gt; 50 kW</v>
      </c>
      <c r="B27" s="196">
        <f>B4-B16-F4</f>
        <v>711744349.93365765</v>
      </c>
      <c r="C27" s="278">
        <f t="shared" si="9"/>
        <v>1.0351420520000001</v>
      </c>
      <c r="D27" s="183">
        <f>B27*C27</f>
        <v>736756506.88973248</v>
      </c>
      <c r="E27" s="292">
        <f t="shared" ref="E27:E31" si="12">E26</f>
        <v>8.7169999999999997E-2</v>
      </c>
      <c r="F27" s="182">
        <f t="shared" si="11"/>
        <v>64223064.705577977</v>
      </c>
    </row>
    <row r="28" spans="1:10" x14ac:dyDescent="0.2">
      <c r="A28" s="434" t="str">
        <f t="shared" si="7"/>
        <v>Large User</v>
      </c>
      <c r="B28" s="196">
        <f t="shared" si="8"/>
        <v>66016828.655037299</v>
      </c>
      <c r="C28" s="278">
        <v>1.0053000000000001</v>
      </c>
      <c r="D28" s="183">
        <f t="shared" si="10"/>
        <v>66366717.846909001</v>
      </c>
      <c r="E28" s="292">
        <f t="shared" si="12"/>
        <v>8.7169999999999997E-2</v>
      </c>
      <c r="F28" s="182">
        <f t="shared" si="11"/>
        <v>5785186.7947150571</v>
      </c>
      <c r="J28">
        <v>5956918</v>
      </c>
    </row>
    <row r="29" spans="1:10" x14ac:dyDescent="0.2">
      <c r="A29" s="434" t="str">
        <f t="shared" si="7"/>
        <v xml:space="preserve">Streetlights </v>
      </c>
      <c r="B29" s="196">
        <f t="shared" si="8"/>
        <v>15898680.403048243</v>
      </c>
      <c r="C29" s="278">
        <f t="shared" si="9"/>
        <v>1.0351420520000001</v>
      </c>
      <c r="D29" s="183">
        <f t="shared" si="10"/>
        <v>16457392.656503547</v>
      </c>
      <c r="E29" s="292">
        <f t="shared" si="12"/>
        <v>8.7169999999999997E-2</v>
      </c>
      <c r="F29" s="182">
        <f t="shared" si="11"/>
        <v>1434590.9178674142</v>
      </c>
      <c r="J29">
        <v>5785186.7947150571</v>
      </c>
    </row>
    <row r="30" spans="1:10" x14ac:dyDescent="0.2">
      <c r="A30" s="434" t="str">
        <f t="shared" si="7"/>
        <v xml:space="preserve">Unmetered Loads </v>
      </c>
      <c r="B30" s="196">
        <f t="shared" si="8"/>
        <v>3612242.357049867</v>
      </c>
      <c r="C30" s="278">
        <f t="shared" si="9"/>
        <v>1.0351420520000001</v>
      </c>
      <c r="D30" s="183">
        <f t="shared" si="10"/>
        <v>3739183.9657979165</v>
      </c>
      <c r="E30" s="292">
        <f t="shared" si="12"/>
        <v>8.7169999999999997E-2</v>
      </c>
      <c r="F30" s="182">
        <f t="shared" si="11"/>
        <v>325944.6662986044</v>
      </c>
      <c r="J30">
        <f>+J28-J29</f>
        <v>171731.20528494287</v>
      </c>
    </row>
    <row r="31" spans="1:10" x14ac:dyDescent="0.2">
      <c r="A31" s="434" t="str">
        <f t="shared" si="7"/>
        <v>Embedded Distributor</v>
      </c>
      <c r="B31" s="196">
        <f t="shared" si="8"/>
        <v>0</v>
      </c>
      <c r="C31" s="278">
        <f t="shared" si="9"/>
        <v>1.0351420520000001</v>
      </c>
      <c r="D31" s="183">
        <f t="shared" ref="D31" si="13">B31*C31</f>
        <v>0</v>
      </c>
      <c r="E31" s="292">
        <f t="shared" si="12"/>
        <v>8.7169999999999997E-2</v>
      </c>
      <c r="F31" s="182">
        <f t="shared" ref="F31" si="14">D31*E31</f>
        <v>0</v>
      </c>
      <c r="J31">
        <f>+J30/12</f>
        <v>14310.933773745239</v>
      </c>
    </row>
    <row r="32" spans="1:10" x14ac:dyDescent="0.2">
      <c r="A32" s="436" t="s">
        <v>125</v>
      </c>
      <c r="B32" s="170">
        <f>SUM(B25:B30)</f>
        <v>870983407.4780848</v>
      </c>
      <c r="C32" s="180"/>
      <c r="D32" s="170">
        <f>SUM(D25:D30)</f>
        <v>899621474.04121816</v>
      </c>
      <c r="E32" s="179"/>
      <c r="F32" s="194">
        <f>SUM(F25:F30)</f>
        <v>78420003.892172977</v>
      </c>
    </row>
    <row r="34" spans="1:8" x14ac:dyDescent="0.2">
      <c r="A34" s="432" t="s">
        <v>138</v>
      </c>
      <c r="B34" s="188"/>
      <c r="C34" s="193" t="s">
        <v>136</v>
      </c>
      <c r="D34" s="190"/>
      <c r="E34" s="189"/>
      <c r="F34" s="188"/>
    </row>
    <row r="35" spans="1:8" x14ac:dyDescent="0.2">
      <c r="A35" s="180" t="s">
        <v>131</v>
      </c>
      <c r="B35" s="187"/>
      <c r="C35" s="192" t="s">
        <v>135</v>
      </c>
      <c r="D35" s="516">
        <v>2013</v>
      </c>
      <c r="E35" s="514"/>
      <c r="F35" s="515"/>
    </row>
    <row r="36" spans="1:8" x14ac:dyDescent="0.2">
      <c r="A36" s="434" t="str">
        <f t="shared" ref="A36:A41" si="15">A25</f>
        <v xml:space="preserve">Residential </v>
      </c>
      <c r="B36" s="183"/>
      <c r="C36" s="184" t="s">
        <v>105</v>
      </c>
      <c r="D36" s="183">
        <f>D14+D25</f>
        <v>675677204.29635322</v>
      </c>
      <c r="E36" s="277">
        <v>7.1999999999999998E-3</v>
      </c>
      <c r="F36" s="182">
        <f t="shared" ref="F36:F42" si="16">D36*E36</f>
        <v>4864875.8709337432</v>
      </c>
    </row>
    <row r="37" spans="1:8" x14ac:dyDescent="0.2">
      <c r="A37" s="434" t="str">
        <f t="shared" si="15"/>
        <v>General Service
&lt; 50 kW</v>
      </c>
      <c r="B37" s="183"/>
      <c r="C37" s="184" t="s">
        <v>105</v>
      </c>
      <c r="D37" s="183">
        <f>D15+D26</f>
        <v>251536168.7330603</v>
      </c>
      <c r="E37" s="277">
        <v>6.1999999999999998E-3</v>
      </c>
      <c r="F37" s="182">
        <f t="shared" si="16"/>
        <v>1559524.2461449739</v>
      </c>
    </row>
    <row r="38" spans="1:8" x14ac:dyDescent="0.2">
      <c r="A38" s="434" t="str">
        <f t="shared" si="15"/>
        <v>General Service
&gt; 50 kW</v>
      </c>
      <c r="B38" s="183"/>
      <c r="C38" s="184" t="s">
        <v>134</v>
      </c>
      <c r="D38" s="183">
        <f>+C4</f>
        <v>2187519.7565133185</v>
      </c>
      <c r="E38" s="277">
        <v>3.2835999999999999</v>
      </c>
      <c r="F38" s="182">
        <f t="shared" si="16"/>
        <v>7182939.8724871324</v>
      </c>
    </row>
    <row r="39" spans="1:8" x14ac:dyDescent="0.2">
      <c r="A39" s="434" t="str">
        <f t="shared" si="15"/>
        <v>Large User</v>
      </c>
      <c r="B39" s="183"/>
      <c r="C39" s="184" t="s">
        <v>134</v>
      </c>
      <c r="D39" s="183">
        <f>C5</f>
        <v>130795.77587097054</v>
      </c>
      <c r="E39" s="277">
        <v>3.0861999999999998</v>
      </c>
      <c r="F39" s="182">
        <f t="shared" si="16"/>
        <v>403661.92349298927</v>
      </c>
      <c r="H39" s="32"/>
    </row>
    <row r="40" spans="1:8" x14ac:dyDescent="0.2">
      <c r="A40" s="434" t="str">
        <f t="shared" si="15"/>
        <v xml:space="preserve">Streetlights </v>
      </c>
      <c r="B40" s="183"/>
      <c r="C40" s="184" t="s">
        <v>134</v>
      </c>
      <c r="D40" s="183">
        <f>C6</f>
        <v>44502.095867100063</v>
      </c>
      <c r="E40" s="277">
        <v>1.9966999999999999</v>
      </c>
      <c r="F40" s="182">
        <f t="shared" si="16"/>
        <v>88857.334817838695</v>
      </c>
    </row>
    <row r="41" spans="1:8" x14ac:dyDescent="0.2">
      <c r="A41" s="434" t="str">
        <f t="shared" si="15"/>
        <v xml:space="preserve">Unmetered Loads </v>
      </c>
      <c r="B41" s="183"/>
      <c r="C41" s="184" t="s">
        <v>105</v>
      </c>
      <c r="D41" s="183">
        <f>D19+D30</f>
        <v>3739183.9657979165</v>
      </c>
      <c r="E41" s="277">
        <v>6.1999999999999998E-3</v>
      </c>
      <c r="F41" s="182">
        <f t="shared" si="16"/>
        <v>23182.940587947083</v>
      </c>
    </row>
    <row r="42" spans="1:8" x14ac:dyDescent="0.2">
      <c r="A42" s="442" t="s">
        <v>203</v>
      </c>
      <c r="B42" s="443"/>
      <c r="C42" s="444" t="s">
        <v>134</v>
      </c>
      <c r="D42" s="443">
        <f>+ED!B20</f>
        <v>44673.767272727266</v>
      </c>
      <c r="E42" s="445">
        <v>3.0960000000000001</v>
      </c>
      <c r="F42" s="446">
        <f t="shared" si="16"/>
        <v>138309.98347636362</v>
      </c>
    </row>
    <row r="43" spans="1:8" x14ac:dyDescent="0.2">
      <c r="A43" s="436" t="s">
        <v>125</v>
      </c>
      <c r="B43" s="170"/>
      <c r="C43" s="180"/>
      <c r="D43" s="170"/>
      <c r="E43" s="179"/>
      <c r="F43" s="178">
        <f>SUM(F36:F42)</f>
        <v>14261352.171940986</v>
      </c>
    </row>
    <row r="45" spans="1:8" x14ac:dyDescent="0.2">
      <c r="A45" s="432" t="s">
        <v>137</v>
      </c>
      <c r="B45" s="188"/>
      <c r="C45" s="191" t="s">
        <v>136</v>
      </c>
      <c r="D45" s="190"/>
      <c r="E45" s="189"/>
      <c r="F45" s="188"/>
    </row>
    <row r="46" spans="1:8" x14ac:dyDescent="0.2">
      <c r="A46" s="180" t="s">
        <v>131</v>
      </c>
      <c r="B46" s="187"/>
      <c r="C46" s="186" t="s">
        <v>135</v>
      </c>
      <c r="D46" s="516">
        <v>2013</v>
      </c>
      <c r="E46" s="514"/>
      <c r="F46" s="515"/>
    </row>
    <row r="47" spans="1:8" x14ac:dyDescent="0.2">
      <c r="A47" s="434" t="str">
        <f t="shared" ref="A47:A52" si="17">A36</f>
        <v xml:space="preserve">Residential </v>
      </c>
      <c r="B47" s="183"/>
      <c r="C47" s="184" t="str">
        <f t="shared" ref="C47:D52" si="18">C36</f>
        <v>kWh</v>
      </c>
      <c r="D47" s="183">
        <f t="shared" si="18"/>
        <v>675677204.29635322</v>
      </c>
      <c r="E47" s="277">
        <v>1.4E-3</v>
      </c>
      <c r="F47" s="182">
        <f t="shared" ref="F47:F53" si="19">D47*E47</f>
        <v>945948.08601489454</v>
      </c>
    </row>
    <row r="48" spans="1:8" x14ac:dyDescent="0.2">
      <c r="A48" s="434" t="str">
        <f t="shared" si="17"/>
        <v>General Service
&lt; 50 kW</v>
      </c>
      <c r="B48" s="183"/>
      <c r="C48" s="184" t="str">
        <f t="shared" si="18"/>
        <v>kWh</v>
      </c>
      <c r="D48" s="183">
        <f t="shared" si="18"/>
        <v>251536168.7330603</v>
      </c>
      <c r="E48" s="277">
        <v>1.2999999999999999E-3</v>
      </c>
      <c r="F48" s="182">
        <f t="shared" si="19"/>
        <v>326997.01935297839</v>
      </c>
    </row>
    <row r="49" spans="1:6" x14ac:dyDescent="0.2">
      <c r="A49" s="434" t="str">
        <f t="shared" si="17"/>
        <v>General Service
&gt; 50 kW</v>
      </c>
      <c r="B49" s="183"/>
      <c r="C49" s="184" t="str">
        <f t="shared" si="18"/>
        <v>kW</v>
      </c>
      <c r="D49" s="183">
        <f t="shared" si="18"/>
        <v>2187519.7565133185</v>
      </c>
      <c r="E49" s="277">
        <v>0.68510000000000004</v>
      </c>
      <c r="F49" s="182">
        <f t="shared" si="19"/>
        <v>1498669.7851872747</v>
      </c>
    </row>
    <row r="50" spans="1:6" x14ac:dyDescent="0.2">
      <c r="A50" s="434" t="str">
        <f t="shared" si="17"/>
        <v>Large User</v>
      </c>
      <c r="B50" s="183"/>
      <c r="C50" s="184" t="str">
        <f t="shared" si="18"/>
        <v>kW</v>
      </c>
      <c r="D50" s="183">
        <f t="shared" si="18"/>
        <v>130795.77587097054</v>
      </c>
      <c r="E50" s="277">
        <v>0.64400000000000002</v>
      </c>
      <c r="F50" s="182">
        <f t="shared" si="19"/>
        <v>84232.479660905025</v>
      </c>
    </row>
    <row r="51" spans="1:6" x14ac:dyDescent="0.2">
      <c r="A51" s="434" t="str">
        <f t="shared" si="17"/>
        <v xml:space="preserve">Streetlights </v>
      </c>
      <c r="B51" s="183"/>
      <c r="C51" s="184" t="str">
        <f t="shared" si="18"/>
        <v>kW</v>
      </c>
      <c r="D51" s="183">
        <f t="shared" si="18"/>
        <v>44502.095867100063</v>
      </c>
      <c r="E51" s="277">
        <v>0.41689999999999999</v>
      </c>
      <c r="F51" s="182">
        <f t="shared" si="19"/>
        <v>18552.923766994016</v>
      </c>
    </row>
    <row r="52" spans="1:6" x14ac:dyDescent="0.2">
      <c r="A52" s="434" t="str">
        <f t="shared" si="17"/>
        <v xml:space="preserve">Unmetered Loads </v>
      </c>
      <c r="B52" s="183"/>
      <c r="C52" s="184" t="str">
        <f t="shared" si="18"/>
        <v>kWh</v>
      </c>
      <c r="D52" s="183">
        <f t="shared" si="18"/>
        <v>3739183.9657979165</v>
      </c>
      <c r="E52" s="277">
        <v>1.2999999999999999E-3</v>
      </c>
      <c r="F52" s="182">
        <f t="shared" si="19"/>
        <v>4860.9391555372913</v>
      </c>
    </row>
    <row r="53" spans="1:6" x14ac:dyDescent="0.2">
      <c r="A53" s="442" t="s">
        <v>203</v>
      </c>
      <c r="B53" s="443"/>
      <c r="C53" s="444" t="s">
        <v>134</v>
      </c>
      <c r="D53" s="443">
        <f>D42</f>
        <v>44673.767272727266</v>
      </c>
      <c r="E53" s="445">
        <v>0.64610000000000001</v>
      </c>
      <c r="F53" s="446">
        <f t="shared" si="19"/>
        <v>28863.721034909086</v>
      </c>
    </row>
    <row r="54" spans="1:6" x14ac:dyDescent="0.2">
      <c r="A54" s="436" t="s">
        <v>125</v>
      </c>
      <c r="B54" s="170"/>
      <c r="C54" s="180"/>
      <c r="D54" s="170"/>
      <c r="E54" s="179"/>
      <c r="F54" s="178">
        <f>SUM(F47:F53)</f>
        <v>2908124.9541734927</v>
      </c>
    </row>
    <row r="56" spans="1:6" x14ac:dyDescent="0.2">
      <c r="A56" s="432" t="s">
        <v>133</v>
      </c>
      <c r="B56" s="188"/>
      <c r="C56" s="191"/>
      <c r="D56" s="190"/>
      <c r="E56" s="189"/>
      <c r="F56" s="188"/>
    </row>
    <row r="57" spans="1:6" x14ac:dyDescent="0.2">
      <c r="A57" s="180" t="s">
        <v>131</v>
      </c>
      <c r="B57" s="187"/>
      <c r="C57" s="186"/>
      <c r="D57" s="516" t="s">
        <v>233</v>
      </c>
      <c r="E57" s="514"/>
      <c r="F57" s="517"/>
    </row>
    <row r="58" spans="1:6" x14ac:dyDescent="0.2">
      <c r="A58" s="434" t="str">
        <f t="shared" ref="A58:A64" si="20">A47</f>
        <v xml:space="preserve">Residential </v>
      </c>
      <c r="B58" s="183"/>
      <c r="C58" s="184"/>
      <c r="D58" s="183">
        <f t="shared" ref="D58:D64" si="21">D14+D25</f>
        <v>675677204.29635322</v>
      </c>
      <c r="E58" s="277">
        <v>4.4000000000000003E-3</v>
      </c>
      <c r="F58" s="182">
        <f>((D58*E58)/12*8)+((D58*0.0052)/12*4)</f>
        <v>3153160.286716315</v>
      </c>
    </row>
    <row r="59" spans="1:6" x14ac:dyDescent="0.2">
      <c r="A59" s="434" t="str">
        <f t="shared" si="20"/>
        <v>General Service
&lt; 50 kW</v>
      </c>
      <c r="B59" s="183"/>
      <c r="C59" s="184"/>
      <c r="D59" s="183">
        <f t="shared" si="21"/>
        <v>251536168.7330603</v>
      </c>
      <c r="E59" s="277">
        <f>+E58</f>
        <v>4.4000000000000003E-3</v>
      </c>
      <c r="F59" s="182">
        <f t="shared" ref="F59:F63" si="22">((D59*E59)/12*8)+((D59*0.0052)/12*4)</f>
        <v>1173835.4540876148</v>
      </c>
    </row>
    <row r="60" spans="1:6" x14ac:dyDescent="0.2">
      <c r="A60" s="434" t="str">
        <f t="shared" si="20"/>
        <v>General Service
&gt; 50 kW</v>
      </c>
      <c r="B60" s="183"/>
      <c r="C60" s="184"/>
      <c r="D60" s="183">
        <f>D16+D27</f>
        <v>861620683.05754864</v>
      </c>
      <c r="E60" s="277">
        <f>+E58</f>
        <v>4.4000000000000003E-3</v>
      </c>
      <c r="F60" s="182">
        <f t="shared" si="22"/>
        <v>4020896.5209352272</v>
      </c>
    </row>
    <row r="61" spans="1:6" x14ac:dyDescent="0.2">
      <c r="A61" s="434" t="str">
        <f t="shared" si="20"/>
        <v>Large User</v>
      </c>
      <c r="B61" s="183"/>
      <c r="C61" s="184"/>
      <c r="D61" s="183">
        <f t="shared" si="21"/>
        <v>66366717.846909001</v>
      </c>
      <c r="E61" s="277">
        <f>+E58</f>
        <v>4.4000000000000003E-3</v>
      </c>
      <c r="F61" s="182">
        <f t="shared" si="22"/>
        <v>309711.34995224199</v>
      </c>
    </row>
    <row r="62" spans="1:6" x14ac:dyDescent="0.2">
      <c r="A62" s="434" t="str">
        <f t="shared" si="20"/>
        <v xml:space="preserve">Streetlights </v>
      </c>
      <c r="B62" s="183"/>
      <c r="C62" s="184"/>
      <c r="D62" s="183">
        <f t="shared" si="21"/>
        <v>16457392.656503547</v>
      </c>
      <c r="E62" s="277">
        <f>+E58</f>
        <v>4.4000000000000003E-3</v>
      </c>
      <c r="F62" s="182">
        <f t="shared" si="22"/>
        <v>76801.165730349894</v>
      </c>
    </row>
    <row r="63" spans="1:6" x14ac:dyDescent="0.2">
      <c r="A63" s="434" t="str">
        <f t="shared" si="20"/>
        <v xml:space="preserve">Unmetered Loads </v>
      </c>
      <c r="B63" s="183"/>
      <c r="C63" s="184"/>
      <c r="D63" s="183">
        <f t="shared" si="21"/>
        <v>3739183.9657979165</v>
      </c>
      <c r="E63" s="277">
        <f>+E58</f>
        <v>4.4000000000000003E-3</v>
      </c>
      <c r="F63" s="182">
        <f t="shared" si="22"/>
        <v>17449.52517372361</v>
      </c>
    </row>
    <row r="64" spans="1:6" x14ac:dyDescent="0.2">
      <c r="A64" s="435" t="str">
        <f t="shared" si="20"/>
        <v>Embedded Distributor</v>
      </c>
      <c r="B64" s="183"/>
      <c r="C64" s="184"/>
      <c r="D64" s="183">
        <f t="shared" si="21"/>
        <v>0</v>
      </c>
      <c r="E64" s="277">
        <f>+E58</f>
        <v>4.4000000000000003E-3</v>
      </c>
      <c r="F64" s="182">
        <f t="shared" ref="F64" si="23">D64*E64</f>
        <v>0</v>
      </c>
    </row>
    <row r="65" spans="1:8" x14ac:dyDescent="0.2">
      <c r="A65" s="436" t="s">
        <v>125</v>
      </c>
      <c r="B65" s="170"/>
      <c r="C65" s="180"/>
      <c r="D65" s="170">
        <f>SUM(D58:D64)</f>
        <v>1875397350.5561726</v>
      </c>
      <c r="E65" s="179"/>
      <c r="F65" s="178">
        <f>SUM(F58:F64)</f>
        <v>8751854.302595472</v>
      </c>
    </row>
    <row r="67" spans="1:8" x14ac:dyDescent="0.2">
      <c r="A67" s="432" t="s">
        <v>132</v>
      </c>
      <c r="B67" s="188"/>
      <c r="C67" s="191"/>
      <c r="D67" s="190"/>
      <c r="E67" s="189"/>
      <c r="F67" s="188"/>
    </row>
    <row r="68" spans="1:8" x14ac:dyDescent="0.2">
      <c r="A68" s="180" t="s">
        <v>131</v>
      </c>
      <c r="B68" s="187"/>
      <c r="C68" s="186"/>
      <c r="D68" s="513">
        <v>2013</v>
      </c>
      <c r="E68" s="514"/>
      <c r="F68" s="515"/>
    </row>
    <row r="69" spans="1:8" x14ac:dyDescent="0.2">
      <c r="A69" s="434" t="str">
        <f>A58</f>
        <v xml:space="preserve">Residential </v>
      </c>
      <c r="B69" s="183"/>
      <c r="C69" s="184"/>
      <c r="D69" s="183">
        <f>D58</f>
        <v>675677204.29635322</v>
      </c>
      <c r="E69" s="277">
        <v>1.1999999999999999E-3</v>
      </c>
      <c r="F69" s="182">
        <f t="shared" ref="F69:F74" si="24">D69*E69</f>
        <v>810812.64515562379</v>
      </c>
    </row>
    <row r="70" spans="1:8" x14ac:dyDescent="0.2">
      <c r="A70" s="434" t="str">
        <f>A59</f>
        <v>General Service
&lt; 50 kW</v>
      </c>
      <c r="B70" s="183"/>
      <c r="C70" s="184"/>
      <c r="D70" s="183">
        <f>D59</f>
        <v>251536168.7330603</v>
      </c>
      <c r="E70" s="277">
        <v>1.1999999999999999E-3</v>
      </c>
      <c r="F70" s="182">
        <f t="shared" si="24"/>
        <v>301843.40247967234</v>
      </c>
      <c r="H70" s="163"/>
    </row>
    <row r="71" spans="1:8" x14ac:dyDescent="0.2">
      <c r="A71" s="434" t="str">
        <f>A60</f>
        <v>General Service
&gt; 50 kW</v>
      </c>
      <c r="B71" s="183"/>
      <c r="C71" s="184"/>
      <c r="D71" s="183">
        <f>D60</f>
        <v>861620683.05754864</v>
      </c>
      <c r="E71" s="277">
        <v>1.1999999999999999E-3</v>
      </c>
      <c r="F71" s="182">
        <f t="shared" si="24"/>
        <v>1033944.8196690583</v>
      </c>
    </row>
    <row r="72" spans="1:8" x14ac:dyDescent="0.2">
      <c r="A72" s="434" t="str">
        <f>A61</f>
        <v>Large User</v>
      </c>
      <c r="B72" s="183"/>
      <c r="C72" s="184"/>
      <c r="D72" s="183">
        <f>D61</f>
        <v>66366717.846909001</v>
      </c>
      <c r="E72" s="277">
        <v>1.1999999999999999E-3</v>
      </c>
      <c r="F72" s="182">
        <f t="shared" si="24"/>
        <v>79640.061416290788</v>
      </c>
    </row>
    <row r="73" spans="1:8" x14ac:dyDescent="0.2">
      <c r="A73" s="434" t="str">
        <f>A62</f>
        <v xml:space="preserve">Streetlights </v>
      </c>
      <c r="B73" s="183"/>
      <c r="C73" s="184"/>
      <c r="D73" s="183">
        <f>D62</f>
        <v>16457392.656503547</v>
      </c>
      <c r="E73" s="277">
        <v>1.1999999999999999E-3</v>
      </c>
      <c r="F73" s="182">
        <f t="shared" si="24"/>
        <v>19748.871187804256</v>
      </c>
    </row>
    <row r="74" spans="1:8" x14ac:dyDescent="0.2">
      <c r="A74" s="434" t="str">
        <f t="shared" ref="A74:A75" si="25">A63</f>
        <v xml:space="preserve">Unmetered Loads </v>
      </c>
      <c r="B74" s="183"/>
      <c r="C74" s="184"/>
      <c r="D74" s="183">
        <f t="shared" ref="D74:D75" si="26">D63</f>
        <v>3739183.9657979165</v>
      </c>
      <c r="E74" s="277">
        <v>1.1999999999999999E-3</v>
      </c>
      <c r="F74" s="182">
        <f t="shared" si="24"/>
        <v>4487.0207589574993</v>
      </c>
    </row>
    <row r="75" spans="1:8" x14ac:dyDescent="0.2">
      <c r="A75" s="435" t="str">
        <f t="shared" si="25"/>
        <v>Embedded Distributor</v>
      </c>
      <c r="B75" s="183"/>
      <c r="C75" s="184"/>
      <c r="D75" s="183">
        <f t="shared" si="26"/>
        <v>0</v>
      </c>
      <c r="E75" s="277">
        <v>1.1999999999999999E-3</v>
      </c>
      <c r="F75" s="182">
        <f t="shared" ref="F75" si="27">D75*E75</f>
        <v>0</v>
      </c>
    </row>
    <row r="76" spans="1:8" x14ac:dyDescent="0.2">
      <c r="A76" s="436" t="s">
        <v>125</v>
      </c>
      <c r="B76" s="170"/>
      <c r="C76" s="180"/>
      <c r="D76" s="170">
        <f>SUM(D69:D75)</f>
        <v>1875397350.5561726</v>
      </c>
      <c r="E76" s="179"/>
      <c r="F76" s="178">
        <f>SUM(F69:F75)</f>
        <v>2250476.820667407</v>
      </c>
    </row>
    <row r="78" spans="1:8" x14ac:dyDescent="0.2">
      <c r="A78" s="432" t="s">
        <v>231</v>
      </c>
      <c r="B78" s="188"/>
      <c r="C78" s="191"/>
      <c r="D78" s="190"/>
      <c r="E78" s="189"/>
      <c r="F78" s="188"/>
    </row>
    <row r="79" spans="1:8" x14ac:dyDescent="0.2">
      <c r="A79" s="180" t="s">
        <v>131</v>
      </c>
      <c r="B79" s="297"/>
      <c r="C79" s="186"/>
      <c r="D79" s="513">
        <v>2013</v>
      </c>
      <c r="E79" s="514"/>
      <c r="F79" s="515"/>
    </row>
    <row r="80" spans="1:8" x14ac:dyDescent="0.2">
      <c r="A80" s="434" t="str">
        <f>A69</f>
        <v xml:space="preserve">Residential </v>
      </c>
      <c r="B80" s="183"/>
      <c r="C80" s="184"/>
      <c r="D80" s="183">
        <f>+'Rate Class Customer Model'!B19*8</f>
        <v>650215.61600000004</v>
      </c>
      <c r="E80" s="277">
        <v>0.79</v>
      </c>
      <c r="F80" s="182">
        <f t="shared" ref="F80:F81" si="28">D80*E80</f>
        <v>513670.33664000005</v>
      </c>
    </row>
    <row r="81" spans="1:6" x14ac:dyDescent="0.2">
      <c r="A81" s="434" t="str">
        <f>A70</f>
        <v>General Service
&lt; 50 kW</v>
      </c>
      <c r="B81" s="183"/>
      <c r="C81" s="184"/>
      <c r="D81" s="183">
        <f>+'Rate Class Customer Model'!C19*8</f>
        <v>61895.972846218421</v>
      </c>
      <c r="E81" s="277">
        <f>+E80</f>
        <v>0.79</v>
      </c>
      <c r="F81" s="182">
        <f t="shared" si="28"/>
        <v>48897.818548512558</v>
      </c>
    </row>
    <row r="82" spans="1:6" x14ac:dyDescent="0.2">
      <c r="A82" s="436" t="s">
        <v>125</v>
      </c>
      <c r="B82" s="170"/>
      <c r="C82" s="180"/>
      <c r="D82" s="170">
        <f>SUM(D80:D81)</f>
        <v>712111.58884621842</v>
      </c>
      <c r="E82" s="179"/>
      <c r="F82" s="178">
        <f>SUM(F80:F81)</f>
        <v>562568.15518851264</v>
      </c>
    </row>
    <row r="83" spans="1:6" x14ac:dyDescent="0.2">
      <c r="A83" s="279"/>
      <c r="B83" s="177">
        <v>2013</v>
      </c>
    </row>
    <row r="84" spans="1:6" x14ac:dyDescent="0.2">
      <c r="A84" s="172" t="s">
        <v>130</v>
      </c>
      <c r="B84" s="174">
        <f>F21+F32</f>
        <v>160336388.7256034</v>
      </c>
    </row>
    <row r="85" spans="1:6" x14ac:dyDescent="0.2">
      <c r="A85" s="172" t="s">
        <v>129</v>
      </c>
      <c r="B85" s="173">
        <f>F65</f>
        <v>8751854.302595472</v>
      </c>
    </row>
    <row r="86" spans="1:6" x14ac:dyDescent="0.2">
      <c r="A86" s="172" t="s">
        <v>128</v>
      </c>
      <c r="B86" s="173">
        <f>F43</f>
        <v>14261352.171940986</v>
      </c>
    </row>
    <row r="87" spans="1:6" x14ac:dyDescent="0.2">
      <c r="A87" s="172" t="s">
        <v>127</v>
      </c>
      <c r="B87" s="173">
        <f>F54</f>
        <v>2908124.9541734927</v>
      </c>
    </row>
    <row r="88" spans="1:6" x14ac:dyDescent="0.2">
      <c r="A88" s="172" t="s">
        <v>126</v>
      </c>
      <c r="B88" s="173">
        <f>F76</f>
        <v>2250476.820667407</v>
      </c>
    </row>
    <row r="89" spans="1:6" x14ac:dyDescent="0.2">
      <c r="A89" s="268" t="s">
        <v>232</v>
      </c>
      <c r="B89" s="174">
        <f>+F82</f>
        <v>562568.15518851264</v>
      </c>
    </row>
    <row r="90" spans="1:6" x14ac:dyDescent="0.2">
      <c r="A90" s="171" t="s">
        <v>125</v>
      </c>
      <c r="B90" s="178">
        <f>SUM(B84:B89)</f>
        <v>189070765.13016927</v>
      </c>
    </row>
  </sheetData>
  <mergeCells count="11">
    <mergeCell ref="B12:B13"/>
    <mergeCell ref="C12:C13"/>
    <mergeCell ref="D13:F13"/>
    <mergeCell ref="B23:B24"/>
    <mergeCell ref="C23:C24"/>
    <mergeCell ref="D24:F24"/>
    <mergeCell ref="D79:F79"/>
    <mergeCell ref="D35:F35"/>
    <mergeCell ref="D46:F46"/>
    <mergeCell ref="D57:F57"/>
    <mergeCell ref="D68:F68"/>
  </mergeCells>
  <pageMargins left="0.7" right="0.18" top="0.75" bottom="0.3" header="0.3" footer="0.17"/>
  <pageSetup scale="61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92"/>
  <sheetViews>
    <sheetView tabSelected="1" topLeftCell="A4" workbookViewId="0">
      <selection activeCell="I32" sqref="I32"/>
    </sheetView>
  </sheetViews>
  <sheetFormatPr defaultRowHeight="12.75" x14ac:dyDescent="0.2"/>
  <cols>
    <col min="1" max="1" width="31.42578125" bestFit="1" customWidth="1"/>
    <col min="2" max="2" width="13.140625" customWidth="1"/>
    <col min="3" max="3" width="11.7109375" customWidth="1"/>
    <col min="4" max="4" width="13" customWidth="1"/>
    <col min="5" max="5" width="10" customWidth="1"/>
    <col min="6" max="6" width="12.7109375" customWidth="1"/>
    <col min="7" max="7" width="9.7109375" bestFit="1" customWidth="1"/>
    <col min="11" max="11" width="12.7109375" bestFit="1" customWidth="1"/>
    <col min="257" max="257" width="31.42578125" bestFit="1" customWidth="1"/>
    <col min="258" max="258" width="12.7109375" customWidth="1"/>
    <col min="259" max="259" width="11.7109375" customWidth="1"/>
    <col min="260" max="260" width="12.7109375" customWidth="1"/>
    <col min="261" max="261" width="10" customWidth="1"/>
    <col min="262" max="262" width="12.7109375" customWidth="1"/>
    <col min="513" max="513" width="31.42578125" bestFit="1" customWidth="1"/>
    <col min="514" max="514" width="12.7109375" customWidth="1"/>
    <col min="515" max="515" width="11.7109375" customWidth="1"/>
    <col min="516" max="516" width="12.7109375" customWidth="1"/>
    <col min="517" max="517" width="10" customWidth="1"/>
    <col min="518" max="518" width="12.7109375" customWidth="1"/>
    <col min="769" max="769" width="31.42578125" bestFit="1" customWidth="1"/>
    <col min="770" max="770" width="12.7109375" customWidth="1"/>
    <col min="771" max="771" width="11.7109375" customWidth="1"/>
    <col min="772" max="772" width="12.7109375" customWidth="1"/>
    <col min="773" max="773" width="10" customWidth="1"/>
    <col min="774" max="774" width="12.7109375" customWidth="1"/>
    <col min="1025" max="1025" width="31.42578125" bestFit="1" customWidth="1"/>
    <col min="1026" max="1026" width="12.7109375" customWidth="1"/>
    <col min="1027" max="1027" width="11.7109375" customWidth="1"/>
    <col min="1028" max="1028" width="12.7109375" customWidth="1"/>
    <col min="1029" max="1029" width="10" customWidth="1"/>
    <col min="1030" max="1030" width="12.7109375" customWidth="1"/>
    <col min="1281" max="1281" width="31.42578125" bestFit="1" customWidth="1"/>
    <col min="1282" max="1282" width="12.7109375" customWidth="1"/>
    <col min="1283" max="1283" width="11.7109375" customWidth="1"/>
    <col min="1284" max="1284" width="12.7109375" customWidth="1"/>
    <col min="1285" max="1285" width="10" customWidth="1"/>
    <col min="1286" max="1286" width="12.7109375" customWidth="1"/>
    <col min="1537" max="1537" width="31.42578125" bestFit="1" customWidth="1"/>
    <col min="1538" max="1538" width="12.7109375" customWidth="1"/>
    <col min="1539" max="1539" width="11.7109375" customWidth="1"/>
    <col min="1540" max="1540" width="12.7109375" customWidth="1"/>
    <col min="1541" max="1541" width="10" customWidth="1"/>
    <col min="1542" max="1542" width="12.7109375" customWidth="1"/>
    <col min="1793" max="1793" width="31.42578125" bestFit="1" customWidth="1"/>
    <col min="1794" max="1794" width="12.7109375" customWidth="1"/>
    <col min="1795" max="1795" width="11.7109375" customWidth="1"/>
    <col min="1796" max="1796" width="12.7109375" customWidth="1"/>
    <col min="1797" max="1797" width="10" customWidth="1"/>
    <col min="1798" max="1798" width="12.7109375" customWidth="1"/>
    <col min="2049" max="2049" width="31.42578125" bestFit="1" customWidth="1"/>
    <col min="2050" max="2050" width="12.7109375" customWidth="1"/>
    <col min="2051" max="2051" width="11.7109375" customWidth="1"/>
    <col min="2052" max="2052" width="12.7109375" customWidth="1"/>
    <col min="2053" max="2053" width="10" customWidth="1"/>
    <col min="2054" max="2054" width="12.7109375" customWidth="1"/>
    <col min="2305" max="2305" width="31.42578125" bestFit="1" customWidth="1"/>
    <col min="2306" max="2306" width="12.7109375" customWidth="1"/>
    <col min="2307" max="2307" width="11.7109375" customWidth="1"/>
    <col min="2308" max="2308" width="12.7109375" customWidth="1"/>
    <col min="2309" max="2309" width="10" customWidth="1"/>
    <col min="2310" max="2310" width="12.7109375" customWidth="1"/>
    <col min="2561" max="2561" width="31.42578125" bestFit="1" customWidth="1"/>
    <col min="2562" max="2562" width="12.7109375" customWidth="1"/>
    <col min="2563" max="2563" width="11.7109375" customWidth="1"/>
    <col min="2564" max="2564" width="12.7109375" customWidth="1"/>
    <col min="2565" max="2565" width="10" customWidth="1"/>
    <col min="2566" max="2566" width="12.7109375" customWidth="1"/>
    <col min="2817" max="2817" width="31.42578125" bestFit="1" customWidth="1"/>
    <col min="2818" max="2818" width="12.7109375" customWidth="1"/>
    <col min="2819" max="2819" width="11.7109375" customWidth="1"/>
    <col min="2820" max="2820" width="12.7109375" customWidth="1"/>
    <col min="2821" max="2821" width="10" customWidth="1"/>
    <col min="2822" max="2822" width="12.7109375" customWidth="1"/>
    <col min="3073" max="3073" width="31.42578125" bestFit="1" customWidth="1"/>
    <col min="3074" max="3074" width="12.7109375" customWidth="1"/>
    <col min="3075" max="3075" width="11.7109375" customWidth="1"/>
    <col min="3076" max="3076" width="12.7109375" customWidth="1"/>
    <col min="3077" max="3077" width="10" customWidth="1"/>
    <col min="3078" max="3078" width="12.7109375" customWidth="1"/>
    <col min="3329" max="3329" width="31.42578125" bestFit="1" customWidth="1"/>
    <col min="3330" max="3330" width="12.7109375" customWidth="1"/>
    <col min="3331" max="3331" width="11.7109375" customWidth="1"/>
    <col min="3332" max="3332" width="12.7109375" customWidth="1"/>
    <col min="3333" max="3333" width="10" customWidth="1"/>
    <col min="3334" max="3334" width="12.7109375" customWidth="1"/>
    <col min="3585" max="3585" width="31.42578125" bestFit="1" customWidth="1"/>
    <col min="3586" max="3586" width="12.7109375" customWidth="1"/>
    <col min="3587" max="3587" width="11.7109375" customWidth="1"/>
    <col min="3588" max="3588" width="12.7109375" customWidth="1"/>
    <col min="3589" max="3589" width="10" customWidth="1"/>
    <col min="3590" max="3590" width="12.7109375" customWidth="1"/>
    <col min="3841" max="3841" width="31.42578125" bestFit="1" customWidth="1"/>
    <col min="3842" max="3842" width="12.7109375" customWidth="1"/>
    <col min="3843" max="3843" width="11.7109375" customWidth="1"/>
    <col min="3844" max="3844" width="12.7109375" customWidth="1"/>
    <col min="3845" max="3845" width="10" customWidth="1"/>
    <col min="3846" max="3846" width="12.7109375" customWidth="1"/>
    <col min="4097" max="4097" width="31.42578125" bestFit="1" customWidth="1"/>
    <col min="4098" max="4098" width="12.7109375" customWidth="1"/>
    <col min="4099" max="4099" width="11.7109375" customWidth="1"/>
    <col min="4100" max="4100" width="12.7109375" customWidth="1"/>
    <col min="4101" max="4101" width="10" customWidth="1"/>
    <col min="4102" max="4102" width="12.7109375" customWidth="1"/>
    <col min="4353" max="4353" width="31.42578125" bestFit="1" customWidth="1"/>
    <col min="4354" max="4354" width="12.7109375" customWidth="1"/>
    <col min="4355" max="4355" width="11.7109375" customWidth="1"/>
    <col min="4356" max="4356" width="12.7109375" customWidth="1"/>
    <col min="4357" max="4357" width="10" customWidth="1"/>
    <col min="4358" max="4358" width="12.7109375" customWidth="1"/>
    <col min="4609" max="4609" width="31.42578125" bestFit="1" customWidth="1"/>
    <col min="4610" max="4610" width="12.7109375" customWidth="1"/>
    <col min="4611" max="4611" width="11.7109375" customWidth="1"/>
    <col min="4612" max="4612" width="12.7109375" customWidth="1"/>
    <col min="4613" max="4613" width="10" customWidth="1"/>
    <col min="4614" max="4614" width="12.7109375" customWidth="1"/>
    <col min="4865" max="4865" width="31.42578125" bestFit="1" customWidth="1"/>
    <col min="4866" max="4866" width="12.7109375" customWidth="1"/>
    <col min="4867" max="4867" width="11.7109375" customWidth="1"/>
    <col min="4868" max="4868" width="12.7109375" customWidth="1"/>
    <col min="4869" max="4869" width="10" customWidth="1"/>
    <col min="4870" max="4870" width="12.7109375" customWidth="1"/>
    <col min="5121" max="5121" width="31.42578125" bestFit="1" customWidth="1"/>
    <col min="5122" max="5122" width="12.7109375" customWidth="1"/>
    <col min="5123" max="5123" width="11.7109375" customWidth="1"/>
    <col min="5124" max="5124" width="12.7109375" customWidth="1"/>
    <col min="5125" max="5125" width="10" customWidth="1"/>
    <col min="5126" max="5126" width="12.7109375" customWidth="1"/>
    <col min="5377" max="5377" width="31.42578125" bestFit="1" customWidth="1"/>
    <col min="5378" max="5378" width="12.7109375" customWidth="1"/>
    <col min="5379" max="5379" width="11.7109375" customWidth="1"/>
    <col min="5380" max="5380" width="12.7109375" customWidth="1"/>
    <col min="5381" max="5381" width="10" customWidth="1"/>
    <col min="5382" max="5382" width="12.7109375" customWidth="1"/>
    <col min="5633" max="5633" width="31.42578125" bestFit="1" customWidth="1"/>
    <col min="5634" max="5634" width="12.7109375" customWidth="1"/>
    <col min="5635" max="5635" width="11.7109375" customWidth="1"/>
    <col min="5636" max="5636" width="12.7109375" customWidth="1"/>
    <col min="5637" max="5637" width="10" customWidth="1"/>
    <col min="5638" max="5638" width="12.7109375" customWidth="1"/>
    <col min="5889" max="5889" width="31.42578125" bestFit="1" customWidth="1"/>
    <col min="5890" max="5890" width="12.7109375" customWidth="1"/>
    <col min="5891" max="5891" width="11.7109375" customWidth="1"/>
    <col min="5892" max="5892" width="12.7109375" customWidth="1"/>
    <col min="5893" max="5893" width="10" customWidth="1"/>
    <col min="5894" max="5894" width="12.7109375" customWidth="1"/>
    <col min="6145" max="6145" width="31.42578125" bestFit="1" customWidth="1"/>
    <col min="6146" max="6146" width="12.7109375" customWidth="1"/>
    <col min="6147" max="6147" width="11.7109375" customWidth="1"/>
    <col min="6148" max="6148" width="12.7109375" customWidth="1"/>
    <col min="6149" max="6149" width="10" customWidth="1"/>
    <col min="6150" max="6150" width="12.7109375" customWidth="1"/>
    <col min="6401" max="6401" width="31.42578125" bestFit="1" customWidth="1"/>
    <col min="6402" max="6402" width="12.7109375" customWidth="1"/>
    <col min="6403" max="6403" width="11.7109375" customWidth="1"/>
    <col min="6404" max="6404" width="12.7109375" customWidth="1"/>
    <col min="6405" max="6405" width="10" customWidth="1"/>
    <col min="6406" max="6406" width="12.7109375" customWidth="1"/>
    <col min="6657" max="6657" width="31.42578125" bestFit="1" customWidth="1"/>
    <col min="6658" max="6658" width="12.7109375" customWidth="1"/>
    <col min="6659" max="6659" width="11.7109375" customWidth="1"/>
    <col min="6660" max="6660" width="12.7109375" customWidth="1"/>
    <col min="6661" max="6661" width="10" customWidth="1"/>
    <col min="6662" max="6662" width="12.7109375" customWidth="1"/>
    <col min="6913" max="6913" width="31.42578125" bestFit="1" customWidth="1"/>
    <col min="6914" max="6914" width="12.7109375" customWidth="1"/>
    <col min="6915" max="6915" width="11.7109375" customWidth="1"/>
    <col min="6916" max="6916" width="12.7109375" customWidth="1"/>
    <col min="6917" max="6917" width="10" customWidth="1"/>
    <col min="6918" max="6918" width="12.7109375" customWidth="1"/>
    <col min="7169" max="7169" width="31.42578125" bestFit="1" customWidth="1"/>
    <col min="7170" max="7170" width="12.7109375" customWidth="1"/>
    <col min="7171" max="7171" width="11.7109375" customWidth="1"/>
    <col min="7172" max="7172" width="12.7109375" customWidth="1"/>
    <col min="7173" max="7173" width="10" customWidth="1"/>
    <col min="7174" max="7174" width="12.7109375" customWidth="1"/>
    <col min="7425" max="7425" width="31.42578125" bestFit="1" customWidth="1"/>
    <col min="7426" max="7426" width="12.7109375" customWidth="1"/>
    <col min="7427" max="7427" width="11.7109375" customWidth="1"/>
    <col min="7428" max="7428" width="12.7109375" customWidth="1"/>
    <col min="7429" max="7429" width="10" customWidth="1"/>
    <col min="7430" max="7430" width="12.7109375" customWidth="1"/>
    <col min="7681" max="7681" width="31.42578125" bestFit="1" customWidth="1"/>
    <col min="7682" max="7682" width="12.7109375" customWidth="1"/>
    <col min="7683" max="7683" width="11.7109375" customWidth="1"/>
    <col min="7684" max="7684" width="12.7109375" customWidth="1"/>
    <col min="7685" max="7685" width="10" customWidth="1"/>
    <col min="7686" max="7686" width="12.7109375" customWidth="1"/>
    <col min="7937" max="7937" width="31.42578125" bestFit="1" customWidth="1"/>
    <col min="7938" max="7938" width="12.7109375" customWidth="1"/>
    <col min="7939" max="7939" width="11.7109375" customWidth="1"/>
    <col min="7940" max="7940" width="12.7109375" customWidth="1"/>
    <col min="7941" max="7941" width="10" customWidth="1"/>
    <col min="7942" max="7942" width="12.7109375" customWidth="1"/>
    <col min="8193" max="8193" width="31.42578125" bestFit="1" customWidth="1"/>
    <col min="8194" max="8194" width="12.7109375" customWidth="1"/>
    <col min="8195" max="8195" width="11.7109375" customWidth="1"/>
    <col min="8196" max="8196" width="12.7109375" customWidth="1"/>
    <col min="8197" max="8197" width="10" customWidth="1"/>
    <col min="8198" max="8198" width="12.7109375" customWidth="1"/>
    <col min="8449" max="8449" width="31.42578125" bestFit="1" customWidth="1"/>
    <col min="8450" max="8450" width="12.7109375" customWidth="1"/>
    <col min="8451" max="8451" width="11.7109375" customWidth="1"/>
    <col min="8452" max="8452" width="12.7109375" customWidth="1"/>
    <col min="8453" max="8453" width="10" customWidth="1"/>
    <col min="8454" max="8454" width="12.7109375" customWidth="1"/>
    <col min="8705" max="8705" width="31.42578125" bestFit="1" customWidth="1"/>
    <col min="8706" max="8706" width="12.7109375" customWidth="1"/>
    <col min="8707" max="8707" width="11.7109375" customWidth="1"/>
    <col min="8708" max="8708" width="12.7109375" customWidth="1"/>
    <col min="8709" max="8709" width="10" customWidth="1"/>
    <col min="8710" max="8710" width="12.7109375" customWidth="1"/>
    <col min="8961" max="8961" width="31.42578125" bestFit="1" customWidth="1"/>
    <col min="8962" max="8962" width="12.7109375" customWidth="1"/>
    <col min="8963" max="8963" width="11.7109375" customWidth="1"/>
    <col min="8964" max="8964" width="12.7109375" customWidth="1"/>
    <col min="8965" max="8965" width="10" customWidth="1"/>
    <col min="8966" max="8966" width="12.7109375" customWidth="1"/>
    <col min="9217" max="9217" width="31.42578125" bestFit="1" customWidth="1"/>
    <col min="9218" max="9218" width="12.7109375" customWidth="1"/>
    <col min="9219" max="9219" width="11.7109375" customWidth="1"/>
    <col min="9220" max="9220" width="12.7109375" customWidth="1"/>
    <col min="9221" max="9221" width="10" customWidth="1"/>
    <col min="9222" max="9222" width="12.7109375" customWidth="1"/>
    <col min="9473" max="9473" width="31.42578125" bestFit="1" customWidth="1"/>
    <col min="9474" max="9474" width="12.7109375" customWidth="1"/>
    <col min="9475" max="9475" width="11.7109375" customWidth="1"/>
    <col min="9476" max="9476" width="12.7109375" customWidth="1"/>
    <col min="9477" max="9477" width="10" customWidth="1"/>
    <col min="9478" max="9478" width="12.7109375" customWidth="1"/>
    <col min="9729" max="9729" width="31.42578125" bestFit="1" customWidth="1"/>
    <col min="9730" max="9730" width="12.7109375" customWidth="1"/>
    <col min="9731" max="9731" width="11.7109375" customWidth="1"/>
    <col min="9732" max="9732" width="12.7109375" customWidth="1"/>
    <col min="9733" max="9733" width="10" customWidth="1"/>
    <col min="9734" max="9734" width="12.7109375" customWidth="1"/>
    <col min="9985" max="9985" width="31.42578125" bestFit="1" customWidth="1"/>
    <col min="9986" max="9986" width="12.7109375" customWidth="1"/>
    <col min="9987" max="9987" width="11.7109375" customWidth="1"/>
    <col min="9988" max="9988" width="12.7109375" customWidth="1"/>
    <col min="9989" max="9989" width="10" customWidth="1"/>
    <col min="9990" max="9990" width="12.7109375" customWidth="1"/>
    <col min="10241" max="10241" width="31.42578125" bestFit="1" customWidth="1"/>
    <col min="10242" max="10242" width="12.7109375" customWidth="1"/>
    <col min="10243" max="10243" width="11.7109375" customWidth="1"/>
    <col min="10244" max="10244" width="12.7109375" customWidth="1"/>
    <col min="10245" max="10245" width="10" customWidth="1"/>
    <col min="10246" max="10246" width="12.7109375" customWidth="1"/>
    <col min="10497" max="10497" width="31.42578125" bestFit="1" customWidth="1"/>
    <col min="10498" max="10498" width="12.7109375" customWidth="1"/>
    <col min="10499" max="10499" width="11.7109375" customWidth="1"/>
    <col min="10500" max="10500" width="12.7109375" customWidth="1"/>
    <col min="10501" max="10501" width="10" customWidth="1"/>
    <col min="10502" max="10502" width="12.7109375" customWidth="1"/>
    <col min="10753" max="10753" width="31.42578125" bestFit="1" customWidth="1"/>
    <col min="10754" max="10754" width="12.7109375" customWidth="1"/>
    <col min="10755" max="10755" width="11.7109375" customWidth="1"/>
    <col min="10756" max="10756" width="12.7109375" customWidth="1"/>
    <col min="10757" max="10757" width="10" customWidth="1"/>
    <col min="10758" max="10758" width="12.7109375" customWidth="1"/>
    <col min="11009" max="11009" width="31.42578125" bestFit="1" customWidth="1"/>
    <col min="11010" max="11010" width="12.7109375" customWidth="1"/>
    <col min="11011" max="11011" width="11.7109375" customWidth="1"/>
    <col min="11012" max="11012" width="12.7109375" customWidth="1"/>
    <col min="11013" max="11013" width="10" customWidth="1"/>
    <col min="11014" max="11014" width="12.7109375" customWidth="1"/>
    <col min="11265" max="11265" width="31.42578125" bestFit="1" customWidth="1"/>
    <col min="11266" max="11266" width="12.7109375" customWidth="1"/>
    <col min="11267" max="11267" width="11.7109375" customWidth="1"/>
    <col min="11268" max="11268" width="12.7109375" customWidth="1"/>
    <col min="11269" max="11269" width="10" customWidth="1"/>
    <col min="11270" max="11270" width="12.7109375" customWidth="1"/>
    <col min="11521" max="11521" width="31.42578125" bestFit="1" customWidth="1"/>
    <col min="11522" max="11522" width="12.7109375" customWidth="1"/>
    <col min="11523" max="11523" width="11.7109375" customWidth="1"/>
    <col min="11524" max="11524" width="12.7109375" customWidth="1"/>
    <col min="11525" max="11525" width="10" customWidth="1"/>
    <col min="11526" max="11526" width="12.7109375" customWidth="1"/>
    <col min="11777" max="11777" width="31.42578125" bestFit="1" customWidth="1"/>
    <col min="11778" max="11778" width="12.7109375" customWidth="1"/>
    <col min="11779" max="11779" width="11.7109375" customWidth="1"/>
    <col min="11780" max="11780" width="12.7109375" customWidth="1"/>
    <col min="11781" max="11781" width="10" customWidth="1"/>
    <col min="11782" max="11782" width="12.7109375" customWidth="1"/>
    <col min="12033" max="12033" width="31.42578125" bestFit="1" customWidth="1"/>
    <col min="12034" max="12034" width="12.7109375" customWidth="1"/>
    <col min="12035" max="12035" width="11.7109375" customWidth="1"/>
    <col min="12036" max="12036" width="12.7109375" customWidth="1"/>
    <col min="12037" max="12037" width="10" customWidth="1"/>
    <col min="12038" max="12038" width="12.7109375" customWidth="1"/>
    <col min="12289" max="12289" width="31.42578125" bestFit="1" customWidth="1"/>
    <col min="12290" max="12290" width="12.7109375" customWidth="1"/>
    <col min="12291" max="12291" width="11.7109375" customWidth="1"/>
    <col min="12292" max="12292" width="12.7109375" customWidth="1"/>
    <col min="12293" max="12293" width="10" customWidth="1"/>
    <col min="12294" max="12294" width="12.7109375" customWidth="1"/>
    <col min="12545" max="12545" width="31.42578125" bestFit="1" customWidth="1"/>
    <col min="12546" max="12546" width="12.7109375" customWidth="1"/>
    <col min="12547" max="12547" width="11.7109375" customWidth="1"/>
    <col min="12548" max="12548" width="12.7109375" customWidth="1"/>
    <col min="12549" max="12549" width="10" customWidth="1"/>
    <col min="12550" max="12550" width="12.7109375" customWidth="1"/>
    <col min="12801" max="12801" width="31.42578125" bestFit="1" customWidth="1"/>
    <col min="12802" max="12802" width="12.7109375" customWidth="1"/>
    <col min="12803" max="12803" width="11.7109375" customWidth="1"/>
    <col min="12804" max="12804" width="12.7109375" customWidth="1"/>
    <col min="12805" max="12805" width="10" customWidth="1"/>
    <col min="12806" max="12806" width="12.7109375" customWidth="1"/>
    <col min="13057" max="13057" width="31.42578125" bestFit="1" customWidth="1"/>
    <col min="13058" max="13058" width="12.7109375" customWidth="1"/>
    <col min="13059" max="13059" width="11.7109375" customWidth="1"/>
    <col min="13060" max="13060" width="12.7109375" customWidth="1"/>
    <col min="13061" max="13061" width="10" customWidth="1"/>
    <col min="13062" max="13062" width="12.7109375" customWidth="1"/>
    <col min="13313" max="13313" width="31.42578125" bestFit="1" customWidth="1"/>
    <col min="13314" max="13314" width="12.7109375" customWidth="1"/>
    <col min="13315" max="13315" width="11.7109375" customWidth="1"/>
    <col min="13316" max="13316" width="12.7109375" customWidth="1"/>
    <col min="13317" max="13317" width="10" customWidth="1"/>
    <col min="13318" max="13318" width="12.7109375" customWidth="1"/>
    <col min="13569" max="13569" width="31.42578125" bestFit="1" customWidth="1"/>
    <col min="13570" max="13570" width="12.7109375" customWidth="1"/>
    <col min="13571" max="13571" width="11.7109375" customWidth="1"/>
    <col min="13572" max="13572" width="12.7109375" customWidth="1"/>
    <col min="13573" max="13573" width="10" customWidth="1"/>
    <col min="13574" max="13574" width="12.7109375" customWidth="1"/>
    <col min="13825" max="13825" width="31.42578125" bestFit="1" customWidth="1"/>
    <col min="13826" max="13826" width="12.7109375" customWidth="1"/>
    <col min="13827" max="13827" width="11.7109375" customWidth="1"/>
    <col min="13828" max="13828" width="12.7109375" customWidth="1"/>
    <col min="13829" max="13829" width="10" customWidth="1"/>
    <col min="13830" max="13830" width="12.7109375" customWidth="1"/>
    <col min="14081" max="14081" width="31.42578125" bestFit="1" customWidth="1"/>
    <col min="14082" max="14082" width="12.7109375" customWidth="1"/>
    <col min="14083" max="14083" width="11.7109375" customWidth="1"/>
    <col min="14084" max="14084" width="12.7109375" customWidth="1"/>
    <col min="14085" max="14085" width="10" customWidth="1"/>
    <col min="14086" max="14086" width="12.7109375" customWidth="1"/>
    <col min="14337" max="14337" width="31.42578125" bestFit="1" customWidth="1"/>
    <col min="14338" max="14338" width="12.7109375" customWidth="1"/>
    <col min="14339" max="14339" width="11.7109375" customWidth="1"/>
    <col min="14340" max="14340" width="12.7109375" customWidth="1"/>
    <col min="14341" max="14341" width="10" customWidth="1"/>
    <col min="14342" max="14342" width="12.7109375" customWidth="1"/>
    <col min="14593" max="14593" width="31.42578125" bestFit="1" customWidth="1"/>
    <col min="14594" max="14594" width="12.7109375" customWidth="1"/>
    <col min="14595" max="14595" width="11.7109375" customWidth="1"/>
    <col min="14596" max="14596" width="12.7109375" customWidth="1"/>
    <col min="14597" max="14597" width="10" customWidth="1"/>
    <col min="14598" max="14598" width="12.7109375" customWidth="1"/>
    <col min="14849" max="14849" width="31.42578125" bestFit="1" customWidth="1"/>
    <col min="14850" max="14850" width="12.7109375" customWidth="1"/>
    <col min="14851" max="14851" width="11.7109375" customWidth="1"/>
    <col min="14852" max="14852" width="12.7109375" customWidth="1"/>
    <col min="14853" max="14853" width="10" customWidth="1"/>
    <col min="14854" max="14854" width="12.7109375" customWidth="1"/>
    <col min="15105" max="15105" width="31.42578125" bestFit="1" customWidth="1"/>
    <col min="15106" max="15106" width="12.7109375" customWidth="1"/>
    <col min="15107" max="15107" width="11.7109375" customWidth="1"/>
    <col min="15108" max="15108" width="12.7109375" customWidth="1"/>
    <col min="15109" max="15109" width="10" customWidth="1"/>
    <col min="15110" max="15110" width="12.7109375" customWidth="1"/>
    <col min="15361" max="15361" width="31.42578125" bestFit="1" customWidth="1"/>
    <col min="15362" max="15362" width="12.7109375" customWidth="1"/>
    <col min="15363" max="15363" width="11.7109375" customWidth="1"/>
    <col min="15364" max="15364" width="12.7109375" customWidth="1"/>
    <col min="15365" max="15365" width="10" customWidth="1"/>
    <col min="15366" max="15366" width="12.7109375" customWidth="1"/>
    <col min="15617" max="15617" width="31.42578125" bestFit="1" customWidth="1"/>
    <col min="15618" max="15618" width="12.7109375" customWidth="1"/>
    <col min="15619" max="15619" width="11.7109375" customWidth="1"/>
    <col min="15620" max="15620" width="12.7109375" customWidth="1"/>
    <col min="15621" max="15621" width="10" customWidth="1"/>
    <col min="15622" max="15622" width="12.7109375" customWidth="1"/>
    <col min="15873" max="15873" width="31.42578125" bestFit="1" customWidth="1"/>
    <col min="15874" max="15874" width="12.7109375" customWidth="1"/>
    <col min="15875" max="15875" width="11.7109375" customWidth="1"/>
    <col min="15876" max="15876" width="12.7109375" customWidth="1"/>
    <col min="15877" max="15877" width="10" customWidth="1"/>
    <col min="15878" max="15878" width="12.7109375" customWidth="1"/>
    <col min="16129" max="16129" width="31.42578125" bestFit="1" customWidth="1"/>
    <col min="16130" max="16130" width="12.7109375" customWidth="1"/>
    <col min="16131" max="16131" width="11.7109375" customWidth="1"/>
    <col min="16132" max="16132" width="12.7109375" customWidth="1"/>
    <col min="16133" max="16133" width="10" customWidth="1"/>
    <col min="16134" max="16134" width="12.7109375" customWidth="1"/>
  </cols>
  <sheetData>
    <row r="1" spans="1:11" x14ac:dyDescent="0.2">
      <c r="A1" s="431" t="s">
        <v>156</v>
      </c>
      <c r="B1" s="205" t="s">
        <v>105</v>
      </c>
      <c r="C1" s="205" t="s">
        <v>134</v>
      </c>
      <c r="D1" s="205" t="s">
        <v>153</v>
      </c>
    </row>
    <row r="2" spans="1:11" x14ac:dyDescent="0.2">
      <c r="A2" s="434" t="s">
        <v>71</v>
      </c>
      <c r="B2" s="196">
        <f>Summary!P13</f>
        <v>661242417.42946696</v>
      </c>
      <c r="C2" s="195"/>
      <c r="D2" s="283">
        <f>'2013 COP Forecast'!D2</f>
        <v>0.93893975395513607</v>
      </c>
    </row>
    <row r="3" spans="1:11" x14ac:dyDescent="0.2">
      <c r="A3" s="434" t="s">
        <v>72</v>
      </c>
      <c r="B3" s="196">
        <f>Summary!P17</f>
        <v>245096272.02125177</v>
      </c>
      <c r="C3" s="195"/>
      <c r="D3" s="283">
        <f>'2013 COP Forecast'!D3</f>
        <v>0.86067746631608777</v>
      </c>
      <c r="F3" s="282" t="s">
        <v>273</v>
      </c>
    </row>
    <row r="4" spans="1:11" x14ac:dyDescent="0.2">
      <c r="A4" s="434" t="s">
        <v>73</v>
      </c>
      <c r="B4" s="196">
        <f>Summary!P21</f>
        <v>854393254.60555243</v>
      </c>
      <c r="C4" s="204">
        <f>Summary!P22</f>
        <v>2207473.2170931115</v>
      </c>
      <c r="D4" s="283">
        <f>'2013 COP Forecast'!D4</f>
        <v>0.14149376128842736</v>
      </c>
      <c r="F4" s="37">
        <f>40285418.4544/2</f>
        <v>20142709.227200001</v>
      </c>
      <c r="G4" s="154"/>
    </row>
    <row r="5" spans="1:11" x14ac:dyDescent="0.2">
      <c r="A5" s="434" t="s">
        <v>49</v>
      </c>
      <c r="B5" s="196">
        <f>Summary!P26</f>
        <v>31798990.292463161</v>
      </c>
      <c r="C5" s="204">
        <f>Summary!P27</f>
        <v>63001.717773348704</v>
      </c>
      <c r="D5" s="283">
        <v>0</v>
      </c>
      <c r="K5" s="154"/>
    </row>
    <row r="6" spans="1:11" x14ac:dyDescent="0.2">
      <c r="A6" s="434" t="s">
        <v>74</v>
      </c>
      <c r="B6" s="196">
        <f>Summary!P31</f>
        <v>16128464.711878158</v>
      </c>
      <c r="C6" s="204">
        <f>Summary!P32</f>
        <v>45145.286564759699</v>
      </c>
      <c r="D6" s="283">
        <v>0</v>
      </c>
    </row>
    <row r="7" spans="1:11" x14ac:dyDescent="0.2">
      <c r="A7" s="434" t="s">
        <v>75</v>
      </c>
      <c r="B7" s="196">
        <f>Summary!P36</f>
        <v>3417188.4429939534</v>
      </c>
      <c r="C7" s="195"/>
      <c r="D7" s="283">
        <v>0</v>
      </c>
    </row>
    <row r="8" spans="1:11" x14ac:dyDescent="0.2">
      <c r="A8" s="435" t="s">
        <v>203</v>
      </c>
      <c r="B8" s="196"/>
      <c r="C8" s="195"/>
      <c r="D8" s="283"/>
    </row>
    <row r="9" spans="1:11" x14ac:dyDescent="0.2">
      <c r="A9" s="436" t="s">
        <v>125</v>
      </c>
      <c r="B9" s="170">
        <f>SUM(B2:B7)</f>
        <v>1812076587.5036061</v>
      </c>
      <c r="C9" s="170">
        <f>SUM(C2:C7)</f>
        <v>2315620.22143122</v>
      </c>
      <c r="D9" s="170"/>
    </row>
    <row r="10" spans="1:11" x14ac:dyDescent="0.2">
      <c r="B10" s="64"/>
      <c r="C10" s="64"/>
    </row>
    <row r="12" spans="1:11" x14ac:dyDescent="0.2">
      <c r="A12" s="431" t="s">
        <v>141</v>
      </c>
      <c r="B12" s="518" t="s">
        <v>154</v>
      </c>
      <c r="C12" s="520" t="s">
        <v>155</v>
      </c>
      <c r="D12" s="171"/>
      <c r="E12" s="198"/>
      <c r="F12" s="197"/>
    </row>
    <row r="13" spans="1:11" x14ac:dyDescent="0.2">
      <c r="A13" s="180" t="s">
        <v>140</v>
      </c>
      <c r="B13" s="519"/>
      <c r="C13" s="521"/>
      <c r="D13" s="522">
        <v>2014</v>
      </c>
      <c r="E13" s="523"/>
      <c r="F13" s="524"/>
    </row>
    <row r="14" spans="1:11" x14ac:dyDescent="0.2">
      <c r="A14" s="434" t="s">
        <v>71</v>
      </c>
      <c r="B14" s="196">
        <f t="shared" ref="B14:B19" si="0">B2*D2</f>
        <v>620866792.72592306</v>
      </c>
      <c r="C14" s="278">
        <f>'2013 COP Forecast'!C14</f>
        <v>1.0351420520000001</v>
      </c>
      <c r="D14" s="183">
        <f t="shared" ref="D14:D19" si="1">B14*C14</f>
        <v>642685325.84097075</v>
      </c>
      <c r="E14" s="292">
        <f>'2013 COP Forecast'!E14</f>
        <v>8.3949999999999997E-2</v>
      </c>
      <c r="F14" s="182">
        <f t="shared" ref="F14:F19" si="2">D14*E14</f>
        <v>53953433.104349494</v>
      </c>
    </row>
    <row r="15" spans="1:11" x14ac:dyDescent="0.2">
      <c r="A15" s="434" t="s">
        <v>72</v>
      </c>
      <c r="B15" s="196">
        <f t="shared" si="0"/>
        <v>210948838.4067696</v>
      </c>
      <c r="C15" s="278">
        <f>'2013 COP Forecast'!C15</f>
        <v>1.0351420520000001</v>
      </c>
      <c r="D15" s="183">
        <f t="shared" si="1"/>
        <v>218362013.45539993</v>
      </c>
      <c r="E15" s="292">
        <f>'2013 COP Forecast'!E15</f>
        <v>8.3949999999999997E-2</v>
      </c>
      <c r="F15" s="182">
        <f t="shared" si="2"/>
        <v>18331491.029580824</v>
      </c>
    </row>
    <row r="16" spans="1:11" x14ac:dyDescent="0.2">
      <c r="A16" s="434" t="s">
        <v>73</v>
      </c>
      <c r="B16" s="196">
        <f t="shared" si="0"/>
        <v>120891315.21360058</v>
      </c>
      <c r="C16" s="278">
        <f>'2013 COP Forecast'!C16</f>
        <v>1.0351420520000001</v>
      </c>
      <c r="D16" s="183">
        <f t="shared" si="1"/>
        <v>125139684.09918533</v>
      </c>
      <c r="E16" s="292">
        <f>'2013 COP Forecast'!E16</f>
        <v>8.3949999999999997E-2</v>
      </c>
      <c r="F16" s="182">
        <f t="shared" si="2"/>
        <v>10505476.480126608</v>
      </c>
    </row>
    <row r="17" spans="1:6" x14ac:dyDescent="0.2">
      <c r="A17" s="434" t="s">
        <v>49</v>
      </c>
      <c r="B17" s="196">
        <f t="shared" si="0"/>
        <v>0</v>
      </c>
      <c r="C17" s="278">
        <f>'2013 COP Forecast'!C17</f>
        <v>1.0351420520000001</v>
      </c>
      <c r="D17" s="183">
        <f t="shared" si="1"/>
        <v>0</v>
      </c>
      <c r="E17" s="292">
        <f>'2013 COP Forecast'!E17</f>
        <v>8.3949999999999997E-2</v>
      </c>
      <c r="F17" s="182">
        <f t="shared" si="2"/>
        <v>0</v>
      </c>
    </row>
    <row r="18" spans="1:6" x14ac:dyDescent="0.2">
      <c r="A18" s="434" t="s">
        <v>74</v>
      </c>
      <c r="B18" s="196">
        <f t="shared" si="0"/>
        <v>0</v>
      </c>
      <c r="C18" s="278">
        <f>'2013 COP Forecast'!C18</f>
        <v>1.0351420520000001</v>
      </c>
      <c r="D18" s="183">
        <f t="shared" si="1"/>
        <v>0</v>
      </c>
      <c r="E18" s="292">
        <f>'2013 COP Forecast'!E18</f>
        <v>8.3949999999999997E-2</v>
      </c>
      <c r="F18" s="182">
        <f t="shared" si="2"/>
        <v>0</v>
      </c>
    </row>
    <row r="19" spans="1:6" x14ac:dyDescent="0.2">
      <c r="A19" s="434" t="s">
        <v>75</v>
      </c>
      <c r="B19" s="196">
        <f t="shared" si="0"/>
        <v>0</v>
      </c>
      <c r="C19" s="278">
        <f>'2013 COP Forecast'!C19</f>
        <v>1.0351420520000001</v>
      </c>
      <c r="D19" s="183">
        <f t="shared" si="1"/>
        <v>0</v>
      </c>
      <c r="E19" s="292">
        <f>'2013 COP Forecast'!E19</f>
        <v>8.3949999999999997E-2</v>
      </c>
      <c r="F19" s="182">
        <f t="shared" si="2"/>
        <v>0</v>
      </c>
    </row>
    <row r="20" spans="1:6" x14ac:dyDescent="0.2">
      <c r="A20" s="435" t="s">
        <v>203</v>
      </c>
      <c r="B20" s="196">
        <v>0</v>
      </c>
      <c r="C20" s="278">
        <f>'2013 COP Forecast'!C20</f>
        <v>1.0351420520000001</v>
      </c>
      <c r="D20" s="183">
        <f t="shared" ref="D20" si="3">B20*C20</f>
        <v>0</v>
      </c>
      <c r="E20" s="292">
        <f>'2013 COP Forecast'!E20</f>
        <v>8.3949999999999997E-2</v>
      </c>
      <c r="F20" s="182">
        <f t="shared" ref="F20" si="4">D20*E20</f>
        <v>0</v>
      </c>
    </row>
    <row r="21" spans="1:6" x14ac:dyDescent="0.2">
      <c r="A21" s="436" t="s">
        <v>125</v>
      </c>
      <c r="B21" s="170">
        <f>SUM(B14:B19)</f>
        <v>952706946.34629321</v>
      </c>
      <c r="C21" s="180"/>
      <c r="D21" s="170">
        <f>SUM(D14:D19)</f>
        <v>986187023.39555609</v>
      </c>
      <c r="E21" s="179"/>
      <c r="F21" s="194">
        <f>SUM(F14:F20)</f>
        <v>82790400.61405693</v>
      </c>
    </row>
    <row r="22" spans="1:6" x14ac:dyDescent="0.2">
      <c r="A22" s="203"/>
      <c r="B22" s="201"/>
      <c r="C22" s="202"/>
      <c r="D22" s="201"/>
      <c r="E22" s="200"/>
      <c r="F22" s="199"/>
    </row>
    <row r="23" spans="1:6" x14ac:dyDescent="0.2">
      <c r="A23" s="431" t="s">
        <v>139</v>
      </c>
      <c r="B23" s="518" t="s">
        <v>154</v>
      </c>
      <c r="C23" s="520" t="s">
        <v>155</v>
      </c>
      <c r="D23" s="171"/>
      <c r="E23" s="198"/>
      <c r="F23" s="197"/>
    </row>
    <row r="24" spans="1:6" x14ac:dyDescent="0.2">
      <c r="A24" s="180" t="s">
        <v>131</v>
      </c>
      <c r="B24" s="519"/>
      <c r="C24" s="521"/>
      <c r="D24" s="522">
        <v>2014</v>
      </c>
      <c r="E24" s="523"/>
      <c r="F24" s="524"/>
    </row>
    <row r="25" spans="1:6" x14ac:dyDescent="0.2">
      <c r="A25" s="434" t="s">
        <v>71</v>
      </c>
      <c r="B25" s="196">
        <f>B2-B14</f>
        <v>40375624.703543901</v>
      </c>
      <c r="C25" s="278">
        <f t="shared" ref="C25:C31" si="5">C14</f>
        <v>1.0351420520000001</v>
      </c>
      <c r="D25" s="183">
        <f t="shared" ref="D25:D30" si="6">B25*C25</f>
        <v>41794507.006408326</v>
      </c>
      <c r="E25" s="292">
        <f>+'2013 COP Forecast'!E25</f>
        <v>8.7169999999999997E-2</v>
      </c>
      <c r="F25" s="182">
        <f t="shared" ref="F25:F30" si="7">D25*E25</f>
        <v>3643227.1757486137</v>
      </c>
    </row>
    <row r="26" spans="1:6" x14ac:dyDescent="0.2">
      <c r="A26" s="434" t="s">
        <v>72</v>
      </c>
      <c r="B26" s="196">
        <f>B3-B15</f>
        <v>34147433.614482164</v>
      </c>
      <c r="C26" s="278">
        <f t="shared" si="5"/>
        <v>1.0351420520000001</v>
      </c>
      <c r="D26" s="183">
        <f t="shared" si="6"/>
        <v>35347444.502228849</v>
      </c>
      <c r="E26" s="292">
        <f>E25</f>
        <v>8.7169999999999997E-2</v>
      </c>
      <c r="F26" s="182">
        <f t="shared" si="7"/>
        <v>3081236.7372592888</v>
      </c>
    </row>
    <row r="27" spans="1:6" x14ac:dyDescent="0.2">
      <c r="A27" s="434" t="s">
        <v>73</v>
      </c>
      <c r="B27" s="196">
        <f>B4-B16-F4</f>
        <v>713359230.16475177</v>
      </c>
      <c r="C27" s="278">
        <f t="shared" si="5"/>
        <v>1.0351420520000001</v>
      </c>
      <c r="D27" s="183">
        <f t="shared" si="6"/>
        <v>738428137.32588148</v>
      </c>
      <c r="E27" s="292">
        <f t="shared" ref="E27:E31" si="8">E26</f>
        <v>8.7169999999999997E-2</v>
      </c>
      <c r="F27" s="182">
        <f t="shared" si="7"/>
        <v>64368780.730697088</v>
      </c>
    </row>
    <row r="28" spans="1:6" x14ac:dyDescent="0.2">
      <c r="A28" s="434" t="s">
        <v>49</v>
      </c>
      <c r="B28" s="196">
        <f>B5-B17</f>
        <v>31798990.292463161</v>
      </c>
      <c r="C28" s="278">
        <v>1.0053000000000001</v>
      </c>
      <c r="D28" s="183">
        <f t="shared" si="6"/>
        <v>31967524.941013217</v>
      </c>
      <c r="E28" s="292">
        <f t="shared" si="8"/>
        <v>8.7169999999999997E-2</v>
      </c>
      <c r="F28" s="182">
        <f t="shared" si="7"/>
        <v>2786609.1491081221</v>
      </c>
    </row>
    <row r="29" spans="1:6" x14ac:dyDescent="0.2">
      <c r="A29" s="434" t="s">
        <v>74</v>
      </c>
      <c r="B29" s="196">
        <f>B6-B18</f>
        <v>16128464.711878158</v>
      </c>
      <c r="C29" s="278">
        <f t="shared" si="5"/>
        <v>1.0351420520000001</v>
      </c>
      <c r="D29" s="183">
        <f t="shared" si="6"/>
        <v>16695252.057463147</v>
      </c>
      <c r="E29" s="292">
        <f t="shared" si="8"/>
        <v>8.7169999999999997E-2</v>
      </c>
      <c r="F29" s="182">
        <f t="shared" si="7"/>
        <v>1455325.1218490624</v>
      </c>
    </row>
    <row r="30" spans="1:6" x14ac:dyDescent="0.2">
      <c r="A30" s="434" t="s">
        <v>75</v>
      </c>
      <c r="B30" s="196">
        <f>B7-B19</f>
        <v>3417188.4429939534</v>
      </c>
      <c r="C30" s="278">
        <f t="shared" si="5"/>
        <v>1.0351420520000001</v>
      </c>
      <c r="D30" s="183">
        <f t="shared" si="6"/>
        <v>3537275.4569514464</v>
      </c>
      <c r="E30" s="292">
        <f t="shared" si="8"/>
        <v>8.7169999999999997E-2</v>
      </c>
      <c r="F30" s="182">
        <f t="shared" si="7"/>
        <v>308344.30158245756</v>
      </c>
    </row>
    <row r="31" spans="1:6" x14ac:dyDescent="0.2">
      <c r="A31" s="435" t="s">
        <v>203</v>
      </c>
      <c r="B31" s="196">
        <v>0</v>
      </c>
      <c r="C31" s="278">
        <f t="shared" si="5"/>
        <v>1.0351420520000001</v>
      </c>
      <c r="D31" s="183">
        <f t="shared" ref="D31" si="9">B31*C31</f>
        <v>0</v>
      </c>
      <c r="E31" s="292">
        <f t="shared" si="8"/>
        <v>8.7169999999999997E-2</v>
      </c>
      <c r="F31" s="182">
        <f t="shared" ref="F31" si="10">D31*E31</f>
        <v>0</v>
      </c>
    </row>
    <row r="32" spans="1:6" x14ac:dyDescent="0.2">
      <c r="A32" s="436" t="s">
        <v>125</v>
      </c>
      <c r="B32" s="170">
        <f>SUM(B25:B30)</f>
        <v>839226931.9301132</v>
      </c>
      <c r="C32" s="180"/>
      <c r="D32" s="170">
        <f>SUM(D25:D30)</f>
        <v>867770141.28994656</v>
      </c>
      <c r="E32" s="179"/>
      <c r="F32" s="194">
        <f>SUM(F25:F31)</f>
        <v>75643523.216244638</v>
      </c>
    </row>
    <row r="34" spans="1:8" x14ac:dyDescent="0.2">
      <c r="A34" s="432" t="s">
        <v>138</v>
      </c>
      <c r="B34" s="188"/>
      <c r="C34" s="193" t="s">
        <v>136</v>
      </c>
      <c r="D34" s="190"/>
      <c r="E34" s="189"/>
      <c r="F34" s="188"/>
    </row>
    <row r="35" spans="1:8" x14ac:dyDescent="0.2">
      <c r="A35" s="180" t="s">
        <v>131</v>
      </c>
      <c r="B35" s="187"/>
      <c r="C35" s="192" t="s">
        <v>135</v>
      </c>
      <c r="D35" s="516">
        <v>2014</v>
      </c>
      <c r="E35" s="514"/>
      <c r="F35" s="515"/>
    </row>
    <row r="36" spans="1:8" x14ac:dyDescent="0.2">
      <c r="A36" s="434" t="str">
        <f t="shared" ref="A36:A41" si="11">A25</f>
        <v xml:space="preserve">Residential </v>
      </c>
      <c r="B36" s="183"/>
      <c r="C36" s="184" t="s">
        <v>105</v>
      </c>
      <c r="D36" s="183">
        <f>D14+D25</f>
        <v>684479832.84737909</v>
      </c>
      <c r="E36" s="277">
        <f>'2013 COP Forecast'!E36</f>
        <v>7.1999999999999998E-3</v>
      </c>
      <c r="F36" s="182">
        <f t="shared" ref="F36:F42" si="12">D36*E36</f>
        <v>4928254.7965011289</v>
      </c>
    </row>
    <row r="37" spans="1:8" x14ac:dyDescent="0.2">
      <c r="A37" s="434" t="str">
        <f t="shared" si="11"/>
        <v>General Service
&lt; 50 kW</v>
      </c>
      <c r="B37" s="183"/>
      <c r="C37" s="184" t="s">
        <v>105</v>
      </c>
      <c r="D37" s="183">
        <f>D15+D26</f>
        <v>253709457.95762879</v>
      </c>
      <c r="E37" s="277">
        <f>'2013 COP Forecast'!E37</f>
        <v>6.1999999999999998E-3</v>
      </c>
      <c r="F37" s="182">
        <f t="shared" si="12"/>
        <v>1572998.6393372985</v>
      </c>
    </row>
    <row r="38" spans="1:8" x14ac:dyDescent="0.2">
      <c r="A38" s="434" t="str">
        <f t="shared" si="11"/>
        <v>General Service
&gt; 50 kW</v>
      </c>
      <c r="B38" s="183"/>
      <c r="C38" s="184" t="s">
        <v>134</v>
      </c>
      <c r="D38" s="183">
        <f>+C4</f>
        <v>2207473.2170931115</v>
      </c>
      <c r="E38" s="277">
        <f>'2013 COP Forecast'!E38</f>
        <v>3.2835999999999999</v>
      </c>
      <c r="F38" s="182">
        <f t="shared" si="12"/>
        <v>7248459.0556469401</v>
      </c>
    </row>
    <row r="39" spans="1:8" x14ac:dyDescent="0.2">
      <c r="A39" s="434" t="str">
        <f t="shared" si="11"/>
        <v>Large User</v>
      </c>
      <c r="B39" s="183"/>
      <c r="C39" s="184" t="s">
        <v>134</v>
      </c>
      <c r="D39" s="183">
        <f>C5</f>
        <v>63001.717773348704</v>
      </c>
      <c r="E39" s="277">
        <f>'2013 COP Forecast'!E39</f>
        <v>3.0861999999999998</v>
      </c>
      <c r="F39" s="182">
        <f t="shared" si="12"/>
        <v>194435.90139210876</v>
      </c>
      <c r="H39" s="32"/>
    </row>
    <row r="40" spans="1:8" x14ac:dyDescent="0.2">
      <c r="A40" s="434" t="str">
        <f t="shared" si="11"/>
        <v xml:space="preserve">Streetlights </v>
      </c>
      <c r="B40" s="183"/>
      <c r="C40" s="184" t="s">
        <v>134</v>
      </c>
      <c r="D40" s="183">
        <f>C6</f>
        <v>45145.286564759699</v>
      </c>
      <c r="E40" s="277">
        <f>'2013 COP Forecast'!E40</f>
        <v>1.9966999999999999</v>
      </c>
      <c r="F40" s="182">
        <f t="shared" si="12"/>
        <v>90141.593683855681</v>
      </c>
    </row>
    <row r="41" spans="1:8" x14ac:dyDescent="0.2">
      <c r="A41" s="434" t="str">
        <f t="shared" si="11"/>
        <v xml:space="preserve">Unmetered Loads </v>
      </c>
      <c r="B41" s="183"/>
      <c r="C41" s="184" t="s">
        <v>105</v>
      </c>
      <c r="D41" s="183">
        <f>D19+D30</f>
        <v>3537275.4569514464</v>
      </c>
      <c r="E41" s="277">
        <f>'2013 COP Forecast'!E41</f>
        <v>6.1999999999999998E-3</v>
      </c>
      <c r="F41" s="182">
        <f t="shared" si="12"/>
        <v>21931.107833098966</v>
      </c>
    </row>
    <row r="42" spans="1:8" x14ac:dyDescent="0.2">
      <c r="A42" s="442" t="s">
        <v>203</v>
      </c>
      <c r="B42" s="443"/>
      <c r="C42" s="444" t="s">
        <v>134</v>
      </c>
      <c r="D42" s="443">
        <f>+ED!B20</f>
        <v>44673.767272727266</v>
      </c>
      <c r="E42" s="445">
        <f>'2013 COP Forecast'!E42</f>
        <v>3.0960000000000001</v>
      </c>
      <c r="F42" s="446">
        <f t="shared" si="12"/>
        <v>138309.98347636362</v>
      </c>
    </row>
    <row r="43" spans="1:8" x14ac:dyDescent="0.2">
      <c r="A43" s="436" t="s">
        <v>125</v>
      </c>
      <c r="B43" s="170"/>
      <c r="C43" s="180"/>
      <c r="D43" s="170"/>
      <c r="E43" s="179"/>
      <c r="F43" s="178">
        <f>SUM(F36:F42)</f>
        <v>14194531.077870796</v>
      </c>
    </row>
    <row r="45" spans="1:8" x14ac:dyDescent="0.2">
      <c r="A45" s="432" t="s">
        <v>137</v>
      </c>
      <c r="B45" s="188"/>
      <c r="C45" s="191" t="s">
        <v>136</v>
      </c>
      <c r="D45" s="190"/>
      <c r="E45" s="189"/>
      <c r="F45" s="188"/>
    </row>
    <row r="46" spans="1:8" x14ac:dyDescent="0.2">
      <c r="A46" s="180" t="s">
        <v>131</v>
      </c>
      <c r="B46" s="187"/>
      <c r="C46" s="186" t="s">
        <v>135</v>
      </c>
      <c r="D46" s="516">
        <v>2014</v>
      </c>
      <c r="E46" s="514"/>
      <c r="F46" s="515"/>
    </row>
    <row r="47" spans="1:8" x14ac:dyDescent="0.2">
      <c r="A47" s="434" t="str">
        <f t="shared" ref="A47:A52" si="13">A36</f>
        <v xml:space="preserve">Residential </v>
      </c>
      <c r="B47" s="183"/>
      <c r="C47" s="184" t="str">
        <f>C36</f>
        <v>kWh</v>
      </c>
      <c r="D47" s="183">
        <f>D36</f>
        <v>684479832.84737909</v>
      </c>
      <c r="E47" s="277">
        <f>'2013 COP Forecast'!E47</f>
        <v>1.4E-3</v>
      </c>
      <c r="F47" s="182">
        <f t="shared" ref="F47:F53" si="14">D47*E47</f>
        <v>958271.76598633069</v>
      </c>
    </row>
    <row r="48" spans="1:8" x14ac:dyDescent="0.2">
      <c r="A48" s="434" t="str">
        <f t="shared" si="13"/>
        <v>General Service
&lt; 50 kW</v>
      </c>
      <c r="B48" s="183"/>
      <c r="C48" s="184" t="str">
        <f>C37</f>
        <v>kWh</v>
      </c>
      <c r="D48" s="183">
        <f>D37</f>
        <v>253709457.95762879</v>
      </c>
      <c r="E48" s="277">
        <f>'2013 COP Forecast'!E48</f>
        <v>1.2999999999999999E-3</v>
      </c>
      <c r="F48" s="182">
        <f t="shared" si="14"/>
        <v>329822.29534491739</v>
      </c>
    </row>
    <row r="49" spans="1:6" x14ac:dyDescent="0.2">
      <c r="A49" s="434" t="str">
        <f t="shared" si="13"/>
        <v>General Service
&gt; 50 kW</v>
      </c>
      <c r="B49" s="183"/>
      <c r="C49" s="184" t="str">
        <f>C38</f>
        <v>kW</v>
      </c>
      <c r="D49" s="183">
        <f>+D38</f>
        <v>2207473.2170931115</v>
      </c>
      <c r="E49" s="277">
        <f>'2013 COP Forecast'!E49</f>
        <v>0.68510000000000004</v>
      </c>
      <c r="F49" s="182">
        <f t="shared" si="14"/>
        <v>1512339.9010304909</v>
      </c>
    </row>
    <row r="50" spans="1:6" x14ac:dyDescent="0.2">
      <c r="A50" s="434" t="str">
        <f t="shared" si="13"/>
        <v>Large User</v>
      </c>
      <c r="B50" s="183"/>
      <c r="C50" s="184" t="str">
        <f>C39</f>
        <v>kW</v>
      </c>
      <c r="D50" s="183">
        <f>D39</f>
        <v>63001.717773348704</v>
      </c>
      <c r="E50" s="277">
        <f>'2013 COP Forecast'!E50</f>
        <v>0.64400000000000002</v>
      </c>
      <c r="F50" s="182">
        <f t="shared" si="14"/>
        <v>40573.106246036565</v>
      </c>
    </row>
    <row r="51" spans="1:6" x14ac:dyDescent="0.2">
      <c r="A51" s="434" t="str">
        <f t="shared" si="13"/>
        <v xml:space="preserve">Streetlights </v>
      </c>
      <c r="B51" s="183"/>
      <c r="C51" s="184" t="str">
        <f>C40</f>
        <v>kW</v>
      </c>
      <c r="D51" s="183">
        <f>D40</f>
        <v>45145.286564759699</v>
      </c>
      <c r="E51" s="277">
        <f>'2013 COP Forecast'!E51</f>
        <v>0.41689999999999999</v>
      </c>
      <c r="F51" s="182">
        <f t="shared" si="14"/>
        <v>18821.069968848318</v>
      </c>
    </row>
    <row r="52" spans="1:6" x14ac:dyDescent="0.2">
      <c r="A52" s="434" t="str">
        <f t="shared" si="13"/>
        <v xml:space="preserve">Unmetered Loads </v>
      </c>
      <c r="B52" s="183"/>
      <c r="C52" s="184" t="str">
        <f>C41</f>
        <v>kWh</v>
      </c>
      <c r="D52" s="183">
        <f>D41</f>
        <v>3537275.4569514464</v>
      </c>
      <c r="E52" s="277">
        <f>'2013 COP Forecast'!E52</f>
        <v>1.2999999999999999E-3</v>
      </c>
      <c r="F52" s="182">
        <f t="shared" si="14"/>
        <v>4598.4580940368796</v>
      </c>
    </row>
    <row r="53" spans="1:6" x14ac:dyDescent="0.2">
      <c r="A53" s="442" t="s">
        <v>203</v>
      </c>
      <c r="B53" s="443"/>
      <c r="C53" s="444" t="s">
        <v>134</v>
      </c>
      <c r="D53" s="443">
        <f>+D42</f>
        <v>44673.767272727266</v>
      </c>
      <c r="E53" s="445">
        <f>'2013 COP Forecast'!E53</f>
        <v>0.64610000000000001</v>
      </c>
      <c r="F53" s="446">
        <f t="shared" si="14"/>
        <v>28863.721034909086</v>
      </c>
    </row>
    <row r="54" spans="1:6" x14ac:dyDescent="0.2">
      <c r="A54" s="436" t="s">
        <v>125</v>
      </c>
      <c r="B54" s="170"/>
      <c r="C54" s="180"/>
      <c r="D54" s="183"/>
      <c r="E54" s="277"/>
      <c r="F54" s="178">
        <f>SUM(F47:F53)</f>
        <v>2893290.3177055698</v>
      </c>
    </row>
    <row r="56" spans="1:6" x14ac:dyDescent="0.2">
      <c r="A56" s="432" t="s">
        <v>133</v>
      </c>
      <c r="B56" s="188"/>
      <c r="C56" s="191"/>
      <c r="D56" s="190"/>
      <c r="E56" s="189"/>
      <c r="F56" s="188"/>
    </row>
    <row r="57" spans="1:6" x14ac:dyDescent="0.2">
      <c r="A57" s="180" t="s">
        <v>131</v>
      </c>
      <c r="B57" s="187"/>
      <c r="C57" s="186"/>
      <c r="D57" s="516">
        <v>2014</v>
      </c>
      <c r="E57" s="514"/>
      <c r="F57" s="517"/>
    </row>
    <row r="58" spans="1:6" x14ac:dyDescent="0.2">
      <c r="A58" s="434" t="str">
        <f t="shared" ref="A58:A63" si="15">A47</f>
        <v xml:space="preserve">Residential </v>
      </c>
      <c r="B58" s="183"/>
      <c r="C58" s="184"/>
      <c r="D58" s="183">
        <f t="shared" ref="D58:D63" si="16">D14+D25</f>
        <v>684479832.84737909</v>
      </c>
      <c r="E58" s="277">
        <v>4.4000000000000003E-3</v>
      </c>
      <c r="F58" s="182">
        <f t="shared" ref="F58:F64" si="17">D58*E58</f>
        <v>3011711.2645284683</v>
      </c>
    </row>
    <row r="59" spans="1:6" x14ac:dyDescent="0.2">
      <c r="A59" s="434" t="str">
        <f t="shared" si="15"/>
        <v>General Service
&lt; 50 kW</v>
      </c>
      <c r="B59" s="183"/>
      <c r="C59" s="184"/>
      <c r="D59" s="183">
        <f t="shared" si="16"/>
        <v>253709457.95762879</v>
      </c>
      <c r="E59" s="277">
        <f>+E58</f>
        <v>4.4000000000000003E-3</v>
      </c>
      <c r="F59" s="182">
        <f t="shared" si="17"/>
        <v>1116321.6150135668</v>
      </c>
    </row>
    <row r="60" spans="1:6" x14ac:dyDescent="0.2">
      <c r="A60" s="434" t="str">
        <f t="shared" si="15"/>
        <v>General Service
&gt; 50 kW</v>
      </c>
      <c r="B60" s="183"/>
      <c r="C60" s="184"/>
      <c r="D60" s="183">
        <f t="shared" si="16"/>
        <v>863567821.42506683</v>
      </c>
      <c r="E60" s="277">
        <f>+E58</f>
        <v>4.4000000000000003E-3</v>
      </c>
      <c r="F60" s="182">
        <f t="shared" si="17"/>
        <v>3799698.4142702944</v>
      </c>
    </row>
    <row r="61" spans="1:6" x14ac:dyDescent="0.2">
      <c r="A61" s="434" t="str">
        <f t="shared" si="15"/>
        <v>Large User</v>
      </c>
      <c r="B61" s="183"/>
      <c r="C61" s="184"/>
      <c r="D61" s="183">
        <f t="shared" si="16"/>
        <v>31967524.941013217</v>
      </c>
      <c r="E61" s="277">
        <f>+E58</f>
        <v>4.4000000000000003E-3</v>
      </c>
      <c r="F61" s="182">
        <f t="shared" si="17"/>
        <v>140657.10974045817</v>
      </c>
    </row>
    <row r="62" spans="1:6" x14ac:dyDescent="0.2">
      <c r="A62" s="434" t="str">
        <f t="shared" si="15"/>
        <v xml:space="preserve">Streetlights </v>
      </c>
      <c r="B62" s="183"/>
      <c r="C62" s="184"/>
      <c r="D62" s="183">
        <f t="shared" si="16"/>
        <v>16695252.057463147</v>
      </c>
      <c r="E62" s="277">
        <f>+E58</f>
        <v>4.4000000000000003E-3</v>
      </c>
      <c r="F62" s="182">
        <f t="shared" si="17"/>
        <v>73459.109052837855</v>
      </c>
    </row>
    <row r="63" spans="1:6" x14ac:dyDescent="0.2">
      <c r="A63" s="434" t="str">
        <f t="shared" si="15"/>
        <v xml:space="preserve">Unmetered Loads </v>
      </c>
      <c r="B63" s="183"/>
      <c r="C63" s="184"/>
      <c r="D63" s="183">
        <f t="shared" si="16"/>
        <v>3537275.4569514464</v>
      </c>
      <c r="E63" s="277">
        <f>+E58</f>
        <v>4.4000000000000003E-3</v>
      </c>
      <c r="F63" s="182">
        <f t="shared" si="17"/>
        <v>15564.012010586364</v>
      </c>
    </row>
    <row r="64" spans="1:6" x14ac:dyDescent="0.2">
      <c r="A64" s="435" t="s">
        <v>203</v>
      </c>
      <c r="B64" s="183"/>
      <c r="C64" s="184"/>
      <c r="D64" s="183">
        <v>0</v>
      </c>
      <c r="E64" s="277">
        <f>+E59</f>
        <v>4.4000000000000003E-3</v>
      </c>
      <c r="F64" s="182">
        <f t="shared" si="17"/>
        <v>0</v>
      </c>
    </row>
    <row r="65" spans="1:6" x14ac:dyDescent="0.2">
      <c r="A65" s="436" t="s">
        <v>125</v>
      </c>
      <c r="B65" s="170"/>
      <c r="C65" s="180"/>
      <c r="D65" s="170">
        <f>SUM(D58:D63)</f>
        <v>1853957164.6855028</v>
      </c>
      <c r="E65" s="179"/>
      <c r="F65" s="178">
        <f>SUM(F58:F64)</f>
        <v>8157411.5246162117</v>
      </c>
    </row>
    <row r="67" spans="1:6" x14ac:dyDescent="0.2">
      <c r="A67" s="432" t="s">
        <v>132</v>
      </c>
      <c r="B67" s="188"/>
      <c r="C67" s="191"/>
      <c r="D67" s="190"/>
      <c r="E67" s="189"/>
      <c r="F67" s="188"/>
    </row>
    <row r="68" spans="1:6" x14ac:dyDescent="0.2">
      <c r="A68" s="180" t="s">
        <v>131</v>
      </c>
      <c r="B68" s="187"/>
      <c r="C68" s="186"/>
      <c r="D68" s="513">
        <v>2014</v>
      </c>
      <c r="E68" s="514"/>
      <c r="F68" s="515"/>
    </row>
    <row r="69" spans="1:6" x14ac:dyDescent="0.2">
      <c r="A69" s="434" t="str">
        <f t="shared" ref="A69:A74" si="18">A58</f>
        <v xml:space="preserve">Residential </v>
      </c>
      <c r="B69" s="183"/>
      <c r="C69" s="184"/>
      <c r="D69" s="183">
        <f>D58</f>
        <v>684479832.84737909</v>
      </c>
      <c r="E69" s="277">
        <v>1.1999999999999999E-3</v>
      </c>
      <c r="F69" s="182">
        <f t="shared" ref="F69:F75" si="19">D69*E69</f>
        <v>821375.79941685486</v>
      </c>
    </row>
    <row r="70" spans="1:6" x14ac:dyDescent="0.2">
      <c r="A70" s="434" t="str">
        <f t="shared" si="18"/>
        <v>General Service
&lt; 50 kW</v>
      </c>
      <c r="B70" s="183"/>
      <c r="C70" s="184"/>
      <c r="D70" s="183">
        <f>D59</f>
        <v>253709457.95762879</v>
      </c>
      <c r="E70" s="277">
        <v>1.1999999999999999E-3</v>
      </c>
      <c r="F70" s="182">
        <f t="shared" si="19"/>
        <v>304451.34954915452</v>
      </c>
    </row>
    <row r="71" spans="1:6" x14ac:dyDescent="0.2">
      <c r="A71" s="434" t="str">
        <f t="shared" si="18"/>
        <v>General Service
&gt; 50 kW</v>
      </c>
      <c r="B71" s="183"/>
      <c r="C71" s="184"/>
      <c r="D71" s="183">
        <f>D60</f>
        <v>863567821.42506683</v>
      </c>
      <c r="E71" s="277">
        <v>1.1999999999999999E-3</v>
      </c>
      <c r="F71" s="182">
        <f t="shared" si="19"/>
        <v>1036281.3857100802</v>
      </c>
    </row>
    <row r="72" spans="1:6" x14ac:dyDescent="0.2">
      <c r="A72" s="434" t="str">
        <f t="shared" si="18"/>
        <v>Large User</v>
      </c>
      <c r="B72" s="183"/>
      <c r="C72" s="184"/>
      <c r="D72" s="183">
        <f>D61</f>
        <v>31967524.941013217</v>
      </c>
      <c r="E72" s="277">
        <v>1.1999999999999999E-3</v>
      </c>
      <c r="F72" s="182">
        <f t="shared" si="19"/>
        <v>38361.02992921586</v>
      </c>
    </row>
    <row r="73" spans="1:6" x14ac:dyDescent="0.2">
      <c r="A73" s="434" t="str">
        <f t="shared" si="18"/>
        <v xml:space="preserve">Streetlights </v>
      </c>
      <c r="B73" s="183"/>
      <c r="C73" s="184"/>
      <c r="D73" s="183">
        <f>D62</f>
        <v>16695252.057463147</v>
      </c>
      <c r="E73" s="277">
        <v>1.1999999999999999E-3</v>
      </c>
      <c r="F73" s="182">
        <f t="shared" si="19"/>
        <v>20034.302468955775</v>
      </c>
    </row>
    <row r="74" spans="1:6" x14ac:dyDescent="0.2">
      <c r="A74" s="434" t="str">
        <f t="shared" si="18"/>
        <v xml:space="preserve">Unmetered Loads </v>
      </c>
      <c r="B74" s="183"/>
      <c r="C74" s="184"/>
      <c r="D74" s="183">
        <f t="shared" ref="D74" si="20">D63</f>
        <v>3537275.4569514464</v>
      </c>
      <c r="E74" s="277">
        <v>1.1999999999999999E-3</v>
      </c>
      <c r="F74" s="182">
        <f t="shared" si="19"/>
        <v>4244.7305483417349</v>
      </c>
    </row>
    <row r="75" spans="1:6" x14ac:dyDescent="0.2">
      <c r="A75" s="435" t="s">
        <v>203</v>
      </c>
      <c r="B75" s="183"/>
      <c r="C75" s="184"/>
      <c r="D75" s="183">
        <v>0</v>
      </c>
      <c r="E75" s="277">
        <v>1.1999999999999999E-3</v>
      </c>
      <c r="F75" s="182">
        <f t="shared" si="19"/>
        <v>0</v>
      </c>
    </row>
    <row r="76" spans="1:6" x14ac:dyDescent="0.2">
      <c r="A76" s="436" t="s">
        <v>125</v>
      </c>
      <c r="B76" s="170"/>
      <c r="C76" s="180"/>
      <c r="D76" s="170">
        <f>SUM(D69:D74)</f>
        <v>1853957164.6855028</v>
      </c>
      <c r="E76" s="179"/>
      <c r="F76" s="178">
        <f>SUM(F69:F75)</f>
        <v>2224748.5976226032</v>
      </c>
    </row>
    <row r="77" spans="1:6" x14ac:dyDescent="0.2">
      <c r="A77" s="203"/>
      <c r="B77" s="201"/>
      <c r="C77" s="202"/>
      <c r="D77" s="201"/>
      <c r="E77" s="200"/>
      <c r="F77" s="302"/>
    </row>
    <row r="78" spans="1:6" x14ac:dyDescent="0.2">
      <c r="A78" s="432" t="s">
        <v>231</v>
      </c>
      <c r="B78" s="188"/>
      <c r="C78" s="191"/>
      <c r="D78" s="190"/>
      <c r="E78" s="189"/>
      <c r="F78" s="188"/>
    </row>
    <row r="79" spans="1:6" x14ac:dyDescent="0.2">
      <c r="A79" s="180" t="s">
        <v>131</v>
      </c>
      <c r="B79" s="297"/>
      <c r="C79" s="186"/>
      <c r="D79" s="513">
        <v>2014</v>
      </c>
      <c r="E79" s="514"/>
      <c r="F79" s="515"/>
    </row>
    <row r="80" spans="1:6" x14ac:dyDescent="0.2">
      <c r="A80" s="185" t="str">
        <f>A68</f>
        <v>Class per Load Forecast</v>
      </c>
      <c r="B80" s="183"/>
      <c r="C80" s="184"/>
      <c r="D80" s="183">
        <f>+'Rate Class Customer Model'!B20*12</f>
        <v>990928.59878400015</v>
      </c>
      <c r="E80" s="277">
        <v>0.79</v>
      </c>
      <c r="F80" s="182">
        <f t="shared" ref="F80:F81" si="21">D80*E80</f>
        <v>782833.59303936013</v>
      </c>
    </row>
    <row r="81" spans="1:6" x14ac:dyDescent="0.2">
      <c r="A81" s="185" t="str">
        <f>A69</f>
        <v xml:space="preserve">Residential </v>
      </c>
      <c r="B81" s="183"/>
      <c r="C81" s="184"/>
      <c r="D81" s="183">
        <f>+'Rate Class Customer Model'!C20*12</f>
        <v>93957.106435348018</v>
      </c>
      <c r="E81" s="277">
        <f>+E80</f>
        <v>0.79</v>
      </c>
      <c r="F81" s="182">
        <f t="shared" si="21"/>
        <v>74226.114083924942</v>
      </c>
    </row>
    <row r="82" spans="1:6" x14ac:dyDescent="0.2">
      <c r="A82" s="181" t="s">
        <v>125</v>
      </c>
      <c r="B82" s="170"/>
      <c r="C82" s="180"/>
      <c r="D82" s="170">
        <f>SUM(D80:D81)</f>
        <v>1084885.7052193482</v>
      </c>
      <c r="E82" s="179"/>
      <c r="F82" s="178">
        <f>SUM(F80:F81)</f>
        <v>857059.70712328504</v>
      </c>
    </row>
    <row r="83" spans="1:6" x14ac:dyDescent="0.2">
      <c r="A83" s="203"/>
      <c r="B83" s="201"/>
      <c r="C83" s="202"/>
      <c r="D83" s="201"/>
      <c r="E83" s="200"/>
      <c r="F83" s="302"/>
    </row>
    <row r="84" spans="1:6" x14ac:dyDescent="0.2">
      <c r="A84" s="176"/>
      <c r="B84" s="177">
        <v>2014</v>
      </c>
    </row>
    <row r="85" spans="1:6" x14ac:dyDescent="0.2">
      <c r="A85" s="176"/>
      <c r="B85" s="175"/>
    </row>
    <row r="86" spans="1:6" x14ac:dyDescent="0.2">
      <c r="A86" s="172" t="s">
        <v>130</v>
      </c>
      <c r="B86" s="174">
        <f>F21+F32</f>
        <v>158433923.83030158</v>
      </c>
    </row>
    <row r="87" spans="1:6" x14ac:dyDescent="0.2">
      <c r="A87" s="172" t="s">
        <v>129</v>
      </c>
      <c r="B87" s="173">
        <f>F65</f>
        <v>8157411.5246162117</v>
      </c>
    </row>
    <row r="88" spans="1:6" x14ac:dyDescent="0.2">
      <c r="A88" s="172" t="s">
        <v>128</v>
      </c>
      <c r="B88" s="173">
        <f>F43</f>
        <v>14194531.077870796</v>
      </c>
    </row>
    <row r="89" spans="1:6" x14ac:dyDescent="0.2">
      <c r="A89" s="172" t="s">
        <v>127</v>
      </c>
      <c r="B89" s="173">
        <f>F54</f>
        <v>2893290.3177055698</v>
      </c>
    </row>
    <row r="90" spans="1:6" x14ac:dyDescent="0.2">
      <c r="A90" s="172" t="s">
        <v>126</v>
      </c>
      <c r="B90" s="173">
        <f>F76</f>
        <v>2224748.5976226032</v>
      </c>
    </row>
    <row r="91" spans="1:6" x14ac:dyDescent="0.2">
      <c r="A91" s="268" t="s">
        <v>232</v>
      </c>
      <c r="B91" s="174">
        <f>+F82</f>
        <v>857059.70712328504</v>
      </c>
    </row>
    <row r="92" spans="1:6" x14ac:dyDescent="0.2">
      <c r="A92" s="171" t="s">
        <v>125</v>
      </c>
      <c r="B92" s="178">
        <f>SUM(B86:B91)</f>
        <v>186760965.05524004</v>
      </c>
    </row>
  </sheetData>
  <mergeCells count="11">
    <mergeCell ref="B12:B13"/>
    <mergeCell ref="C12:C13"/>
    <mergeCell ref="D13:F13"/>
    <mergeCell ref="B23:B24"/>
    <mergeCell ref="C23:C24"/>
    <mergeCell ref="D24:F24"/>
    <mergeCell ref="D79:F79"/>
    <mergeCell ref="D35:F35"/>
    <mergeCell ref="D46:F46"/>
    <mergeCell ref="D57:F57"/>
    <mergeCell ref="D68:F68"/>
  </mergeCells>
  <pageMargins left="0.7" right="0.18" top="0.75" bottom="0.28999999999999998" header="0.3" footer="0.17"/>
  <pageSetup scale="60" orientation="portrait" r:id="rId1"/>
  <headerFooter alignWithMargins="0"/>
  <ignoredErrors>
    <ignoredError sqref="B88:B89 B92" evalError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23" baseType="lpstr">
      <vt:lpstr>Summary</vt:lpstr>
      <vt:lpstr>Purchased Power Model </vt:lpstr>
      <vt:lpstr>Rate Class Energy Model</vt:lpstr>
      <vt:lpstr>Rate Class Customer Model</vt:lpstr>
      <vt:lpstr>Rate Class Load Model</vt:lpstr>
      <vt:lpstr>CDM Activity</vt:lpstr>
      <vt:lpstr>HDD and CDD</vt:lpstr>
      <vt:lpstr>2013 COP Forecast</vt:lpstr>
      <vt:lpstr>2014 COP Forecast</vt:lpstr>
      <vt:lpstr>CDM Forecast</vt:lpstr>
      <vt:lpstr>Exibit 3 Tables</vt:lpstr>
      <vt:lpstr>ED</vt:lpstr>
      <vt:lpstr>Chart1</vt:lpstr>
      <vt:lpstr>'2013 COP Forecast'!Print_Area</vt:lpstr>
      <vt:lpstr>'CDM Activity'!Print_Area</vt:lpstr>
      <vt:lpstr>ED!Print_Area</vt:lpstr>
      <vt:lpstr>'HDD and CDD'!Print_Area</vt:lpstr>
      <vt:lpstr>'Purchased Power Model '!Print_Area</vt:lpstr>
      <vt:lpstr>'Rate Class Customer Model'!Print_Area</vt:lpstr>
      <vt:lpstr>'Rate Class Energy Model'!Print_Area</vt:lpstr>
      <vt:lpstr>'Rate Class Load Model'!Print_Area</vt:lpstr>
      <vt:lpstr>Summary!Print_Area</vt:lpstr>
      <vt:lpstr>'Purchased Power Model '!Print_Titles</vt:lpstr>
    </vt:vector>
  </TitlesOfParts>
  <Company>London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Blakeman, Kelly</cp:lastModifiedBy>
  <cp:lastPrinted>2013-05-15T15:26:10Z</cp:lastPrinted>
  <dcterms:created xsi:type="dcterms:W3CDTF">2008-02-06T18:24:44Z</dcterms:created>
  <dcterms:modified xsi:type="dcterms:W3CDTF">2013-10-03T19:59:48Z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