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510" windowWidth="12120" windowHeight="5250" tabRatio="971" firstSheet="2" activeTab="8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3 COP Forecast" sheetId="29" r:id="rId8"/>
    <sheet name="2014 COP Forecast" sheetId="30" r:id="rId9"/>
    <sheet name="CDM Forecast" sheetId="35" r:id="rId10"/>
    <sheet name="Exibit 3 Tables" sheetId="24" r:id="rId11"/>
    <sheet name="ED" sheetId="31" r:id="rId12"/>
    <sheet name="Chart1" sheetId="26" r:id="rId13"/>
    <sheet name="IR Chart" sheetId="36" r:id="rId14"/>
    <sheet name="Third Tranche" sheetId="3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Order1" hidden="1">255</definedName>
    <definedName name="_Sort" localSheetId="7" hidden="1">[1]Sheet1!$G$40:$K$40</definedName>
    <definedName name="_Sort" localSheetId="8" hidden="1">[1]Sheet1!$G$40:$K$40</definedName>
    <definedName name="_Sort" localSheetId="5" hidden="1">[2]Sheet1!$G$40:$K$40</definedName>
    <definedName name="_Sort" localSheetId="10" hidden="1">[3]Sheet1!$G$40:$K$40</definedName>
    <definedName name="_Sort" localSheetId="6" hidden="1">#REF!</definedName>
    <definedName name="_Sort" hidden="1">[4]Sheet1!$G$40:$K$40</definedName>
    <definedName name="CAfile" localSheetId="10">[5]Refs!$B$2</definedName>
    <definedName name="CAfile">[6]Refs!$B$2</definedName>
    <definedName name="CArevReq" localSheetId="10">[5]Refs!$B$6</definedName>
    <definedName name="CArevReq">[6]Refs!$B$6</definedName>
    <definedName name="ClassRange1" localSheetId="10">[5]Refs!$B$3</definedName>
    <definedName name="ClassRange1">[6]Refs!$B$3</definedName>
    <definedName name="ClassRange2" localSheetId="10">[5]Refs!$B$4</definedName>
    <definedName name="ClassRange2">[6]Refs!$B$4</definedName>
    <definedName name="FolderPath" localSheetId="10">[5]Menu!$C$8</definedName>
    <definedName name="FolderPath">[6]Menu!$C$8</definedName>
    <definedName name="kk">#REF!</definedName>
    <definedName name="NewRevReq" localSheetId="10">[5]Refs!$B$8</definedName>
    <definedName name="NewRevReq">[6]Refs!$B$8</definedName>
    <definedName name="PAGE11" localSheetId="7">#REF!</definedName>
    <definedName name="PAGE11" localSheetId="8">#REF!</definedName>
    <definedName name="PAGE11" localSheetId="10">#REF!</definedName>
    <definedName name="PAGE11" localSheetId="6">#REF!</definedName>
    <definedName name="PAGE11">#REF!</definedName>
    <definedName name="PAGE2" localSheetId="7">[1]Sheet1!$A$1:$I$40</definedName>
    <definedName name="PAGE2" localSheetId="8">[1]Sheet1!$A$1:$I$40</definedName>
    <definedName name="PAGE2" localSheetId="5">[2]Sheet1!$A$1:$I$40</definedName>
    <definedName name="PAGE2" localSheetId="10">[3]Sheet1!$A$1:$I$40</definedName>
    <definedName name="PAGE2" localSheetId="6">#REF!</definedName>
    <definedName name="PAGE2">[4]Sheet1!$A$1:$I$40</definedName>
    <definedName name="PAGE3" localSheetId="7">#REF!</definedName>
    <definedName name="PAGE3" localSheetId="8">#REF!</definedName>
    <definedName name="PAGE3" localSheetId="10">#REF!</definedName>
    <definedName name="PAGE3" localSheetId="6">#REF!</definedName>
    <definedName name="PAGE3">#REF!</definedName>
    <definedName name="PAGE4" localSheetId="7">#REF!</definedName>
    <definedName name="PAGE4" localSheetId="8">#REF!</definedName>
    <definedName name="PAGE4" localSheetId="10">#REF!</definedName>
    <definedName name="PAGE4" localSheetId="6">#REF!</definedName>
    <definedName name="PAGE4">#REF!</definedName>
    <definedName name="PAGE7" localSheetId="7">#REF!</definedName>
    <definedName name="PAGE7" localSheetId="8">#REF!</definedName>
    <definedName name="PAGE7" localSheetId="10">#REF!</definedName>
    <definedName name="PAGE7" localSheetId="6">#REF!</definedName>
    <definedName name="PAGE7">#REF!</definedName>
    <definedName name="PAGE9" localSheetId="7">#REF!</definedName>
    <definedName name="PAGE9" localSheetId="8">#REF!</definedName>
    <definedName name="PAGE9" localSheetId="10">#REF!</definedName>
    <definedName name="PAGE9" localSheetId="6">#REF!</definedName>
    <definedName name="PAGE9">#REF!</definedName>
    <definedName name="_xlnm.Print_Area" localSheetId="7">'2013 COP Forecast'!$A$1:$F$90</definedName>
    <definedName name="_xlnm.Print_Area" localSheetId="5">'CDM Activity'!$A$1:$H$32</definedName>
    <definedName name="_xlnm.Print_Area" localSheetId="11">ED!$A$1:$C$21</definedName>
    <definedName name="_xlnm.Print_Area" localSheetId="6">'HDD and CDD'!$A$1:$W$31</definedName>
    <definedName name="_xlnm.Print_Area" localSheetId="1">'Purchased Power Model '!$A$1:$O$270</definedName>
    <definedName name="_xlnm.Print_Area" localSheetId="3">'Rate Class Customer Model'!$A$1:$H$44</definedName>
    <definedName name="_xlnm.Print_Area" localSheetId="2">'Rate Class Energy Model'!$J$78:$R$101</definedName>
    <definedName name="_xlnm.Print_Area" localSheetId="4">'Rate Class Load Model'!$A$1:$E$34</definedName>
    <definedName name="_xlnm.Print_Area" localSheetId="0">Summary!$A$1:$P$61</definedName>
    <definedName name="_xlnm.Print_Titles" localSheetId="1">'Purchased Power Model '!$2:$2</definedName>
    <definedName name="RevReqLookupKey" localSheetId="10">[5]Refs!$B$5</definedName>
    <definedName name="RevReqLookupKey">[6]Refs!$B$5</definedName>
    <definedName name="RevReqRange" localSheetId="10">[5]Refs!$B$7</definedName>
    <definedName name="RevReqRange">[6]Refs!$B$7</definedName>
  </definedNames>
  <calcPr calcId="145621"/>
</workbook>
</file>

<file path=xl/calcChain.xml><?xml version="1.0" encoding="utf-8"?>
<calcChain xmlns="http://schemas.openxmlformats.org/spreadsheetml/2006/main">
  <c r="J177" i="24" l="1"/>
  <c r="W3" i="23" l="1"/>
  <c r="X3" i="23"/>
  <c r="Y3" i="23"/>
  <c r="Z3" i="23"/>
  <c r="AA3" i="23"/>
  <c r="V3" i="23"/>
  <c r="S3" i="23"/>
  <c r="T3" i="23"/>
  <c r="U3" i="23"/>
  <c r="R3" i="23"/>
  <c r="S4" i="23" l="1"/>
  <c r="P3" i="37" l="1"/>
  <c r="P4" i="37"/>
  <c r="P6" i="37"/>
  <c r="P14" i="37"/>
  <c r="P15" i="37"/>
  <c r="P16" i="37"/>
  <c r="P25" i="37"/>
  <c r="P26" i="37"/>
  <c r="P34" i="37"/>
  <c r="P35" i="37"/>
  <c r="P43" i="37"/>
  <c r="P44" i="37"/>
  <c r="P46" i="37"/>
  <c r="P47" i="37"/>
  <c r="P48" i="37"/>
  <c r="P49" i="37"/>
  <c r="N51" i="37"/>
  <c r="M51" i="37"/>
  <c r="L51" i="37"/>
  <c r="K51" i="37"/>
  <c r="I51" i="37"/>
  <c r="H51" i="37"/>
  <c r="G51" i="37"/>
  <c r="F51" i="37"/>
  <c r="C51" i="37"/>
  <c r="B51" i="37"/>
  <c r="J49" i="37"/>
  <c r="O49" i="37" s="1"/>
  <c r="E49" i="37"/>
  <c r="D49" i="37"/>
  <c r="J48" i="37"/>
  <c r="E48" i="37"/>
  <c r="D48" i="37"/>
  <c r="O47" i="37"/>
  <c r="S47" i="37" s="1"/>
  <c r="J47" i="37"/>
  <c r="E47" i="37"/>
  <c r="D47" i="37"/>
  <c r="J46" i="37"/>
  <c r="O46" i="37" s="1"/>
  <c r="E46" i="37"/>
  <c r="D46" i="37"/>
  <c r="AI45" i="37"/>
  <c r="AJ45" i="37" s="1"/>
  <c r="J45" i="37"/>
  <c r="O45" i="37" s="1"/>
  <c r="D45" i="37"/>
  <c r="J44" i="37"/>
  <c r="O44" i="37" s="1"/>
  <c r="E44" i="37"/>
  <c r="D44" i="37"/>
  <c r="J43" i="37"/>
  <c r="O43" i="37" s="1"/>
  <c r="E43" i="37"/>
  <c r="D43" i="37"/>
  <c r="AH39" i="37"/>
  <c r="N39" i="37"/>
  <c r="M39" i="37"/>
  <c r="L39" i="37"/>
  <c r="K39" i="37"/>
  <c r="I39" i="37"/>
  <c r="H39" i="37"/>
  <c r="G39" i="37"/>
  <c r="C39" i="37"/>
  <c r="B39" i="37"/>
  <c r="O37" i="37"/>
  <c r="D37" i="37"/>
  <c r="J36" i="37"/>
  <c r="O36" i="37" s="1"/>
  <c r="D36" i="37"/>
  <c r="F35" i="37"/>
  <c r="F39" i="37" s="1"/>
  <c r="E35" i="37"/>
  <c r="J34" i="37"/>
  <c r="E34" i="37"/>
  <c r="D34" i="37"/>
  <c r="D39" i="37" s="1"/>
  <c r="AH30" i="37"/>
  <c r="AG30" i="37"/>
  <c r="AF30" i="37"/>
  <c r="AE30" i="37"/>
  <c r="AD30" i="37"/>
  <c r="AC30" i="37"/>
  <c r="AB30" i="37"/>
  <c r="AA30" i="37"/>
  <c r="Z30" i="37"/>
  <c r="Y30" i="37"/>
  <c r="N30" i="37"/>
  <c r="M30" i="37"/>
  <c r="L30" i="37"/>
  <c r="K30" i="37"/>
  <c r="I30" i="37"/>
  <c r="H30" i="37"/>
  <c r="G30" i="37"/>
  <c r="F30" i="37"/>
  <c r="C30" i="37"/>
  <c r="B30" i="37"/>
  <c r="E30" i="37" s="1"/>
  <c r="J27" i="37"/>
  <c r="O27" i="37" s="1"/>
  <c r="E27" i="37"/>
  <c r="D27" i="37"/>
  <c r="J26" i="37"/>
  <c r="O26" i="37" s="1"/>
  <c r="E26" i="37"/>
  <c r="D26" i="37"/>
  <c r="J25" i="37"/>
  <c r="E25" i="37"/>
  <c r="D25" i="37"/>
  <c r="J24" i="37"/>
  <c r="O24" i="37" s="1"/>
  <c r="D24" i="37"/>
  <c r="D30" i="37" s="1"/>
  <c r="J23" i="37"/>
  <c r="O23" i="37" s="1"/>
  <c r="D23" i="37"/>
  <c r="AH19" i="37"/>
  <c r="N19" i="37"/>
  <c r="M19" i="37"/>
  <c r="L19" i="37"/>
  <c r="K19" i="37"/>
  <c r="I19" i="37"/>
  <c r="H19" i="37"/>
  <c r="G19" i="37"/>
  <c r="F19" i="37"/>
  <c r="C19" i="37"/>
  <c r="B19" i="37"/>
  <c r="E19" i="37" s="1"/>
  <c r="D18" i="37"/>
  <c r="O17" i="37"/>
  <c r="J17" i="37"/>
  <c r="J16" i="37"/>
  <c r="O16" i="37" s="1"/>
  <c r="T16" i="37" s="1"/>
  <c r="E16" i="37"/>
  <c r="O15" i="37"/>
  <c r="AE15" i="37" s="1"/>
  <c r="AE19" i="37" s="1"/>
  <c r="J15" i="37"/>
  <c r="E15" i="37"/>
  <c r="D15" i="37"/>
  <c r="J14" i="37"/>
  <c r="O14" i="37" s="1"/>
  <c r="Q14" i="37" s="1"/>
  <c r="E14" i="37"/>
  <c r="D14" i="37"/>
  <c r="D19" i="37" s="1"/>
  <c r="AH10" i="37"/>
  <c r="AG10" i="37"/>
  <c r="AF10" i="37"/>
  <c r="N10" i="37"/>
  <c r="M10" i="37"/>
  <c r="L10" i="37"/>
  <c r="K10" i="37"/>
  <c r="I10" i="37"/>
  <c r="I57" i="37" s="1"/>
  <c r="H10" i="37"/>
  <c r="G10" i="37"/>
  <c r="C10" i="37"/>
  <c r="B10" i="37"/>
  <c r="B57" i="37" s="1"/>
  <c r="D9" i="37"/>
  <c r="J8" i="37"/>
  <c r="O8" i="37" s="1"/>
  <c r="D8" i="37"/>
  <c r="O7" i="37"/>
  <c r="J7" i="37"/>
  <c r="D7" i="37"/>
  <c r="J6" i="37"/>
  <c r="E6" i="37"/>
  <c r="J5" i="37"/>
  <c r="O5" i="37" s="1"/>
  <c r="D5" i="37"/>
  <c r="F4" i="37"/>
  <c r="F10" i="37" s="1"/>
  <c r="E4" i="37"/>
  <c r="D4" i="37"/>
  <c r="O3" i="37"/>
  <c r="AE3" i="37" s="1"/>
  <c r="AE10" i="37" s="1"/>
  <c r="J3" i="37"/>
  <c r="E3" i="37"/>
  <c r="D3" i="37"/>
  <c r="AE44" i="37" l="1"/>
  <c r="S44" i="37"/>
  <c r="AA44" i="37"/>
  <c r="Q44" i="37"/>
  <c r="Y44" i="37"/>
  <c r="AG44" i="37"/>
  <c r="W44" i="37"/>
  <c r="Q26" i="37"/>
  <c r="S26" i="37"/>
  <c r="AE46" i="37"/>
  <c r="S46" i="37"/>
  <c r="AA46" i="37"/>
  <c r="Q46" i="37"/>
  <c r="Y46" i="37"/>
  <c r="AG46" i="37"/>
  <c r="W46" i="37"/>
  <c r="W3" i="37"/>
  <c r="F57" i="37"/>
  <c r="E10" i="37"/>
  <c r="K57" i="37"/>
  <c r="S15" i="37"/>
  <c r="R16" i="37"/>
  <c r="J19" i="37"/>
  <c r="E39" i="37"/>
  <c r="Q47" i="37"/>
  <c r="G57" i="37"/>
  <c r="L57" i="37"/>
  <c r="AA15" i="37"/>
  <c r="AA19" i="37" s="1"/>
  <c r="J35" i="37"/>
  <c r="O35" i="37" s="1"/>
  <c r="D51" i="37"/>
  <c r="H57" i="37"/>
  <c r="E51" i="37"/>
  <c r="Y49" i="37"/>
  <c r="AD3" i="37"/>
  <c r="AD10" i="37" s="1"/>
  <c r="Z3" i="37"/>
  <c r="V3" i="37"/>
  <c r="R3" i="37"/>
  <c r="AC3" i="37"/>
  <c r="Y3" i="37"/>
  <c r="Q3" i="37"/>
  <c r="AB3" i="37"/>
  <c r="X3" i="37"/>
  <c r="T3" i="37"/>
  <c r="U3" i="37"/>
  <c r="AA3" i="37"/>
  <c r="O6" i="37"/>
  <c r="AF43" i="37"/>
  <c r="AB43" i="37"/>
  <c r="X43" i="37"/>
  <c r="T43" i="37"/>
  <c r="AD43" i="37"/>
  <c r="Z43" i="37"/>
  <c r="V43" i="37"/>
  <c r="R43" i="37"/>
  <c r="AA43" i="37"/>
  <c r="S43" i="37"/>
  <c r="AE43" i="37"/>
  <c r="AC43" i="37"/>
  <c r="AG43" i="37"/>
  <c r="Y43" i="37"/>
  <c r="Q43" i="37"/>
  <c r="W43" i="37"/>
  <c r="U43" i="37"/>
  <c r="M57" i="37"/>
  <c r="M63" i="37" s="1"/>
  <c r="O25" i="37"/>
  <c r="S35" i="37"/>
  <c r="Q35" i="37"/>
  <c r="R35" i="37"/>
  <c r="S3" i="37"/>
  <c r="U49" i="37"/>
  <c r="D10" i="37"/>
  <c r="U15" i="37"/>
  <c r="J30" i="37"/>
  <c r="W49" i="37"/>
  <c r="C57" i="37"/>
  <c r="C60" i="37" s="1"/>
  <c r="B60" i="37"/>
  <c r="J4" i="37"/>
  <c r="O19" i="37"/>
  <c r="W15" i="37"/>
  <c r="W19" i="37" s="1"/>
  <c r="U16" i="37"/>
  <c r="Q16" i="37"/>
  <c r="S16" i="37"/>
  <c r="S19" i="37" s="1"/>
  <c r="V16" i="37"/>
  <c r="T26" i="37"/>
  <c r="R26" i="37"/>
  <c r="R47" i="37"/>
  <c r="T47" i="37"/>
  <c r="Q49" i="37"/>
  <c r="AD49" i="37"/>
  <c r="Z49" i="37"/>
  <c r="V49" i="37"/>
  <c r="R49" i="37"/>
  <c r="AB49" i="37"/>
  <c r="X49" i="37"/>
  <c r="T49" i="37"/>
  <c r="AC49" i="37"/>
  <c r="AI14" i="37"/>
  <c r="AJ14" i="37" s="1"/>
  <c r="AF15" i="37"/>
  <c r="AF19" i="37" s="1"/>
  <c r="AB15" i="37"/>
  <c r="AB19" i="37" s="1"/>
  <c r="X15" i="37"/>
  <c r="X19" i="37" s="1"/>
  <c r="T15" i="37"/>
  <c r="T19" i="37" s="1"/>
  <c r="AD15" i="37"/>
  <c r="AD19" i="37" s="1"/>
  <c r="Z15" i="37"/>
  <c r="Z19" i="37" s="1"/>
  <c r="V15" i="37"/>
  <c r="R15" i="37"/>
  <c r="R19" i="37" s="1"/>
  <c r="AC15" i="37"/>
  <c r="AC19" i="37" s="1"/>
  <c r="O48" i="37"/>
  <c r="AE49" i="37"/>
  <c r="J10" i="37"/>
  <c r="Q15" i="37"/>
  <c r="Y15" i="37"/>
  <c r="Y19" i="37" s="1"/>
  <c r="AG15" i="37"/>
  <c r="AG19" i="37" s="1"/>
  <c r="O30" i="37"/>
  <c r="O34" i="37"/>
  <c r="J39" i="37"/>
  <c r="J51" i="37"/>
  <c r="AF44" i="37"/>
  <c r="AB44" i="37"/>
  <c r="X44" i="37"/>
  <c r="T44" i="37"/>
  <c r="AH44" i="37"/>
  <c r="AD44" i="37"/>
  <c r="Z44" i="37"/>
  <c r="V44" i="37"/>
  <c r="R44" i="37"/>
  <c r="U44" i="37"/>
  <c r="AC44" i="37"/>
  <c r="AD46" i="37"/>
  <c r="Z46" i="37"/>
  <c r="V46" i="37"/>
  <c r="R46" i="37"/>
  <c r="AF46" i="37"/>
  <c r="AB46" i="37"/>
  <c r="X46" i="37"/>
  <c r="T46" i="37"/>
  <c r="U46" i="37"/>
  <c r="AC46" i="37"/>
  <c r="S49" i="37"/>
  <c r="AA49" i="37"/>
  <c r="AI44" i="37" l="1"/>
  <c r="AJ44" i="37" s="1"/>
  <c r="D57" i="37"/>
  <c r="D60" i="37" s="1"/>
  <c r="Q19" i="37"/>
  <c r="AI26" i="37"/>
  <c r="AJ26" i="37" s="1"/>
  <c r="AI49" i="37"/>
  <c r="AJ49" i="37" s="1"/>
  <c r="AI47" i="37"/>
  <c r="AJ47" i="37" s="1"/>
  <c r="AI46" i="37"/>
  <c r="AJ46" i="37" s="1"/>
  <c r="AI15" i="37"/>
  <c r="AJ15" i="37" s="1"/>
  <c r="V19" i="37"/>
  <c r="AE48" i="37"/>
  <c r="AE51" i="37" s="1"/>
  <c r="AA48" i="37"/>
  <c r="W48" i="37"/>
  <c r="S48" i="37"/>
  <c r="S51" i="37" s="1"/>
  <c r="AG48" i="37"/>
  <c r="AG51" i="37" s="1"/>
  <c r="AC48" i="37"/>
  <c r="Y48" i="37"/>
  <c r="U48" i="37"/>
  <c r="U51" i="37" s="1"/>
  <c r="Q48" i="37"/>
  <c r="AH48" i="37"/>
  <c r="Z48" i="37"/>
  <c r="Z51" i="37" s="1"/>
  <c r="R48" i="37"/>
  <c r="R51" i="37" s="1"/>
  <c r="AD48" i="37"/>
  <c r="AD51" i="37" s="1"/>
  <c r="AB48" i="37"/>
  <c r="AF48" i="37"/>
  <c r="AF51" i="37" s="1"/>
  <c r="X48" i="37"/>
  <c r="X51" i="37" s="1"/>
  <c r="V48" i="37"/>
  <c r="V51" i="37" s="1"/>
  <c r="T48" i="37"/>
  <c r="W51" i="37"/>
  <c r="O51" i="37"/>
  <c r="AA51" i="37"/>
  <c r="AI43" i="37"/>
  <c r="AJ43" i="37" s="1"/>
  <c r="AH51" i="37"/>
  <c r="AH57" i="37" s="1"/>
  <c r="J57" i="37"/>
  <c r="E60" i="37"/>
  <c r="E57" i="37"/>
  <c r="Y51" i="37"/>
  <c r="Y6" i="37"/>
  <c r="W6" i="37"/>
  <c r="U6" i="37"/>
  <c r="Q6" i="37"/>
  <c r="S6" i="37"/>
  <c r="T6" i="37"/>
  <c r="X6" i="37"/>
  <c r="R6" i="37"/>
  <c r="V6" i="37"/>
  <c r="U19" i="37"/>
  <c r="AI19" i="37" s="1"/>
  <c r="AJ19" i="37" s="1"/>
  <c r="AB51" i="37"/>
  <c r="AE34" i="37"/>
  <c r="AE39" i="37" s="1"/>
  <c r="AA34" i="37"/>
  <c r="AA39" i="37" s="1"/>
  <c r="W34" i="37"/>
  <c r="W39" i="37" s="1"/>
  <c r="S34" i="37"/>
  <c r="S39" i="37" s="1"/>
  <c r="AG34" i="37"/>
  <c r="AG39" i="37" s="1"/>
  <c r="AC34" i="37"/>
  <c r="AC39" i="37" s="1"/>
  <c r="Y34" i="37"/>
  <c r="Y39" i="37" s="1"/>
  <c r="U34" i="37"/>
  <c r="U39" i="37" s="1"/>
  <c r="Q34" i="37"/>
  <c r="AD34" i="37"/>
  <c r="AD39" i="37" s="1"/>
  <c r="V34" i="37"/>
  <c r="V39" i="37" s="1"/>
  <c r="O39" i="37"/>
  <c r="AB34" i="37"/>
  <c r="AB39" i="37" s="1"/>
  <c r="T34" i="37"/>
  <c r="T39" i="37" s="1"/>
  <c r="Z34" i="37"/>
  <c r="Z39" i="37" s="1"/>
  <c r="R34" i="37"/>
  <c r="R39" i="37" s="1"/>
  <c r="AF34" i="37"/>
  <c r="AF39" i="37" s="1"/>
  <c r="X34" i="37"/>
  <c r="X39" i="37" s="1"/>
  <c r="O4" i="37"/>
  <c r="W25" i="37"/>
  <c r="W30" i="37" s="1"/>
  <c r="S25" i="37"/>
  <c r="S30" i="37" s="1"/>
  <c r="U25" i="37"/>
  <c r="U30" i="37" s="1"/>
  <c r="Q25" i="37"/>
  <c r="T25" i="37"/>
  <c r="T30" i="37" s="1"/>
  <c r="X25" i="37"/>
  <c r="X30" i="37" s="1"/>
  <c r="R25" i="37"/>
  <c r="R30" i="37" s="1"/>
  <c r="V25" i="37"/>
  <c r="V30" i="37" s="1"/>
  <c r="Q51" i="37"/>
  <c r="AC51" i="37"/>
  <c r="T51" i="37"/>
  <c r="AI3" i="37"/>
  <c r="AJ3" i="37" s="1"/>
  <c r="AI51" i="37" l="1"/>
  <c r="AJ51" i="37" s="1"/>
  <c r="AD57" i="37"/>
  <c r="AE57" i="37"/>
  <c r="AA4" i="37"/>
  <c r="AA10" i="37" s="1"/>
  <c r="AA57" i="37" s="1"/>
  <c r="W4" i="37"/>
  <c r="W10" i="37" s="1"/>
  <c r="W57" i="37" s="1"/>
  <c r="S4" i="37"/>
  <c r="S10" i="37" s="1"/>
  <c r="S57" i="37" s="1"/>
  <c r="Z4" i="37"/>
  <c r="Z10" i="37" s="1"/>
  <c r="R4" i="37"/>
  <c r="R10" i="37" s="1"/>
  <c r="R57" i="37" s="1"/>
  <c r="Y4" i="37"/>
  <c r="Y10" i="37" s="1"/>
  <c r="Y57" i="37" s="1"/>
  <c r="Q4" i="37"/>
  <c r="V4" i="37"/>
  <c r="V10" i="37" s="1"/>
  <c r="V57" i="37" s="1"/>
  <c r="AC4" i="37"/>
  <c r="AC10" i="37" s="1"/>
  <c r="AC57" i="37" s="1"/>
  <c r="U4" i="37"/>
  <c r="U10" i="37" s="1"/>
  <c r="U57" i="37" s="1"/>
  <c r="T4" i="37"/>
  <c r="T10" i="37" s="1"/>
  <c r="T57" i="37" s="1"/>
  <c r="X4" i="37"/>
  <c r="X10" i="37" s="1"/>
  <c r="X57" i="37" s="1"/>
  <c r="AB4" i="37"/>
  <c r="AB10" i="37" s="1"/>
  <c r="AB57" i="37" s="1"/>
  <c r="O10" i="37"/>
  <c r="O57" i="37" s="1"/>
  <c r="AG57" i="37"/>
  <c r="AF57" i="37"/>
  <c r="AI6" i="37"/>
  <c r="AJ6" i="37" s="1"/>
  <c r="Q39" i="37"/>
  <c r="AI39" i="37" s="1"/>
  <c r="AJ39" i="37" s="1"/>
  <c r="AI34" i="37"/>
  <c r="AJ34" i="37" s="1"/>
  <c r="Z57" i="37"/>
  <c r="K65" i="37"/>
  <c r="AI48" i="37"/>
  <c r="AJ48" i="37" s="1"/>
  <c r="Q30" i="37"/>
  <c r="AI30" i="37" s="1"/>
  <c r="AJ30" i="37" s="1"/>
  <c r="AI25" i="37"/>
  <c r="AJ25" i="37" s="1"/>
  <c r="AI4" i="37" l="1"/>
  <c r="AJ4" i="37" s="1"/>
  <c r="Q10" i="37"/>
  <c r="AI10" i="37" s="1"/>
  <c r="AJ10" i="37" s="1"/>
  <c r="Q57" i="37" l="1"/>
  <c r="AI57" i="37" s="1"/>
  <c r="AJ57" i="37" s="1"/>
  <c r="AA8" i="23" l="1"/>
  <c r="Z8" i="23"/>
  <c r="Y8" i="23"/>
  <c r="X8" i="23"/>
  <c r="W8" i="23"/>
  <c r="AA7" i="23"/>
  <c r="Z7" i="23"/>
  <c r="Y7" i="23"/>
  <c r="X7" i="23"/>
  <c r="W7" i="23"/>
  <c r="V7" i="23"/>
  <c r="AA6" i="23"/>
  <c r="Z6" i="23"/>
  <c r="Y6" i="23"/>
  <c r="Y11" i="23" s="1"/>
  <c r="Y15" i="23" s="1"/>
  <c r="X6" i="23"/>
  <c r="W6" i="23"/>
  <c r="V6" i="23"/>
  <c r="U6" i="23"/>
  <c r="AA5" i="23"/>
  <c r="Z5" i="23"/>
  <c r="Y5" i="23"/>
  <c r="X5" i="23"/>
  <c r="W5" i="23"/>
  <c r="V5" i="23"/>
  <c r="U5" i="23"/>
  <c r="T5" i="23"/>
  <c r="AA4" i="23"/>
  <c r="Z4" i="23"/>
  <c r="Y4" i="23"/>
  <c r="X4" i="23"/>
  <c r="W4" i="23"/>
  <c r="V4" i="23"/>
  <c r="U4" i="23"/>
  <c r="T4" i="23"/>
  <c r="R11" i="23"/>
  <c r="R15" i="23" s="1"/>
  <c r="S11" i="23"/>
  <c r="S15" i="23" s="1"/>
  <c r="T11" i="23"/>
  <c r="T15" i="23" s="1"/>
  <c r="U11" i="23"/>
  <c r="U15" i="23" s="1"/>
  <c r="V11" i="23"/>
  <c r="V15" i="23" s="1"/>
  <c r="W11" i="23"/>
  <c r="W15" i="23" s="1"/>
  <c r="X11" i="23"/>
  <c r="X15" i="23" s="1"/>
  <c r="Z11" i="23"/>
  <c r="Z15" i="23" s="1"/>
  <c r="AA11" i="23"/>
  <c r="AA15" i="23" s="1"/>
  <c r="J31" i="29" l="1"/>
  <c r="J30" i="29"/>
  <c r="I12" i="31" l="1"/>
  <c r="N56" i="11" l="1"/>
  <c r="M56" i="11"/>
  <c r="L56" i="11"/>
  <c r="K56" i="11"/>
  <c r="J56" i="11"/>
  <c r="I56" i="11"/>
  <c r="H56" i="11"/>
  <c r="G56" i="11"/>
  <c r="F56" i="11"/>
  <c r="E56" i="11"/>
  <c r="D56" i="11"/>
  <c r="C56" i="11"/>
  <c r="B56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D385" i="24"/>
  <c r="P41" i="11" l="1"/>
  <c r="O41" i="11"/>
  <c r="N41" i="11"/>
  <c r="M41" i="11"/>
  <c r="L41" i="11"/>
  <c r="K41" i="11"/>
  <c r="J41" i="11"/>
  <c r="I41" i="11"/>
  <c r="H41" i="11"/>
  <c r="G41" i="11"/>
  <c r="F41" i="11"/>
  <c r="E41" i="11"/>
  <c r="D41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N61" i="11" l="1"/>
  <c r="M61" i="11"/>
  <c r="L61" i="11"/>
  <c r="K61" i="11"/>
  <c r="J61" i="11"/>
  <c r="I61" i="11"/>
  <c r="H61" i="11"/>
  <c r="G61" i="11"/>
  <c r="F61" i="11"/>
  <c r="E61" i="11"/>
  <c r="D61" i="11"/>
  <c r="P59" i="11"/>
  <c r="O59" i="11"/>
  <c r="N59" i="11"/>
  <c r="M59" i="11"/>
  <c r="L59" i="11"/>
  <c r="E388" i="24" s="1"/>
  <c r="K59" i="11"/>
  <c r="J59" i="11"/>
  <c r="I59" i="11"/>
  <c r="H59" i="11"/>
  <c r="G59" i="11"/>
  <c r="F59" i="11"/>
  <c r="E59" i="11"/>
  <c r="D59" i="11"/>
  <c r="C59" i="11"/>
  <c r="E39" i="11"/>
  <c r="F39" i="11" s="1"/>
  <c r="G39" i="11" s="1"/>
  <c r="H39" i="11" s="1"/>
  <c r="I39" i="11" s="1"/>
  <c r="J39" i="11" s="1"/>
  <c r="K39" i="11" s="1"/>
  <c r="L39" i="11" s="1"/>
  <c r="M39" i="11" s="1"/>
  <c r="N39" i="11" s="1"/>
  <c r="O39" i="11" s="1"/>
  <c r="P39" i="11" s="1"/>
  <c r="D39" i="11"/>
  <c r="D28" i="23" l="1"/>
  <c r="G280" i="24" s="1"/>
  <c r="C28" i="23"/>
  <c r="F280" i="24" s="1"/>
  <c r="B28" i="23"/>
  <c r="E280" i="24" s="1"/>
  <c r="J218" i="24" l="1"/>
  <c r="J217" i="24"/>
  <c r="J216" i="24"/>
  <c r="J215" i="24"/>
  <c r="J214" i="24"/>
  <c r="J213" i="24"/>
  <c r="J212" i="24"/>
  <c r="J211" i="24"/>
  <c r="J210" i="24"/>
  <c r="J209" i="24"/>
  <c r="J208" i="24"/>
  <c r="E31" i="30"/>
  <c r="C31" i="30"/>
  <c r="D31" i="30" s="1"/>
  <c r="F31" i="30" s="1"/>
  <c r="E20" i="30"/>
  <c r="C20" i="30"/>
  <c r="D20" i="30" s="1"/>
  <c r="F20" i="30" s="1"/>
  <c r="F75" i="30"/>
  <c r="F64" i="30"/>
  <c r="E64" i="30"/>
  <c r="A74" i="30"/>
  <c r="A73" i="30"/>
  <c r="A72" i="30"/>
  <c r="A71" i="30"/>
  <c r="A70" i="30"/>
  <c r="A69" i="30"/>
  <c r="A63" i="30"/>
  <c r="A62" i="30"/>
  <c r="A61" i="30"/>
  <c r="A60" i="30"/>
  <c r="A59" i="30"/>
  <c r="A58" i="30"/>
  <c r="A36" i="30"/>
  <c r="A37" i="30"/>
  <c r="A38" i="30"/>
  <c r="A39" i="30"/>
  <c r="A40" i="30"/>
  <c r="A41" i="30"/>
  <c r="I201" i="24"/>
  <c r="H201" i="24"/>
  <c r="G201" i="24"/>
  <c r="F201" i="24"/>
  <c r="E201" i="24"/>
  <c r="I200" i="24"/>
  <c r="H200" i="24"/>
  <c r="G200" i="24"/>
  <c r="F200" i="24"/>
  <c r="E200" i="24"/>
  <c r="G22" i="9" l="1"/>
  <c r="G21" i="9"/>
  <c r="G20" i="9"/>
  <c r="G19" i="9"/>
  <c r="G18" i="9"/>
  <c r="G17" i="9"/>
  <c r="G16" i="9"/>
  <c r="G15" i="9"/>
  <c r="G14" i="9"/>
  <c r="G13" i="9"/>
  <c r="G12" i="9"/>
  <c r="G11" i="9"/>
  <c r="G10" i="9"/>
  <c r="B55" i="11" l="1"/>
  <c r="B60" i="11"/>
  <c r="D55" i="11"/>
  <c r="D60" i="11"/>
  <c r="F55" i="11"/>
  <c r="F60" i="11"/>
  <c r="H55" i="11"/>
  <c r="H60" i="11"/>
  <c r="J55" i="11"/>
  <c r="J60" i="11"/>
  <c r="L55" i="11"/>
  <c r="L60" i="11"/>
  <c r="N55" i="11"/>
  <c r="N60" i="11"/>
  <c r="C55" i="11"/>
  <c r="C60" i="11"/>
  <c r="E55" i="11"/>
  <c r="E60" i="11"/>
  <c r="G55" i="11"/>
  <c r="G60" i="11"/>
  <c r="I55" i="11"/>
  <c r="I60" i="11"/>
  <c r="K55" i="11"/>
  <c r="K60" i="11"/>
  <c r="M55" i="11"/>
  <c r="M60" i="11"/>
  <c r="E134" i="24"/>
  <c r="A134" i="24"/>
  <c r="H19" i="17" l="1"/>
  <c r="D201" i="24" l="1"/>
  <c r="D200" i="24"/>
  <c r="E25" i="30" l="1"/>
  <c r="E25" i="29"/>
  <c r="F4" i="30" l="1"/>
  <c r="F4" i="29"/>
  <c r="A17" i="23" l="1"/>
  <c r="N33" i="35"/>
  <c r="Q31" i="35"/>
  <c r="K31" i="35"/>
  <c r="J31" i="35"/>
  <c r="I31" i="35"/>
  <c r="H31" i="35"/>
  <c r="T30" i="35"/>
  <c r="Q30" i="35"/>
  <c r="P30" i="35"/>
  <c r="S29" i="35"/>
  <c r="Q29" i="35"/>
  <c r="T29" i="35" s="1"/>
  <c r="P29" i="35"/>
  <c r="P31" i="35" s="1"/>
  <c r="P33" i="35" s="1"/>
  <c r="P37" i="35" s="1"/>
  <c r="M26" i="35"/>
  <c r="M33" i="35" s="1"/>
  <c r="L26" i="35"/>
  <c r="T25" i="35"/>
  <c r="P25" i="35"/>
  <c r="P26" i="35" s="1"/>
  <c r="Q24" i="35"/>
  <c r="T24" i="35" s="1"/>
  <c r="P24" i="35"/>
  <c r="O21" i="35"/>
  <c r="O33" i="35" s="1"/>
  <c r="N21" i="35"/>
  <c r="M21" i="35"/>
  <c r="L21" i="35"/>
  <c r="K21" i="35"/>
  <c r="J21" i="35"/>
  <c r="I21" i="35"/>
  <c r="H21" i="35"/>
  <c r="T20" i="35"/>
  <c r="P20" i="35"/>
  <c r="P19" i="35"/>
  <c r="Q18" i="35"/>
  <c r="S18" i="35" s="1"/>
  <c r="P18" i="35"/>
  <c r="Q17" i="35"/>
  <c r="S17" i="35" s="1"/>
  <c r="P17" i="35"/>
  <c r="P21" i="35" s="1"/>
  <c r="O14" i="35"/>
  <c r="N14" i="35"/>
  <c r="M14" i="35"/>
  <c r="K14" i="35"/>
  <c r="J14" i="35"/>
  <c r="I14" i="35"/>
  <c r="H14" i="35"/>
  <c r="P13" i="35"/>
  <c r="R12" i="35"/>
  <c r="Q12" i="35"/>
  <c r="P12" i="35"/>
  <c r="Q11" i="35"/>
  <c r="R11" i="35" s="1"/>
  <c r="P11" i="35"/>
  <c r="Q10" i="35"/>
  <c r="R10" i="35" s="1"/>
  <c r="P10" i="35"/>
  <c r="R9" i="35"/>
  <c r="Q9" i="35"/>
  <c r="P9" i="35"/>
  <c r="Q8" i="35"/>
  <c r="R8" i="35" s="1"/>
  <c r="R33" i="35" s="1"/>
  <c r="P8" i="35"/>
  <c r="P14" i="35" s="1"/>
  <c r="S10" i="35" l="1"/>
  <c r="S33" i="35" s="1"/>
  <c r="Q14" i="35"/>
  <c r="T17" i="35"/>
  <c r="T33" i="35" s="1"/>
  <c r="Q21" i="35"/>
  <c r="Q26" i="35"/>
  <c r="Q33" i="35" s="1"/>
  <c r="Q37" i="35" l="1"/>
  <c r="R34" i="35"/>
  <c r="S34" i="35"/>
  <c r="T34" i="35"/>
  <c r="E63" i="30" l="1"/>
  <c r="E62" i="30"/>
  <c r="E61" i="30"/>
  <c r="E60" i="30"/>
  <c r="E59" i="30"/>
  <c r="E64" i="29" l="1"/>
  <c r="E63" i="29"/>
  <c r="E62" i="29"/>
  <c r="E61" i="29"/>
  <c r="E60" i="29"/>
  <c r="E59" i="29"/>
  <c r="D81" i="30" l="1"/>
  <c r="E81" i="30"/>
  <c r="A80" i="30"/>
  <c r="D81" i="29"/>
  <c r="E81" i="29"/>
  <c r="D42" i="30"/>
  <c r="D53" i="30" s="1"/>
  <c r="D42" i="29"/>
  <c r="F81" i="29" l="1"/>
  <c r="F81" i="30"/>
  <c r="E11" i="31" l="1"/>
  <c r="G11" i="31" s="1"/>
  <c r="I11" i="31" s="1"/>
  <c r="E258" i="24" l="1"/>
  <c r="P41" i="9"/>
  <c r="P40" i="9"/>
  <c r="P39" i="9"/>
  <c r="P38" i="9"/>
  <c r="P37" i="9"/>
  <c r="P36" i="9"/>
  <c r="P35" i="9"/>
  <c r="O35" i="9"/>
  <c r="O47" i="9"/>
  <c r="O46" i="9"/>
  <c r="O45" i="9"/>
  <c r="O44" i="9"/>
  <c r="O43" i="9"/>
  <c r="O42" i="9"/>
  <c r="O41" i="9"/>
  <c r="O40" i="9"/>
  <c r="O39" i="9"/>
  <c r="O38" i="9"/>
  <c r="O37" i="9"/>
  <c r="O36" i="9"/>
  <c r="O55" i="9" s="1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P58" i="9" l="1"/>
  <c r="P55" i="9"/>
  <c r="P59" i="9"/>
  <c r="P56" i="9"/>
  <c r="P60" i="9"/>
  <c r="P57" i="9"/>
  <c r="D57" i="18"/>
  <c r="C57" i="18"/>
  <c r="C58" i="18" s="1"/>
  <c r="O80" i="9" s="1"/>
  <c r="G248" i="24" s="1"/>
  <c r="E47" i="30" l="1"/>
  <c r="E48" i="30"/>
  <c r="E49" i="30"/>
  <c r="E50" i="30"/>
  <c r="E51" i="30"/>
  <c r="E52" i="30"/>
  <c r="E53" i="30"/>
  <c r="E36" i="30"/>
  <c r="E37" i="30"/>
  <c r="E38" i="30"/>
  <c r="E39" i="30"/>
  <c r="E40" i="30"/>
  <c r="E41" i="30"/>
  <c r="E42" i="30"/>
  <c r="D2" i="30" l="1"/>
  <c r="D3" i="30"/>
  <c r="D4" i="30"/>
  <c r="B42" i="17" l="1"/>
  <c r="C15" i="30" l="1"/>
  <c r="C16" i="30"/>
  <c r="C17" i="30"/>
  <c r="C18" i="30"/>
  <c r="C19" i="30"/>
  <c r="C14" i="30"/>
  <c r="E15" i="29"/>
  <c r="E15" i="30" s="1"/>
  <c r="E14" i="30"/>
  <c r="E26" i="29"/>
  <c r="E27" i="29" s="1"/>
  <c r="E28" i="29" s="1"/>
  <c r="E29" i="29" s="1"/>
  <c r="E30" i="29" s="1"/>
  <c r="E31" i="29" s="1"/>
  <c r="A64" i="29"/>
  <c r="A75" i="29" s="1"/>
  <c r="C31" i="29"/>
  <c r="B20" i="29"/>
  <c r="B31" i="29" s="1"/>
  <c r="A20" i="29"/>
  <c r="A31" i="29" s="1"/>
  <c r="I30" i="17"/>
  <c r="I31" i="17"/>
  <c r="I32" i="17"/>
  <c r="I42" i="17" s="1"/>
  <c r="I40" i="17" s="1"/>
  <c r="I33" i="17"/>
  <c r="I34" i="17"/>
  <c r="I35" i="17"/>
  <c r="I36" i="17"/>
  <c r="I37" i="17"/>
  <c r="I38" i="17"/>
  <c r="I29" i="17"/>
  <c r="D20" i="29" l="1"/>
  <c r="E16" i="29"/>
  <c r="D31" i="29"/>
  <c r="D64" i="29" l="1"/>
  <c r="E17" i="29"/>
  <c r="E16" i="30"/>
  <c r="F31" i="29"/>
  <c r="F64" i="29"/>
  <c r="D75" i="29"/>
  <c r="F75" i="29" s="1"/>
  <c r="E17" i="30" l="1"/>
  <c r="E18" i="29"/>
  <c r="E18" i="30" l="1"/>
  <c r="E19" i="29"/>
  <c r="E20" i="29" l="1"/>
  <c r="F20" i="29" s="1"/>
  <c r="E19" i="30"/>
  <c r="E26" i="30" l="1"/>
  <c r="E27" i="30" s="1"/>
  <c r="E28" i="30" s="1"/>
  <c r="E29" i="30" s="1"/>
  <c r="E30" i="30" s="1"/>
  <c r="F42" i="30" l="1"/>
  <c r="F42" i="29"/>
  <c r="F53" i="30" l="1"/>
  <c r="D53" i="29"/>
  <c r="F53" i="29" s="1"/>
  <c r="C20" i="31" l="1"/>
  <c r="B20" i="31"/>
  <c r="C18" i="31" l="1"/>
  <c r="B18" i="31"/>
  <c r="D194" i="19"/>
  <c r="O98" i="19" l="1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L87" i="9" l="1"/>
  <c r="M87" i="9" l="1"/>
  <c r="J295" i="19"/>
  <c r="J311" i="19" s="1"/>
  <c r="I295" i="19"/>
  <c r="I311" i="19" s="1"/>
  <c r="J294" i="19"/>
  <c r="J310" i="19" s="1"/>
  <c r="I294" i="19"/>
  <c r="I310" i="19" s="1"/>
  <c r="J293" i="19"/>
  <c r="J309" i="19" s="1"/>
  <c r="I293" i="19"/>
  <c r="I309" i="19" s="1"/>
  <c r="J292" i="19"/>
  <c r="J308" i="19" s="1"/>
  <c r="I292" i="19"/>
  <c r="I308" i="19" s="1"/>
  <c r="J291" i="19"/>
  <c r="J307" i="19" s="1"/>
  <c r="I291" i="19"/>
  <c r="I307" i="19" s="1"/>
  <c r="J290" i="19"/>
  <c r="J306" i="19" s="1"/>
  <c r="I290" i="19"/>
  <c r="I306" i="19" s="1"/>
  <c r="J289" i="19"/>
  <c r="J305" i="19" s="1"/>
  <c r="I289" i="19"/>
  <c r="I305" i="19" s="1"/>
  <c r="J288" i="19"/>
  <c r="J304" i="19" s="1"/>
  <c r="I288" i="19"/>
  <c r="I304" i="19" s="1"/>
  <c r="J287" i="19"/>
  <c r="J303" i="19" s="1"/>
  <c r="I287" i="19"/>
  <c r="I303" i="19" s="1"/>
  <c r="J286" i="19"/>
  <c r="J302" i="19" s="1"/>
  <c r="I286" i="19"/>
  <c r="I302" i="19" s="1"/>
  <c r="J285" i="19"/>
  <c r="J301" i="19" s="1"/>
  <c r="I285" i="19"/>
  <c r="I301" i="19" s="1"/>
  <c r="J284" i="19"/>
  <c r="J300" i="19" s="1"/>
  <c r="I284" i="19"/>
  <c r="I300" i="19" s="1"/>
  <c r="E67" i="19" l="1"/>
  <c r="E66" i="19"/>
  <c r="E194" i="19" l="1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G32" i="17" l="1"/>
  <c r="G31" i="17"/>
  <c r="G30" i="17"/>
  <c r="G29" i="17"/>
  <c r="G28" i="17"/>
  <c r="G27" i="17"/>
  <c r="I28" i="24" l="1"/>
  <c r="H28" i="24"/>
  <c r="G28" i="24"/>
  <c r="F28" i="24"/>
  <c r="E28" i="24"/>
  <c r="D28" i="24"/>
  <c r="F320" i="24" l="1"/>
  <c r="E320" i="24"/>
  <c r="D320" i="24"/>
  <c r="A242" i="24"/>
  <c r="A241" i="24"/>
  <c r="A176" i="24"/>
  <c r="A194" i="24" s="1"/>
  <c r="A218" i="24" s="1"/>
  <c r="A235" i="24" s="1"/>
  <c r="A320" i="24" s="1"/>
  <c r="A337" i="24" s="1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I176" i="24"/>
  <c r="H176" i="24"/>
  <c r="G176" i="24"/>
  <c r="F176" i="24"/>
  <c r="E176" i="24"/>
  <c r="D176" i="24"/>
  <c r="N36" i="11"/>
  <c r="I42" i="24" s="1"/>
  <c r="M36" i="11"/>
  <c r="L36" i="11"/>
  <c r="K36" i="11"/>
  <c r="J36" i="11"/>
  <c r="E380" i="24" l="1"/>
  <c r="G380" i="24"/>
  <c r="F380" i="24"/>
  <c r="G320" i="24"/>
  <c r="J176" i="24"/>
  <c r="I36" i="11"/>
  <c r="H36" i="11"/>
  <c r="G36" i="11"/>
  <c r="F36" i="11"/>
  <c r="E36" i="11"/>
  <c r="D36" i="11"/>
  <c r="C36" i="11"/>
  <c r="B36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E370" i="24" l="1"/>
  <c r="F370" i="24"/>
  <c r="E375" i="24"/>
  <c r="G370" i="24"/>
  <c r="G42" i="24"/>
  <c r="F375" i="24"/>
  <c r="G375" i="24"/>
  <c r="H42" i="24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C34" i="18" l="1"/>
  <c r="D337" i="24"/>
  <c r="E337" i="24"/>
  <c r="F337" i="24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I50" i="11" l="1"/>
  <c r="I45" i="11"/>
  <c r="M50" i="11"/>
  <c r="F389" i="24" s="1"/>
  <c r="M45" i="11"/>
  <c r="B45" i="11"/>
  <c r="F45" i="11"/>
  <c r="J45" i="11"/>
  <c r="N45" i="11"/>
  <c r="E50" i="11"/>
  <c r="E45" i="11"/>
  <c r="C50" i="11"/>
  <c r="C45" i="11"/>
  <c r="G50" i="11"/>
  <c r="G45" i="11"/>
  <c r="K50" i="11"/>
  <c r="K45" i="11"/>
  <c r="D45" i="11"/>
  <c r="H45" i="11"/>
  <c r="L45" i="11"/>
  <c r="F50" i="11"/>
  <c r="J50" i="11"/>
  <c r="N50" i="11"/>
  <c r="G389" i="24" s="1"/>
  <c r="D50" i="11"/>
  <c r="H50" i="11"/>
  <c r="L50" i="11"/>
  <c r="E389" i="24" s="1"/>
  <c r="E357" i="24"/>
  <c r="F357" i="24"/>
  <c r="E361" i="24"/>
  <c r="G361" i="24"/>
  <c r="E42" i="24"/>
  <c r="F365" i="24"/>
  <c r="G365" i="24"/>
  <c r="F42" i="24"/>
  <c r="G357" i="24"/>
  <c r="D42" i="24"/>
  <c r="F361" i="24"/>
  <c r="E365" i="24"/>
  <c r="F26" i="17"/>
  <c r="G384" i="24" l="1"/>
  <c r="E384" i="24"/>
  <c r="F384" i="24"/>
  <c r="J42" i="24"/>
  <c r="B11" i="23" l="1"/>
  <c r="E267" i="24" s="1"/>
  <c r="B10" i="23"/>
  <c r="B9" i="23"/>
  <c r="B8" i="23"/>
  <c r="B7" i="23"/>
  <c r="B6" i="23"/>
  <c r="B5" i="23"/>
  <c r="B4" i="23"/>
  <c r="B3" i="23"/>
  <c r="C11" i="23"/>
  <c r="C10" i="23"/>
  <c r="C9" i="23"/>
  <c r="C8" i="23"/>
  <c r="C7" i="23"/>
  <c r="F7" i="23" s="1"/>
  <c r="C6" i="23"/>
  <c r="H111" i="24" s="1"/>
  <c r="C5" i="23"/>
  <c r="G111" i="24" s="1"/>
  <c r="C4" i="23"/>
  <c r="F111" i="24" s="1"/>
  <c r="C3" i="23"/>
  <c r="E111" i="24" s="1"/>
  <c r="F6" i="23"/>
  <c r="C2" i="23"/>
  <c r="F4" i="23" l="1"/>
  <c r="D4" i="23"/>
  <c r="D6" i="23"/>
  <c r="D8" i="23"/>
  <c r="D10" i="23"/>
  <c r="D5" i="23"/>
  <c r="D7" i="23"/>
  <c r="D9" i="23"/>
  <c r="C12" i="23"/>
  <c r="D111" i="24"/>
  <c r="F258" i="24"/>
  <c r="G258" i="24" s="1"/>
  <c r="H258" i="24" s="1"/>
  <c r="H113" i="24"/>
  <c r="F267" i="24"/>
  <c r="G267" i="24" s="1"/>
  <c r="H267" i="24" s="1"/>
  <c r="D2" i="23"/>
  <c r="F2" i="23"/>
  <c r="F3" i="23"/>
  <c r="F5" i="23"/>
  <c r="B12" i="23"/>
  <c r="E259" i="24"/>
  <c r="D11" i="23"/>
  <c r="A23" i="9"/>
  <c r="A24" i="9"/>
  <c r="E2" i="23" l="1"/>
  <c r="G17" i="17"/>
  <c r="G18" i="17"/>
  <c r="H18" i="17" l="1"/>
  <c r="H17" i="17"/>
  <c r="J17" i="17" l="1"/>
  <c r="J18" i="17"/>
  <c r="F2" i="17"/>
  <c r="A84" i="24"/>
  <c r="A104" i="24" s="1"/>
  <c r="A42" i="24"/>
  <c r="A62" i="24" s="1"/>
  <c r="A43" i="24"/>
  <c r="D27" i="23"/>
  <c r="C27" i="23"/>
  <c r="B27" i="23"/>
  <c r="A27" i="23"/>
  <c r="F8" i="23" s="1"/>
  <c r="F11" i="23" l="1"/>
  <c r="H116" i="24"/>
  <c r="F10" i="23"/>
  <c r="G116" i="24"/>
  <c r="F9" i="23"/>
  <c r="F116" i="24"/>
  <c r="A21" i="23"/>
  <c r="B21" i="23"/>
  <c r="C21" i="23"/>
  <c r="D21" i="23"/>
  <c r="B22" i="23"/>
  <c r="E274" i="24" s="1"/>
  <c r="C22" i="23"/>
  <c r="F274" i="24" s="1"/>
  <c r="D22" i="23"/>
  <c r="G274" i="24" s="1"/>
  <c r="E22" i="23" l="1"/>
  <c r="E21" i="23"/>
  <c r="E18" i="27"/>
  <c r="C23" i="23" l="1"/>
  <c r="F275" i="24" s="1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U19" i="27"/>
  <c r="T19" i="27"/>
  <c r="S19" i="27"/>
  <c r="Q19" i="27"/>
  <c r="R19" i="27"/>
  <c r="P19" i="27"/>
  <c r="O19" i="27"/>
  <c r="N19" i="27"/>
  <c r="M19" i="27"/>
  <c r="L19" i="27"/>
  <c r="K19" i="27"/>
  <c r="J19" i="27"/>
  <c r="I19" i="27"/>
  <c r="H19" i="27"/>
  <c r="G19" i="27"/>
  <c r="F19" i="27"/>
  <c r="U16" i="27" l="1"/>
  <c r="U15" i="27"/>
  <c r="U14" i="27"/>
  <c r="U13" i="27"/>
  <c r="U12" i="27"/>
  <c r="U11" i="27"/>
  <c r="U10" i="27"/>
  <c r="U9" i="27"/>
  <c r="U8" i="27"/>
  <c r="U7" i="27"/>
  <c r="U6" i="27"/>
  <c r="U5" i="27"/>
  <c r="T16" i="27"/>
  <c r="T15" i="27"/>
  <c r="T14" i="27"/>
  <c r="T13" i="27"/>
  <c r="T12" i="27"/>
  <c r="T11" i="27"/>
  <c r="T10" i="27"/>
  <c r="T9" i="27"/>
  <c r="T8" i="27"/>
  <c r="T7" i="27"/>
  <c r="T6" i="27"/>
  <c r="T5" i="27"/>
  <c r="S16" i="27"/>
  <c r="S15" i="27"/>
  <c r="S14" i="27"/>
  <c r="S13" i="27"/>
  <c r="S12" i="27"/>
  <c r="S11" i="27"/>
  <c r="S10" i="27"/>
  <c r="S9" i="27"/>
  <c r="S8" i="27"/>
  <c r="S7" i="27"/>
  <c r="S6" i="27"/>
  <c r="S5" i="27"/>
  <c r="R16" i="27"/>
  <c r="R15" i="27"/>
  <c r="R14" i="27"/>
  <c r="R13" i="27"/>
  <c r="R12" i="27"/>
  <c r="R11" i="27"/>
  <c r="R10" i="27"/>
  <c r="R9" i="27"/>
  <c r="R8" i="27"/>
  <c r="R7" i="27"/>
  <c r="R6" i="27"/>
  <c r="R5" i="27"/>
  <c r="Q16" i="27"/>
  <c r="Q15" i="27"/>
  <c r="Q14" i="27"/>
  <c r="Q13" i="27"/>
  <c r="Q12" i="27"/>
  <c r="Q11" i="27"/>
  <c r="Q10" i="27"/>
  <c r="Q9" i="27"/>
  <c r="Q8" i="27"/>
  <c r="Q7" i="27"/>
  <c r="Q6" i="27"/>
  <c r="Q5" i="27"/>
  <c r="P16" i="27"/>
  <c r="P15" i="27"/>
  <c r="P14" i="27"/>
  <c r="P13" i="27"/>
  <c r="P12" i="27"/>
  <c r="P11" i="27"/>
  <c r="P10" i="27"/>
  <c r="P9" i="27"/>
  <c r="P8" i="27"/>
  <c r="P7" i="27"/>
  <c r="P6" i="27"/>
  <c r="P5" i="27"/>
  <c r="O16" i="27"/>
  <c r="O15" i="27"/>
  <c r="O14" i="27"/>
  <c r="O13" i="27"/>
  <c r="O12" i="27"/>
  <c r="O11" i="27"/>
  <c r="O10" i="27"/>
  <c r="O9" i="27"/>
  <c r="O8" i="27"/>
  <c r="O7" i="27"/>
  <c r="O6" i="27"/>
  <c r="O5" i="27"/>
  <c r="N16" i="27"/>
  <c r="N15" i="27"/>
  <c r="N14" i="27"/>
  <c r="N13" i="27"/>
  <c r="N12" i="27"/>
  <c r="N11" i="27"/>
  <c r="N10" i="27"/>
  <c r="N9" i="27"/>
  <c r="N8" i="27"/>
  <c r="N7" i="27"/>
  <c r="N6" i="27"/>
  <c r="N5" i="27"/>
  <c r="M16" i="27"/>
  <c r="M15" i="27"/>
  <c r="M14" i="27"/>
  <c r="M13" i="27"/>
  <c r="M12" i="27"/>
  <c r="M11" i="27"/>
  <c r="M10" i="27"/>
  <c r="M9" i="27"/>
  <c r="M8" i="27"/>
  <c r="M7" i="27"/>
  <c r="M6" i="27"/>
  <c r="M5" i="27"/>
  <c r="L16" i="27"/>
  <c r="L15" i="27"/>
  <c r="L14" i="27"/>
  <c r="L13" i="27"/>
  <c r="L12" i="27"/>
  <c r="L11" i="27"/>
  <c r="L10" i="27"/>
  <c r="L9" i="27"/>
  <c r="L8" i="27"/>
  <c r="L7" i="27"/>
  <c r="L6" i="27"/>
  <c r="L5" i="27"/>
  <c r="K16" i="27"/>
  <c r="K15" i="27"/>
  <c r="K14" i="27"/>
  <c r="K13" i="27"/>
  <c r="K12" i="27"/>
  <c r="K11" i="27"/>
  <c r="K10" i="27"/>
  <c r="K9" i="27"/>
  <c r="K8" i="27"/>
  <c r="K7" i="27"/>
  <c r="K6" i="27"/>
  <c r="K5" i="27"/>
  <c r="J16" i="27"/>
  <c r="J15" i="27"/>
  <c r="J14" i="27"/>
  <c r="J13" i="27"/>
  <c r="J12" i="27"/>
  <c r="J11" i="27"/>
  <c r="J10" i="27"/>
  <c r="J9" i="27"/>
  <c r="J8" i="27"/>
  <c r="J7" i="27"/>
  <c r="J6" i="27"/>
  <c r="J5" i="27"/>
  <c r="I16" i="27"/>
  <c r="I15" i="27"/>
  <c r="I14" i="27"/>
  <c r="I13" i="27"/>
  <c r="I12" i="27"/>
  <c r="I11" i="27"/>
  <c r="I10" i="27"/>
  <c r="I9" i="27"/>
  <c r="I8" i="27"/>
  <c r="I7" i="27"/>
  <c r="I6" i="27"/>
  <c r="I5" i="27"/>
  <c r="H16" i="27"/>
  <c r="H15" i="27"/>
  <c r="H14" i="27"/>
  <c r="H13" i="27"/>
  <c r="H12" i="27"/>
  <c r="H11" i="27"/>
  <c r="H10" i="27"/>
  <c r="H9" i="27"/>
  <c r="H8" i="27"/>
  <c r="H7" i="27"/>
  <c r="H6" i="27"/>
  <c r="H5" i="27"/>
  <c r="G16" i="27"/>
  <c r="G15" i="27"/>
  <c r="G14" i="27"/>
  <c r="G13" i="27"/>
  <c r="G12" i="27"/>
  <c r="G11" i="27"/>
  <c r="G10" i="27"/>
  <c r="G9" i="27"/>
  <c r="G8" i="27"/>
  <c r="G7" i="27"/>
  <c r="G6" i="27"/>
  <c r="G5" i="27"/>
  <c r="F16" i="27"/>
  <c r="F15" i="27"/>
  <c r="F14" i="27"/>
  <c r="F13" i="27"/>
  <c r="F12" i="27"/>
  <c r="F11" i="27"/>
  <c r="F10" i="27"/>
  <c r="F9" i="27"/>
  <c r="F8" i="27"/>
  <c r="F7" i="27"/>
  <c r="F6" i="27"/>
  <c r="F5" i="27"/>
  <c r="F195" i="19" l="1"/>
  <c r="F207" i="19" l="1"/>
  <c r="F197" i="19"/>
  <c r="F199" i="19"/>
  <c r="F201" i="19"/>
  <c r="F203" i="19"/>
  <c r="F205" i="19"/>
  <c r="G195" i="19"/>
  <c r="G197" i="19"/>
  <c r="G209" i="19" s="1"/>
  <c r="G203" i="19"/>
  <c r="G215" i="19" s="1"/>
  <c r="G199" i="19"/>
  <c r="G211" i="19" s="1"/>
  <c r="G201" i="19"/>
  <c r="G213" i="19" s="1"/>
  <c r="F196" i="19"/>
  <c r="F198" i="19"/>
  <c r="F200" i="19"/>
  <c r="F202" i="19"/>
  <c r="F204" i="19"/>
  <c r="F206" i="19"/>
  <c r="G198" i="19"/>
  <c r="G210" i="19" s="1"/>
  <c r="G200" i="19"/>
  <c r="G212" i="19" s="1"/>
  <c r="G206" i="19"/>
  <c r="G218" i="19" s="1"/>
  <c r="G196" i="19"/>
  <c r="G208" i="19" s="1"/>
  <c r="G202" i="19"/>
  <c r="G214" i="19" s="1"/>
  <c r="G204" i="19"/>
  <c r="G216" i="19" s="1"/>
  <c r="F216" i="19" l="1"/>
  <c r="F208" i="19"/>
  <c r="F213" i="19"/>
  <c r="F214" i="19"/>
  <c r="F211" i="19"/>
  <c r="F212" i="19"/>
  <c r="F217" i="19"/>
  <c r="F209" i="19"/>
  <c r="F218" i="19"/>
  <c r="F215" i="19"/>
  <c r="G207" i="19"/>
  <c r="G205" i="19"/>
  <c r="G217" i="19" s="1"/>
  <c r="F210" i="19"/>
  <c r="C52" i="30" l="1"/>
  <c r="C51" i="30"/>
  <c r="C50" i="30"/>
  <c r="C49" i="30"/>
  <c r="C48" i="30"/>
  <c r="C47" i="30"/>
  <c r="C30" i="30"/>
  <c r="C29" i="30"/>
  <c r="C27" i="30"/>
  <c r="C26" i="30"/>
  <c r="C25" i="30"/>
  <c r="A50" i="30"/>
  <c r="A49" i="30"/>
  <c r="A48" i="30"/>
  <c r="A47" i="30"/>
  <c r="A81" i="30" s="1"/>
  <c r="C48" i="29"/>
  <c r="C49" i="29"/>
  <c r="C50" i="29"/>
  <c r="C51" i="29"/>
  <c r="C52" i="29"/>
  <c r="C47" i="29"/>
  <c r="C26" i="29"/>
  <c r="C27" i="29"/>
  <c r="C29" i="29"/>
  <c r="C30" i="29"/>
  <c r="A5" i="29"/>
  <c r="A17" i="29" s="1"/>
  <c r="A28" i="29" s="1"/>
  <c r="A39" i="29" s="1"/>
  <c r="A50" i="29" s="1"/>
  <c r="A61" i="29" s="1"/>
  <c r="A72" i="29" s="1"/>
  <c r="A4" i="29"/>
  <c r="A16" i="29" s="1"/>
  <c r="A27" i="29" s="1"/>
  <c r="A38" i="29" s="1"/>
  <c r="A49" i="29" s="1"/>
  <c r="A60" i="29" s="1"/>
  <c r="A71" i="29" s="1"/>
  <c r="A3" i="29"/>
  <c r="A15" i="29" s="1"/>
  <c r="A26" i="29" s="1"/>
  <c r="A37" i="29" s="1"/>
  <c r="A48" i="29" s="1"/>
  <c r="A59" i="29" s="1"/>
  <c r="A70" i="29" s="1"/>
  <c r="A81" i="29" s="1"/>
  <c r="A2" i="29"/>
  <c r="A14" i="29" s="1"/>
  <c r="A25" i="29" s="1"/>
  <c r="A36" i="29" s="1"/>
  <c r="A47" i="29" s="1"/>
  <c r="A58" i="29" s="1"/>
  <c r="A69" i="29" s="1"/>
  <c r="A80" i="29" s="1"/>
  <c r="E4" i="23"/>
  <c r="E5" i="23"/>
  <c r="E6" i="23"/>
  <c r="E7" i="23"/>
  <c r="E8" i="23"/>
  <c r="E9" i="23"/>
  <c r="E10" i="23"/>
  <c r="E11" i="23"/>
  <c r="C38" i="17"/>
  <c r="D38" i="17"/>
  <c r="E38" i="17"/>
  <c r="F38" i="17"/>
  <c r="G38" i="17"/>
  <c r="B38" i="17"/>
  <c r="E237" i="19"/>
  <c r="N4" i="11" s="1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B9" i="9" s="1"/>
  <c r="E223" i="19"/>
  <c r="B8" i="9" s="1"/>
  <c r="E222" i="19"/>
  <c r="B7" i="9" s="1"/>
  <c r="G350" i="24" l="1"/>
  <c r="N70" i="11"/>
  <c r="B20" i="9"/>
  <c r="L4" i="11"/>
  <c r="E350" i="24" s="1"/>
  <c r="B21" i="9"/>
  <c r="M4" i="11"/>
  <c r="F350" i="24" s="1"/>
  <c r="B19" i="9"/>
  <c r="K4" i="11"/>
  <c r="B11" i="9"/>
  <c r="C4" i="11"/>
  <c r="B16" i="9"/>
  <c r="H4" i="11"/>
  <c r="B10" i="9"/>
  <c r="B4" i="11"/>
  <c r="B14" i="9"/>
  <c r="F4" i="11"/>
  <c r="B18" i="9"/>
  <c r="J4" i="11"/>
  <c r="B15" i="9"/>
  <c r="G4" i="11"/>
  <c r="B12" i="9"/>
  <c r="D4" i="11"/>
  <c r="B13" i="9"/>
  <c r="E4" i="11"/>
  <c r="B17" i="9"/>
  <c r="I4" i="11"/>
  <c r="E241" i="19"/>
  <c r="B22" i="9"/>
  <c r="F22" i="9" s="1"/>
  <c r="C25" i="29"/>
  <c r="W30" i="27"/>
  <c r="C311" i="19" s="1"/>
  <c r="W29" i="27"/>
  <c r="C310" i="19" s="1"/>
  <c r="W28" i="27"/>
  <c r="C309" i="19" s="1"/>
  <c r="W27" i="27"/>
  <c r="C308" i="19" s="1"/>
  <c r="W26" i="27"/>
  <c r="C307" i="19" s="1"/>
  <c r="W25" i="27"/>
  <c r="C306" i="19" s="1"/>
  <c r="W24" i="27"/>
  <c r="C305" i="19" s="1"/>
  <c r="W23" i="27"/>
  <c r="C304" i="19" s="1"/>
  <c r="W22" i="27"/>
  <c r="C303" i="19" s="1"/>
  <c r="W21" i="27"/>
  <c r="C302" i="19" s="1"/>
  <c r="W20" i="27"/>
  <c r="C301" i="19" s="1"/>
  <c r="W19" i="27"/>
  <c r="C300" i="19" s="1"/>
  <c r="W6" i="27"/>
  <c r="B301" i="19" s="1"/>
  <c r="W7" i="27"/>
  <c r="B302" i="19" s="1"/>
  <c r="W8" i="27"/>
  <c r="B303" i="19" s="1"/>
  <c r="W9" i="27"/>
  <c r="B304" i="19" s="1"/>
  <c r="W10" i="27"/>
  <c r="B305" i="19" s="1"/>
  <c r="W11" i="27"/>
  <c r="B306" i="19" s="1"/>
  <c r="W12" i="27"/>
  <c r="B307" i="19" s="1"/>
  <c r="W13" i="27"/>
  <c r="B308" i="19" s="1"/>
  <c r="W14" i="27"/>
  <c r="B309" i="19" s="1"/>
  <c r="W15" i="27"/>
  <c r="B310" i="19" s="1"/>
  <c r="W16" i="27"/>
  <c r="B311" i="19" s="1"/>
  <c r="W5" i="27"/>
  <c r="B300" i="19" s="1"/>
  <c r="V29" i="27"/>
  <c r="C294" i="19" s="1"/>
  <c r="V25" i="27"/>
  <c r="C290" i="19" s="1"/>
  <c r="V21" i="27"/>
  <c r="C286" i="19" s="1"/>
  <c r="V7" i="27"/>
  <c r="B286" i="19" s="1"/>
  <c r="V11" i="27"/>
  <c r="B290" i="19" s="1"/>
  <c r="V15" i="27"/>
  <c r="B294" i="19" s="1"/>
  <c r="U18" i="27"/>
  <c r="V30" i="27"/>
  <c r="C295" i="19" s="1"/>
  <c r="V28" i="27"/>
  <c r="C293" i="19" s="1"/>
  <c r="V27" i="27"/>
  <c r="C292" i="19" s="1"/>
  <c r="V24" i="27"/>
  <c r="C289" i="19" s="1"/>
  <c r="V23" i="27"/>
  <c r="C288" i="19" s="1"/>
  <c r="V22" i="27"/>
  <c r="C287" i="19" s="1"/>
  <c r="V19" i="27"/>
  <c r="C284" i="19" s="1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D18" i="27"/>
  <c r="C18" i="27"/>
  <c r="B18" i="27"/>
  <c r="V16" i="27"/>
  <c r="B295" i="19" s="1"/>
  <c r="V14" i="27"/>
  <c r="B293" i="19" s="1"/>
  <c r="V13" i="27"/>
  <c r="B292" i="19" s="1"/>
  <c r="V12" i="27"/>
  <c r="B291" i="19" s="1"/>
  <c r="V10" i="27"/>
  <c r="B289" i="19" s="1"/>
  <c r="V9" i="27"/>
  <c r="B288" i="19" s="1"/>
  <c r="V8" i="27"/>
  <c r="B287" i="19" s="1"/>
  <c r="V6" i="27"/>
  <c r="B285" i="19" s="1"/>
  <c r="V5" i="27"/>
  <c r="B284" i="19" s="1"/>
  <c r="V20" i="27" l="1"/>
  <c r="C285" i="19" s="1"/>
  <c r="V26" i="27"/>
  <c r="C291" i="19" s="1"/>
  <c r="E7" i="18"/>
  <c r="D375" i="24"/>
  <c r="D370" i="24"/>
  <c r="D365" i="24"/>
  <c r="D361" i="24"/>
  <c r="D357" i="24"/>
  <c r="D379" i="24"/>
  <c r="D374" i="24"/>
  <c r="D369" i="24"/>
  <c r="A369" i="24"/>
  <c r="J286" i="24"/>
  <c r="J291" i="24" s="1"/>
  <c r="G306" i="24" s="1"/>
  <c r="G341" i="24" s="1"/>
  <c r="B271" i="24"/>
  <c r="G254" i="24"/>
  <c r="H254" i="24"/>
  <c r="I254" i="24"/>
  <c r="F254" i="24"/>
  <c r="A182" i="24"/>
  <c r="A206" i="24" s="1"/>
  <c r="A223" i="24" s="1"/>
  <c r="A308" i="24" s="1"/>
  <c r="A325" i="24" s="1"/>
  <c r="A183" i="24"/>
  <c r="A207" i="24" s="1"/>
  <c r="A224" i="24" s="1"/>
  <c r="A309" i="24" s="1"/>
  <c r="A326" i="24" s="1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40" i="24"/>
  <c r="E285" i="19"/>
  <c r="E301" i="19" s="1"/>
  <c r="F285" i="19"/>
  <c r="F301" i="19" s="1"/>
  <c r="H285" i="19"/>
  <c r="H301" i="19" s="1"/>
  <c r="E286" i="19"/>
  <c r="E302" i="19" s="1"/>
  <c r="F286" i="19"/>
  <c r="F302" i="19" s="1"/>
  <c r="H286" i="19"/>
  <c r="H302" i="19" s="1"/>
  <c r="E287" i="19"/>
  <c r="E303" i="19" s="1"/>
  <c r="F287" i="19"/>
  <c r="F303" i="19" s="1"/>
  <c r="H287" i="19"/>
  <c r="H303" i="19" s="1"/>
  <c r="E288" i="19"/>
  <c r="E304" i="19" s="1"/>
  <c r="F288" i="19"/>
  <c r="F304" i="19" s="1"/>
  <c r="H288" i="19"/>
  <c r="H304" i="19" s="1"/>
  <c r="E289" i="19"/>
  <c r="E305" i="19" s="1"/>
  <c r="F289" i="19"/>
  <c r="F305" i="19" s="1"/>
  <c r="H289" i="19"/>
  <c r="H305" i="19" s="1"/>
  <c r="E290" i="19"/>
  <c r="E306" i="19" s="1"/>
  <c r="F290" i="19"/>
  <c r="F306" i="19" s="1"/>
  <c r="H290" i="19"/>
  <c r="H306" i="19" s="1"/>
  <c r="E291" i="19"/>
  <c r="E307" i="19" s="1"/>
  <c r="F291" i="19"/>
  <c r="F307" i="19" s="1"/>
  <c r="H291" i="19"/>
  <c r="H307" i="19" s="1"/>
  <c r="E292" i="19"/>
  <c r="E308" i="19" s="1"/>
  <c r="F292" i="19"/>
  <c r="F308" i="19" s="1"/>
  <c r="H292" i="19"/>
  <c r="H308" i="19" s="1"/>
  <c r="E293" i="19"/>
  <c r="E309" i="19" s="1"/>
  <c r="F293" i="19"/>
  <c r="F309" i="19" s="1"/>
  <c r="H293" i="19"/>
  <c r="H309" i="19" s="1"/>
  <c r="E294" i="19"/>
  <c r="E310" i="19" s="1"/>
  <c r="F294" i="19"/>
  <c r="F310" i="19" s="1"/>
  <c r="H294" i="19"/>
  <c r="H310" i="19" s="1"/>
  <c r="E295" i="19"/>
  <c r="E311" i="19" s="1"/>
  <c r="F295" i="19"/>
  <c r="F311" i="19" s="1"/>
  <c r="H295" i="19"/>
  <c r="H311" i="19" s="1"/>
  <c r="F284" i="19"/>
  <c r="F300" i="19" s="1"/>
  <c r="H284" i="19"/>
  <c r="H300" i="19" s="1"/>
  <c r="E284" i="19"/>
  <c r="E300" i="19" s="1"/>
  <c r="D285" i="19"/>
  <c r="D301" i="19" s="1"/>
  <c r="D286" i="19"/>
  <c r="D302" i="19" s="1"/>
  <c r="D287" i="19"/>
  <c r="D303" i="19" s="1"/>
  <c r="D288" i="19"/>
  <c r="D304" i="19" s="1"/>
  <c r="D289" i="19"/>
  <c r="D305" i="19" s="1"/>
  <c r="D290" i="19"/>
  <c r="D306" i="19" s="1"/>
  <c r="D291" i="19"/>
  <c r="D307" i="19" s="1"/>
  <c r="D292" i="19"/>
  <c r="D308" i="19" s="1"/>
  <c r="D293" i="19"/>
  <c r="D309" i="19" s="1"/>
  <c r="D294" i="19"/>
  <c r="D310" i="19" s="1"/>
  <c r="D295" i="19"/>
  <c r="D311" i="19" s="1"/>
  <c r="D284" i="19"/>
  <c r="D300" i="19" s="1"/>
  <c r="E135" i="24"/>
  <c r="A135" i="24"/>
  <c r="E133" i="24"/>
  <c r="A133" i="24"/>
  <c r="E127" i="24"/>
  <c r="E128" i="24"/>
  <c r="E129" i="24"/>
  <c r="E130" i="24"/>
  <c r="E131" i="24"/>
  <c r="E132" i="24"/>
  <c r="E126" i="24"/>
  <c r="A130" i="24"/>
  <c r="A131" i="24"/>
  <c r="A132" i="24"/>
  <c r="A129" i="24"/>
  <c r="A128" i="24"/>
  <c r="A127" i="24"/>
  <c r="A126" i="24"/>
  <c r="E124" i="24"/>
  <c r="E123" i="24"/>
  <c r="E122" i="24"/>
  <c r="A72" i="24"/>
  <c r="A92" i="24" s="1"/>
  <c r="A73" i="24"/>
  <c r="A93" i="24" s="1"/>
  <c r="E70" i="24"/>
  <c r="F70" i="24"/>
  <c r="G70" i="24"/>
  <c r="H70" i="24"/>
  <c r="I70" i="24"/>
  <c r="E67" i="24"/>
  <c r="E162" i="24" s="1"/>
  <c r="E180" i="24" s="1"/>
  <c r="E198" i="24" s="1"/>
  <c r="E204" i="24" s="1"/>
  <c r="E221" i="24" s="1"/>
  <c r="E239" i="24" s="1"/>
  <c r="E245" i="24" s="1"/>
  <c r="F67" i="24"/>
  <c r="F162" i="24" s="1"/>
  <c r="F180" i="24" s="1"/>
  <c r="F198" i="24" s="1"/>
  <c r="F204" i="24" s="1"/>
  <c r="F221" i="24" s="1"/>
  <c r="F239" i="24" s="1"/>
  <c r="F245" i="24" s="1"/>
  <c r="H67" i="24"/>
  <c r="H162" i="24" s="1"/>
  <c r="H180" i="24" s="1"/>
  <c r="H198" i="24" s="1"/>
  <c r="H204" i="24" s="1"/>
  <c r="H221" i="24" s="1"/>
  <c r="H239" i="24" s="1"/>
  <c r="H245" i="24" s="1"/>
  <c r="I67" i="24"/>
  <c r="I162" i="24" s="1"/>
  <c r="I180" i="24" s="1"/>
  <c r="I198" i="24" s="1"/>
  <c r="I204" i="24" s="1"/>
  <c r="I221" i="24" s="1"/>
  <c r="I239" i="24" s="1"/>
  <c r="I245" i="24" s="1"/>
  <c r="J48" i="24"/>
  <c r="G6" i="24" s="1"/>
  <c r="A30" i="24"/>
  <c r="A50" i="24" s="1"/>
  <c r="A31" i="24"/>
  <c r="A51" i="24" s="1"/>
  <c r="D380" i="24"/>
  <c r="D364" i="24"/>
  <c r="D360" i="24"/>
  <c r="D356" i="24"/>
  <c r="A297" i="24"/>
  <c r="A300" i="24" s="1"/>
  <c r="A296" i="24"/>
  <c r="A299" i="24" s="1"/>
  <c r="A236" i="24"/>
  <c r="A193" i="24"/>
  <c r="A217" i="24" s="1"/>
  <c r="A234" i="24" s="1"/>
  <c r="A319" i="24" s="1"/>
  <c r="A336" i="24" s="1"/>
  <c r="A192" i="24"/>
  <c r="A216" i="24" s="1"/>
  <c r="A233" i="24" s="1"/>
  <c r="A318" i="24" s="1"/>
  <c r="A335" i="24" s="1"/>
  <c r="A191" i="24"/>
  <c r="A215" i="24" s="1"/>
  <c r="A232" i="24" s="1"/>
  <c r="A317" i="24" s="1"/>
  <c r="A334" i="24" s="1"/>
  <c r="A190" i="24"/>
  <c r="A214" i="24" s="1"/>
  <c r="A231" i="24" s="1"/>
  <c r="A316" i="24" s="1"/>
  <c r="A333" i="24" s="1"/>
  <c r="A189" i="24"/>
  <c r="A213" i="24" s="1"/>
  <c r="A230" i="24" s="1"/>
  <c r="A315" i="24" s="1"/>
  <c r="A332" i="24" s="1"/>
  <c r="A188" i="24"/>
  <c r="A212" i="24" s="1"/>
  <c r="A229" i="24" s="1"/>
  <c r="A314" i="24" s="1"/>
  <c r="A331" i="24" s="1"/>
  <c r="A187" i="24"/>
  <c r="A211" i="24" s="1"/>
  <c r="A228" i="24" s="1"/>
  <c r="A313" i="24" s="1"/>
  <c r="A330" i="24" s="1"/>
  <c r="A186" i="24"/>
  <c r="A210" i="24" s="1"/>
  <c r="A227" i="24" s="1"/>
  <c r="A312" i="24" s="1"/>
  <c r="A329" i="24" s="1"/>
  <c r="A185" i="24"/>
  <c r="A209" i="24" s="1"/>
  <c r="A226" i="24" s="1"/>
  <c r="A311" i="24" s="1"/>
  <c r="A328" i="24" s="1"/>
  <c r="A184" i="24"/>
  <c r="A208" i="24" s="1"/>
  <c r="A225" i="24" s="1"/>
  <c r="A310" i="24" s="1"/>
  <c r="A327" i="24" s="1"/>
  <c r="A86" i="24"/>
  <c r="A106" i="24" s="1"/>
  <c r="A85" i="24"/>
  <c r="A105" i="24" s="1"/>
  <c r="A83" i="24"/>
  <c r="A103" i="24" s="1"/>
  <c r="A82" i="24"/>
  <c r="A102" i="24" s="1"/>
  <c r="A81" i="24"/>
  <c r="A101" i="24" s="1"/>
  <c r="A80" i="24"/>
  <c r="A100" i="24" s="1"/>
  <c r="A79" i="24"/>
  <c r="A99" i="24" s="1"/>
  <c r="A78" i="24"/>
  <c r="A98" i="24" s="1"/>
  <c r="A77" i="24"/>
  <c r="A97" i="24" s="1"/>
  <c r="A76" i="24"/>
  <c r="A96" i="24" s="1"/>
  <c r="A75" i="24"/>
  <c r="A95" i="24" s="1"/>
  <c r="A74" i="24"/>
  <c r="A94" i="24" s="1"/>
  <c r="D70" i="24"/>
  <c r="D67" i="24"/>
  <c r="D162" i="24" s="1"/>
  <c r="D180" i="24" s="1"/>
  <c r="D198" i="24" s="1"/>
  <c r="D204" i="24" s="1"/>
  <c r="D221" i="24" s="1"/>
  <c r="D239" i="24" s="1"/>
  <c r="D245" i="24" s="1"/>
  <c r="A44" i="24"/>
  <c r="A64" i="24" s="1"/>
  <c r="A63" i="24"/>
  <c r="A41" i="24"/>
  <c r="A61" i="24" s="1"/>
  <c r="A40" i="24"/>
  <c r="A60" i="24" s="1"/>
  <c r="A39" i="24"/>
  <c r="A59" i="24" s="1"/>
  <c r="A38" i="24"/>
  <c r="A58" i="24" s="1"/>
  <c r="A37" i="24"/>
  <c r="A57" i="24" s="1"/>
  <c r="A36" i="24"/>
  <c r="A56" i="24" s="1"/>
  <c r="A35" i="24"/>
  <c r="A55" i="24" s="1"/>
  <c r="A34" i="24"/>
  <c r="A54" i="24" s="1"/>
  <c r="A33" i="24"/>
  <c r="A53" i="24" s="1"/>
  <c r="A32" i="24"/>
  <c r="A52" i="24" s="1"/>
  <c r="J28" i="24"/>
  <c r="D6" i="24" s="1"/>
  <c r="A28" i="24"/>
  <c r="A48" i="24" s="1"/>
  <c r="A70" i="24" s="1"/>
  <c r="E260" i="24"/>
  <c r="E261" i="24"/>
  <c r="F262" i="24"/>
  <c r="E264" i="24"/>
  <c r="G113" i="24"/>
  <c r="F266" i="24"/>
  <c r="F31" i="24"/>
  <c r="E32" i="24"/>
  <c r="I32" i="24"/>
  <c r="F33" i="24"/>
  <c r="H35" i="24"/>
  <c r="I35" i="24"/>
  <c r="E36" i="24"/>
  <c r="E37" i="24"/>
  <c r="F332" i="24"/>
  <c r="I37" i="24"/>
  <c r="G39" i="24"/>
  <c r="I40" i="24"/>
  <c r="D22" i="11"/>
  <c r="D32" i="11"/>
  <c r="B28" i="17"/>
  <c r="H166" i="24"/>
  <c r="I166" i="24"/>
  <c r="C25" i="11"/>
  <c r="G165" i="24"/>
  <c r="C35" i="11"/>
  <c r="O14" i="23"/>
  <c r="D168" i="24"/>
  <c r="G168" i="24"/>
  <c r="F30" i="17"/>
  <c r="H169" i="24"/>
  <c r="H16" i="11"/>
  <c r="E171" i="24"/>
  <c r="E172" i="24"/>
  <c r="J16" i="11"/>
  <c r="F171" i="24"/>
  <c r="G171" i="24"/>
  <c r="F34" i="17"/>
  <c r="K12" i="11"/>
  <c r="F173" i="24"/>
  <c r="H173" i="24"/>
  <c r="K35" i="11"/>
  <c r="D174" i="24"/>
  <c r="E36" i="17"/>
  <c r="H174" i="24"/>
  <c r="H192" i="24" s="1"/>
  <c r="G36" i="17"/>
  <c r="E175" i="24"/>
  <c r="E194" i="24" s="1"/>
  <c r="G37" i="17"/>
  <c r="H167" i="24"/>
  <c r="F34" i="24"/>
  <c r="D312" i="24"/>
  <c r="E312" i="24"/>
  <c r="F312" i="24"/>
  <c r="E313" i="24"/>
  <c r="F313" i="24"/>
  <c r="F314" i="24"/>
  <c r="H32" i="11"/>
  <c r="D332" i="24"/>
  <c r="E332" i="24"/>
  <c r="F334" i="24"/>
  <c r="B22" i="11"/>
  <c r="D308" i="24"/>
  <c r="B32" i="11"/>
  <c r="F308" i="24"/>
  <c r="E31" i="24"/>
  <c r="E30" i="24"/>
  <c r="H30" i="24"/>
  <c r="E164" i="24"/>
  <c r="B25" i="11"/>
  <c r="H164" i="24"/>
  <c r="I164" i="24"/>
  <c r="B35" i="11"/>
  <c r="A34" i="11"/>
  <c r="D26" i="17"/>
  <c r="D254" i="24"/>
  <c r="A7" i="9"/>
  <c r="J32" i="9" s="1"/>
  <c r="A8" i="9"/>
  <c r="J33" i="9" s="1"/>
  <c r="A9" i="9"/>
  <c r="J34" i="9" s="1"/>
  <c r="G2" i="17"/>
  <c r="G2" i="23"/>
  <c r="J49" i="9"/>
  <c r="J48" i="9"/>
  <c r="A10" i="9"/>
  <c r="J35" i="9" s="1"/>
  <c r="A11" i="9"/>
  <c r="J36" i="9" s="1"/>
  <c r="A12" i="9"/>
  <c r="J37" i="9" s="1"/>
  <c r="A13" i="9"/>
  <c r="J38" i="9" s="1"/>
  <c r="A14" i="9"/>
  <c r="J39" i="9" s="1"/>
  <c r="A15" i="9"/>
  <c r="J40" i="9" s="1"/>
  <c r="A16" i="9"/>
  <c r="J41" i="9" s="1"/>
  <c r="A17" i="9"/>
  <c r="J42" i="9" s="1"/>
  <c r="A18" i="9"/>
  <c r="J43" i="9" s="1"/>
  <c r="A19" i="9"/>
  <c r="J44" i="9" s="1"/>
  <c r="A20" i="9"/>
  <c r="J45" i="9" s="1"/>
  <c r="A21" i="9"/>
  <c r="J46" i="9" s="1"/>
  <c r="A22" i="9"/>
  <c r="J47" i="9" s="1"/>
  <c r="A24" i="11"/>
  <c r="E2" i="17"/>
  <c r="C2" i="18" s="1"/>
  <c r="A15" i="11"/>
  <c r="A11" i="11"/>
  <c r="C2" i="17"/>
  <c r="D2" i="17"/>
  <c r="B2" i="18" s="1"/>
  <c r="B2" i="17"/>
  <c r="A29" i="11"/>
  <c r="A19" i="11"/>
  <c r="J70" i="11"/>
  <c r="I70" i="11"/>
  <c r="H70" i="11"/>
  <c r="G70" i="11"/>
  <c r="F70" i="11"/>
  <c r="E70" i="11"/>
  <c r="D70" i="11"/>
  <c r="C70" i="11"/>
  <c r="B70" i="11"/>
  <c r="G32" i="24"/>
  <c r="D3" i="23"/>
  <c r="K30" i="11"/>
  <c r="F30" i="24"/>
  <c r="C22" i="11"/>
  <c r="G32" i="11"/>
  <c r="F25" i="11"/>
  <c r="G30" i="11"/>
  <c r="I25" i="11"/>
  <c r="P46" i="9"/>
  <c r="E22" i="11"/>
  <c r="G33" i="24"/>
  <c r="H37" i="24"/>
  <c r="I36" i="24"/>
  <c r="M16" i="11"/>
  <c r="C33" i="17"/>
  <c r="D30" i="11"/>
  <c r="H31" i="24"/>
  <c r="F38" i="24"/>
  <c r="F36" i="17"/>
  <c r="I16" i="11"/>
  <c r="I33" i="24"/>
  <c r="C34" i="17"/>
  <c r="L12" i="11"/>
  <c r="F35" i="24"/>
  <c r="D329" i="24"/>
  <c r="F22" i="11"/>
  <c r="G38" i="24"/>
  <c r="F330" i="24"/>
  <c r="G36" i="24"/>
  <c r="M32" i="11"/>
  <c r="B20" i="11"/>
  <c r="G27" i="11"/>
  <c r="F12" i="11"/>
  <c r="B30" i="11"/>
  <c r="L30" i="11"/>
  <c r="J22" i="11"/>
  <c r="F37" i="24"/>
  <c r="E328" i="24"/>
  <c r="M12" i="11"/>
  <c r="I20" i="11"/>
  <c r="B27" i="11"/>
  <c r="K20" i="11"/>
  <c r="E30" i="17"/>
  <c r="M27" i="11"/>
  <c r="C12" i="11"/>
  <c r="I39" i="24"/>
  <c r="F39" i="24"/>
  <c r="H32" i="24"/>
  <c r="I30" i="24"/>
  <c r="D336" i="24"/>
  <c r="E263" i="24"/>
  <c r="C29" i="17"/>
  <c r="E16" i="11"/>
  <c r="E167" i="24"/>
  <c r="I173" i="24"/>
  <c r="G35" i="17"/>
  <c r="P45" i="9"/>
  <c r="D172" i="24"/>
  <c r="J12" i="11"/>
  <c r="B35" i="17"/>
  <c r="D166" i="24"/>
  <c r="E335" i="24"/>
  <c r="H33" i="24"/>
  <c r="F261" i="24"/>
  <c r="F32" i="17"/>
  <c r="E317" i="24"/>
  <c r="K27" i="11"/>
  <c r="E334" i="24"/>
  <c r="F316" i="24"/>
  <c r="J32" i="11"/>
  <c r="D314" i="24"/>
  <c r="H22" i="11"/>
  <c r="F27" i="11"/>
  <c r="G167" i="24"/>
  <c r="H5" i="17"/>
  <c r="J5" i="17" s="1"/>
  <c r="E308" i="24"/>
  <c r="E3" i="18"/>
  <c r="D315" i="24"/>
  <c r="I22" i="11"/>
  <c r="B30" i="17"/>
  <c r="I174" i="24"/>
  <c r="L35" i="11"/>
  <c r="E173" i="24"/>
  <c r="H15" i="17"/>
  <c r="F164" i="24"/>
  <c r="G37" i="24"/>
  <c r="E262" i="24"/>
  <c r="F315" i="24"/>
  <c r="I32" i="11"/>
  <c r="D170" i="24"/>
  <c r="D316" i="24"/>
  <c r="D333" i="24"/>
  <c r="J20" i="11"/>
  <c r="F16" i="11"/>
  <c r="G279" i="24"/>
  <c r="I171" i="24"/>
  <c r="I35" i="11"/>
  <c r="E113" i="24"/>
  <c r="E279" i="24"/>
  <c r="E170" i="24"/>
  <c r="D35" i="11"/>
  <c r="F175" i="24"/>
  <c r="F194" i="24" s="1"/>
  <c r="G34" i="24"/>
  <c r="E329" i="24"/>
  <c r="E10" i="18"/>
  <c r="E35" i="24"/>
  <c r="F20" i="11"/>
  <c r="F168" i="24"/>
  <c r="D30" i="17"/>
  <c r="I34" i="24"/>
  <c r="L27" i="11"/>
  <c r="E318" i="24"/>
  <c r="K25" i="11"/>
  <c r="G173" i="24"/>
  <c r="D165" i="24"/>
  <c r="E166" i="24"/>
  <c r="D16" i="11"/>
  <c r="E26" i="17"/>
  <c r="F335" i="24"/>
  <c r="F318" i="24"/>
  <c r="L32" i="11"/>
  <c r="G33" i="17"/>
  <c r="P43" i="9"/>
  <c r="G169" i="24"/>
  <c r="G25" i="11"/>
  <c r="E31" i="17"/>
  <c r="E331" i="24"/>
  <c r="E314" i="24"/>
  <c r="H27" i="11"/>
  <c r="G22" i="11"/>
  <c r="I175" i="24"/>
  <c r="I194" i="24" s="1"/>
  <c r="M35" i="11"/>
  <c r="L20" i="11"/>
  <c r="D36" i="17"/>
  <c r="F174" i="24"/>
  <c r="C35" i="17"/>
  <c r="K16" i="11"/>
  <c r="B16" i="11"/>
  <c r="C26" i="17"/>
  <c r="D328" i="24"/>
  <c r="D311" i="24"/>
  <c r="F319" i="24"/>
  <c r="E336" i="24"/>
  <c r="E319" i="24"/>
  <c r="E30" i="11"/>
  <c r="F29" i="17"/>
  <c r="E169" i="24"/>
  <c r="E311" i="24"/>
  <c r="E27" i="11"/>
  <c r="E14" i="18"/>
  <c r="F167" i="24"/>
  <c r="I170" i="24"/>
  <c r="H35" i="11"/>
  <c r="P42" i="9"/>
  <c r="P61" i="9" s="1"/>
  <c r="F35" i="11"/>
  <c r="I168" i="24"/>
  <c r="I165" i="24"/>
  <c r="F311" i="24"/>
  <c r="E37" i="17"/>
  <c r="G175" i="24"/>
  <c r="G194" i="24" s="1"/>
  <c r="F327" i="24"/>
  <c r="F310" i="24"/>
  <c r="E265" i="24"/>
  <c r="I12" i="11"/>
  <c r="G170" i="24"/>
  <c r="H25" i="11"/>
  <c r="E33" i="17"/>
  <c r="E32" i="17"/>
  <c r="F165" i="24"/>
  <c r="C20" i="11"/>
  <c r="H7" i="17"/>
  <c r="D12" i="11"/>
  <c r="H41" i="24"/>
  <c r="F336" i="24"/>
  <c r="I38" i="24"/>
  <c r="P44" i="9"/>
  <c r="D27" i="17"/>
  <c r="B29" i="17"/>
  <c r="E12" i="11"/>
  <c r="H9" i="17"/>
  <c r="D167" i="24"/>
  <c r="H175" i="24"/>
  <c r="H194" i="24" s="1"/>
  <c r="F37" i="17"/>
  <c r="M30" i="11"/>
  <c r="I30" i="11"/>
  <c r="F33" i="17"/>
  <c r="H171" i="24"/>
  <c r="D171" i="24"/>
  <c r="B33" i="17"/>
  <c r="H13" i="17"/>
  <c r="H170" i="24"/>
  <c r="H30" i="11"/>
  <c r="H12" i="11"/>
  <c r="H12" i="17"/>
  <c r="G20" i="11"/>
  <c r="F169" i="24"/>
  <c r="D32" i="17"/>
  <c r="D31" i="17"/>
  <c r="H10" i="17"/>
  <c r="H165" i="24"/>
  <c r="C30" i="11"/>
  <c r="F27" i="17"/>
  <c r="F166" i="24"/>
  <c r="D28" i="17"/>
  <c r="D20" i="11"/>
  <c r="C32" i="11"/>
  <c r="F326" i="24"/>
  <c r="E309" i="24"/>
  <c r="C27" i="11"/>
  <c r="D310" i="24"/>
  <c r="D327" i="24"/>
  <c r="I41" i="24"/>
  <c r="P47" i="9"/>
  <c r="H38" i="24"/>
  <c r="F333" i="24"/>
  <c r="B34" i="17"/>
  <c r="F309" i="24"/>
  <c r="D164" i="24"/>
  <c r="B12" i="11"/>
  <c r="H6" i="17"/>
  <c r="B26" i="17"/>
  <c r="B27" i="17"/>
  <c r="F328" i="24"/>
  <c r="E6" i="18"/>
  <c r="E32" i="11"/>
  <c r="D319" i="24"/>
  <c r="M22" i="11"/>
  <c r="M46" i="11" s="1"/>
  <c r="E12" i="18"/>
  <c r="D334" i="24"/>
  <c r="D317" i="24"/>
  <c r="K22" i="11"/>
  <c r="E316" i="24"/>
  <c r="J27" i="11"/>
  <c r="E333" i="24"/>
  <c r="E11" i="18"/>
  <c r="E8" i="18"/>
  <c r="D313" i="24"/>
  <c r="D330" i="24"/>
  <c r="M25" i="11"/>
  <c r="D173" i="24"/>
  <c r="B36" i="17"/>
  <c r="H172" i="24"/>
  <c r="J30" i="11"/>
  <c r="F35" i="17"/>
  <c r="F317" i="24"/>
  <c r="K32" i="11"/>
  <c r="E315" i="24"/>
  <c r="I27" i="11"/>
  <c r="G174" i="24"/>
  <c r="L25" i="11"/>
  <c r="I172" i="24"/>
  <c r="J35" i="11"/>
  <c r="G34" i="17"/>
  <c r="F28" i="17"/>
  <c r="D326" i="24"/>
  <c r="D309" i="24"/>
  <c r="E20" i="11"/>
  <c r="D29" i="17"/>
  <c r="J25" i="11"/>
  <c r="G172" i="24"/>
  <c r="E34" i="17"/>
  <c r="H168" i="24"/>
  <c r="F30" i="11"/>
  <c r="F31" i="17"/>
  <c r="G8" i="9"/>
  <c r="E28" i="17"/>
  <c r="E29" i="17"/>
  <c r="D25" i="11"/>
  <c r="H8" i="17"/>
  <c r="G166" i="24"/>
  <c r="E4" i="18"/>
  <c r="H36" i="24"/>
  <c r="F331" i="24"/>
  <c r="H34" i="24"/>
  <c r="E34" i="24"/>
  <c r="F32" i="24"/>
  <c r="I31" i="24"/>
  <c r="G31" i="24"/>
  <c r="E326" i="24"/>
  <c r="B32" i="17"/>
  <c r="H11" i="17"/>
  <c r="G12" i="11"/>
  <c r="D169" i="24"/>
  <c r="B31" i="17"/>
  <c r="C16" i="11"/>
  <c r="C27" i="17"/>
  <c r="C28" i="17"/>
  <c r="E165" i="24"/>
  <c r="E35" i="11"/>
  <c r="I167" i="24"/>
  <c r="D37" i="17"/>
  <c r="M20" i="11"/>
  <c r="F172" i="24"/>
  <c r="D35" i="17"/>
  <c r="D34" i="17"/>
  <c r="H14" i="17"/>
  <c r="G35" i="11"/>
  <c r="I169" i="24"/>
  <c r="L16" i="11"/>
  <c r="C37" i="17"/>
  <c r="E174" i="24"/>
  <c r="H16" i="17"/>
  <c r="C36" i="17"/>
  <c r="D331" i="24"/>
  <c r="F36" i="24"/>
  <c r="G30" i="24"/>
  <c r="G9" i="9"/>
  <c r="D318" i="24"/>
  <c r="G318" i="24" s="1"/>
  <c r="D335" i="24"/>
  <c r="L22" i="11"/>
  <c r="F329" i="24"/>
  <c r="F32" i="11"/>
  <c r="E310" i="24"/>
  <c r="D27" i="11"/>
  <c r="E327" i="24"/>
  <c r="F40" i="24"/>
  <c r="E38" i="24"/>
  <c r="E27" i="17"/>
  <c r="G164" i="24"/>
  <c r="H20" i="11"/>
  <c r="F170" i="24"/>
  <c r="D33" i="17"/>
  <c r="C32" i="17"/>
  <c r="G16" i="11"/>
  <c r="C31" i="17"/>
  <c r="C30" i="17"/>
  <c r="E168" i="24"/>
  <c r="E266" i="24"/>
  <c r="E35" i="17"/>
  <c r="G35" i="24"/>
  <c r="E330" i="24"/>
  <c r="F263" i="24"/>
  <c r="E25" i="11"/>
  <c r="D175" i="24"/>
  <c r="D194" i="24" s="1"/>
  <c r="B37" i="17"/>
  <c r="G7" i="9"/>
  <c r="F264" i="24"/>
  <c r="F259" i="24"/>
  <c r="E5" i="18"/>
  <c r="E9" i="18"/>
  <c r="E13" i="18"/>
  <c r="D383" i="24" l="1"/>
  <c r="D384" i="24"/>
  <c r="H2" i="23"/>
  <c r="F41" i="23" s="1"/>
  <c r="K99" i="19" s="1"/>
  <c r="O99" i="19" s="1"/>
  <c r="F42" i="23"/>
  <c r="D12" i="23"/>
  <c r="E12" i="23" s="1"/>
  <c r="K46" i="11"/>
  <c r="B44" i="11"/>
  <c r="H46" i="11"/>
  <c r="J46" i="11"/>
  <c r="C46" i="11"/>
  <c r="I46" i="11"/>
  <c r="B46" i="11"/>
  <c r="E44" i="11"/>
  <c r="L46" i="11"/>
  <c r="G44" i="11"/>
  <c r="M44" i="11"/>
  <c r="L44" i="11"/>
  <c r="H44" i="11"/>
  <c r="F51" i="11"/>
  <c r="F46" i="11"/>
  <c r="E46" i="11"/>
  <c r="G46" i="11"/>
  <c r="J44" i="11"/>
  <c r="D44" i="11"/>
  <c r="I44" i="11"/>
  <c r="C44" i="11"/>
  <c r="F44" i="11"/>
  <c r="K44" i="11"/>
  <c r="D46" i="11"/>
  <c r="L51" i="11"/>
  <c r="E390" i="24" s="1"/>
  <c r="G49" i="11"/>
  <c r="G51" i="11"/>
  <c r="G66" i="11" s="1"/>
  <c r="I51" i="11"/>
  <c r="I66" i="11" s="1"/>
  <c r="J49" i="11"/>
  <c r="M49" i="11"/>
  <c r="F388" i="24" s="1"/>
  <c r="L49" i="11"/>
  <c r="K51" i="11"/>
  <c r="M51" i="11"/>
  <c r="F390" i="24" s="1"/>
  <c r="E49" i="11"/>
  <c r="H51" i="11"/>
  <c r="H66" i="11" s="1"/>
  <c r="J51" i="11"/>
  <c r="C51" i="11"/>
  <c r="H49" i="11"/>
  <c r="E51" i="11"/>
  <c r="D49" i="11"/>
  <c r="I49" i="11"/>
  <c r="C49" i="11"/>
  <c r="F49" i="11"/>
  <c r="K49" i="11"/>
  <c r="D51" i="11"/>
  <c r="D66" i="11" s="1"/>
  <c r="E268" i="24"/>
  <c r="C8" i="11"/>
  <c r="D9" i="24" s="1"/>
  <c r="M8" i="11"/>
  <c r="D19" i="24" s="1"/>
  <c r="E8" i="11"/>
  <c r="D11" i="24" s="1"/>
  <c r="D8" i="11"/>
  <c r="D10" i="24" s="1"/>
  <c r="J8" i="11"/>
  <c r="D16" i="24" s="1"/>
  <c r="H8" i="11"/>
  <c r="D14" i="24" s="1"/>
  <c r="K8" i="11"/>
  <c r="D17" i="24" s="1"/>
  <c r="N8" i="11"/>
  <c r="D20" i="24" s="1"/>
  <c r="F8" i="11"/>
  <c r="D12" i="24" s="1"/>
  <c r="I8" i="11"/>
  <c r="D15" i="24" s="1"/>
  <c r="B8" i="11"/>
  <c r="D8" i="24" s="1"/>
  <c r="G8" i="11"/>
  <c r="D13" i="24" s="1"/>
  <c r="L8" i="11"/>
  <c r="D18" i="24" s="1"/>
  <c r="A368" i="24"/>
  <c r="B61" i="11"/>
  <c r="C61" i="11"/>
  <c r="E366" i="24"/>
  <c r="E371" i="24"/>
  <c r="F371" i="24"/>
  <c r="E376" i="24"/>
  <c r="F376" i="24"/>
  <c r="F366" i="24"/>
  <c r="F56" i="24"/>
  <c r="F78" i="24" s="1"/>
  <c r="F212" i="24" s="1"/>
  <c r="F369" i="24"/>
  <c r="G56" i="24"/>
  <c r="G78" i="24" s="1"/>
  <c r="G212" i="24" s="1"/>
  <c r="I54" i="24"/>
  <c r="I76" i="24" s="1"/>
  <c r="I210" i="24" s="1"/>
  <c r="E59" i="24"/>
  <c r="E379" i="24"/>
  <c r="F356" i="24"/>
  <c r="G57" i="24"/>
  <c r="G79" i="24" s="1"/>
  <c r="I50" i="24"/>
  <c r="I72" i="24" s="1"/>
  <c r="I206" i="24" s="1"/>
  <c r="G50" i="24"/>
  <c r="G72" i="24" s="1"/>
  <c r="G206" i="24" s="1"/>
  <c r="E58" i="24"/>
  <c r="E80" i="24" s="1"/>
  <c r="E214" i="24" s="1"/>
  <c r="G51" i="24"/>
  <c r="G73" i="24" s="1"/>
  <c r="G207" i="24" s="1"/>
  <c r="G53" i="24"/>
  <c r="G75" i="24" s="1"/>
  <c r="E360" i="24"/>
  <c r="F61" i="24"/>
  <c r="F364" i="24"/>
  <c r="I53" i="24"/>
  <c r="I75" i="24" s="1"/>
  <c r="I209" i="24" s="1"/>
  <c r="G58" i="24"/>
  <c r="G80" i="24" s="1"/>
  <c r="G214" i="24" s="1"/>
  <c r="I58" i="24"/>
  <c r="I80" i="24" s="1"/>
  <c r="I214" i="24" s="1"/>
  <c r="F52" i="24"/>
  <c r="F74" i="24" s="1"/>
  <c r="F208" i="24" s="1"/>
  <c r="F55" i="24"/>
  <c r="F77" i="24" s="1"/>
  <c r="E364" i="24"/>
  <c r="G55" i="24"/>
  <c r="G77" i="24" s="1"/>
  <c r="F54" i="24"/>
  <c r="F76" i="24" s="1"/>
  <c r="F210" i="24" s="1"/>
  <c r="I52" i="24"/>
  <c r="I74" i="24" s="1"/>
  <c r="I208" i="24" s="1"/>
  <c r="I57" i="24"/>
  <c r="I79" i="24" s="1"/>
  <c r="I213" i="24" s="1"/>
  <c r="E53" i="24"/>
  <c r="F50" i="24"/>
  <c r="F72" i="24" s="1"/>
  <c r="F206" i="24" s="1"/>
  <c r="E57" i="24"/>
  <c r="E79" i="24" s="1"/>
  <c r="E213" i="24" s="1"/>
  <c r="F360" i="24"/>
  <c r="I56" i="24"/>
  <c r="I78" i="24" s="1"/>
  <c r="I212" i="24" s="1"/>
  <c r="E50" i="24"/>
  <c r="E72" i="24" s="1"/>
  <c r="E206" i="24" s="1"/>
  <c r="I61" i="24"/>
  <c r="I83" i="24" s="1"/>
  <c r="F379" i="24"/>
  <c r="E52" i="24"/>
  <c r="E74" i="24" s="1"/>
  <c r="E208" i="24" s="1"/>
  <c r="E54" i="24"/>
  <c r="E76" i="24" s="1"/>
  <c r="E356" i="24"/>
  <c r="G54" i="24"/>
  <c r="G76" i="24" s="1"/>
  <c r="G210" i="24" s="1"/>
  <c r="I51" i="24"/>
  <c r="I73" i="24" s="1"/>
  <c r="E55" i="24"/>
  <c r="E77" i="24" s="1"/>
  <c r="E211" i="24" s="1"/>
  <c r="I55" i="24"/>
  <c r="I77" i="24" s="1"/>
  <c r="G52" i="24"/>
  <c r="G74" i="24" s="1"/>
  <c r="G208" i="24" s="1"/>
  <c r="F53" i="24"/>
  <c r="F75" i="24" s="1"/>
  <c r="E369" i="24"/>
  <c r="F51" i="24"/>
  <c r="F73" i="24" s="1"/>
  <c r="F207" i="24" s="1"/>
  <c r="F58" i="24"/>
  <c r="F80" i="24" s="1"/>
  <c r="F214" i="24" s="1"/>
  <c r="F57" i="24"/>
  <c r="F79" i="24" s="1"/>
  <c r="F213" i="24" s="1"/>
  <c r="E56" i="24"/>
  <c r="E78" i="24" s="1"/>
  <c r="E212" i="24" s="1"/>
  <c r="J14" i="17"/>
  <c r="H54" i="24"/>
  <c r="H76" i="24" s="1"/>
  <c r="H210" i="24" s="1"/>
  <c r="J10" i="17"/>
  <c r="H57" i="24"/>
  <c r="H79" i="24" s="1"/>
  <c r="H213" i="24" s="1"/>
  <c r="J16" i="17"/>
  <c r="H51" i="24"/>
  <c r="H73" i="24" s="1"/>
  <c r="H56" i="24"/>
  <c r="H78" i="24" s="1"/>
  <c r="H212" i="24" s="1"/>
  <c r="F374" i="24"/>
  <c r="E374" i="24"/>
  <c r="H55" i="24"/>
  <c r="H77" i="24" s="1"/>
  <c r="J11" i="17"/>
  <c r="J8" i="17"/>
  <c r="H58" i="24"/>
  <c r="H80" i="24" s="1"/>
  <c r="H214" i="24" s="1"/>
  <c r="J9" i="17"/>
  <c r="J7" i="17"/>
  <c r="J15" i="17"/>
  <c r="H50" i="24"/>
  <c r="H72" i="24" s="1"/>
  <c r="H206" i="24" s="1"/>
  <c r="B59" i="11"/>
  <c r="J6" i="17"/>
  <c r="J12" i="17"/>
  <c r="J13" i="17"/>
  <c r="H53" i="24"/>
  <c r="H75" i="24" s="1"/>
  <c r="H209" i="24" s="1"/>
  <c r="H52" i="24"/>
  <c r="H74" i="24" s="1"/>
  <c r="H208" i="24" s="1"/>
  <c r="G317" i="24"/>
  <c r="G319" i="24"/>
  <c r="G316" i="24"/>
  <c r="G312" i="24"/>
  <c r="G308" i="24"/>
  <c r="G310" i="24"/>
  <c r="G315" i="24"/>
  <c r="G311" i="24"/>
  <c r="G313" i="24"/>
  <c r="G314" i="24"/>
  <c r="G309" i="24"/>
  <c r="G187" i="24"/>
  <c r="H191" i="24"/>
  <c r="K222" i="19"/>
  <c r="B49" i="11"/>
  <c r="H185" i="24"/>
  <c r="E42" i="17"/>
  <c r="C42" i="17"/>
  <c r="F42" i="17"/>
  <c r="G42" i="17"/>
  <c r="D42" i="17"/>
  <c r="D37" i="24"/>
  <c r="J37" i="24" s="1"/>
  <c r="D40" i="24"/>
  <c r="D31" i="24"/>
  <c r="J31" i="24" s="1"/>
  <c r="D52" i="24"/>
  <c r="D58" i="24"/>
  <c r="D33" i="24"/>
  <c r="D35" i="24"/>
  <c r="J35" i="24" s="1"/>
  <c r="D32" i="24"/>
  <c r="J32" i="24" s="1"/>
  <c r="B50" i="11"/>
  <c r="D60" i="24"/>
  <c r="D2" i="18"/>
  <c r="A51" i="30"/>
  <c r="A6" i="29"/>
  <c r="A18" i="29" s="1"/>
  <c r="A29" i="29" s="1"/>
  <c r="A40" i="29" s="1"/>
  <c r="A51" i="29" s="1"/>
  <c r="A62" i="29" s="1"/>
  <c r="A73" i="29" s="1"/>
  <c r="B51" i="11"/>
  <c r="D38" i="24"/>
  <c r="J38" i="24" s="1"/>
  <c r="D36" i="24"/>
  <c r="J36" i="24" s="1"/>
  <c r="D55" i="24"/>
  <c r="D51" i="24"/>
  <c r="D34" i="24"/>
  <c r="D57" i="24"/>
  <c r="D54" i="24"/>
  <c r="F66" i="11"/>
  <c r="A52" i="30"/>
  <c r="A7" i="29"/>
  <c r="A19" i="29" s="1"/>
  <c r="A30" i="29" s="1"/>
  <c r="A41" i="29" s="1"/>
  <c r="A52" i="29" s="1"/>
  <c r="A63" i="29" s="1"/>
  <c r="A74" i="29" s="1"/>
  <c r="D59" i="24"/>
  <c r="I188" i="24"/>
  <c r="H184" i="24"/>
  <c r="F186" i="24"/>
  <c r="E192" i="24"/>
  <c r="F187" i="24"/>
  <c r="I186" i="24"/>
  <c r="E185" i="24"/>
  <c r="F188" i="24"/>
  <c r="D183" i="24"/>
  <c r="D193" i="24"/>
  <c r="I190" i="24"/>
  <c r="H189" i="24"/>
  <c r="J174" i="24"/>
  <c r="E184" i="24"/>
  <c r="G193" i="24"/>
  <c r="E186" i="24"/>
  <c r="E183" i="24"/>
  <c r="E193" i="24"/>
  <c r="D188" i="24"/>
  <c r="I189" i="24"/>
  <c r="G262" i="24"/>
  <c r="H262" i="24" s="1"/>
  <c r="G185" i="24"/>
  <c r="D286" i="24"/>
  <c r="D252" i="24"/>
  <c r="D291" i="24" s="1"/>
  <c r="E286" i="24"/>
  <c r="E252" i="24"/>
  <c r="E291" i="24" s="1"/>
  <c r="A359" i="24" s="1"/>
  <c r="H252" i="24"/>
  <c r="H291" i="24" s="1"/>
  <c r="F306" i="24" s="1"/>
  <c r="H286" i="24"/>
  <c r="I286" i="24"/>
  <c r="I252" i="24"/>
  <c r="I291" i="24" s="1"/>
  <c r="F286" i="24"/>
  <c r="F252" i="24"/>
  <c r="F291" i="24" s="1"/>
  <c r="D306" i="24" s="1"/>
  <c r="G273" i="24"/>
  <c r="E273" i="24"/>
  <c r="D325" i="24"/>
  <c r="D338" i="24" s="1"/>
  <c r="B34" i="18"/>
  <c r="F325" i="24"/>
  <c r="F338" i="24" s="1"/>
  <c r="D34" i="18"/>
  <c r="E325" i="24"/>
  <c r="E338" i="24" s="1"/>
  <c r="G25" i="24"/>
  <c r="G67" i="24" s="1"/>
  <c r="G162" i="24" s="1"/>
  <c r="G180" i="24" s="1"/>
  <c r="G198" i="24" s="1"/>
  <c r="G204" i="24" s="1"/>
  <c r="G221" i="24" s="1"/>
  <c r="G239" i="24" s="1"/>
  <c r="G245" i="24" s="1"/>
  <c r="G252" i="24" s="1"/>
  <c r="G291" i="24" s="1"/>
  <c r="E306" i="24" s="1"/>
  <c r="F10" i="9"/>
  <c r="E41" i="24"/>
  <c r="H59" i="24"/>
  <c r="L63" i="9"/>
  <c r="G41" i="24"/>
  <c r="O63" i="9"/>
  <c r="E254" i="24"/>
  <c r="G60" i="24"/>
  <c r="E60" i="24"/>
  <c r="E39" i="24"/>
  <c r="N66" i="9"/>
  <c r="N57" i="9"/>
  <c r="M62" i="9"/>
  <c r="F17" i="9"/>
  <c r="M57" i="9"/>
  <c r="K58" i="9"/>
  <c r="M56" i="9"/>
  <c r="H60" i="24"/>
  <c r="G40" i="24"/>
  <c r="H39" i="24"/>
  <c r="E40" i="24"/>
  <c r="F21" i="9"/>
  <c r="K66" i="9"/>
  <c r="M66" i="9"/>
  <c r="N61" i="9"/>
  <c r="N59" i="9"/>
  <c r="L61" i="9"/>
  <c r="F20" i="9"/>
  <c r="F15" i="9"/>
  <c r="F12" i="9"/>
  <c r="D30" i="24"/>
  <c r="J30" i="24" s="1"/>
  <c r="E33" i="24"/>
  <c r="H40" i="24"/>
  <c r="D41" i="24"/>
  <c r="G59" i="24"/>
  <c r="G81" i="24" s="1"/>
  <c r="G90" i="24" s="1"/>
  <c r="D39" i="24"/>
  <c r="F19" i="9"/>
  <c r="F18" i="9"/>
  <c r="K55" i="9"/>
  <c r="F41" i="24"/>
  <c r="K56" i="9"/>
  <c r="O59" i="9"/>
  <c r="L64" i="9"/>
  <c r="N60" i="9"/>
  <c r="O58" i="9"/>
  <c r="F16" i="9"/>
  <c r="F14" i="9"/>
  <c r="F13" i="9"/>
  <c r="N64" i="9"/>
  <c r="M61" i="9"/>
  <c r="L56" i="9"/>
  <c r="L59" i="9"/>
  <c r="K60" i="9"/>
  <c r="M60" i="9"/>
  <c r="F11" i="9"/>
  <c r="K223" i="19"/>
  <c r="G266" i="24"/>
  <c r="H266" i="24" s="1"/>
  <c r="G264" i="24"/>
  <c r="H264" i="24" s="1"/>
  <c r="G259" i="24"/>
  <c r="G261" i="24"/>
  <c r="H261" i="24" s="1"/>
  <c r="G263" i="24"/>
  <c r="H263" i="24" s="1"/>
  <c r="F279" i="24"/>
  <c r="E3" i="23"/>
  <c r="F113" i="24"/>
  <c r="F265" i="24"/>
  <c r="G265" i="24" s="1"/>
  <c r="H265" i="24" s="1"/>
  <c r="D113" i="24"/>
  <c r="F260" i="24"/>
  <c r="H61" i="24"/>
  <c r="H83" i="24" s="1"/>
  <c r="L60" i="9"/>
  <c r="M65" i="9"/>
  <c r="O62" i="9"/>
  <c r="G61" i="24"/>
  <c r="D192" i="24"/>
  <c r="K57" i="9"/>
  <c r="F193" i="24"/>
  <c r="K63" i="9"/>
  <c r="F189" i="24"/>
  <c r="J168" i="24"/>
  <c r="N63" i="9"/>
  <c r="O57" i="9"/>
  <c r="I184" i="24"/>
  <c r="O60" i="9"/>
  <c r="N58" i="9"/>
  <c r="L65" i="9"/>
  <c r="G190" i="24"/>
  <c r="I193" i="24"/>
  <c r="F184" i="24"/>
  <c r="F185" i="24"/>
  <c r="E187" i="24"/>
  <c r="J169" i="24"/>
  <c r="D191" i="24"/>
  <c r="D190" i="24"/>
  <c r="D189" i="24"/>
  <c r="J171" i="24"/>
  <c r="F60" i="24"/>
  <c r="F82" i="24" s="1"/>
  <c r="L57" i="9"/>
  <c r="F192" i="24"/>
  <c r="E189" i="24"/>
  <c r="J167" i="24"/>
  <c r="I185" i="24"/>
  <c r="D56" i="24"/>
  <c r="J165" i="24"/>
  <c r="D186" i="24"/>
  <c r="D185" i="24"/>
  <c r="I60" i="24"/>
  <c r="I82" i="24" s="1"/>
  <c r="G184" i="24"/>
  <c r="F190" i="24"/>
  <c r="M63" i="9"/>
  <c r="M64" i="9"/>
  <c r="H190" i="24"/>
  <c r="K59" i="9"/>
  <c r="E188" i="24"/>
  <c r="J170" i="24"/>
  <c r="N62" i="9"/>
  <c r="D184" i="24"/>
  <c r="J166" i="24"/>
  <c r="P65" i="9"/>
  <c r="P66" i="9"/>
  <c r="N65" i="9"/>
  <c r="I187" i="24"/>
  <c r="K62" i="9"/>
  <c r="F183" i="24"/>
  <c r="M59" i="9"/>
  <c r="L62" i="9"/>
  <c r="J172" i="24"/>
  <c r="D187" i="24"/>
  <c r="K65" i="9"/>
  <c r="H183" i="24"/>
  <c r="H188" i="24"/>
  <c r="P62" i="9"/>
  <c r="E190" i="24"/>
  <c r="G186" i="24"/>
  <c r="F59" i="24"/>
  <c r="H193" i="24"/>
  <c r="D53" i="24"/>
  <c r="O66" i="9"/>
  <c r="M58" i="9"/>
  <c r="E51" i="24"/>
  <c r="K61" i="9"/>
  <c r="K64" i="9"/>
  <c r="E191" i="24"/>
  <c r="J173" i="24"/>
  <c r="G183" i="24"/>
  <c r="J164" i="24"/>
  <c r="P64" i="9"/>
  <c r="P63" i="9"/>
  <c r="L55" i="9"/>
  <c r="I59" i="24"/>
  <c r="I81" i="24" s="1"/>
  <c r="F191" i="24"/>
  <c r="D50" i="24"/>
  <c r="E61" i="24"/>
  <c r="J175" i="24"/>
  <c r="N55" i="9"/>
  <c r="N56" i="9"/>
  <c r="O61" i="9"/>
  <c r="M55" i="9"/>
  <c r="I191" i="24"/>
  <c r="I192" i="24"/>
  <c r="D61" i="24"/>
  <c r="G191" i="24"/>
  <c r="G192" i="24"/>
  <c r="L66" i="9"/>
  <c r="L58" i="9"/>
  <c r="O65" i="9"/>
  <c r="O64" i="9"/>
  <c r="H186" i="24"/>
  <c r="H187" i="24"/>
  <c r="O56" i="9"/>
  <c r="G189" i="24"/>
  <c r="G188" i="24"/>
  <c r="I183" i="24"/>
  <c r="K70" i="11"/>
  <c r="W31" i="27"/>
  <c r="W17" i="27"/>
  <c r="V31" i="27"/>
  <c r="V17" i="27"/>
  <c r="K228" i="19"/>
  <c r="K224" i="19"/>
  <c r="K225" i="19"/>
  <c r="K229" i="19"/>
  <c r="K227" i="19"/>
  <c r="K226" i="19"/>
  <c r="L70" i="11"/>
  <c r="M70" i="11"/>
  <c r="K100" i="19" l="1"/>
  <c r="O100" i="19" s="1"/>
  <c r="F43" i="23"/>
  <c r="F385" i="24"/>
  <c r="F383" i="24"/>
  <c r="E385" i="24"/>
  <c r="E383" i="24"/>
  <c r="F268" i="24"/>
  <c r="H259" i="24"/>
  <c r="C66" i="11"/>
  <c r="B66" i="11"/>
  <c r="B65" i="11"/>
  <c r="H65" i="11"/>
  <c r="E11" i="24"/>
  <c r="F11" i="24" s="1"/>
  <c r="F83" i="24"/>
  <c r="F103" i="24" s="1"/>
  <c r="E65" i="11"/>
  <c r="E14" i="24"/>
  <c r="F14" i="24" s="1"/>
  <c r="C65" i="11"/>
  <c r="K70" i="9"/>
  <c r="E10" i="24"/>
  <c r="F10" i="24" s="1"/>
  <c r="F65" i="11"/>
  <c r="I65" i="11"/>
  <c r="E66" i="11"/>
  <c r="J66" i="11"/>
  <c r="P70" i="9"/>
  <c r="N70" i="9"/>
  <c r="L70" i="9"/>
  <c r="F64" i="11"/>
  <c r="J58" i="24"/>
  <c r="M70" i="9"/>
  <c r="G64" i="11"/>
  <c r="J52" i="24"/>
  <c r="E81" i="24"/>
  <c r="E101" i="24" s="1"/>
  <c r="I64" i="11"/>
  <c r="J64" i="11"/>
  <c r="B64" i="11"/>
  <c r="G14" i="24"/>
  <c r="G13" i="24"/>
  <c r="O70" i="9"/>
  <c r="G9" i="24"/>
  <c r="G10" i="24"/>
  <c r="H64" i="11"/>
  <c r="C64" i="11"/>
  <c r="G12" i="24"/>
  <c r="G11" i="24"/>
  <c r="G15" i="24"/>
  <c r="J54" i="24"/>
  <c r="E64" i="11"/>
  <c r="D64" i="11"/>
  <c r="G8" i="24"/>
  <c r="G16" i="24"/>
  <c r="C5" i="11"/>
  <c r="C9" i="9"/>
  <c r="D9" i="9" s="1"/>
  <c r="E9" i="9" s="1"/>
  <c r="C7" i="9"/>
  <c r="D7" i="9" s="1"/>
  <c r="E7" i="9" s="1"/>
  <c r="D5" i="11"/>
  <c r="D71" i="11" s="1"/>
  <c r="F5" i="11"/>
  <c r="C13" i="9"/>
  <c r="D13" i="9" s="1"/>
  <c r="E13" i="9" s="1"/>
  <c r="E5" i="11"/>
  <c r="E71" i="11" s="1"/>
  <c r="C10" i="9"/>
  <c r="D10" i="9" s="1"/>
  <c r="E10" i="9" s="1"/>
  <c r="B5" i="11"/>
  <c r="E19" i="24"/>
  <c r="F19" i="24" s="1"/>
  <c r="E20" i="24"/>
  <c r="F20" i="24" s="1"/>
  <c r="I217" i="24"/>
  <c r="H217" i="24"/>
  <c r="J33" i="24"/>
  <c r="L227" i="19"/>
  <c r="M227" i="19" s="1"/>
  <c r="C12" i="9"/>
  <c r="D12" i="9" s="1"/>
  <c r="E12" i="9" s="1"/>
  <c r="L226" i="19"/>
  <c r="M226" i="19" s="1"/>
  <c r="C11" i="9"/>
  <c r="D11" i="9" s="1"/>
  <c r="E11" i="9" s="1"/>
  <c r="C14" i="9"/>
  <c r="D14" i="9" s="1"/>
  <c r="E14" i="9" s="1"/>
  <c r="L223" i="19"/>
  <c r="M223" i="19" s="1"/>
  <c r="C8" i="9"/>
  <c r="D8" i="9" s="1"/>
  <c r="E8" i="9" s="1"/>
  <c r="D77" i="24"/>
  <c r="D211" i="24" s="1"/>
  <c r="J55" i="24"/>
  <c r="D81" i="24"/>
  <c r="D90" i="24" s="1"/>
  <c r="D82" i="24"/>
  <c r="D216" i="24" s="1"/>
  <c r="D76" i="24"/>
  <c r="D210" i="24" s="1"/>
  <c r="D228" i="24" s="1"/>
  <c r="D80" i="24"/>
  <c r="D214" i="24" s="1"/>
  <c r="E9" i="24"/>
  <c r="F9" i="24" s="1"/>
  <c r="D79" i="24"/>
  <c r="D65" i="11"/>
  <c r="D74" i="24"/>
  <c r="D208" i="24" s="1"/>
  <c r="D73" i="24"/>
  <c r="D207" i="24" s="1"/>
  <c r="D78" i="24"/>
  <c r="E16" i="24"/>
  <c r="F16" i="24" s="1"/>
  <c r="G286" i="24"/>
  <c r="F341" i="24"/>
  <c r="F323" i="24"/>
  <c r="D323" i="24"/>
  <c r="D341" i="24"/>
  <c r="E83" i="24"/>
  <c r="H81" i="24"/>
  <c r="H215" i="24" s="1"/>
  <c r="H232" i="24" s="1"/>
  <c r="E231" i="24"/>
  <c r="G224" i="24"/>
  <c r="L66" i="11"/>
  <c r="G97" i="24"/>
  <c r="K65" i="11"/>
  <c r="E230" i="24"/>
  <c r="H97" i="24"/>
  <c r="E17" i="24"/>
  <c r="F17" i="24" s="1"/>
  <c r="G211" i="24"/>
  <c r="G228" i="24" s="1"/>
  <c r="G98" i="24"/>
  <c r="I230" i="24"/>
  <c r="L65" i="11"/>
  <c r="E12" i="24"/>
  <c r="F12" i="24" s="1"/>
  <c r="G101" i="24"/>
  <c r="G83" i="24"/>
  <c r="G99" i="24"/>
  <c r="H82" i="24"/>
  <c r="H216" i="24" s="1"/>
  <c r="E15" i="24"/>
  <c r="F15" i="24" s="1"/>
  <c r="G215" i="24"/>
  <c r="G232" i="24" s="1"/>
  <c r="J34" i="24"/>
  <c r="E18" i="24"/>
  <c r="F18" i="24" s="1"/>
  <c r="E13" i="24"/>
  <c r="F13" i="24" s="1"/>
  <c r="H230" i="24"/>
  <c r="G100" i="24"/>
  <c r="E99" i="24"/>
  <c r="H96" i="24"/>
  <c r="E229" i="24"/>
  <c r="I226" i="24"/>
  <c r="E82" i="24"/>
  <c r="G82" i="24"/>
  <c r="G213" i="24"/>
  <c r="G231" i="24" s="1"/>
  <c r="G94" i="24"/>
  <c r="I98" i="24"/>
  <c r="H93" i="24"/>
  <c r="N230" i="24"/>
  <c r="F94" i="24"/>
  <c r="F96" i="24"/>
  <c r="J39" i="24"/>
  <c r="F95" i="24"/>
  <c r="I94" i="24"/>
  <c r="F93" i="24"/>
  <c r="H231" i="24"/>
  <c r="F231" i="24"/>
  <c r="F100" i="24"/>
  <c r="H98" i="24"/>
  <c r="F99" i="24"/>
  <c r="H100" i="24"/>
  <c r="H99" i="24"/>
  <c r="F98" i="24"/>
  <c r="E100" i="24"/>
  <c r="I99" i="24"/>
  <c r="G95" i="24"/>
  <c r="F209" i="24"/>
  <c r="F227" i="24" s="1"/>
  <c r="I96" i="24"/>
  <c r="I97" i="24"/>
  <c r="H211" i="24"/>
  <c r="H228" i="24" s="1"/>
  <c r="H207" i="24"/>
  <c r="H225" i="24" s="1"/>
  <c r="F225" i="24"/>
  <c r="J65" i="11"/>
  <c r="I95" i="24"/>
  <c r="G93" i="24"/>
  <c r="F224" i="24"/>
  <c r="K66" i="11"/>
  <c r="M65" i="11"/>
  <c r="G209" i="24"/>
  <c r="G227" i="24" s="1"/>
  <c r="I100" i="24"/>
  <c r="G96" i="24"/>
  <c r="I211" i="24"/>
  <c r="I229" i="24" s="1"/>
  <c r="H94" i="24"/>
  <c r="H226" i="24"/>
  <c r="F97" i="24"/>
  <c r="F211" i="24"/>
  <c r="F228" i="24" s="1"/>
  <c r="G65" i="11"/>
  <c r="J40" i="24"/>
  <c r="N233" i="24"/>
  <c r="J56" i="24"/>
  <c r="J41" i="24"/>
  <c r="M66" i="11"/>
  <c r="E98" i="24"/>
  <c r="I227" i="24"/>
  <c r="H95" i="24"/>
  <c r="I93" i="24"/>
  <c r="I207" i="24"/>
  <c r="E75" i="24"/>
  <c r="E96" i="24" s="1"/>
  <c r="E341" i="24"/>
  <c r="E323" i="24"/>
  <c r="L224" i="19"/>
  <c r="M224" i="19" s="1"/>
  <c r="E146" i="24"/>
  <c r="F146" i="24" s="1"/>
  <c r="L228" i="19"/>
  <c r="M228" i="19" s="1"/>
  <c r="E147" i="24"/>
  <c r="F147" i="24" s="1"/>
  <c r="L229" i="19"/>
  <c r="M229" i="19" s="1"/>
  <c r="E142" i="24"/>
  <c r="F142" i="24" s="1"/>
  <c r="L225" i="19"/>
  <c r="M225" i="19" s="1"/>
  <c r="F273" i="24"/>
  <c r="G260" i="24"/>
  <c r="G268" i="24" s="1"/>
  <c r="B25" i="23"/>
  <c r="N228" i="24"/>
  <c r="I231" i="24"/>
  <c r="G19" i="24"/>
  <c r="M64" i="11"/>
  <c r="I216" i="24"/>
  <c r="I103" i="24"/>
  <c r="H227" i="24"/>
  <c r="F216" i="24"/>
  <c r="N231" i="24"/>
  <c r="N229" i="24"/>
  <c r="E73" i="24"/>
  <c r="J51" i="24"/>
  <c r="K64" i="11"/>
  <c r="G17" i="24"/>
  <c r="J60" i="24"/>
  <c r="N234" i="24"/>
  <c r="D83" i="24"/>
  <c r="J61" i="24"/>
  <c r="G225" i="24"/>
  <c r="E195" i="24"/>
  <c r="C40" i="17"/>
  <c r="C19" i="17" s="1"/>
  <c r="C20" i="17" s="1"/>
  <c r="P16" i="11" s="1"/>
  <c r="E40" i="17"/>
  <c r="G195" i="24"/>
  <c r="N225" i="24"/>
  <c r="B19" i="17"/>
  <c r="D195" i="24"/>
  <c r="N224" i="24"/>
  <c r="H195" i="24"/>
  <c r="F40" i="17"/>
  <c r="D40" i="17"/>
  <c r="D19" i="17" s="1"/>
  <c r="D20" i="17" s="1"/>
  <c r="P20" i="11" s="1"/>
  <c r="F195" i="24"/>
  <c r="N226" i="24"/>
  <c r="E210" i="24"/>
  <c r="L64" i="11"/>
  <c r="G18" i="24"/>
  <c r="J50" i="24"/>
  <c r="D72" i="24"/>
  <c r="G40" i="17"/>
  <c r="G19" i="17" s="1"/>
  <c r="G20" i="17" s="1"/>
  <c r="P35" i="11" s="1"/>
  <c r="I195" i="24"/>
  <c r="I101" i="24"/>
  <c r="I102" i="24"/>
  <c r="I215" i="24"/>
  <c r="I90" i="24"/>
  <c r="N227" i="24"/>
  <c r="N232" i="24"/>
  <c r="J57" i="24"/>
  <c r="D75" i="24"/>
  <c r="J53" i="24"/>
  <c r="E97" i="24"/>
  <c r="F81" i="24"/>
  <c r="J59" i="24"/>
  <c r="F230" i="24"/>
  <c r="E143" i="24"/>
  <c r="F143" i="24" s="1"/>
  <c r="E140" i="24"/>
  <c r="F140" i="24" s="1"/>
  <c r="L222" i="19"/>
  <c r="M222" i="19" s="1"/>
  <c r="E141" i="24"/>
  <c r="F141" i="24" s="1"/>
  <c r="E145" i="24"/>
  <c r="F145" i="24" s="1"/>
  <c r="E144" i="24"/>
  <c r="F144" i="24" s="1"/>
  <c r="F44" i="23" l="1"/>
  <c r="K101" i="19"/>
  <c r="O101" i="19" s="1"/>
  <c r="F64" i="24"/>
  <c r="I64" i="24"/>
  <c r="E64" i="24"/>
  <c r="H11" i="24"/>
  <c r="I11" i="24" s="1"/>
  <c r="D80" i="29"/>
  <c r="F217" i="24"/>
  <c r="F234" i="24" s="1"/>
  <c r="E102" i="24"/>
  <c r="E393" i="24"/>
  <c r="E215" i="24"/>
  <c r="E232" i="24" s="1"/>
  <c r="E90" i="24"/>
  <c r="F394" i="24"/>
  <c r="P68" i="9"/>
  <c r="P48" i="9" s="1"/>
  <c r="Q79" i="9" s="1"/>
  <c r="I247" i="24" s="1"/>
  <c r="I379" i="24"/>
  <c r="I360" i="24"/>
  <c r="I364" i="24"/>
  <c r="L68" i="9"/>
  <c r="H14" i="24"/>
  <c r="I14" i="24" s="1"/>
  <c r="H15" i="24"/>
  <c r="I15" i="24" s="1"/>
  <c r="H16" i="24"/>
  <c r="I16" i="24" s="1"/>
  <c r="H17" i="24"/>
  <c r="I17" i="24" s="1"/>
  <c r="H9" i="24"/>
  <c r="I9" i="24" s="1"/>
  <c r="H12" i="24"/>
  <c r="I12" i="24" s="1"/>
  <c r="H10" i="24"/>
  <c r="I10" i="24" s="1"/>
  <c r="H13" i="24"/>
  <c r="I13" i="24" s="1"/>
  <c r="B20" i="17"/>
  <c r="P25" i="11"/>
  <c r="I234" i="24"/>
  <c r="G217" i="24"/>
  <c r="E217" i="24"/>
  <c r="H234" i="24"/>
  <c r="D98" i="24"/>
  <c r="D212" i="24"/>
  <c r="D229" i="24" s="1"/>
  <c r="H90" i="24"/>
  <c r="D225" i="24"/>
  <c r="D100" i="24"/>
  <c r="D215" i="24"/>
  <c r="D232" i="24" s="1"/>
  <c r="D102" i="24"/>
  <c r="D101" i="24"/>
  <c r="D94" i="24"/>
  <c r="D97" i="24"/>
  <c r="D213" i="24"/>
  <c r="D231" i="24" s="1"/>
  <c r="D99" i="24"/>
  <c r="E394" i="24"/>
  <c r="H101" i="24"/>
  <c r="E6" i="11"/>
  <c r="E103" i="24"/>
  <c r="D6" i="11"/>
  <c r="G230" i="24"/>
  <c r="G229" i="24"/>
  <c r="F393" i="24"/>
  <c r="G103" i="24"/>
  <c r="H103" i="24"/>
  <c r="G226" i="24"/>
  <c r="G216" i="24"/>
  <c r="G102" i="24"/>
  <c r="H102" i="24"/>
  <c r="F226" i="24"/>
  <c r="E216" i="24"/>
  <c r="H224" i="24"/>
  <c r="F229" i="24"/>
  <c r="E236" i="24"/>
  <c r="I236" i="24"/>
  <c r="H229" i="24"/>
  <c r="I228" i="24"/>
  <c r="G393" i="24"/>
  <c r="I224" i="24"/>
  <c r="I225" i="24"/>
  <c r="H233" i="24"/>
  <c r="E209" i="24"/>
  <c r="E226" i="24" s="1"/>
  <c r="E95" i="24"/>
  <c r="B31" i="23"/>
  <c r="H260" i="24"/>
  <c r="H268" i="24"/>
  <c r="F392" i="24"/>
  <c r="D206" i="24"/>
  <c r="D224" i="24" s="1"/>
  <c r="D93" i="24"/>
  <c r="H18" i="24"/>
  <c r="I18" i="24" s="1"/>
  <c r="H19" i="24"/>
  <c r="I19" i="24" s="1"/>
  <c r="N68" i="9"/>
  <c r="G236" i="24"/>
  <c r="H236" i="24"/>
  <c r="O68" i="9"/>
  <c r="N30" i="11"/>
  <c r="N25" i="11"/>
  <c r="O25" i="11"/>
  <c r="D217" i="24"/>
  <c r="D103" i="24"/>
  <c r="F101" i="24"/>
  <c r="F215" i="24"/>
  <c r="F90" i="24"/>
  <c r="F102" i="24"/>
  <c r="N20" i="11"/>
  <c r="O20" i="11"/>
  <c r="M68" i="9"/>
  <c r="F236" i="24"/>
  <c r="E207" i="24"/>
  <c r="E94" i="24"/>
  <c r="E93" i="24"/>
  <c r="D209" i="24"/>
  <c r="D96" i="24"/>
  <c r="D95" i="24"/>
  <c r="I232" i="24"/>
  <c r="I233" i="24"/>
  <c r="N35" i="11"/>
  <c r="O35" i="11"/>
  <c r="E228" i="24"/>
  <c r="N12" i="11"/>
  <c r="N16" i="11"/>
  <c r="O16" i="11"/>
  <c r="E392" i="24"/>
  <c r="C6" i="11"/>
  <c r="C71" i="11"/>
  <c r="F71" i="11"/>
  <c r="F6" i="11"/>
  <c r="B6" i="11"/>
  <c r="B71" i="11"/>
  <c r="F45" i="23" l="1"/>
  <c r="K102" i="19"/>
  <c r="O102" i="19" s="1"/>
  <c r="N44" i="11"/>
  <c r="N49" i="11"/>
  <c r="G388" i="24" s="1"/>
  <c r="E63" i="24"/>
  <c r="G64" i="24"/>
  <c r="I63" i="24"/>
  <c r="F63" i="24"/>
  <c r="G63" i="24"/>
  <c r="D80" i="30"/>
  <c r="P12" i="11"/>
  <c r="F80" i="29"/>
  <c r="F82" i="29" s="1"/>
  <c r="B89" i="29" s="1"/>
  <c r="D82" i="29"/>
  <c r="E233" i="24"/>
  <c r="G379" i="24"/>
  <c r="I62" i="24"/>
  <c r="I84" i="24" s="1"/>
  <c r="H360" i="24"/>
  <c r="K360" i="24" s="1"/>
  <c r="M48" i="9"/>
  <c r="N79" i="9" s="1"/>
  <c r="F247" i="24" s="1"/>
  <c r="N48" i="9"/>
  <c r="O79" i="9" s="1"/>
  <c r="G247" i="24" s="1"/>
  <c r="G364" i="24"/>
  <c r="F62" i="24"/>
  <c r="F84" i="24" s="1"/>
  <c r="G369" i="24"/>
  <c r="G62" i="24"/>
  <c r="G84" i="24" s="1"/>
  <c r="G356" i="24"/>
  <c r="D62" i="24"/>
  <c r="D84" i="24" s="1"/>
  <c r="G360" i="24"/>
  <c r="E62" i="24"/>
  <c r="E84" i="24" s="1"/>
  <c r="H379" i="24"/>
  <c r="K379" i="24" s="1"/>
  <c r="H364" i="24"/>
  <c r="K364" i="24" s="1"/>
  <c r="H369" i="24"/>
  <c r="K369" i="24" s="1"/>
  <c r="G234" i="24"/>
  <c r="I369" i="24"/>
  <c r="L48" i="9"/>
  <c r="M79" i="9" s="1"/>
  <c r="E247" i="24" s="1"/>
  <c r="O30" i="11"/>
  <c r="O48" i="9"/>
  <c r="P79" i="9" s="1"/>
  <c r="H247" i="24" s="1"/>
  <c r="G374" i="24"/>
  <c r="H62" i="24"/>
  <c r="P49" i="9"/>
  <c r="Q80" i="9" s="1"/>
  <c r="I248" i="24" s="1"/>
  <c r="J200" i="24"/>
  <c r="J201" i="24"/>
  <c r="D233" i="24"/>
  <c r="D230" i="24"/>
  <c r="M230" i="24" s="1"/>
  <c r="O230" i="24" s="1"/>
  <c r="M231" i="24"/>
  <c r="O231" i="24" s="1"/>
  <c r="E234" i="24"/>
  <c r="E227" i="24"/>
  <c r="G233" i="24"/>
  <c r="M229" i="24"/>
  <c r="O229" i="24" s="1"/>
  <c r="M228" i="24"/>
  <c r="O228" i="24" s="1"/>
  <c r="D227" i="24"/>
  <c r="D226" i="24"/>
  <c r="M226" i="24" s="1"/>
  <c r="O226" i="24" s="1"/>
  <c r="O12" i="11"/>
  <c r="N236" i="24"/>
  <c r="D234" i="24"/>
  <c r="E224" i="24"/>
  <c r="M224" i="24" s="1"/>
  <c r="O224" i="24" s="1"/>
  <c r="E225" i="24"/>
  <c r="M225" i="24" s="1"/>
  <c r="O225" i="24" s="1"/>
  <c r="F232" i="24"/>
  <c r="F233" i="24"/>
  <c r="F46" i="23" l="1"/>
  <c r="K103" i="19"/>
  <c r="O103" i="19" s="1"/>
  <c r="O44" i="11"/>
  <c r="G383" i="24"/>
  <c r="G392" i="24" s="1"/>
  <c r="I356" i="24"/>
  <c r="O49" i="11"/>
  <c r="H388" i="24" s="1"/>
  <c r="H63" i="24"/>
  <c r="D63" i="24"/>
  <c r="D64" i="24"/>
  <c r="F80" i="30"/>
  <c r="F82" i="30" s="1"/>
  <c r="B91" i="30" s="1"/>
  <c r="D82" i="30"/>
  <c r="M49" i="9"/>
  <c r="N80" i="9" s="1"/>
  <c r="F248" i="24" s="1"/>
  <c r="L49" i="9"/>
  <c r="M80" i="9" s="1"/>
  <c r="E248" i="24" s="1"/>
  <c r="E218" i="24"/>
  <c r="E104" i="24"/>
  <c r="G218" i="24"/>
  <c r="G104" i="24"/>
  <c r="N49" i="9"/>
  <c r="D218" i="24"/>
  <c r="D235" i="24" s="1"/>
  <c r="D104" i="24"/>
  <c r="F218" i="24"/>
  <c r="F104" i="24"/>
  <c r="I218" i="24"/>
  <c r="I104" i="24"/>
  <c r="H374" i="24"/>
  <c r="K374" i="24" s="1"/>
  <c r="P30" i="11"/>
  <c r="P49" i="11" s="1"/>
  <c r="I388" i="24" s="1"/>
  <c r="H20" i="17"/>
  <c r="H84" i="24"/>
  <c r="J62" i="24"/>
  <c r="G20" i="24"/>
  <c r="H20" i="24" s="1"/>
  <c r="I20" i="24" s="1"/>
  <c r="O49" i="9"/>
  <c r="P80" i="9" s="1"/>
  <c r="H248" i="24" s="1"/>
  <c r="J19" i="17"/>
  <c r="H356" i="24"/>
  <c r="M234" i="24"/>
  <c r="O234" i="24" s="1"/>
  <c r="M227" i="24"/>
  <c r="O227" i="24" s="1"/>
  <c r="M232" i="24"/>
  <c r="O232" i="24" s="1"/>
  <c r="M233" i="24"/>
  <c r="O233" i="24" s="1"/>
  <c r="E28" i="23"/>
  <c r="N64" i="11"/>
  <c r="F47" i="23" l="1"/>
  <c r="K104" i="19"/>
  <c r="O104" i="19" s="1"/>
  <c r="H383" i="24"/>
  <c r="H392" i="24" s="1"/>
  <c r="K356" i="24"/>
  <c r="P44" i="11"/>
  <c r="J63" i="24"/>
  <c r="H64" i="24"/>
  <c r="J64" i="24" s="1"/>
  <c r="E235" i="24"/>
  <c r="E241" i="24"/>
  <c r="F235" i="24"/>
  <c r="F241" i="24"/>
  <c r="G235" i="24"/>
  <c r="G241" i="24"/>
  <c r="I235" i="24"/>
  <c r="I241" i="24"/>
  <c r="J20" i="17"/>
  <c r="I374" i="24"/>
  <c r="I383" i="24" s="1"/>
  <c r="G21" i="24"/>
  <c r="H21" i="24" s="1"/>
  <c r="I21" i="24" s="1"/>
  <c r="H218" i="24"/>
  <c r="H104" i="24"/>
  <c r="O64" i="11"/>
  <c r="F48" i="23" l="1"/>
  <c r="K105" i="19"/>
  <c r="O105" i="19" s="1"/>
  <c r="G242" i="24"/>
  <c r="G294" i="24" s="1"/>
  <c r="G293" i="24"/>
  <c r="I242" i="24"/>
  <c r="I294" i="24" s="1"/>
  <c r="I293" i="24"/>
  <c r="E293" i="24"/>
  <c r="E242" i="24"/>
  <c r="E294" i="24" s="1"/>
  <c r="F242" i="24"/>
  <c r="F294" i="24" s="1"/>
  <c r="F293" i="24"/>
  <c r="I392" i="24"/>
  <c r="P64" i="11"/>
  <c r="G22" i="24"/>
  <c r="H22" i="24" s="1"/>
  <c r="I22" i="24" s="1"/>
  <c r="H235" i="24"/>
  <c r="H241" i="24"/>
  <c r="F49" i="23" l="1"/>
  <c r="K106" i="19"/>
  <c r="O106" i="19" s="1"/>
  <c r="H242" i="24"/>
  <c r="H294" i="24" s="1"/>
  <c r="H293" i="24"/>
  <c r="F50" i="23" l="1"/>
  <c r="K107" i="19"/>
  <c r="O107" i="19" s="1"/>
  <c r="F51" i="23" l="1"/>
  <c r="K108" i="19"/>
  <c r="O108" i="19" s="1"/>
  <c r="N27" i="11"/>
  <c r="N32" i="11"/>
  <c r="F52" i="23" l="1"/>
  <c r="K109" i="19"/>
  <c r="O109" i="19" s="1"/>
  <c r="G376" i="24"/>
  <c r="G371" i="24"/>
  <c r="E15" i="18"/>
  <c r="N22" i="11"/>
  <c r="K110" i="19" l="1"/>
  <c r="O110" i="19" s="1"/>
  <c r="K230" i="19" s="1"/>
  <c r="H53" i="23"/>
  <c r="G3" i="23" s="1"/>
  <c r="H3" i="23" s="1"/>
  <c r="F53" i="23" s="1"/>
  <c r="G53" i="23"/>
  <c r="K2" i="23" s="1"/>
  <c r="L2" i="23" s="1"/>
  <c r="N51" i="11"/>
  <c r="G390" i="24" s="1"/>
  <c r="N46" i="11"/>
  <c r="G366" i="24"/>
  <c r="G385" i="24" s="1"/>
  <c r="N65" i="11"/>
  <c r="K111" i="19" l="1"/>
  <c r="O111" i="19" s="1"/>
  <c r="F54" i="23"/>
  <c r="L230" i="19"/>
  <c r="M230" i="19" s="1"/>
  <c r="E148" i="24"/>
  <c r="F148" i="24" s="1"/>
  <c r="G5" i="11"/>
  <c r="C15" i="9"/>
  <c r="D15" i="9" s="1"/>
  <c r="E15" i="9" s="1"/>
  <c r="G394" i="24"/>
  <c r="N66" i="11"/>
  <c r="F55" i="23" l="1"/>
  <c r="K112" i="19"/>
  <c r="O112" i="19" s="1"/>
  <c r="G71" i="11"/>
  <c r="G6" i="11"/>
  <c r="E27" i="23"/>
  <c r="A31" i="23"/>
  <c r="E116" i="24"/>
  <c r="D279" i="24"/>
  <c r="D273" i="24" s="1"/>
  <c r="D277" i="24" s="1"/>
  <c r="F56" i="23" l="1"/>
  <c r="K113" i="19"/>
  <c r="O113" i="19" s="1"/>
  <c r="F12" i="23"/>
  <c r="G12" i="23" s="1"/>
  <c r="H12" i="23" s="1"/>
  <c r="D283" i="24"/>
  <c r="H279" i="24"/>
  <c r="H273" i="24"/>
  <c r="C25" i="23"/>
  <c r="C29" i="23"/>
  <c r="K96" i="9" s="1"/>
  <c r="D23" i="23"/>
  <c r="G275" i="24" s="1"/>
  <c r="A25" i="23"/>
  <c r="F57" i="23" l="1"/>
  <c r="K114" i="19"/>
  <c r="O114" i="19" s="1"/>
  <c r="N96" i="9"/>
  <c r="N107" i="9" s="1"/>
  <c r="L96" i="9"/>
  <c r="L107" i="9" s="1"/>
  <c r="M96" i="9"/>
  <c r="M107" i="9" s="1"/>
  <c r="D24" i="23"/>
  <c r="E24" i="23" s="1"/>
  <c r="E23" i="23"/>
  <c r="F277" i="24"/>
  <c r="E277" i="24"/>
  <c r="D29" i="23"/>
  <c r="C31" i="23"/>
  <c r="E283" i="24"/>
  <c r="F58" i="23" l="1"/>
  <c r="K115" i="19"/>
  <c r="O115" i="19" s="1"/>
  <c r="R96" i="9"/>
  <c r="E29" i="23"/>
  <c r="E25" i="23"/>
  <c r="D25" i="23"/>
  <c r="D30" i="23"/>
  <c r="E30" i="23" s="1"/>
  <c r="F281" i="24"/>
  <c r="F59" i="23" l="1"/>
  <c r="K116" i="19"/>
  <c r="O116" i="19" s="1"/>
  <c r="K97" i="9"/>
  <c r="H274" i="24"/>
  <c r="H280" i="24"/>
  <c r="H275" i="24"/>
  <c r="F283" i="24"/>
  <c r="D31" i="23"/>
  <c r="E31" i="23" s="1"/>
  <c r="F60" i="23" l="1"/>
  <c r="K117" i="19"/>
  <c r="O117" i="19" s="1"/>
  <c r="N97" i="9"/>
  <c r="N108" i="9" s="1"/>
  <c r="L97" i="9"/>
  <c r="L108" i="9" s="1"/>
  <c r="M97" i="9"/>
  <c r="M108" i="9" s="1"/>
  <c r="G276" i="24"/>
  <c r="G277" i="24" s="1"/>
  <c r="H277" i="24" s="1"/>
  <c r="G281" i="24"/>
  <c r="H281" i="24" s="1"/>
  <c r="F61" i="23" l="1"/>
  <c r="K118" i="19"/>
  <c r="O118" i="19" s="1"/>
  <c r="R97" i="9"/>
  <c r="G282" i="24"/>
  <c r="H282" i="24" s="1"/>
  <c r="H276" i="24"/>
  <c r="F62" i="23" l="1"/>
  <c r="K119" i="19"/>
  <c r="O119" i="19" s="1"/>
  <c r="G283" i="24"/>
  <c r="F63" i="23" l="1"/>
  <c r="K120" i="19"/>
  <c r="O120" i="19" s="1"/>
  <c r="H283" i="24"/>
  <c r="F287" i="24"/>
  <c r="E287" i="24"/>
  <c r="D287" i="24"/>
  <c r="F64" i="23" l="1"/>
  <c r="K121" i="19"/>
  <c r="O121" i="19" s="1"/>
  <c r="K122" i="19" l="1"/>
  <c r="O122" i="19" s="1"/>
  <c r="K231" i="19" s="1"/>
  <c r="G65" i="23"/>
  <c r="K3" i="23" s="1"/>
  <c r="L3" i="23" s="1"/>
  <c r="H65" i="23"/>
  <c r="G4" i="23" s="1"/>
  <c r="H4" i="23" s="1"/>
  <c r="F65" i="23" s="1"/>
  <c r="K123" i="19" l="1"/>
  <c r="O123" i="19" s="1"/>
  <c r="F66" i="23"/>
  <c r="H5" i="11"/>
  <c r="H6" i="11" s="1"/>
  <c r="E149" i="24"/>
  <c r="F149" i="24" s="1"/>
  <c r="C16" i="9"/>
  <c r="D16" i="9" s="1"/>
  <c r="E16" i="9" s="1"/>
  <c r="L231" i="19"/>
  <c r="M231" i="19" s="1"/>
  <c r="H71" i="11"/>
  <c r="F67" i="23" l="1"/>
  <c r="K124" i="19"/>
  <c r="O124" i="19" s="1"/>
  <c r="F68" i="23" l="1"/>
  <c r="K125" i="19"/>
  <c r="O125" i="19" s="1"/>
  <c r="F69" i="23" l="1"/>
  <c r="K126" i="19"/>
  <c r="O126" i="19" s="1"/>
  <c r="F70" i="23" l="1"/>
  <c r="K127" i="19"/>
  <c r="O127" i="19" s="1"/>
  <c r="F71" i="23" l="1"/>
  <c r="K128" i="19"/>
  <c r="O128" i="19" s="1"/>
  <c r="F72" i="23" l="1"/>
  <c r="K129" i="19"/>
  <c r="O129" i="19" s="1"/>
  <c r="F73" i="23" l="1"/>
  <c r="K130" i="19"/>
  <c r="O130" i="19" s="1"/>
  <c r="F74" i="23" l="1"/>
  <c r="K131" i="19"/>
  <c r="O131" i="19" s="1"/>
  <c r="F75" i="23" l="1"/>
  <c r="K132" i="19"/>
  <c r="O132" i="19" s="1"/>
  <c r="F76" i="23" l="1"/>
  <c r="K133" i="19"/>
  <c r="O133" i="19" s="1"/>
  <c r="K134" i="19" l="1"/>
  <c r="O134" i="19" s="1"/>
  <c r="K232" i="19" s="1"/>
  <c r="H77" i="23"/>
  <c r="G5" i="23" s="1"/>
  <c r="H5" i="23" s="1"/>
  <c r="F77" i="23" s="1"/>
  <c r="G77" i="23"/>
  <c r="K4" i="23" s="1"/>
  <c r="L4" i="23" s="1"/>
  <c r="K135" i="19" l="1"/>
  <c r="O135" i="19" s="1"/>
  <c r="F78" i="23"/>
  <c r="I5" i="11"/>
  <c r="L232" i="19"/>
  <c r="M232" i="19" s="1"/>
  <c r="C17" i="9"/>
  <c r="D17" i="9" s="1"/>
  <c r="E17" i="9" s="1"/>
  <c r="E150" i="24"/>
  <c r="F150" i="24" s="1"/>
  <c r="I6" i="11" l="1"/>
  <c r="I71" i="11"/>
  <c r="K136" i="19"/>
  <c r="O136" i="19" s="1"/>
  <c r="F79" i="23"/>
  <c r="F80" i="23" l="1"/>
  <c r="K137" i="19"/>
  <c r="O137" i="19" s="1"/>
  <c r="F81" i="23" l="1"/>
  <c r="K138" i="19"/>
  <c r="O138" i="19" s="1"/>
  <c r="F82" i="23" l="1"/>
  <c r="K139" i="19"/>
  <c r="O139" i="19" s="1"/>
  <c r="F83" i="23" l="1"/>
  <c r="K140" i="19"/>
  <c r="O140" i="19" s="1"/>
  <c r="F84" i="23" l="1"/>
  <c r="K141" i="19"/>
  <c r="O141" i="19" s="1"/>
  <c r="F85" i="23" l="1"/>
  <c r="K142" i="19"/>
  <c r="O142" i="19" s="1"/>
  <c r="F86" i="23" l="1"/>
  <c r="K143" i="19"/>
  <c r="O143" i="19" s="1"/>
  <c r="F87" i="23" l="1"/>
  <c r="K144" i="19"/>
  <c r="O144" i="19" s="1"/>
  <c r="F88" i="23" l="1"/>
  <c r="K145" i="19"/>
  <c r="O145" i="19" s="1"/>
  <c r="K146" i="19" l="1"/>
  <c r="O146" i="19" s="1"/>
  <c r="K233" i="19" s="1"/>
  <c r="H89" i="23"/>
  <c r="G6" i="23" s="1"/>
  <c r="H6" i="23" s="1"/>
  <c r="F89" i="23" s="1"/>
  <c r="G89" i="23"/>
  <c r="K5" i="23" s="1"/>
  <c r="L5" i="23" s="1"/>
  <c r="K147" i="19" l="1"/>
  <c r="O147" i="19" s="1"/>
  <c r="F90" i="23"/>
  <c r="C18" i="9"/>
  <c r="D18" i="9" s="1"/>
  <c r="E18" i="9" s="1"/>
  <c r="L233" i="19"/>
  <c r="M233" i="19" s="1"/>
  <c r="J5" i="11"/>
  <c r="E151" i="24"/>
  <c r="F151" i="24" s="1"/>
  <c r="J71" i="11" l="1"/>
  <c r="J6" i="11"/>
  <c r="F91" i="23"/>
  <c r="K148" i="19"/>
  <c r="O148" i="19" s="1"/>
  <c r="F92" i="23" l="1"/>
  <c r="K149" i="19"/>
  <c r="O149" i="19" s="1"/>
  <c r="F93" i="23" l="1"/>
  <c r="K150" i="19"/>
  <c r="O150" i="19" s="1"/>
  <c r="F94" i="23" l="1"/>
  <c r="K151" i="19"/>
  <c r="O151" i="19" s="1"/>
  <c r="F95" i="23" l="1"/>
  <c r="K152" i="19"/>
  <c r="O152" i="19" s="1"/>
  <c r="F96" i="23" l="1"/>
  <c r="K153" i="19"/>
  <c r="O153" i="19" s="1"/>
  <c r="F97" i="23" l="1"/>
  <c r="K154" i="19"/>
  <c r="O154" i="19" s="1"/>
  <c r="F98" i="23" l="1"/>
  <c r="K155" i="19"/>
  <c r="O155" i="19" s="1"/>
  <c r="F99" i="23" l="1"/>
  <c r="K156" i="19"/>
  <c r="O156" i="19" s="1"/>
  <c r="F100" i="23" l="1"/>
  <c r="K157" i="19"/>
  <c r="O157" i="19" s="1"/>
  <c r="K158" i="19" l="1"/>
  <c r="O158" i="19" s="1"/>
  <c r="K234" i="19" s="1"/>
  <c r="H101" i="23"/>
  <c r="G7" i="23" s="1"/>
  <c r="H7" i="23" s="1"/>
  <c r="F101" i="23" s="1"/>
  <c r="G101" i="23"/>
  <c r="K6" i="23" s="1"/>
  <c r="L6" i="23" s="1"/>
  <c r="K159" i="19" l="1"/>
  <c r="O159" i="19" s="1"/>
  <c r="F102" i="23"/>
  <c r="E152" i="24"/>
  <c r="F152" i="24" s="1"/>
  <c r="C19" i="9"/>
  <c r="D19" i="9" s="1"/>
  <c r="E19" i="9" s="1"/>
  <c r="L234" i="19"/>
  <c r="M234" i="19" s="1"/>
  <c r="K5" i="11"/>
  <c r="F103" i="23" l="1"/>
  <c r="K160" i="19"/>
  <c r="O160" i="19" s="1"/>
  <c r="K6" i="11"/>
  <c r="K71" i="11"/>
  <c r="F104" i="23" l="1"/>
  <c r="K161" i="19"/>
  <c r="O161" i="19" s="1"/>
  <c r="F105" i="23" l="1"/>
  <c r="K162" i="19"/>
  <c r="O162" i="19" s="1"/>
  <c r="F106" i="23" l="1"/>
  <c r="K163" i="19"/>
  <c r="O163" i="19" s="1"/>
  <c r="F107" i="23" l="1"/>
  <c r="K164" i="19"/>
  <c r="O164" i="19" s="1"/>
  <c r="F108" i="23" l="1"/>
  <c r="K165" i="19"/>
  <c r="O165" i="19" s="1"/>
  <c r="F109" i="23" l="1"/>
  <c r="K166" i="19"/>
  <c r="O166" i="19" s="1"/>
  <c r="F110" i="23" l="1"/>
  <c r="K167" i="19"/>
  <c r="O167" i="19" s="1"/>
  <c r="F111" i="23" l="1"/>
  <c r="K168" i="19"/>
  <c r="O168" i="19" s="1"/>
  <c r="F112" i="23" l="1"/>
  <c r="K169" i="19"/>
  <c r="O169" i="19" s="1"/>
  <c r="K170" i="19" l="1"/>
  <c r="O170" i="19" s="1"/>
  <c r="K235" i="19" s="1"/>
  <c r="H113" i="23"/>
  <c r="G8" i="23" s="1"/>
  <c r="H8" i="23" s="1"/>
  <c r="F113" i="23" s="1"/>
  <c r="G113" i="23"/>
  <c r="K7" i="23" s="1"/>
  <c r="L7" i="23" s="1"/>
  <c r="K171" i="19" l="1"/>
  <c r="O171" i="19" s="1"/>
  <c r="F114" i="23"/>
  <c r="L5" i="11"/>
  <c r="C20" i="9"/>
  <c r="D20" i="9" s="1"/>
  <c r="E20" i="9" s="1"/>
  <c r="E153" i="24"/>
  <c r="F153" i="24" s="1"/>
  <c r="L235" i="19"/>
  <c r="M235" i="19" s="1"/>
  <c r="E351" i="24" l="1"/>
  <c r="E352" i="24" s="1"/>
  <c r="L6" i="11"/>
  <c r="L71" i="11"/>
  <c r="F115" i="23"/>
  <c r="K172" i="19"/>
  <c r="O172" i="19" s="1"/>
  <c r="F116" i="23" l="1"/>
  <c r="K173" i="19"/>
  <c r="O173" i="19" s="1"/>
  <c r="F117" i="23" l="1"/>
  <c r="K174" i="19"/>
  <c r="O174" i="19" s="1"/>
  <c r="F118" i="23" l="1"/>
  <c r="K175" i="19"/>
  <c r="O175" i="19" s="1"/>
  <c r="D299" i="24"/>
  <c r="D300" i="24"/>
  <c r="E299" i="24"/>
  <c r="M88" i="9"/>
  <c r="E300" i="24"/>
  <c r="M89" i="9"/>
  <c r="F299" i="24"/>
  <c r="N88" i="9"/>
  <c r="F300" i="24"/>
  <c r="F119" i="23" l="1"/>
  <c r="K176" i="19"/>
  <c r="O176" i="19" s="1"/>
  <c r="N89" i="9"/>
  <c r="G299" i="24"/>
  <c r="O88" i="9"/>
  <c r="G300" i="24"/>
  <c r="O89" i="9"/>
  <c r="H299" i="24"/>
  <c r="P88" i="9"/>
  <c r="H300" i="24"/>
  <c r="P89" i="9"/>
  <c r="I299" i="24"/>
  <c r="Q88" i="9"/>
  <c r="F120" i="23" l="1"/>
  <c r="K177" i="19"/>
  <c r="O177" i="19" s="1"/>
  <c r="J299" i="24"/>
  <c r="I300" i="24"/>
  <c r="J300" i="24" s="1"/>
  <c r="F121" i="23" l="1"/>
  <c r="K178" i="19"/>
  <c r="O178" i="19" s="1"/>
  <c r="Q89" i="9"/>
  <c r="F122" i="23" l="1"/>
  <c r="K179" i="19"/>
  <c r="O179" i="19" s="1"/>
  <c r="D236" i="24"/>
  <c r="D241" i="24" s="1"/>
  <c r="K68" i="9"/>
  <c r="K48" i="9" s="1"/>
  <c r="L79" i="9" s="1"/>
  <c r="F123" i="23" l="1"/>
  <c r="K180" i="19"/>
  <c r="O180" i="19" s="1"/>
  <c r="R79" i="9"/>
  <c r="D247" i="24"/>
  <c r="J247" i="24" s="1"/>
  <c r="K79" i="9"/>
  <c r="D242" i="24"/>
  <c r="M236" i="24"/>
  <c r="O236" i="24" s="1"/>
  <c r="L88" i="9"/>
  <c r="K49" i="9"/>
  <c r="L80" i="9" s="1"/>
  <c r="F124" i="23" l="1"/>
  <c r="K181" i="19"/>
  <c r="O181" i="19" s="1"/>
  <c r="R80" i="9"/>
  <c r="D248" i="24"/>
  <c r="J248" i="24" s="1"/>
  <c r="K80" i="9"/>
  <c r="D293" i="24"/>
  <c r="J293" i="24" s="1"/>
  <c r="R88" i="9"/>
  <c r="F288" i="24"/>
  <c r="L89" i="9"/>
  <c r="R89" i="9" s="1"/>
  <c r="K182" i="19" l="1"/>
  <c r="O182" i="19" s="1"/>
  <c r="K236" i="19" s="1"/>
  <c r="H125" i="23"/>
  <c r="G9" i="23" s="1"/>
  <c r="H9" i="23" s="1"/>
  <c r="F125" i="23" s="1"/>
  <c r="G125" i="23"/>
  <c r="K8" i="23" s="1"/>
  <c r="D294" i="24"/>
  <c r="J294" i="24" s="1"/>
  <c r="J287" i="24"/>
  <c r="J288" i="24"/>
  <c r="K183" i="19" l="1"/>
  <c r="O183" i="19" s="1"/>
  <c r="F126" i="23"/>
  <c r="L8" i="23"/>
  <c r="M5" i="11"/>
  <c r="L236" i="19"/>
  <c r="M236" i="19" s="1"/>
  <c r="E154" i="24"/>
  <c r="F154" i="24" s="1"/>
  <c r="C21" i="9"/>
  <c r="D21" i="9" s="1"/>
  <c r="E21" i="9" s="1"/>
  <c r="K184" i="19" l="1"/>
  <c r="O184" i="19" s="1"/>
  <c r="F127" i="23"/>
  <c r="F351" i="24"/>
  <c r="F352" i="24" s="1"/>
  <c r="M6" i="11"/>
  <c r="M71" i="11"/>
  <c r="K185" i="19" l="1"/>
  <c r="O185" i="19" s="1"/>
  <c r="F128" i="23"/>
  <c r="K186" i="19" l="1"/>
  <c r="O186" i="19" s="1"/>
  <c r="F129" i="23"/>
  <c r="K187" i="19" l="1"/>
  <c r="O187" i="19" s="1"/>
  <c r="F130" i="23"/>
  <c r="F131" i="23" l="1"/>
  <c r="K188" i="19"/>
  <c r="O188" i="19" s="1"/>
  <c r="K189" i="19" l="1"/>
  <c r="O189" i="19" s="1"/>
  <c r="F132" i="23"/>
  <c r="F133" i="23" l="1"/>
  <c r="K190" i="19"/>
  <c r="O190" i="19" s="1"/>
  <c r="K191" i="19" l="1"/>
  <c r="O191" i="19" s="1"/>
  <c r="F134" i="23"/>
  <c r="F135" i="23" l="1"/>
  <c r="K192" i="19"/>
  <c r="O192" i="19" s="1"/>
  <c r="F136" i="23" l="1"/>
  <c r="K193" i="19"/>
  <c r="O193" i="19" s="1"/>
  <c r="G137" i="23" l="1"/>
  <c r="K9" i="23" s="1"/>
  <c r="K194" i="19"/>
  <c r="O194" i="19" s="1"/>
  <c r="K237" i="19" s="1"/>
  <c r="H137" i="23"/>
  <c r="G10" i="23" s="1"/>
  <c r="H10" i="23" s="1"/>
  <c r="F137" i="23" s="1"/>
  <c r="C22" i="9" l="1"/>
  <c r="D22" i="9" s="1"/>
  <c r="E22" i="9" s="1"/>
  <c r="N5" i="11"/>
  <c r="L237" i="19"/>
  <c r="M237" i="19" s="1"/>
  <c r="E155" i="24"/>
  <c r="F155" i="24" s="1"/>
  <c r="K241" i="19"/>
  <c r="L241" i="19" s="1"/>
  <c r="F138" i="23"/>
  <c r="K195" i="19"/>
  <c r="O195" i="19" s="1"/>
  <c r="L9" i="23"/>
  <c r="G351" i="24" l="1"/>
  <c r="G352" i="24" s="1"/>
  <c r="N6" i="11"/>
  <c r="N71" i="11"/>
  <c r="F139" i="23"/>
  <c r="K196" i="19"/>
  <c r="O196" i="19" s="1"/>
  <c r="F140" i="23" l="1"/>
  <c r="K197" i="19"/>
  <c r="O197" i="19" s="1"/>
  <c r="K198" i="19" l="1"/>
  <c r="O198" i="19" s="1"/>
  <c r="F141" i="23"/>
  <c r="F142" i="23" l="1"/>
  <c r="K199" i="19"/>
  <c r="O199" i="19" s="1"/>
  <c r="F143" i="23" l="1"/>
  <c r="K200" i="19"/>
  <c r="O200" i="19" s="1"/>
  <c r="F144" i="23" l="1"/>
  <c r="K201" i="19"/>
  <c r="O201" i="19" s="1"/>
  <c r="K202" i="19" l="1"/>
  <c r="O202" i="19" s="1"/>
  <c r="F145" i="23"/>
  <c r="F146" i="23" l="1"/>
  <c r="K203" i="19"/>
  <c r="O203" i="19" s="1"/>
  <c r="F147" i="23" l="1"/>
  <c r="K204" i="19"/>
  <c r="O204" i="19" s="1"/>
  <c r="F148" i="23" l="1"/>
  <c r="K205" i="19"/>
  <c r="O205" i="19" s="1"/>
  <c r="K206" i="19" l="1"/>
  <c r="O206" i="19" s="1"/>
  <c r="K238" i="19" s="1"/>
  <c r="H149" i="23"/>
  <c r="G11" i="23" s="1"/>
  <c r="H11" i="23" s="1"/>
  <c r="F149" i="23" s="1"/>
  <c r="G149" i="23"/>
  <c r="K10" i="23" s="1"/>
  <c r="F150" i="23" l="1"/>
  <c r="K207" i="19"/>
  <c r="L10" i="23"/>
  <c r="O5" i="11"/>
  <c r="H351" i="24" s="1"/>
  <c r="C23" i="9"/>
  <c r="E156" i="24"/>
  <c r="G284" i="19" l="1"/>
  <c r="O207" i="19"/>
  <c r="K208" i="19"/>
  <c r="F151" i="23"/>
  <c r="K209" i="19" l="1"/>
  <c r="F152" i="23"/>
  <c r="G285" i="19"/>
  <c r="O208" i="19"/>
  <c r="G300" i="19"/>
  <c r="K300" i="19" s="1"/>
  <c r="K284" i="19"/>
  <c r="G286" i="19" l="1"/>
  <c r="O209" i="19"/>
  <c r="G301" i="19"/>
  <c r="K301" i="19" s="1"/>
  <c r="K285" i="19"/>
  <c r="K210" i="19"/>
  <c r="F153" i="23"/>
  <c r="O210" i="19" l="1"/>
  <c r="G287" i="19"/>
  <c r="F154" i="23"/>
  <c r="K211" i="19"/>
  <c r="K286" i="19"/>
  <c r="G302" i="19"/>
  <c r="K302" i="19" s="1"/>
  <c r="K212" i="19" l="1"/>
  <c r="F155" i="23"/>
  <c r="G288" i="19"/>
  <c r="O211" i="19"/>
  <c r="G303" i="19"/>
  <c r="K303" i="19" s="1"/>
  <c r="K287" i="19"/>
  <c r="O212" i="19" l="1"/>
  <c r="G289" i="19"/>
  <c r="K288" i="19"/>
  <c r="G304" i="19"/>
  <c r="K304" i="19" s="1"/>
  <c r="F156" i="23"/>
  <c r="K213" i="19"/>
  <c r="K214" i="19" l="1"/>
  <c r="F157" i="23"/>
  <c r="G305" i="19"/>
  <c r="K305" i="19" s="1"/>
  <c r="K289" i="19"/>
  <c r="G290" i="19"/>
  <c r="O213" i="19"/>
  <c r="F158" i="23" l="1"/>
  <c r="K215" i="19"/>
  <c r="K290" i="19"/>
  <c r="G306" i="19"/>
  <c r="K306" i="19" s="1"/>
  <c r="O214" i="19"/>
  <c r="G291" i="19"/>
  <c r="K291" i="19" l="1"/>
  <c r="G307" i="19"/>
  <c r="K307" i="19" s="1"/>
  <c r="F159" i="23"/>
  <c r="K216" i="19"/>
  <c r="O215" i="19"/>
  <c r="G292" i="19"/>
  <c r="K292" i="19" l="1"/>
  <c r="G308" i="19"/>
  <c r="K308" i="19" s="1"/>
  <c r="O216" i="19"/>
  <c r="G293" i="19"/>
  <c r="K217" i="19"/>
  <c r="F160" i="23"/>
  <c r="K218" i="19" l="1"/>
  <c r="H161" i="23"/>
  <c r="G161" i="23"/>
  <c r="K11" i="23" s="1"/>
  <c r="O217" i="19"/>
  <c r="G294" i="19"/>
  <c r="K293" i="19"/>
  <c r="G309" i="19"/>
  <c r="K309" i="19" s="1"/>
  <c r="G310" i="19" l="1"/>
  <c r="K310" i="19" s="1"/>
  <c r="K294" i="19"/>
  <c r="L11" i="23"/>
  <c r="L12" i="23" s="1"/>
  <c r="K12" i="23"/>
  <c r="O218" i="19"/>
  <c r="G295" i="19"/>
  <c r="G311" i="19" l="1"/>
  <c r="K311" i="19" s="1"/>
  <c r="K312" i="19" s="1"/>
  <c r="E159" i="24" s="1"/>
  <c r="K295" i="19"/>
  <c r="K296" i="19" s="1"/>
  <c r="E158" i="24" s="1"/>
  <c r="O220" i="19"/>
  <c r="K239" i="19"/>
  <c r="E157" i="24" l="1"/>
  <c r="C24" i="9"/>
  <c r="K243" i="19"/>
  <c r="L243" i="19" s="1"/>
  <c r="G23" i="9" l="1"/>
  <c r="K83" i="9" s="1"/>
  <c r="F27" i="9"/>
  <c r="G24" i="9" s="1"/>
  <c r="K84" i="9" s="1"/>
  <c r="K101" i="9" l="1"/>
  <c r="K89" i="9"/>
  <c r="K100" i="9"/>
  <c r="K88" i="9"/>
  <c r="M93" i="9" l="1"/>
  <c r="P93" i="9"/>
  <c r="L93" i="9"/>
  <c r="N93" i="9"/>
  <c r="Q93" i="9"/>
  <c r="O93" i="9"/>
  <c r="L92" i="9"/>
  <c r="P92" i="9"/>
  <c r="Q92" i="9"/>
  <c r="M92" i="9"/>
  <c r="N92" i="9"/>
  <c r="O92" i="9"/>
  <c r="I297" i="24" l="1"/>
  <c r="I303" i="24" s="1"/>
  <c r="Q84" i="9"/>
  <c r="H296" i="24"/>
  <c r="H302" i="24" s="1"/>
  <c r="P83" i="9"/>
  <c r="F297" i="24"/>
  <c r="F303" i="24" s="1"/>
  <c r="N84" i="9"/>
  <c r="Q83" i="9"/>
  <c r="I296" i="24"/>
  <c r="I302" i="24" s="1"/>
  <c r="E297" i="24"/>
  <c r="E303" i="24" s="1"/>
  <c r="M84" i="9"/>
  <c r="G296" i="24"/>
  <c r="G302" i="24" s="1"/>
  <c r="O83" i="9"/>
  <c r="F296" i="24"/>
  <c r="F302" i="24" s="1"/>
  <c r="N83" i="9"/>
  <c r="R92" i="9"/>
  <c r="D296" i="24"/>
  <c r="L83" i="9"/>
  <c r="D297" i="24"/>
  <c r="R93" i="9"/>
  <c r="L84" i="9"/>
  <c r="E296" i="24"/>
  <c r="E302" i="24" s="1"/>
  <c r="M83" i="9"/>
  <c r="G297" i="24"/>
  <c r="G303" i="24" s="1"/>
  <c r="O84" i="9"/>
  <c r="P84" i="9"/>
  <c r="H297" i="24"/>
  <c r="H303" i="24" s="1"/>
  <c r="D17" i="18" l="1"/>
  <c r="P101" i="9"/>
  <c r="P31" i="11" s="1"/>
  <c r="P105" i="9"/>
  <c r="L100" i="9"/>
  <c r="L104" i="9"/>
  <c r="R83" i="9"/>
  <c r="S83" i="9" s="1"/>
  <c r="O105" i="9"/>
  <c r="O101" i="9"/>
  <c r="P26" i="11" s="1"/>
  <c r="C17" i="18"/>
  <c r="L105" i="9"/>
  <c r="R84" i="9"/>
  <c r="S84" i="9" s="1"/>
  <c r="L101" i="9"/>
  <c r="D302" i="24"/>
  <c r="J302" i="24" s="1"/>
  <c r="J296" i="24"/>
  <c r="C16" i="18"/>
  <c r="O104" i="9"/>
  <c r="O100" i="9"/>
  <c r="O26" i="11" s="1"/>
  <c r="P104" i="9"/>
  <c r="D16" i="18"/>
  <c r="P100" i="9"/>
  <c r="O31" i="11" s="1"/>
  <c r="Q104" i="9"/>
  <c r="Q100" i="9"/>
  <c r="O36" i="11" s="1"/>
  <c r="M104" i="9"/>
  <c r="M100" i="9"/>
  <c r="O17" i="11" s="1"/>
  <c r="D303" i="24"/>
  <c r="J303" i="24" s="1"/>
  <c r="J297" i="24"/>
  <c r="N104" i="9"/>
  <c r="N100" i="9"/>
  <c r="O21" i="11" s="1"/>
  <c r="B16" i="18"/>
  <c r="M105" i="9"/>
  <c r="M101" i="9"/>
  <c r="P17" i="11" s="1"/>
  <c r="N105" i="9"/>
  <c r="N101" i="9"/>
  <c r="P21" i="11" s="1"/>
  <c r="B17" i="18"/>
  <c r="Q105" i="9"/>
  <c r="Q101" i="9"/>
  <c r="P36" i="11" s="1"/>
  <c r="P5" i="11" l="1"/>
  <c r="I351" i="24" s="1"/>
  <c r="H370" i="24"/>
  <c r="G43" i="24"/>
  <c r="G85" i="24" s="1"/>
  <c r="G105" i="24" s="1"/>
  <c r="B5" i="29"/>
  <c r="E344" i="24"/>
  <c r="P27" i="11"/>
  <c r="F344" i="24"/>
  <c r="P32" i="11"/>
  <c r="I380" i="24"/>
  <c r="I44" i="24"/>
  <c r="I86" i="24" s="1"/>
  <c r="B7" i="30"/>
  <c r="F43" i="24"/>
  <c r="F85" i="24" s="1"/>
  <c r="F105" i="24" s="1"/>
  <c r="H365" i="24"/>
  <c r="B4" i="29"/>
  <c r="H361" i="24"/>
  <c r="E43" i="24"/>
  <c r="E85" i="24" s="1"/>
  <c r="E105" i="24" s="1"/>
  <c r="B3" i="29"/>
  <c r="H375" i="24"/>
  <c r="H43" i="24"/>
  <c r="H85" i="24" s="1"/>
  <c r="H105" i="24" s="1"/>
  <c r="B6" i="29"/>
  <c r="R101" i="9"/>
  <c r="P13" i="11"/>
  <c r="B5" i="30"/>
  <c r="I370" i="24"/>
  <c r="G44" i="24"/>
  <c r="G86" i="24" s="1"/>
  <c r="R100" i="9"/>
  <c r="O13" i="11"/>
  <c r="I365" i="24"/>
  <c r="F44" i="24"/>
  <c r="F86" i="24" s="1"/>
  <c r="F106" i="24" s="1"/>
  <c r="B4" i="30"/>
  <c r="E16" i="18"/>
  <c r="D343" i="24"/>
  <c r="O22" i="11"/>
  <c r="I361" i="24"/>
  <c r="E44" i="24"/>
  <c r="E86" i="24" s="1"/>
  <c r="B3" i="30"/>
  <c r="F343" i="24"/>
  <c r="O32" i="11"/>
  <c r="O27" i="11"/>
  <c r="E343" i="24"/>
  <c r="D344" i="24"/>
  <c r="P22" i="11"/>
  <c r="E17" i="18"/>
  <c r="I43" i="24"/>
  <c r="I85" i="24" s="1"/>
  <c r="I105" i="24" s="1"/>
  <c r="H380" i="24"/>
  <c r="B7" i="29"/>
  <c r="H44" i="24"/>
  <c r="H86" i="24" s="1"/>
  <c r="H106" i="24" s="1"/>
  <c r="I375" i="24"/>
  <c r="B6" i="30"/>
  <c r="E106" i="24" l="1"/>
  <c r="G344" i="24"/>
  <c r="G106" i="24"/>
  <c r="O46" i="11"/>
  <c r="H366" i="24"/>
  <c r="C4" i="29"/>
  <c r="O51" i="11"/>
  <c r="S101" i="9"/>
  <c r="P55" i="11"/>
  <c r="P60" i="11"/>
  <c r="P8" i="11"/>
  <c r="D22" i="24" s="1"/>
  <c r="B26" i="29"/>
  <c r="D26" i="29" s="1"/>
  <c r="F26" i="29" s="1"/>
  <c r="B15" i="29"/>
  <c r="D15" i="29" s="1"/>
  <c r="B15" i="30"/>
  <c r="D15" i="30" s="1"/>
  <c r="G343" i="24"/>
  <c r="B18" i="29"/>
  <c r="D18" i="29" s="1"/>
  <c r="I376" i="24"/>
  <c r="C6" i="30"/>
  <c r="D40" i="30" s="1"/>
  <c r="B17" i="29"/>
  <c r="D17" i="29" s="1"/>
  <c r="B28" i="29"/>
  <c r="D28" i="29" s="1"/>
  <c r="F28" i="29" s="1"/>
  <c r="B18" i="30"/>
  <c r="D18" i="30" s="1"/>
  <c r="P61" i="11"/>
  <c r="P56" i="11"/>
  <c r="C5" i="29"/>
  <c r="D39" i="29" s="1"/>
  <c r="H371" i="24"/>
  <c r="O56" i="11"/>
  <c r="O61" i="11"/>
  <c r="B2" i="29"/>
  <c r="O45" i="11"/>
  <c r="D43" i="24"/>
  <c r="O50" i="11"/>
  <c r="H357" i="24"/>
  <c r="H384" i="24" s="1"/>
  <c r="B17" i="30"/>
  <c r="D17" i="30" s="1"/>
  <c r="B19" i="30"/>
  <c r="D19" i="30" s="1"/>
  <c r="B19" i="29"/>
  <c r="D19" i="29" s="1"/>
  <c r="P46" i="11"/>
  <c r="I366" i="24"/>
  <c r="C4" i="30"/>
  <c r="P51" i="11"/>
  <c r="C6" i="29"/>
  <c r="D40" i="29" s="1"/>
  <c r="H376" i="24"/>
  <c r="B16" i="30"/>
  <c r="D16" i="30" s="1"/>
  <c r="S100" i="9"/>
  <c r="O60" i="11"/>
  <c r="O55" i="11"/>
  <c r="O8" i="11"/>
  <c r="D21" i="24" s="1"/>
  <c r="E21" i="24" s="1"/>
  <c r="F21" i="24" s="1"/>
  <c r="D44" i="24"/>
  <c r="P45" i="11"/>
  <c r="I357" i="24"/>
  <c r="I384" i="24" s="1"/>
  <c r="P50" i="11"/>
  <c r="B2" i="30"/>
  <c r="B16" i="29"/>
  <c r="D16" i="29" s="1"/>
  <c r="I106" i="24"/>
  <c r="I371" i="24"/>
  <c r="C5" i="30"/>
  <c r="D39" i="30" s="1"/>
  <c r="B30" i="30" l="1"/>
  <c r="D30" i="30" s="1"/>
  <c r="F30" i="30" s="1"/>
  <c r="B27" i="29"/>
  <c r="D27" i="29" s="1"/>
  <c r="F27" i="29" s="1"/>
  <c r="B27" i="30"/>
  <c r="D27" i="30" s="1"/>
  <c r="F27" i="30" s="1"/>
  <c r="C9" i="30"/>
  <c r="D38" i="30"/>
  <c r="F19" i="29"/>
  <c r="D41" i="29"/>
  <c r="F17" i="30"/>
  <c r="F18" i="30"/>
  <c r="F40" i="30"/>
  <c r="D51" i="30"/>
  <c r="F51" i="30" s="1"/>
  <c r="F39" i="30"/>
  <c r="D50" i="30"/>
  <c r="F50" i="30" s="1"/>
  <c r="F16" i="29"/>
  <c r="I385" i="24"/>
  <c r="D41" i="30"/>
  <c r="F19" i="30"/>
  <c r="D63" i="30"/>
  <c r="B9" i="29"/>
  <c r="B14" i="29"/>
  <c r="B25" i="29" s="1"/>
  <c r="D50" i="29"/>
  <c r="F50" i="29" s="1"/>
  <c r="F39" i="29"/>
  <c r="B29" i="30"/>
  <c r="D29" i="30" s="1"/>
  <c r="F29" i="30" s="1"/>
  <c r="B26" i="30"/>
  <c r="D26" i="30" s="1"/>
  <c r="F26" i="30" s="1"/>
  <c r="E22" i="24"/>
  <c r="F22" i="24" s="1"/>
  <c r="H390" i="24"/>
  <c r="O66" i="11"/>
  <c r="B9" i="30"/>
  <c r="B14" i="30"/>
  <c r="J44" i="24"/>
  <c r="D86" i="24"/>
  <c r="D51" i="29"/>
  <c r="F51" i="29" s="1"/>
  <c r="F40" i="29"/>
  <c r="O65" i="11"/>
  <c r="H389" i="24"/>
  <c r="H393" i="24" s="1"/>
  <c r="F18" i="29"/>
  <c r="D37" i="30"/>
  <c r="D59" i="30"/>
  <c r="F15" i="30"/>
  <c r="D38" i="29"/>
  <c r="C9" i="29"/>
  <c r="P65" i="11"/>
  <c r="I389" i="24"/>
  <c r="I393" i="24" s="1"/>
  <c r="F16" i="30"/>
  <c r="P66" i="11"/>
  <c r="I390" i="24"/>
  <c r="B30" i="29"/>
  <c r="D30" i="29" s="1"/>
  <c r="F30" i="29" s="1"/>
  <c r="B28" i="30"/>
  <c r="D28" i="30" s="1"/>
  <c r="F28" i="30" s="1"/>
  <c r="J43" i="24"/>
  <c r="D85" i="24"/>
  <c r="D105" i="24" s="1"/>
  <c r="D61" i="29"/>
  <c r="F17" i="29"/>
  <c r="B29" i="29"/>
  <c r="D29" i="29" s="1"/>
  <c r="F29" i="29" s="1"/>
  <c r="F15" i="29"/>
  <c r="D59" i="29"/>
  <c r="D37" i="29"/>
  <c r="H385" i="24"/>
  <c r="H394" i="24" s="1"/>
  <c r="D60" i="30" l="1"/>
  <c r="D62" i="30"/>
  <c r="F62" i="30" s="1"/>
  <c r="D60" i="29"/>
  <c r="F60" i="29" s="1"/>
  <c r="I394" i="24"/>
  <c r="D52" i="29"/>
  <c r="F52" i="29" s="1"/>
  <c r="F41" i="29"/>
  <c r="F59" i="30"/>
  <c r="D70" i="30"/>
  <c r="F70" i="30" s="1"/>
  <c r="D106" i="24"/>
  <c r="D14" i="29"/>
  <c r="B21" i="29"/>
  <c r="F63" i="30"/>
  <c r="D74" i="30"/>
  <c r="F74" i="30" s="1"/>
  <c r="D71" i="29"/>
  <c r="F71" i="29" s="1"/>
  <c r="D61" i="30"/>
  <c r="D14" i="30"/>
  <c r="B21" i="30"/>
  <c r="F37" i="29"/>
  <c r="D48" i="29"/>
  <c r="F48" i="29" s="1"/>
  <c r="D71" i="30"/>
  <c r="F71" i="30" s="1"/>
  <c r="F60" i="30"/>
  <c r="F37" i="30"/>
  <c r="D48" i="30"/>
  <c r="F48" i="30" s="1"/>
  <c r="F38" i="30"/>
  <c r="D49" i="30"/>
  <c r="F49" i="30" s="1"/>
  <c r="F59" i="29"/>
  <c r="D70" i="29"/>
  <c r="F70" i="29" s="1"/>
  <c r="D72" i="29"/>
  <c r="F72" i="29" s="1"/>
  <c r="F61" i="29"/>
  <c r="F38" i="29"/>
  <c r="D49" i="29"/>
  <c r="F49" i="29" s="1"/>
  <c r="D62" i="29"/>
  <c r="B25" i="30"/>
  <c r="D25" i="29"/>
  <c r="B32" i="29"/>
  <c r="F41" i="30"/>
  <c r="D52" i="30"/>
  <c r="F52" i="30" s="1"/>
  <c r="D63" i="29"/>
  <c r="D73" i="30" l="1"/>
  <c r="F73" i="30" s="1"/>
  <c r="D36" i="29"/>
  <c r="D21" i="29"/>
  <c r="D58" i="29"/>
  <c r="F14" i="29"/>
  <c r="F21" i="29" s="1"/>
  <c r="D73" i="29"/>
  <c r="F73" i="29" s="1"/>
  <c r="F62" i="29"/>
  <c r="D21" i="30"/>
  <c r="F14" i="30"/>
  <c r="F21" i="30" s="1"/>
  <c r="B32" i="30"/>
  <c r="D25" i="30"/>
  <c r="D58" i="30" s="1"/>
  <c r="F61" i="30"/>
  <c r="D72" i="30"/>
  <c r="F72" i="30" s="1"/>
  <c r="F63" i="29"/>
  <c r="D74" i="29"/>
  <c r="F74" i="29" s="1"/>
  <c r="D32" i="29"/>
  <c r="F25" i="29"/>
  <c r="F32" i="29" s="1"/>
  <c r="D32" i="30" l="1"/>
  <c r="F25" i="30"/>
  <c r="F32" i="30" s="1"/>
  <c r="B86" i="30" s="1"/>
  <c r="B84" i="29"/>
  <c r="F58" i="30"/>
  <c r="F65" i="30" s="1"/>
  <c r="B87" i="30" s="1"/>
  <c r="D65" i="30"/>
  <c r="D69" i="30"/>
  <c r="F58" i="29"/>
  <c r="F65" i="29" s="1"/>
  <c r="B85" i="29" s="1"/>
  <c r="D69" i="29"/>
  <c r="D65" i="29"/>
  <c r="D36" i="30"/>
  <c r="F36" i="29"/>
  <c r="F43" i="29" s="1"/>
  <c r="B86" i="29" s="1"/>
  <c r="D47" i="29"/>
  <c r="F47" i="29" s="1"/>
  <c r="F54" i="29" s="1"/>
  <c r="B87" i="29" s="1"/>
  <c r="D76" i="29" l="1"/>
  <c r="F69" i="29"/>
  <c r="F76" i="29" s="1"/>
  <c r="B88" i="29" s="1"/>
  <c r="B90" i="29"/>
  <c r="D47" i="30"/>
  <c r="F47" i="30" s="1"/>
  <c r="F54" i="30" s="1"/>
  <c r="B89" i="30" s="1"/>
  <c r="F36" i="30"/>
  <c r="F43" i="30" s="1"/>
  <c r="B88" i="30" s="1"/>
  <c r="D76" i="30"/>
  <c r="F69" i="30"/>
  <c r="F76" i="30" s="1"/>
  <c r="B90" i="30" s="1"/>
  <c r="B92" i="30" l="1"/>
</calcChain>
</file>

<file path=xl/comments1.xml><?xml version="1.0" encoding="utf-8"?>
<comments xmlns="http://schemas.openxmlformats.org/spreadsheetml/2006/main">
  <authors>
    <author>Blakeman, Kelly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expected decrease due to loss of one large user</t>
        </r>
      </text>
    </comment>
  </commentList>
</comments>
</file>

<file path=xl/comments2.xml><?xml version="1.0" encoding="utf-8"?>
<comments xmlns="http://schemas.openxmlformats.org/spreadsheetml/2006/main">
  <authors>
    <author>Blakeman, Kelly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Still includes 2 Large Users - Adjusted Below</t>
        </r>
      </text>
    </comment>
    <comment ref="O8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Adjusted to be Kuntz Electroplating only</t>
        </r>
      </text>
    </comment>
  </commentList>
</comments>
</file>

<file path=xl/comments3.xml><?xml version="1.0" encoding="utf-8"?>
<comments xmlns="http://schemas.openxmlformats.org/spreadsheetml/2006/main">
  <authors>
    <author>Blakeman, Kelly</author>
  </authors>
  <commentList>
    <comment ref="B4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Manual Adjustment</t>
        </r>
      </text>
    </comment>
  </commentList>
</comments>
</file>

<file path=xl/comments4.xml><?xml version="1.0" encoding="utf-8"?>
<comments xmlns="http://schemas.openxmlformats.org/spreadsheetml/2006/main">
  <authors>
    <author>Blakeman, Kelly</author>
  </authors>
  <commentList>
    <comment ref="C38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GS&gt;50 prior to Jun/11</t>
        </r>
      </text>
    </comment>
  </commentList>
</comments>
</file>

<file path=xl/comments5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6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sharedStrings.xml><?xml version="1.0" encoding="utf-8"?>
<sst xmlns="http://schemas.openxmlformats.org/spreadsheetml/2006/main" count="728" uniqueCount="378">
  <si>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</si>
  <si>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</si>
  <si>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</si>
  <si>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</si>
  <si>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</si>
  <si>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</si>
  <si>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</si>
  <si>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</si>
  <si>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</si>
  <si>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</si>
  <si>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</si>
  <si>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</si>
  <si>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</si>
  <si>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</si>
  <si>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</si>
  <si>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</si>
  <si>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</si>
  <si>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</si>
  <si>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R Square</t>
  </si>
  <si>
    <t>Adjusted R Square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</si>
  <si>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</si>
  <si>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</si>
  <si>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</si>
  <si>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</si>
  <si>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</si>
  <si>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</si>
  <si>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</si>
  <si>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</si>
  <si>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</si>
  <si>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</si>
  <si>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</si>
  <si>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</si>
  <si>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</si>
  <si>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</si>
  <si>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</si>
  <si>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</si>
  <si>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</si>
  <si>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</si>
  <si>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</si>
  <si>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</si>
  <si>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</si>
  <si>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</si>
  <si>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</si>
  <si>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</si>
  <si>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</si>
  <si>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</si>
  <si>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</si>
  <si>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</si>
  <si>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</si>
  <si>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>Large User</t>
  </si>
  <si>
    <t xml:space="preserve">2010 Actual </t>
  </si>
  <si>
    <t>CDM Activity</t>
  </si>
  <si>
    <t xml:space="preserve">2011 Actual </t>
  </si>
  <si>
    <t>2013 Weather Normal</t>
  </si>
  <si>
    <t>Number of Peak Hours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</si>
  <si>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</si>
  <si>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</si>
  <si>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</si>
  <si>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</si>
  <si>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</si>
  <si>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</si>
  <si>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</si>
  <si>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</si>
  <si>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</si>
  <si>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</si>
  <si>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</si>
  <si>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</si>
  <si>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</si>
  <si>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</si>
  <si>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</si>
  <si>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</si>
  <si>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</si>
  <si>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</si>
  <si>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General Service
&lt; 50 kW</t>
  </si>
  <si>
    <t>General Service
&gt; 50 kW</t>
  </si>
  <si>
    <t xml:space="preserve">Streetlights </t>
  </si>
  <si>
    <t xml:space="preserve">Unmetered Loads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</si>
  <si>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</si>
  <si>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</si>
  <si>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</si>
  <si>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</si>
  <si>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</si>
  <si>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</si>
  <si>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Year</t>
  </si>
  <si>
    <t>Percent 
Change</t>
  </si>
  <si>
    <t>Customer/
Connection
Count</t>
  </si>
  <si>
    <t xml:space="preserve">Growth </t>
  </si>
  <si>
    <t>Percent 
Change
(%)</t>
  </si>
  <si>
    <t xml:space="preserve">2008 Actual </t>
  </si>
  <si>
    <t>2009 Actual</t>
  </si>
  <si>
    <t>Street Lighting</t>
  </si>
  <si>
    <t>Number of Customers/Connections</t>
  </si>
  <si>
    <t>kWh savings from 2011 programs with presistent impact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</si>
  <si>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</si>
  <si>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</si>
  <si>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</si>
  <si>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</si>
  <si>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</si>
  <si>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</si>
  <si>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Geometric Mean</t>
  </si>
  <si>
    <t>2013 (Not Normalized)</t>
  </si>
  <si>
    <t>Weather Sensitivity</t>
  </si>
  <si>
    <t>2011 Programs</t>
  </si>
  <si>
    <t>2012 Programs</t>
  </si>
  <si>
    <t>2013 Programs</t>
  </si>
  <si>
    <t>2014 Programs</t>
  </si>
  <si>
    <t>kWh</t>
  </si>
  <si>
    <t>Billed Annual kW</t>
  </si>
  <si>
    <t>Ratio of kW to kWh</t>
  </si>
  <si>
    <t>Predicted Billed kW</t>
  </si>
  <si>
    <t>2011 
Actual</t>
  </si>
  <si>
    <t>ACTUAL AND PREDICTED KWH PURCHASES</t>
  </si>
  <si>
    <t>% Difference of actual and predicted purchases</t>
  </si>
  <si>
    <t>BILLING DETERMINANTS BY CLASS</t>
  </si>
  <si>
    <t>Residential</t>
  </si>
  <si>
    <t>GS&lt;50</t>
  </si>
  <si>
    <t>GS&gt;50</t>
  </si>
  <si>
    <t>USL</t>
  </si>
  <si>
    <t xml:space="preserve">2000 Actual </t>
  </si>
  <si>
    <t xml:space="preserve">Table 3-6: Total System Purchases </t>
  </si>
  <si>
    <t>Actual</t>
  </si>
  <si>
    <t>Predicted</t>
  </si>
  <si>
    <t>10 Year Average</t>
  </si>
  <si>
    <t>20 Year Trend</t>
  </si>
  <si>
    <t>Table 3-15: Average Net to Gross Percentage</t>
  </si>
  <si>
    <t>Station Name</t>
  </si>
  <si>
    <t>TOTAL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</si>
  <si>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</si>
  <si>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</si>
  <si>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</si>
  <si>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</si>
  <si>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</si>
  <si>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</si>
  <si>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</si>
  <si>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</si>
  <si>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</si>
  <si>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</si>
  <si>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</si>
  <si>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</si>
  <si>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</si>
  <si>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</si>
  <si>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</si>
  <si>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</si>
  <si>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2013 Forecasted Metered kWhs</t>
  </si>
  <si>
    <t>2013  Loss Factor</t>
  </si>
  <si>
    <t>Average Number of Customers or Connections</t>
  </si>
  <si>
    <t>Actual 2011 Results and Presistence</t>
  </si>
  <si>
    <t xml:space="preserve"> Proposed Cost of Service Method</t>
  </si>
  <si>
    <t>Annual kWh at the Meter</t>
  </si>
  <si>
    <t xml:space="preserve">Estimated 2012 Results and Presistence </t>
  </si>
  <si>
    <t xml:space="preserve">2012 Actual </t>
  </si>
  <si>
    <t>2014 Weather Normal</t>
  </si>
  <si>
    <t>Weather Normalization Percentage from 2006 Hydro One Study</t>
  </si>
  <si>
    <t>Annual kW for those classes that charge distribution volumetric charges on a kW basis</t>
  </si>
  <si>
    <t>2012 %RPP</t>
  </si>
  <si>
    <t>2014 Forecasted Metered kWhs</t>
  </si>
  <si>
    <t>2014  Loss Factor</t>
  </si>
  <si>
    <t>2014 Load Foreacst</t>
  </si>
  <si>
    <t>Check totals above should be zero</t>
  </si>
  <si>
    <t>2010 Board Approved</t>
  </si>
  <si>
    <t>2012 Actual</t>
  </si>
  <si>
    <t>2013 Bridge</t>
  </si>
  <si>
    <t>2014 Test</t>
  </si>
  <si>
    <t>2010 Board App. vs. 2010 Actual</t>
  </si>
  <si>
    <t>2013 Normalized Bridge</t>
  </si>
  <si>
    <t>2014 Normalized Test</t>
  </si>
  <si>
    <t>2010
Actual</t>
  </si>
  <si>
    <t>2012
Actual</t>
  </si>
  <si>
    <t xml:space="preserve">2013 Weather Normalized Bridge </t>
  </si>
  <si>
    <t>2014 Weather Normalized Test</t>
  </si>
  <si>
    <t>Connections</t>
  </si>
  <si>
    <t>Total to 2012</t>
  </si>
  <si>
    <t>SUMMARY OUTPUT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</si>
  <si>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</si>
  <si>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</si>
  <si>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</si>
  <si>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</si>
  <si>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</si>
  <si>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</si>
  <si>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</si>
  <si>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</si>
  <si>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</si>
  <si>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</si>
  <si>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</si>
  <si>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</si>
  <si>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</si>
  <si>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</si>
  <si>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</si>
  <si>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</si>
  <si>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</si>
  <si>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</si>
  <si>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</si>
  <si>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</si>
  <si>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 Projection</t>
  </si>
  <si>
    <r>
      <t xml:space="preserve">kW </t>
    </r>
    <r>
      <rPr>
        <sz val="10"/>
        <rFont val="Arial"/>
        <family val="2"/>
      </rPr>
      <t>where applicable</t>
    </r>
  </si>
  <si>
    <t>2013 Non-Normalized Bridge</t>
  </si>
  <si>
    <t>2014 Non-Normalized Test</t>
  </si>
  <si>
    <t>2014 (Not Normalized)</t>
  </si>
  <si>
    <t>Average 2000 to 2012</t>
  </si>
  <si>
    <t>Generation</t>
  </si>
  <si>
    <t>IESO</t>
  </si>
  <si>
    <t>Load Transfers</t>
  </si>
  <si>
    <t>Employment Kitchener-Waterloo-Barrie (000's)</t>
  </si>
  <si>
    <t>Unemployment Kitchener-Waterloo-Barrie (000's)</t>
  </si>
  <si>
    <t>Embedded Distributor</t>
  </si>
  <si>
    <t>kW Demand &amp; kWh Consumption</t>
  </si>
  <si>
    <t>Average (2002 ~ 2012)</t>
  </si>
  <si>
    <t>Table 3-5: Statistical Results</t>
  </si>
  <si>
    <t>Table 3-1: Summary of Load and Customer/Connection Forecast for Energy</t>
  </si>
  <si>
    <t>Table 3-2: Billed Energy and Number of Customers / Connections by Rate Class for Energy</t>
  </si>
  <si>
    <t>Number of Customers/Connections for Energy</t>
  </si>
  <si>
    <t>Table 3-3: Annual Usage per Customer/Connection by Rate Class for Energy</t>
  </si>
  <si>
    <t>Energy Usage per Customer/Connection (kWh per customer/connection) for Energy</t>
  </si>
  <si>
    <t>Annual Growth Rate in Usage per Customer/Connection for Energy</t>
  </si>
  <si>
    <t>Table 3-8: Growth Rate in Customer/Connections for Energy</t>
  </si>
  <si>
    <t>Growth Rate in Customers/Connections for Energy</t>
  </si>
  <si>
    <t>Table 3-9: Customer/Connection Forecast for Energy</t>
  </si>
  <si>
    <t>Forecast Number of Customers/Connections for Energy</t>
  </si>
  <si>
    <t>Annual kWh Usage Per Customer/Connection  for Energy</t>
  </si>
  <si>
    <t>Table 3-11: Growth Rate in Usage Per Customer/Connection for Energy</t>
  </si>
  <si>
    <t>Growth Rate in Customer/Connection for Energy</t>
  </si>
  <si>
    <t>Table 3-12: Forecast Annual kWh Usage per Customer/Connection for Energy</t>
  </si>
  <si>
    <t>Forecast Annual kWh Usage per Customers/Connection for Energy</t>
  </si>
  <si>
    <t>Table 3-14: Weather Sensitivity by Rate Class for Energy</t>
  </si>
  <si>
    <t>Table 3-18: Alignment of Non-normal to Weather Normal Forecast for Energy</t>
  </si>
  <si>
    <t>Table 3-19: Historical Annual kW per Applicable Rate Class for Energy</t>
  </si>
  <si>
    <t>Table 3-21: kW Forecast by Applicable Rate Class for Energy</t>
  </si>
  <si>
    <t>Table 3-22: Summary of Forecast for Energy</t>
  </si>
  <si>
    <t xml:space="preserve">  Waterloo Airport</t>
  </si>
  <si>
    <t xml:space="preserve">Kuntz Electroplating </t>
  </si>
  <si>
    <t>Board Approved</t>
  </si>
  <si>
    <t>Smart Meter Entity Charge</t>
  </si>
  <si>
    <t xml:space="preserve">4751-Smart Meter Entity </t>
  </si>
  <si>
    <t>2013 (4 mos at $.0052)</t>
  </si>
  <si>
    <t>Initiative</t>
  </si>
  <si>
    <t>Unit</t>
  </si>
  <si>
    <t>Incremental Activity</t>
  </si>
  <si>
    <t>Net Incremental Peak Demand Savings (kW)</t>
  </si>
  <si>
    <t>Net Incremental Energy Savings (kWh)</t>
  </si>
  <si>
    <t>2014 Net Annual Peak Demand Savings (kW)</t>
  </si>
  <si>
    <t>2011-2014 Cumulative Energy Savings (kWh)</t>
  </si>
  <si>
    <t>Consumer Program</t>
  </si>
  <si>
    <t>Consumer</t>
  </si>
  <si>
    <t>&lt;50kW</t>
  </si>
  <si>
    <t>&gt;50kW</t>
  </si>
  <si>
    <t>Appliance Retirement</t>
  </si>
  <si>
    <t>Appliances</t>
  </si>
  <si>
    <t>Appliance Exchange</t>
  </si>
  <si>
    <t>HVAC Incentives</t>
  </si>
  <si>
    <t>Equipment</t>
  </si>
  <si>
    <t>Coupons</t>
  </si>
  <si>
    <t>Bi-Annual Retailer Event</t>
  </si>
  <si>
    <t>Residential Demand Response</t>
  </si>
  <si>
    <t>Devices</t>
  </si>
  <si>
    <t>Consumer Program Total</t>
  </si>
  <si>
    <t>Business Program</t>
  </si>
  <si>
    <t>Retrofit</t>
  </si>
  <si>
    <t>Projects</t>
  </si>
  <si>
    <t>88% &gt;50kW 12%&lt;50kW</t>
  </si>
  <si>
    <t>Direct Install Lighting</t>
  </si>
  <si>
    <t>Small Commercial DR</t>
  </si>
  <si>
    <t>Demand Response 3</t>
  </si>
  <si>
    <t>Facilities</t>
  </si>
  <si>
    <t>Business Program Total</t>
  </si>
  <si>
    <t>Industrial Program Total</t>
  </si>
  <si>
    <t>Pre-2011 Program</t>
  </si>
  <si>
    <t>ERIP</t>
  </si>
  <si>
    <t>HPNC</t>
  </si>
  <si>
    <t>Total Pre-2011 Programs</t>
  </si>
  <si>
    <t>Energy Efficiency Total</t>
  </si>
  <si>
    <t xml:space="preserve"> </t>
  </si>
  <si>
    <t>OEB Target</t>
  </si>
  <si>
    <t>% of OEB Target Achieved</t>
  </si>
  <si>
    <t>Loblaws</t>
  </si>
  <si>
    <t xml:space="preserve"> Weather Normal Load Forecast for 2014 Rate Application</t>
  </si>
  <si>
    <t>Purchased Energy (gWh)</t>
  </si>
  <si>
    <t>Billed (gWh)</t>
  </si>
  <si>
    <t>Growth 
(gWh)</t>
  </si>
  <si>
    <t>Table 3-13: Non-normalized Weather Billed Energy Forecast (gWh) for Energy</t>
  </si>
  <si>
    <t>NON-normalized Weather Billed Energy Forecast (gWh) for Energy</t>
  </si>
  <si>
    <t>Table 3-20: Historical kW/kWh Ratio per Applicable Rate Class for Energy</t>
  </si>
  <si>
    <t>Subtotal</t>
  </si>
  <si>
    <t>Embedded
Distributor</t>
  </si>
  <si>
    <t>Billed Energy (gWh)</t>
  </si>
  <si>
    <t xml:space="preserve"> CDM Results (Gross)</t>
  </si>
  <si>
    <t xml:space="preserve"> Final CDM Results (Net)</t>
  </si>
  <si>
    <t>Billed Energy (gWh) and Customer Count / Connections</t>
  </si>
  <si>
    <t xml:space="preserve">Weather Corrected Forecast before 2013 and 2014 CDM Adjustments        </t>
  </si>
  <si>
    <t xml:space="preserve">Weather Corrected Forecast after 2013 and 2014 CDM Adjustments        </t>
  </si>
  <si>
    <t>Table 3-17: 2014 Expected Savings for LRAM Variance Account</t>
  </si>
  <si>
    <t>CDM
 Activity</t>
  </si>
  <si>
    <t>2014 Weather Normal - 10 year average</t>
  </si>
  <si>
    <t>2014 Weather Normal - 20 year trend</t>
  </si>
  <si>
    <t>Billed kWh (excl Embedded)</t>
  </si>
  <si>
    <t>Total of Above (incl. Embedded)</t>
  </si>
  <si>
    <t>Total from Model (incl. Embedded)</t>
  </si>
  <si>
    <t>Total of Above (excl. Embedded)</t>
  </si>
  <si>
    <t>Total from Model (excl. Embedded)</t>
  </si>
  <si>
    <t>Non-Weather Total</t>
  </si>
  <si>
    <t xml:space="preserve">Weather Total </t>
  </si>
  <si>
    <t>Adj Weather Total</t>
  </si>
  <si>
    <t>2013 Load Forecast</t>
  </si>
  <si>
    <t>Residential (10% &lt;50kW)</t>
  </si>
  <si>
    <t>Conservation Instant Coupon Book</t>
  </si>
  <si>
    <t>Manual Adjustment to the Load Forecast from 2013 and 2014 Programs on a Net Level</t>
  </si>
  <si>
    <t>Table 3-23: Historical Annual Usage per Customer for Energy</t>
  </si>
  <si>
    <t>2008 through 2011 Final Results - kWh</t>
  </si>
  <si>
    <t>Table 3-17
CDM Summary</t>
  </si>
  <si>
    <t>4 Year 2011 to 2014 kWh Net Savings Forecast</t>
  </si>
  <si>
    <t>Non-normalized Weather Billed Energy Forecast (GWh)</t>
  </si>
  <si>
    <t>Weather Adjustment (GWh)</t>
  </si>
  <si>
    <t>CDM Adjustment (GWh)</t>
  </si>
  <si>
    <t>Weather Normalized Billed Energy Forecast (GWh)</t>
  </si>
  <si>
    <t>2010 Programs</t>
  </si>
  <si>
    <t>2009 Programs</t>
  </si>
  <si>
    <t>2008 Programs</t>
  </si>
  <si>
    <t>2007 Programs</t>
  </si>
  <si>
    <t>2006 Programs</t>
  </si>
  <si>
    <t>1. Residential Programs</t>
  </si>
  <si>
    <t>TRC Benefits (PV)</t>
  </si>
  <si>
    <t>TRC Costs (PV)</t>
  </si>
  <si>
    <t>$ Net TRC Benefits</t>
  </si>
  <si>
    <t>Benefit/Cost Ratio</t>
  </si>
  <si>
    <t>2005 Total kWh Saved</t>
  </si>
  <si>
    <t>2006 Total kWh Saved</t>
  </si>
  <si>
    <t>2007 Total kWh Saved</t>
  </si>
  <si>
    <t>2008 Total kWh Saved</t>
  </si>
  <si>
    <t>Cumulative Savings</t>
  </si>
  <si>
    <t>Lifecycle (kWh) Savings</t>
  </si>
  <si>
    <t>Total Peak Demand (kW) Saved</t>
  </si>
  <si>
    <t>Report Year Gross C&amp;DM Expenditures ($)</t>
  </si>
  <si>
    <t># Units Delivered</t>
  </si>
  <si>
    <t>Balance</t>
  </si>
  <si>
    <t>Years Remaing</t>
  </si>
  <si>
    <t>Balancing</t>
  </si>
  <si>
    <t>Fuel Switching - Electricity to Gas</t>
  </si>
  <si>
    <t>Fall Coupon</t>
  </si>
  <si>
    <t>Residential Education (General)</t>
  </si>
  <si>
    <t>Energy Conservation Kits</t>
  </si>
  <si>
    <t>WWOW</t>
  </si>
  <si>
    <t>EnerGuide for Houses (REEP)</t>
  </si>
  <si>
    <t>*Totals App. B - Residential</t>
  </si>
  <si>
    <t>2. Low Income Programs</t>
  </si>
  <si>
    <t>Social Housing Lighting Upgrade</t>
  </si>
  <si>
    <t>Refrigerator Replacement</t>
  </si>
  <si>
    <t>SHSC Energy Management</t>
  </si>
  <si>
    <t>Low Income Residential Education</t>
  </si>
  <si>
    <t>3. Commercial Programs</t>
  </si>
  <si>
    <t>Key Account Seminars &amp; Education</t>
  </si>
  <si>
    <t>Energy Management Workshops</t>
  </si>
  <si>
    <t>Cool Shops</t>
  </si>
  <si>
    <t>Lighting Retrofit</t>
  </si>
  <si>
    <t>Power Factor Correction</t>
  </si>
  <si>
    <t>Name of Program J</t>
  </si>
  <si>
    <t>*Totals App. B - Commercial</t>
  </si>
  <si>
    <t>4. Institutional Programs</t>
  </si>
  <si>
    <t>LED Traffic Lights</t>
  </si>
  <si>
    <t xml:space="preserve">Municipal Building Lighting </t>
  </si>
  <si>
    <t>School Energy Conservation Kits</t>
  </si>
  <si>
    <t>*Totals App. B - Institutional</t>
  </si>
  <si>
    <t>5. LDC System Programs</t>
  </si>
  <si>
    <t>Capacitor Banks Phase I</t>
  </si>
  <si>
    <t>Capacitor Banks Phase II</t>
  </si>
  <si>
    <t>Main Entrance LED Sign</t>
  </si>
  <si>
    <t>Windows Replacement</t>
  </si>
  <si>
    <t>Main Office Lighting</t>
  </si>
  <si>
    <t>Garage Heating</t>
  </si>
  <si>
    <t>Fuel Switching - Electric to Gas</t>
  </si>
  <si>
    <t>Name of Program C</t>
  </si>
  <si>
    <t>*Totals App. B - LDC System</t>
  </si>
  <si>
    <t>LDC's CDM PORTFOLIO TOTALS</t>
  </si>
  <si>
    <t xml:space="preserve">*TOTALS FOR ALL APPENDIX B </t>
  </si>
  <si>
    <t>Any other Indirect Costs not attributable to any specific program</t>
  </si>
  <si>
    <t>TOTAL ALL LDC COSTS</t>
  </si>
  <si>
    <t>**LDC' PORTFOLIO TRC</t>
  </si>
  <si>
    <t>* The savings and spending information from this row is to be carried forward to Appendix A.</t>
  </si>
  <si>
    <t>Third Tranche</t>
  </si>
  <si>
    <t>Table 3-20: Historical Customer/Connection Data for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</si>
</sst>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.00_-;\-* #,##0.00_-;_-* &quot;-&quot;??_-;_-@_-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#,##0.0"/>
    <numFmt numFmtId="172" formatCode="_(* #,##0_);_(* \(#,##0\);_(* &quot;-&quot;??_);_(@_)"/>
    <numFmt numFmtId="173" formatCode="0.0"/>
    <numFmt numFmtId="174" formatCode="_-* #,##0_-;\-* #,##0_-;_-* &quot;-&quot;??_-;_-@_-"/>
    <numFmt numFmtId="175" formatCode="#,##0.000"/>
    <numFmt numFmtId="176" formatCode="0.0;\(0.0\)"/>
    <numFmt numFmtId="177" formatCode="0.0%;\(0.0%\)"/>
    <numFmt numFmtId="178" formatCode="0;\(0\)"/>
    <numFmt numFmtId="179" formatCode="#,##0.0;\(#,##0.0\)"/>
    <numFmt numFmtId="180" formatCode="0.0000%;\(0.0%\)"/>
    <numFmt numFmtId="181" formatCode="#,##0.00000_);\(#,##0.00000\)"/>
    <numFmt numFmtId="182" formatCode="&quot;$&quot;#,##0.0000_);\(&quot;$&quot;#,##0.0000\)"/>
    <numFmt numFmtId="183" formatCode="#,##0.0000_);\(#,##0.0000\)"/>
    <numFmt numFmtId="184" formatCode="&quot;$&quot;#,##0.00000_);\(&quot;$&quot;#,##0.00000\)"/>
    <numFmt numFmtId="185" formatCode="#,##0.00000"/>
    <numFmt numFmtId="186" formatCode="#,##0.000000"/>
    <numFmt numFmtId="187" formatCode="_(* #,##0.0000_);_(* \(#,##0.0000\);_(* &quot;-&quot;??_);_(@_)"/>
  </numFmts>
  <fonts count="28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/>
    </fill>
    <fill>
      <patternFill patternType="gray0625">
        <bgColor theme="9" tint="0.39997558519241921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n">
        <color indexed="64"/>
      </top>
      <bottom style="medium">
        <color indexed="64"/>
      </bottom>
      <diagonal/>
    </border>
    <border>
      <left style="thick">
        <color indexed="9"/>
      </left>
      <right style="thick">
        <color indexed="9"/>
      </right>
      <top style="thin">
        <color indexed="64"/>
      </top>
      <bottom style="medium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64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medium">
        <color indexed="64"/>
      </bottom>
      <diagonal/>
    </border>
    <border>
      <left style="thick">
        <color indexed="9"/>
      </left>
      <right style="thick">
        <color indexed="9"/>
      </right>
      <top style="thin">
        <color indexed="8"/>
      </top>
      <bottom style="medium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5" fillId="0" borderId="0"/>
    <xf numFmtId="0" fontId="5" fillId="0" borderId="0"/>
    <xf numFmtId="0" fontId="13" fillId="0" borderId="0"/>
    <xf numFmtId="0" fontId="3" fillId="4" borderId="17" applyNumberFormat="0" applyFont="0" applyAlignment="0" applyProtection="0"/>
    <xf numFmtId="9" fontId="4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683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1" applyNumberFormat="1" applyAlignment="1">
      <alignment horizontal="center"/>
    </xf>
    <xf numFmtId="17" fontId="5" fillId="0" borderId="0" xfId="0" applyNumberFormat="1" applyFont="1"/>
    <xf numFmtId="166" fontId="5" fillId="0" borderId="0" xfId="0" applyNumberFormat="1" applyFont="1" applyAlignment="1">
      <alignment horizont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5" fillId="0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5" fillId="2" borderId="1" xfId="0" applyNumberFormat="1" applyFont="1" applyFill="1" applyBorder="1" applyAlignment="1">
      <alignment horizontal="center"/>
    </xf>
    <xf numFmtId="166" fontId="5" fillId="0" borderId="0" xfId="0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6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/>
    <xf numFmtId="168" fontId="0" fillId="0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4" fontId="4" fillId="0" borderId="0" xfId="4" applyNumberFormat="1"/>
    <xf numFmtId="174" fontId="0" fillId="0" borderId="0" xfId="0" applyNumberFormat="1"/>
    <xf numFmtId="3" fontId="4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2" fontId="0" fillId="0" borderId="0" xfId="0" applyNumberFormat="1"/>
    <xf numFmtId="166" fontId="0" fillId="0" borderId="0" xfId="13" applyNumberFormat="1" applyFont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0" fontId="0" fillId="0" borderId="0" xfId="13" applyNumberFormat="1" applyFont="1" applyAlignment="1">
      <alignment horizontal="center"/>
    </xf>
    <xf numFmtId="0" fontId="12" fillId="0" borderId="0" xfId="0" applyFont="1"/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1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171" fontId="14" fillId="0" borderId="1" xfId="1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/>
    <xf numFmtId="171" fontId="11" fillId="0" borderId="1" xfId="1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/>
    <xf numFmtId="3" fontId="14" fillId="0" borderId="1" xfId="1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1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68" fontId="11" fillId="0" borderId="0" xfId="0" applyNumberFormat="1" applyFont="1" applyAlignment="1">
      <alignment horizontal="center"/>
    </xf>
    <xf numFmtId="166" fontId="11" fillId="0" borderId="0" xfId="13" applyNumberFormat="1" applyFont="1"/>
    <xf numFmtId="177" fontId="14" fillId="0" borderId="0" xfId="0" applyNumberFormat="1" applyFont="1" applyFill="1" applyBorder="1" applyAlignment="1">
      <alignment horizontal="left" vertical="center"/>
    </xf>
    <xf numFmtId="3" fontId="0" fillId="0" borderId="11" xfId="0" applyNumberFormat="1" applyBorder="1" applyAlignment="1">
      <alignment horizontal="center"/>
    </xf>
    <xf numFmtId="9" fontId="14" fillId="0" borderId="1" xfId="10" applyNumberFormat="1" applyFont="1" applyFill="1" applyBorder="1" applyAlignment="1">
      <alignment horizontal="center" vertical="center"/>
    </xf>
    <xf numFmtId="173" fontId="14" fillId="0" borderId="1" xfId="10" applyNumberFormat="1" applyFont="1" applyFill="1" applyBorder="1" applyAlignment="1">
      <alignment horizontal="center" vertical="center"/>
    </xf>
    <xf numFmtId="176" fontId="14" fillId="0" borderId="1" xfId="10" applyNumberFormat="1" applyFont="1" applyFill="1" applyBorder="1" applyAlignment="1">
      <alignment horizontal="center" vertical="center"/>
    </xf>
    <xf numFmtId="177" fontId="14" fillId="0" borderId="11" xfId="1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77" fontId="11" fillId="0" borderId="11" xfId="1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1" fontId="11" fillId="0" borderId="0" xfId="0" applyNumberFormat="1" applyFont="1" applyFill="1" applyBorder="1" applyAlignment="1">
      <alignment horizontal="center" vertical="center" wrapText="1"/>
    </xf>
    <xf numFmtId="166" fontId="11" fillId="0" borderId="0" xfId="13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180" fontId="14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14" fillId="0" borderId="0" xfId="10" applyNumberFormat="1" applyFont="1" applyFill="1" applyBorder="1" applyAlignment="1">
      <alignment horizontal="center" vertical="center"/>
    </xf>
    <xf numFmtId="0" fontId="14" fillId="0" borderId="1" xfId="0" applyFont="1" applyBorder="1"/>
    <xf numFmtId="177" fontId="11" fillId="0" borderId="1" xfId="10" applyNumberFormat="1" applyFont="1" applyFill="1" applyBorder="1" applyAlignment="1">
      <alignment horizontal="center" vertical="center"/>
    </xf>
    <xf numFmtId="177" fontId="14" fillId="0" borderId="1" xfId="1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171" fontId="11" fillId="0" borderId="14" xfId="1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178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11" fillId="0" borderId="1" xfId="0" applyFont="1" applyBorder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0" fillId="0" borderId="0" xfId="0" applyNumberFormat="1"/>
    <xf numFmtId="177" fontId="12" fillId="0" borderId="0" xfId="0" applyNumberFormat="1" applyFont="1"/>
    <xf numFmtId="10" fontId="12" fillId="0" borderId="0" xfId="0" applyNumberFormat="1" applyFont="1"/>
    <xf numFmtId="43" fontId="12" fillId="0" borderId="0" xfId="1" applyFont="1"/>
    <xf numFmtId="171" fontId="11" fillId="0" borderId="0" xfId="0" applyNumberFormat="1" applyFont="1"/>
    <xf numFmtId="170" fontId="12" fillId="0" borderId="0" xfId="0" applyNumberFormat="1" applyFont="1"/>
    <xf numFmtId="17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0" xfId="0" applyFont="1"/>
    <xf numFmtId="0" fontId="16" fillId="0" borderId="0" xfId="0" applyFont="1" applyAlignment="1">
      <alignment horizontal="center"/>
    </xf>
    <xf numFmtId="17" fontId="16" fillId="0" borderId="0" xfId="0" applyNumberFormat="1" applyFont="1"/>
    <xf numFmtId="37" fontId="1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9" xfId="0" applyFont="1" applyBorder="1"/>
    <xf numFmtId="0" fontId="0" fillId="0" borderId="15" xfId="0" applyBorder="1"/>
    <xf numFmtId="5" fontId="0" fillId="0" borderId="18" xfId="0" applyNumberFormat="1" applyBorder="1"/>
    <xf numFmtId="5" fontId="0" fillId="0" borderId="18" xfId="0" applyNumberFormat="1" applyFill="1" applyBorder="1"/>
    <xf numFmtId="37" fontId="0" fillId="0" borderId="19" xfId="0" applyNumberForma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5" fontId="6" fillId="0" borderId="1" xfId="0" applyNumberFormat="1" applyFont="1" applyBorder="1"/>
    <xf numFmtId="181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5" fontId="0" fillId="0" borderId="1" xfId="0" applyNumberFormat="1" applyBorder="1"/>
    <xf numFmtId="37" fontId="0" fillId="0" borderId="1" xfId="0" applyNumberFormat="1" applyBorder="1"/>
    <xf numFmtId="183" fontId="0" fillId="0" borderId="1" xfId="0" applyNumberFormat="1" applyBorder="1" applyAlignment="1">
      <alignment horizontal="center"/>
    </xf>
    <xf numFmtId="3" fontId="0" fillId="0" borderId="18" xfId="0" applyNumberFormat="1" applyBorder="1"/>
    <xf numFmtId="0" fontId="6" fillId="0" borderId="22" xfId="0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5" fontId="6" fillId="0" borderId="1" xfId="0" applyNumberFormat="1" applyFont="1" applyFill="1" applyBorder="1"/>
    <xf numFmtId="183" fontId="0" fillId="0" borderId="1" xfId="0" applyNumberFormat="1" applyFill="1" applyBorder="1"/>
    <xf numFmtId="37" fontId="0" fillId="0" borderId="1" xfId="0" applyNumberFormat="1" applyFill="1" applyBorder="1"/>
    <xf numFmtId="0" fontId="6" fillId="0" borderId="11" xfId="0" applyFont="1" applyBorder="1"/>
    <xf numFmtId="0" fontId="6" fillId="0" borderId="10" xfId="0" applyFont="1" applyBorder="1"/>
    <xf numFmtId="5" fontId="6" fillId="0" borderId="0" xfId="0" applyNumberFormat="1" applyFont="1" applyFill="1" applyBorder="1"/>
    <xf numFmtId="181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2" fontId="4" fillId="0" borderId="1" xfId="1" applyNumberFormat="1" applyFill="1" applyBorder="1"/>
    <xf numFmtId="0" fontId="6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center"/>
    </xf>
    <xf numFmtId="174" fontId="4" fillId="5" borderId="0" xfId="4" applyNumberFormat="1" applyFill="1"/>
    <xf numFmtId="173" fontId="4" fillId="6" borderId="0" xfId="0" applyNumberFormat="1" applyFont="1" applyFill="1" applyAlignment="1">
      <alignment horizontal="right" indent="1"/>
    </xf>
    <xf numFmtId="37" fontId="4" fillId="0" borderId="0" xfId="0" applyNumberFormat="1" applyFont="1" applyFill="1" applyAlignment="1">
      <alignment horizontal="center"/>
    </xf>
    <xf numFmtId="173" fontId="0" fillId="0" borderId="0" xfId="0" applyNumberFormat="1" applyFill="1" applyAlignment="1">
      <alignment horizontal="right" indent="1"/>
    </xf>
    <xf numFmtId="173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7" fontId="16" fillId="6" borderId="0" xfId="0" applyNumberFormat="1" applyFont="1" applyFill="1" applyAlignment="1">
      <alignment horizontal="center"/>
    </xf>
    <xf numFmtId="1" fontId="16" fillId="6" borderId="0" xfId="1" applyNumberFormat="1" applyFont="1" applyFill="1" applyAlignment="1">
      <alignment horizontal="center"/>
    </xf>
    <xf numFmtId="1" fontId="10" fillId="6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/>
    <xf numFmtId="173" fontId="14" fillId="0" borderId="0" xfId="0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vertical="center"/>
    </xf>
    <xf numFmtId="0" fontId="11" fillId="0" borderId="22" xfId="11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8" fillId="0" borderId="30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Continuous"/>
    </xf>
    <xf numFmtId="3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7" fontId="0" fillId="0" borderId="0" xfId="0" applyNumberFormat="1" applyFill="1" applyAlignment="1">
      <alignment horizontal="center"/>
    </xf>
    <xf numFmtId="41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0" fillId="0" borderId="1" xfId="0" applyNumberFormat="1" applyBorder="1" applyAlignment="1">
      <alignment horizontal="right" indent="1"/>
    </xf>
    <xf numFmtId="0" fontId="11" fillId="0" borderId="0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43" fontId="0" fillId="0" borderId="19" xfId="0" applyNumberFormat="1" applyBorder="1"/>
    <xf numFmtId="43" fontId="0" fillId="0" borderId="18" xfId="0" applyNumberFormat="1" applyBorder="1"/>
    <xf numFmtId="43" fontId="0" fillId="0" borderId="22" xfId="0" applyNumberFormat="1" applyBorder="1"/>
    <xf numFmtId="0" fontId="8" fillId="0" borderId="15" xfId="0" applyFont="1" applyBorder="1"/>
    <xf numFmtId="43" fontId="8" fillId="0" borderId="18" xfId="0" applyNumberFormat="1" applyFont="1" applyBorder="1"/>
    <xf numFmtId="0" fontId="0" fillId="0" borderId="24" xfId="0" applyBorder="1"/>
    <xf numFmtId="0" fontId="0" fillId="0" borderId="22" xfId="0" applyBorder="1"/>
    <xf numFmtId="0" fontId="4" fillId="0" borderId="22" xfId="0" applyFont="1" applyBorder="1" applyAlignment="1">
      <alignment horizontal="center"/>
    </xf>
    <xf numFmtId="0" fontId="4" fillId="0" borderId="15" xfId="0" applyFont="1" applyBorder="1"/>
    <xf numFmtId="172" fontId="0" fillId="0" borderId="19" xfId="0" applyNumberFormat="1" applyBorder="1"/>
    <xf numFmtId="172" fontId="0" fillId="0" borderId="18" xfId="0" applyNumberFormat="1" applyBorder="1"/>
    <xf numFmtId="172" fontId="0" fillId="0" borderId="22" xfId="0" applyNumberFormat="1" applyBorder="1"/>
    <xf numFmtId="172" fontId="8" fillId="0" borderId="18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6" fontId="0" fillId="0" borderId="0" xfId="0" applyNumberFormat="1" applyAlignment="1">
      <alignment horizontal="right" indent="3"/>
    </xf>
    <xf numFmtId="0" fontId="17" fillId="8" borderId="1" xfId="0" applyFont="1" applyFill="1" applyBorder="1" applyAlignment="1">
      <alignment horizontal="center" wrapText="1"/>
    </xf>
    <xf numFmtId="182" fontId="0" fillId="0" borderId="1" xfId="0" applyNumberFormat="1" applyFill="1" applyBorder="1"/>
    <xf numFmtId="183" fontId="0" fillId="0" borderId="1" xfId="0" applyNumberFormat="1" applyFill="1" applyBorder="1" applyAlignment="1">
      <alignment horizontal="center"/>
    </xf>
    <xf numFmtId="0" fontId="0" fillId="0" borderId="9" xfId="0" applyBorder="1"/>
    <xf numFmtId="185" fontId="0" fillId="0" borderId="0" xfId="0" applyNumberFormat="1" applyAlignment="1">
      <alignment horizontal="center"/>
    </xf>
    <xf numFmtId="186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4" fillId="0" borderId="1" xfId="13" applyFill="1" applyBorder="1"/>
    <xf numFmtId="0" fontId="4" fillId="0" borderId="0" xfId="0" applyFont="1" applyAlignment="1">
      <alignment horizontal="center"/>
    </xf>
    <xf numFmtId="187" fontId="0" fillId="0" borderId="0" xfId="1" applyNumberFormat="1" applyFont="1"/>
    <xf numFmtId="16" fontId="0" fillId="0" borderId="0" xfId="0" applyNumberFormat="1" applyAlignment="1">
      <alignment horizontal="right" indent="1"/>
    </xf>
    <xf numFmtId="16" fontId="4" fillId="0" borderId="0" xfId="0" applyNumberFormat="1" applyFont="1" applyAlignment="1">
      <alignment horizontal="right" indent="1"/>
    </xf>
    <xf numFmtId="16" fontId="6" fillId="0" borderId="0" xfId="0" applyNumberFormat="1" applyFont="1" applyAlignment="1">
      <alignment horizontal="right" indent="1"/>
    </xf>
    <xf numFmtId="187" fontId="6" fillId="0" borderId="0" xfId="0" applyNumberFormat="1" applyFont="1"/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4" fontId="0" fillId="0" borderId="1" xfId="0" applyNumberFormat="1" applyFill="1" applyBorder="1"/>
    <xf numFmtId="184" fontId="4" fillId="0" borderId="1" xfId="0" applyNumberFormat="1" applyFont="1" applyFill="1" applyBorder="1"/>
    <xf numFmtId="0" fontId="12" fillId="0" borderId="22" xfId="0" applyFont="1" applyFill="1" applyBorder="1"/>
    <xf numFmtId="0" fontId="11" fillId="0" borderId="22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6" fillId="0" borderId="20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5" fontId="6" fillId="0" borderId="0" xfId="0" applyNumberFormat="1" applyFont="1" applyBorder="1"/>
    <xf numFmtId="0" fontId="11" fillId="0" borderId="10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9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177" fontId="12" fillId="0" borderId="1" xfId="0" applyNumberFormat="1" applyFont="1" applyFill="1" applyBorder="1" applyAlignment="1">
      <alignment horizontal="left" vertical="center" indent="1"/>
    </xf>
    <xf numFmtId="177" fontId="11" fillId="0" borderId="1" xfId="0" applyNumberFormat="1" applyFont="1" applyFill="1" applyBorder="1" applyAlignment="1">
      <alignment horizontal="left" vertical="center" indent="1"/>
    </xf>
    <xf numFmtId="177" fontId="11" fillId="0" borderId="0" xfId="0" applyNumberFormat="1" applyFont="1" applyFill="1" applyBorder="1" applyAlignment="1">
      <alignment horizontal="left" vertical="center" indent="1"/>
    </xf>
    <xf numFmtId="177" fontId="1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7" fontId="0" fillId="9" borderId="0" xfId="0" applyNumberFormat="1" applyFill="1" applyAlignment="1">
      <alignment horizontal="center"/>
    </xf>
    <xf numFmtId="0" fontId="20" fillId="10" borderId="37" xfId="0" applyFont="1" applyFill="1" applyBorder="1" applyAlignment="1">
      <alignment horizontal="center"/>
    </xf>
    <xf numFmtId="0" fontId="20" fillId="10" borderId="38" xfId="0" applyFont="1" applyFill="1" applyBorder="1" applyAlignment="1">
      <alignment horizontal="center"/>
    </xf>
    <xf numFmtId="0" fontId="20" fillId="10" borderId="39" xfId="0" applyFont="1" applyFill="1" applyBorder="1" applyAlignment="1">
      <alignment horizontal="center"/>
    </xf>
    <xf numFmtId="0" fontId="20" fillId="10" borderId="31" xfId="0" applyFont="1" applyFill="1" applyBorder="1" applyAlignment="1">
      <alignment horizontal="center"/>
    </xf>
    <xf numFmtId="0" fontId="0" fillId="11" borderId="26" xfId="0" applyFill="1" applyBorder="1" applyAlignment="1">
      <alignment horizontal="center" vertical="center"/>
    </xf>
    <xf numFmtId="0" fontId="22" fillId="11" borderId="26" xfId="0" applyFont="1" applyFill="1" applyBorder="1" applyAlignment="1">
      <alignment horizontal="center"/>
    </xf>
    <xf numFmtId="0" fontId="0" fillId="0" borderId="1" xfId="0" applyBorder="1"/>
    <xf numFmtId="0" fontId="22" fillId="0" borderId="2" xfId="0" applyFont="1" applyBorder="1"/>
    <xf numFmtId="3" fontId="0" fillId="0" borderId="3" xfId="0" applyNumberFormat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22" fillId="14" borderId="2" xfId="0" applyFont="1" applyFill="1" applyBorder="1"/>
    <xf numFmtId="0" fontId="0" fillId="14" borderId="9" xfId="0" applyFill="1" applyBorder="1"/>
    <xf numFmtId="3" fontId="0" fillId="14" borderId="2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3" fontId="0" fillId="14" borderId="11" xfId="0" applyNumberFormat="1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22" fillId="0" borderId="42" xfId="0" applyFont="1" applyBorder="1"/>
    <xf numFmtId="0" fontId="22" fillId="0" borderId="13" xfId="0" applyFont="1" applyBorder="1"/>
    <xf numFmtId="3" fontId="22" fillId="0" borderId="42" xfId="0" applyNumberFormat="1" applyFont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3" fontId="22" fillId="0" borderId="43" xfId="0" applyNumberFormat="1" applyFont="1" applyBorder="1" applyAlignment="1">
      <alignment horizontal="center"/>
    </xf>
    <xf numFmtId="3" fontId="22" fillId="13" borderId="19" xfId="0" applyNumberFormat="1" applyFont="1" applyFill="1" applyBorder="1" applyAlignment="1">
      <alignment horizontal="center"/>
    </xf>
    <xf numFmtId="3" fontId="22" fillId="13" borderId="43" xfId="0" applyNumberFormat="1" applyFont="1" applyFill="1" applyBorder="1" applyAlignment="1">
      <alignment horizontal="center"/>
    </xf>
    <xf numFmtId="3" fontId="22" fillId="0" borderId="44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10" fontId="0" fillId="0" borderId="0" xfId="13" applyNumberFormat="1" applyFont="1"/>
    <xf numFmtId="0" fontId="0" fillId="11" borderId="26" xfId="0" applyFill="1" applyBorder="1"/>
    <xf numFmtId="3" fontId="0" fillId="11" borderId="26" xfId="0" applyNumberFormat="1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14" borderId="9" xfId="0" applyNumberFormat="1" applyFill="1" applyBorder="1" applyAlignment="1">
      <alignment horizontal="center"/>
    </xf>
    <xf numFmtId="3" fontId="0" fillId="15" borderId="1" xfId="0" applyNumberFormat="1" applyFill="1" applyBorder="1" applyAlignment="1">
      <alignment horizontal="center"/>
    </xf>
    <xf numFmtId="0" fontId="22" fillId="0" borderId="4" xfId="0" applyFont="1" applyBorder="1"/>
    <xf numFmtId="0" fontId="0" fillId="0" borderId="46" xfId="0" applyBorder="1"/>
    <xf numFmtId="3" fontId="22" fillId="0" borderId="47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6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13" borderId="5" xfId="0" applyNumberFormat="1" applyFont="1" applyFill="1" applyBorder="1" applyAlignment="1">
      <alignment horizontal="center"/>
    </xf>
    <xf numFmtId="3" fontId="22" fillId="13" borderId="6" xfId="0" applyNumberFormat="1" applyFont="1" applyFill="1" applyBorder="1" applyAlignment="1">
      <alignment horizontal="center"/>
    </xf>
    <xf numFmtId="3" fontId="0" fillId="15" borderId="3" xfId="0" applyNumberFormat="1" applyFill="1" applyBorder="1" applyAlignment="1">
      <alignment horizontal="center"/>
    </xf>
    <xf numFmtId="0" fontId="22" fillId="0" borderId="46" xfId="0" applyFont="1" applyBorder="1"/>
    <xf numFmtId="3" fontId="22" fillId="0" borderId="6" xfId="0" applyNumberFormat="1" applyFont="1" applyBorder="1" applyAlignment="1">
      <alignment horizontal="center"/>
    </xf>
    <xf numFmtId="0" fontId="22" fillId="0" borderId="48" xfId="0" applyFont="1" applyBorder="1"/>
    <xf numFmtId="3" fontId="22" fillId="0" borderId="48" xfId="0" applyNumberFormat="1" applyFont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41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6" fontId="22" fillId="5" borderId="48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8" borderId="10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 wrapText="1"/>
    </xf>
    <xf numFmtId="171" fontId="14" fillId="6" borderId="1" xfId="0" applyNumberFormat="1" applyFont="1" applyFill="1" applyBorder="1" applyAlignment="1">
      <alignment horizontal="center" vertical="center"/>
    </xf>
    <xf numFmtId="37" fontId="14" fillId="6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 indent="2"/>
    </xf>
    <xf numFmtId="176" fontId="11" fillId="0" borderId="1" xfId="0" applyNumberFormat="1" applyFont="1" applyFill="1" applyBorder="1" applyAlignment="1">
      <alignment horizontal="right" vertical="center" indent="2"/>
    </xf>
    <xf numFmtId="177" fontId="14" fillId="0" borderId="1" xfId="0" applyNumberFormat="1" applyFont="1" applyFill="1" applyBorder="1" applyAlignment="1">
      <alignment horizontal="right" vertical="center" indent="2"/>
    </xf>
    <xf numFmtId="177" fontId="11" fillId="0" borderId="1" xfId="0" applyNumberFormat="1" applyFont="1" applyFill="1" applyBorder="1" applyAlignment="1">
      <alignment horizontal="right" vertical="center" indent="2"/>
    </xf>
    <xf numFmtId="0" fontId="11" fillId="8" borderId="22" xfId="11" applyFont="1" applyFill="1" applyBorder="1" applyAlignment="1">
      <alignment horizontal="center" vertical="center"/>
    </xf>
    <xf numFmtId="3" fontId="11" fillId="8" borderId="22" xfId="11" applyNumberFormat="1" applyFont="1" applyFill="1" applyBorder="1" applyAlignment="1">
      <alignment horizontal="center" vertical="center" wrapText="1"/>
    </xf>
    <xf numFmtId="171" fontId="2" fillId="6" borderId="1" xfId="0" applyNumberFormat="1" applyFont="1" applyFill="1" applyBorder="1" applyAlignment="1">
      <alignment horizontal="center" vertical="center"/>
    </xf>
    <xf numFmtId="173" fontId="12" fillId="6" borderId="1" xfId="0" applyNumberFormat="1" applyFont="1" applyFill="1" applyBorder="1" applyAlignment="1">
      <alignment horizontal="center"/>
    </xf>
    <xf numFmtId="171" fontId="14" fillId="6" borderId="1" xfId="10" applyNumberFormat="1" applyFont="1" applyFill="1" applyBorder="1" applyAlignment="1">
      <alignment horizontal="center" vertical="center"/>
    </xf>
    <xf numFmtId="3" fontId="14" fillId="6" borderId="1" xfId="10" applyNumberFormat="1" applyFont="1" applyFill="1" applyBorder="1" applyAlignment="1">
      <alignment horizontal="center" vertical="center"/>
    </xf>
    <xf numFmtId="171" fontId="14" fillId="6" borderId="1" xfId="0" applyNumberFormat="1" applyFont="1" applyFill="1" applyBorder="1" applyAlignment="1">
      <alignment horizontal="right" vertical="center" indent="2"/>
    </xf>
    <xf numFmtId="0" fontId="11" fillId="0" borderId="1" xfId="0" applyFont="1" applyFill="1" applyBorder="1" applyAlignment="1">
      <alignment horizontal="right" vertical="center" indent="2"/>
    </xf>
    <xf numFmtId="171" fontId="14" fillId="0" borderId="1" xfId="10" applyNumberFormat="1" applyFont="1" applyFill="1" applyBorder="1" applyAlignment="1">
      <alignment horizontal="right" vertical="center" indent="2"/>
    </xf>
    <xf numFmtId="171" fontId="11" fillId="0" borderId="1" xfId="10" applyNumberFormat="1" applyFont="1" applyFill="1" applyBorder="1" applyAlignment="1">
      <alignment horizontal="right" vertical="center" indent="2"/>
    </xf>
    <xf numFmtId="3" fontId="14" fillId="6" borderId="1" xfId="0" applyNumberFormat="1" applyFont="1" applyFill="1" applyBorder="1" applyAlignment="1">
      <alignment horizontal="center" vertical="center"/>
    </xf>
    <xf numFmtId="177" fontId="14" fillId="0" borderId="11" xfId="0" applyNumberFormat="1" applyFont="1" applyFill="1" applyBorder="1" applyAlignment="1">
      <alignment horizontal="right" vertical="center" indent="2"/>
    </xf>
    <xf numFmtId="177" fontId="11" fillId="0" borderId="0" xfId="0" applyNumberFormat="1" applyFont="1" applyFill="1" applyBorder="1" applyAlignment="1">
      <alignment horizontal="right" vertical="center" indent="2"/>
    </xf>
    <xf numFmtId="0" fontId="12" fillId="0" borderId="11" xfId="0" applyFont="1" applyBorder="1" applyAlignment="1">
      <alignment horizontal="right" indent="2"/>
    </xf>
    <xf numFmtId="177" fontId="11" fillId="0" borderId="11" xfId="0" applyNumberFormat="1" applyFont="1" applyFill="1" applyBorder="1" applyAlignment="1">
      <alignment horizontal="right" vertical="center" indent="2"/>
    </xf>
    <xf numFmtId="0" fontId="12" fillId="6" borderId="9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indent="2"/>
    </xf>
    <xf numFmtId="0" fontId="11" fillId="0" borderId="10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10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left" vertical="center"/>
    </xf>
    <xf numFmtId="0" fontId="11" fillId="8" borderId="22" xfId="1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right" vertical="center" wrapText="1" indent="2"/>
    </xf>
    <xf numFmtId="177" fontId="11" fillId="0" borderId="1" xfId="0" applyNumberFormat="1" applyFont="1" applyFill="1" applyBorder="1" applyAlignment="1">
      <alignment horizontal="right" vertical="center" wrapText="1" indent="2"/>
    </xf>
    <xf numFmtId="166" fontId="12" fillId="0" borderId="1" xfId="13" applyNumberFormat="1" applyFont="1" applyBorder="1" applyAlignment="1">
      <alignment horizontal="right" indent="2"/>
    </xf>
    <xf numFmtId="0" fontId="11" fillId="8" borderId="9" xfId="11" applyFont="1" applyFill="1" applyBorder="1" applyAlignment="1">
      <alignment vertical="center"/>
    </xf>
    <xf numFmtId="0" fontId="11" fillId="8" borderId="11" xfId="11" applyFont="1" applyFill="1" applyBorder="1" applyAlignment="1">
      <alignment vertical="center"/>
    </xf>
    <xf numFmtId="0" fontId="11" fillId="8" borderId="1" xfId="11" applyFont="1" applyFill="1" applyBorder="1" applyAlignment="1">
      <alignment horizontal="center" vertical="center"/>
    </xf>
    <xf numFmtId="0" fontId="11" fillId="8" borderId="1" xfId="11" applyNumberFormat="1" applyFont="1" applyFill="1" applyBorder="1" applyAlignment="1">
      <alignment horizontal="center" vertical="center" wrapText="1"/>
    </xf>
    <xf numFmtId="3" fontId="11" fillId="8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3" fillId="0" borderId="1" xfId="0" applyFont="1" applyBorder="1"/>
    <xf numFmtId="0" fontId="23" fillId="0" borderId="19" xfId="0" applyFont="1" applyBorder="1"/>
    <xf numFmtId="3" fontId="4" fillId="0" borderId="0" xfId="0" applyNumberFormat="1" applyFont="1" applyAlignment="1">
      <alignment horizontal="center" vertical="center" wrapText="1"/>
    </xf>
    <xf numFmtId="3" fontId="0" fillId="0" borderId="1" xfId="0" applyNumberFormat="1" applyBorder="1" applyAlignment="1">
      <alignment horizontal="left" indent="1"/>
    </xf>
    <xf numFmtId="3" fontId="4" fillId="0" borderId="1" xfId="0" applyNumberFormat="1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80" fontId="14" fillId="0" borderId="0" xfId="0" applyNumberFormat="1" applyFont="1" applyFill="1" applyBorder="1" applyAlignment="1">
      <alignment horizontal="center" vertical="center" wrapText="1"/>
    </xf>
    <xf numFmtId="180" fontId="1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left" indent="1"/>
    </xf>
    <xf numFmtId="37" fontId="0" fillId="6" borderId="1" xfId="0" applyNumberFormat="1" applyFill="1" applyBorder="1"/>
    <xf numFmtId="183" fontId="0" fillId="6" borderId="1" xfId="0" applyNumberFormat="1" applyFill="1" applyBorder="1" applyAlignment="1">
      <alignment horizontal="center"/>
    </xf>
    <xf numFmtId="182" fontId="0" fillId="6" borderId="1" xfId="0" applyNumberFormat="1" applyFill="1" applyBorder="1"/>
    <xf numFmtId="5" fontId="0" fillId="6" borderId="1" xfId="0" applyNumberFormat="1" applyFill="1" applyBorder="1"/>
    <xf numFmtId="3" fontId="14" fillId="0" borderId="1" xfId="0" applyNumberFormat="1" applyFont="1" applyFill="1" applyBorder="1" applyAlignment="1">
      <alignment horizontal="right" vertical="center" wrapText="1" indent="2"/>
    </xf>
    <xf numFmtId="3" fontId="14" fillId="0" borderId="1" xfId="0" applyNumberFormat="1" applyFont="1" applyFill="1" applyBorder="1" applyAlignment="1">
      <alignment horizontal="right" vertical="center" wrapText="1" indent="1"/>
    </xf>
    <xf numFmtId="166" fontId="0" fillId="0" borderId="1" xfId="0" applyNumberFormat="1" applyFill="1" applyBorder="1" applyAlignment="1">
      <alignment horizontal="right" indent="2"/>
    </xf>
    <xf numFmtId="166" fontId="0" fillId="0" borderId="1" xfId="0" applyNumberFormat="1" applyBorder="1" applyAlignment="1">
      <alignment horizontal="right" indent="2"/>
    </xf>
    <xf numFmtId="0" fontId="4" fillId="0" borderId="1" xfId="0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right" indent="1"/>
    </xf>
    <xf numFmtId="171" fontId="1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right" indent="1"/>
    </xf>
    <xf numFmtId="171" fontId="2" fillId="0" borderId="1" xfId="0" applyNumberFormat="1" applyFont="1" applyFill="1" applyBorder="1" applyAlignment="1">
      <alignment horizontal="right" vertical="center" wrapText="1" indent="1"/>
    </xf>
    <xf numFmtId="0" fontId="11" fillId="0" borderId="11" xfId="0" applyFont="1" applyFill="1" applyBorder="1" applyAlignment="1">
      <alignment horizontal="right" vertical="center" indent="1"/>
    </xf>
    <xf numFmtId="176" fontId="2" fillId="0" borderId="1" xfId="0" applyNumberFormat="1" applyFont="1" applyFill="1" applyBorder="1" applyAlignment="1">
      <alignment horizontal="right" vertical="center" wrapText="1" indent="1"/>
    </xf>
    <xf numFmtId="179" fontId="2" fillId="0" borderId="1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  <xf numFmtId="178" fontId="14" fillId="0" borderId="1" xfId="0" applyNumberFormat="1" applyFont="1" applyFill="1" applyBorder="1" applyAlignment="1">
      <alignment horizontal="right" vertical="center" indent="2"/>
    </xf>
    <xf numFmtId="178" fontId="11" fillId="0" borderId="1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166" fontId="0" fillId="0" borderId="2" xfId="0" applyNumberFormat="1" applyFill="1" applyBorder="1" applyAlignment="1">
      <alignment horizontal="right" indent="1"/>
    </xf>
    <xf numFmtId="166" fontId="0" fillId="0" borderId="1" xfId="0" applyNumberFormat="1" applyFill="1" applyBorder="1" applyAlignment="1">
      <alignment horizontal="right" indent="1"/>
    </xf>
    <xf numFmtId="166" fontId="0" fillId="0" borderId="3" xfId="0" applyNumberFormat="1" applyBorder="1" applyAlignment="1">
      <alignment horizontal="right" indent="1"/>
    </xf>
    <xf numFmtId="166" fontId="0" fillId="0" borderId="2" xfId="0" applyNumberFormat="1" applyBorder="1" applyAlignment="1">
      <alignment horizontal="right" indent="1"/>
    </xf>
    <xf numFmtId="166" fontId="0" fillId="0" borderId="1" xfId="0" applyNumberFormat="1" applyBorder="1" applyAlignment="1">
      <alignment horizontal="right" indent="1"/>
    </xf>
    <xf numFmtId="41" fontId="0" fillId="7" borderId="2" xfId="0" applyNumberFormat="1" applyFill="1" applyBorder="1" applyAlignment="1">
      <alignment horizontal="center"/>
    </xf>
    <xf numFmtId="41" fontId="0" fillId="7" borderId="1" xfId="0" applyNumberFormat="1" applyFill="1" applyBorder="1" applyAlignment="1">
      <alignment horizontal="center"/>
    </xf>
    <xf numFmtId="41" fontId="0" fillId="0" borderId="3" xfId="0" applyNumberFormat="1" applyBorder="1"/>
    <xf numFmtId="41" fontId="0" fillId="0" borderId="2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167" fontId="0" fillId="0" borderId="0" xfId="0" applyNumberFormat="1" applyFill="1" applyAlignment="1">
      <alignment horizontal="right" indent="1"/>
    </xf>
    <xf numFmtId="167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167" fontId="0" fillId="5" borderId="0" xfId="0" applyNumberFormat="1" applyFill="1" applyAlignment="1">
      <alignment horizontal="right" indent="1"/>
    </xf>
    <xf numFmtId="3" fontId="14" fillId="0" borderId="1" xfId="10" applyNumberFormat="1" applyFont="1" applyFill="1" applyBorder="1" applyAlignment="1">
      <alignment horizontal="right" vertical="center" indent="2"/>
    </xf>
    <xf numFmtId="3" fontId="11" fillId="0" borderId="1" xfId="10" applyNumberFormat="1" applyFont="1" applyFill="1" applyBorder="1" applyAlignment="1">
      <alignment horizontal="right" vertical="center" indent="2"/>
    </xf>
    <xf numFmtId="0" fontId="6" fillId="0" borderId="0" xfId="0" applyFont="1" applyFill="1"/>
    <xf numFmtId="3" fontId="6" fillId="0" borderId="0" xfId="0" applyNumberFormat="1" applyFont="1" applyFill="1"/>
    <xf numFmtId="4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0" fontId="4" fillId="0" borderId="27" xfId="13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11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164" fontId="4" fillId="16" borderId="51" xfId="0" applyNumberFormat="1" applyFont="1" applyFill="1" applyBorder="1" applyAlignment="1">
      <alignment horizontal="center" wrapText="1"/>
    </xf>
    <xf numFmtId="3" fontId="4" fillId="16" borderId="0" xfId="1" applyNumberFormat="1" applyFont="1" applyFill="1" applyBorder="1" applyAlignment="1">
      <alignment horizontal="center" wrapText="1"/>
    </xf>
    <xf numFmtId="164" fontId="4" fillId="16" borderId="51" xfId="0" applyNumberFormat="1" applyFont="1" applyFill="1" applyBorder="1"/>
    <xf numFmtId="164" fontId="4" fillId="16" borderId="53" xfId="0" applyNumberFormat="1" applyFont="1" applyFill="1" applyBorder="1"/>
    <xf numFmtId="0" fontId="8" fillId="0" borderId="0" xfId="0" applyFont="1" applyFill="1" applyBorder="1"/>
    <xf numFmtId="0" fontId="25" fillId="0" borderId="0" xfId="0" applyFont="1"/>
    <xf numFmtId="164" fontId="6" fillId="0" borderId="0" xfId="0" applyNumberFormat="1" applyFont="1"/>
    <xf numFmtId="3" fontId="4" fillId="16" borderId="53" xfId="1" applyNumberFormat="1" applyFont="1" applyFill="1" applyBorder="1"/>
    <xf numFmtId="3" fontId="4" fillId="17" borderId="55" xfId="1" applyNumberFormat="1" applyFont="1" applyFill="1" applyBorder="1"/>
    <xf numFmtId="3" fontId="4" fillId="0" borderId="0" xfId="1" applyNumberFormat="1" applyFont="1"/>
    <xf numFmtId="172" fontId="4" fillId="0" borderId="0" xfId="1" applyNumberFormat="1" applyFont="1"/>
    <xf numFmtId="172" fontId="4" fillId="16" borderId="51" xfId="1" applyNumberFormat="1" applyFont="1" applyFill="1" applyBorder="1"/>
    <xf numFmtId="172" fontId="4" fillId="16" borderId="53" xfId="1" applyNumberFormat="1" applyFont="1" applyFill="1" applyBorder="1"/>
    <xf numFmtId="172" fontId="4" fillId="16" borderId="52" xfId="1" applyNumberFormat="1" applyFont="1" applyFill="1" applyBorder="1"/>
    <xf numFmtId="172" fontId="4" fillId="17" borderId="55" xfId="1" applyNumberFormat="1" applyFont="1" applyFill="1" applyBorder="1"/>
    <xf numFmtId="43" fontId="6" fillId="0" borderId="0" xfId="1" applyFont="1"/>
    <xf numFmtId="3" fontId="4" fillId="16" borderId="51" xfId="1" applyNumberFormat="1" applyFont="1" applyFill="1" applyBorder="1"/>
    <xf numFmtId="3" fontId="4" fillId="16" borderId="57" xfId="1" applyNumberFormat="1" applyFont="1" applyFill="1" applyBorder="1"/>
    <xf numFmtId="164" fontId="4" fillId="16" borderId="57" xfId="0" applyNumberFormat="1" applyFont="1" applyFill="1" applyBorder="1"/>
    <xf numFmtId="3" fontId="4" fillId="17" borderId="59" xfId="1" applyNumberFormat="1" applyFont="1" applyFill="1" applyBorder="1"/>
    <xf numFmtId="43" fontId="4" fillId="0" borderId="0" xfId="1" applyFont="1"/>
    <xf numFmtId="0" fontId="6" fillId="0" borderId="0" xfId="0" applyFont="1" applyAlignment="1">
      <alignment horizontal="left" wrapText="1"/>
    </xf>
    <xf numFmtId="0" fontId="6" fillId="0" borderId="29" xfId="0" applyFont="1" applyBorder="1" applyAlignment="1">
      <alignment horizontal="center" wrapText="1"/>
    </xf>
    <xf numFmtId="3" fontId="6" fillId="0" borderId="29" xfId="0" applyNumberFormat="1" applyFont="1" applyBorder="1" applyAlignment="1">
      <alignment horizontal="center" wrapText="1"/>
    </xf>
    <xf numFmtId="164" fontId="4" fillId="17" borderId="51" xfId="14" applyNumberFormat="1" applyFont="1" applyFill="1" applyBorder="1" applyAlignment="1">
      <alignment horizontal="center" wrapText="1"/>
    </xf>
    <xf numFmtId="2" fontId="4" fillId="17" borderId="51" xfId="0" applyNumberFormat="1" applyFont="1" applyFill="1" applyBorder="1" applyAlignment="1">
      <alignment horizontal="center" wrapText="1"/>
    </xf>
    <xf numFmtId="3" fontId="4" fillId="16" borderId="51" xfId="1" applyNumberFormat="1" applyFont="1" applyFill="1" applyBorder="1" applyAlignment="1">
      <alignment horizontal="center" wrapText="1"/>
    </xf>
    <xf numFmtId="3" fontId="4" fillId="16" borderId="52" xfId="1" applyNumberFormat="1" applyFont="1" applyFill="1" applyBorder="1" applyAlignment="1">
      <alignment horizontal="center" wrapText="1"/>
    </xf>
    <xf numFmtId="164" fontId="4" fillId="17" borderId="51" xfId="14" applyNumberFormat="1" applyFont="1" applyFill="1" applyBorder="1"/>
    <xf numFmtId="2" fontId="4" fillId="17" borderId="51" xfId="0" applyNumberFormat="1" applyFont="1" applyFill="1" applyBorder="1" applyAlignment="1">
      <alignment horizontal="center"/>
    </xf>
    <xf numFmtId="4" fontId="4" fillId="16" borderId="51" xfId="1" applyNumberFormat="1" applyFont="1" applyFill="1" applyBorder="1"/>
    <xf numFmtId="172" fontId="4" fillId="0" borderId="0" xfId="0" applyNumberFormat="1" applyFont="1"/>
    <xf numFmtId="4" fontId="4" fillId="16" borderId="53" xfId="1" applyNumberFormat="1" applyFont="1" applyFill="1" applyBorder="1"/>
    <xf numFmtId="164" fontId="4" fillId="17" borderId="54" xfId="0" applyNumberFormat="1" applyFont="1" applyFill="1" applyBorder="1"/>
    <xf numFmtId="164" fontId="4" fillId="17" borderId="55" xfId="0" applyNumberFormat="1" applyFont="1" applyFill="1" applyBorder="1"/>
    <xf numFmtId="164" fontId="4" fillId="17" borderId="56" xfId="14" applyNumberFormat="1" applyFont="1" applyFill="1" applyBorder="1"/>
    <xf numFmtId="2" fontId="4" fillId="17" borderId="5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43" fontId="4" fillId="0" borderId="0" xfId="1" applyFont="1" applyAlignment="1">
      <alignment wrapText="1"/>
    </xf>
    <xf numFmtId="2" fontId="4" fillId="0" borderId="0" xfId="0" applyNumberFormat="1" applyFont="1" applyAlignment="1">
      <alignment horizontal="center"/>
    </xf>
    <xf numFmtId="171" fontId="4" fillId="16" borderId="53" xfId="1" applyNumberFormat="1" applyFont="1" applyFill="1" applyBorder="1"/>
    <xf numFmtId="164" fontId="4" fillId="16" borderId="52" xfId="0" applyNumberFormat="1" applyFont="1" applyFill="1" applyBorder="1"/>
    <xf numFmtId="2" fontId="4" fillId="17" borderId="57" xfId="0" applyNumberFormat="1" applyFont="1" applyFill="1" applyBorder="1" applyAlignment="1">
      <alignment horizontal="center"/>
    </xf>
    <xf numFmtId="3" fontId="4" fillId="16" borderId="52" xfId="1" applyNumberFormat="1" applyFont="1" applyFill="1" applyBorder="1"/>
    <xf numFmtId="164" fontId="4" fillId="17" borderId="58" xfId="0" applyNumberFormat="1" applyFont="1" applyFill="1" applyBorder="1"/>
    <xf numFmtId="2" fontId="4" fillId="17" borderId="59" xfId="0" applyNumberFormat="1" applyFont="1" applyFill="1" applyBorder="1" applyAlignment="1">
      <alignment horizontal="center"/>
    </xf>
    <xf numFmtId="3" fontId="4" fillId="17" borderId="58" xfId="1" applyNumberFormat="1" applyFont="1" applyFill="1" applyBorder="1"/>
    <xf numFmtId="3" fontId="4" fillId="0" borderId="0" xfId="0" applyNumberFormat="1" applyFont="1"/>
    <xf numFmtId="4" fontId="4" fillId="0" borderId="0" xfId="0" applyNumberFormat="1" applyFont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right" indent="1"/>
    </xf>
    <xf numFmtId="172" fontId="0" fillId="11" borderId="1" xfId="1" applyNumberFormat="1" applyFont="1" applyFill="1" applyBorder="1" applyAlignment="1">
      <alignment horizontal="right" indent="1"/>
    </xf>
    <xf numFmtId="172" fontId="4" fillId="11" borderId="1" xfId="1" applyNumberFormat="1" applyFont="1" applyFill="1" applyBorder="1" applyAlignment="1">
      <alignment horizontal="right" indent="1"/>
    </xf>
    <xf numFmtId="0" fontId="4" fillId="11" borderId="1" xfId="0" applyFont="1" applyFill="1" applyBorder="1" applyAlignment="1">
      <alignment horizontal="right" indent="1"/>
    </xf>
    <xf numFmtId="172" fontId="0" fillId="11" borderId="1" xfId="0" applyNumberFormat="1" applyFill="1" applyBorder="1" applyAlignment="1">
      <alignment horizontal="right" indent="1"/>
    </xf>
    <xf numFmtId="0" fontId="0" fillId="11" borderId="0" xfId="0" applyFill="1"/>
    <xf numFmtId="0" fontId="26" fillId="0" borderId="0" xfId="0" applyFont="1"/>
    <xf numFmtId="0" fontId="27" fillId="0" borderId="0" xfId="0" applyFont="1"/>
    <xf numFmtId="0" fontId="11" fillId="11" borderId="22" xfId="11" applyFont="1" applyFill="1" applyBorder="1" applyAlignment="1">
      <alignment horizontal="center" vertical="center"/>
    </xf>
    <xf numFmtId="3" fontId="11" fillId="11" borderId="22" xfId="11" applyNumberFormat="1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vertical="center"/>
    </xf>
    <xf numFmtId="0" fontId="11" fillId="11" borderId="10" xfId="0" applyFont="1" applyFill="1" applyBorder="1" applyAlignment="1">
      <alignment vertical="center"/>
    </xf>
    <xf numFmtId="0" fontId="11" fillId="11" borderId="11" xfId="0" applyFont="1" applyFill="1" applyBorder="1" applyAlignment="1">
      <alignment vertical="center"/>
    </xf>
    <xf numFmtId="0" fontId="11" fillId="11" borderId="1" xfId="0" applyFont="1" applyFill="1" applyBorder="1" applyAlignment="1">
      <alignment horizontal="left" vertical="center"/>
    </xf>
    <xf numFmtId="3" fontId="14" fillId="11" borderId="1" xfId="0" applyNumberFormat="1" applyFont="1" applyFill="1" applyBorder="1" applyAlignment="1">
      <alignment horizontal="center" vertical="center" wrapText="1"/>
    </xf>
    <xf numFmtId="3" fontId="14" fillId="11" borderId="1" xfId="0" applyNumberFormat="1" applyFont="1" applyFill="1" applyBorder="1" applyAlignment="1">
      <alignment horizontal="right" vertical="center" wrapText="1" indent="2"/>
    </xf>
    <xf numFmtId="0" fontId="14" fillId="11" borderId="1" xfId="0" applyFont="1" applyFill="1" applyBorder="1" applyAlignment="1">
      <alignment horizontal="left" vertical="center"/>
    </xf>
    <xf numFmtId="0" fontId="26" fillId="11" borderId="1" xfId="0" applyFont="1" applyFill="1" applyBorder="1" applyAlignment="1">
      <alignment horizontal="left" vertical="center"/>
    </xf>
    <xf numFmtId="3" fontId="26" fillId="11" borderId="1" xfId="0" applyNumberFormat="1" applyFont="1" applyFill="1" applyBorder="1" applyAlignment="1">
      <alignment horizontal="center" vertical="center" wrapText="1"/>
    </xf>
    <xf numFmtId="3" fontId="26" fillId="11" borderId="1" xfId="0" applyNumberFormat="1" applyFont="1" applyFill="1" applyBorder="1" applyAlignment="1">
      <alignment horizontal="right" vertical="center" wrapText="1" indent="2"/>
    </xf>
    <xf numFmtId="0" fontId="7" fillId="0" borderId="0" xfId="0" applyFont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25" xfId="13" applyNumberFormat="1" applyFont="1" applyBorder="1" applyAlignment="1">
      <alignment horizontal="left"/>
    </xf>
    <xf numFmtId="10" fontId="4" fillId="0" borderId="26" xfId="13" applyNumberFormat="1" applyFont="1" applyBorder="1" applyAlignment="1">
      <alignment horizontal="left"/>
    </xf>
    <xf numFmtId="167" fontId="4" fillId="0" borderId="25" xfId="0" applyNumberFormat="1" applyFont="1" applyBorder="1" applyAlignment="1">
      <alignment horizontal="left"/>
    </xf>
    <xf numFmtId="167" fontId="4" fillId="0" borderId="26" xfId="0" applyNumberFormat="1" applyFont="1" applyBorder="1" applyAlignment="1">
      <alignment horizontal="left"/>
    </xf>
    <xf numFmtId="167" fontId="4" fillId="0" borderId="27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3" fontId="4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22" fillId="0" borderId="48" xfId="0" applyFont="1" applyBorder="1" applyAlignment="1"/>
    <xf numFmtId="0" fontId="20" fillId="10" borderId="31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/>
    <xf numFmtId="0" fontId="21" fillId="0" borderId="26" xfId="0" applyFont="1" applyBorder="1" applyAlignment="1"/>
    <xf numFmtId="0" fontId="21" fillId="12" borderId="26" xfId="0" applyFont="1" applyFill="1" applyBorder="1" applyAlignment="1"/>
    <xf numFmtId="3" fontId="20" fillId="12" borderId="25" xfId="0" applyNumberFormat="1" applyFont="1" applyFill="1" applyBorder="1" applyAlignment="1"/>
    <xf numFmtId="0" fontId="22" fillId="12" borderId="25" xfId="0" applyFont="1" applyFill="1" applyBorder="1" applyAlignment="1"/>
    <xf numFmtId="0" fontId="0" fillId="12" borderId="26" xfId="0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20" fillId="10" borderId="31" xfId="0" applyFont="1" applyFill="1" applyBorder="1" applyAlignment="1">
      <alignment horizontal="center" vertical="center"/>
    </xf>
    <xf numFmtId="0" fontId="21" fillId="10" borderId="35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1" fillId="10" borderId="33" xfId="0" applyFont="1" applyFill="1" applyBorder="1" applyAlignment="1">
      <alignment horizontal="center" vertical="center"/>
    </xf>
    <xf numFmtId="0" fontId="21" fillId="10" borderId="34" xfId="0" applyFont="1" applyFill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21" fillId="10" borderId="34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5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/>
    </xf>
    <xf numFmtId="0" fontId="11" fillId="8" borderId="10" xfId="1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1" fontId="14" fillId="0" borderId="13" xfId="0" applyNumberFormat="1" applyFont="1" applyFill="1" applyBorder="1" applyAlignment="1">
      <alignment horizontal="left" vertical="center" indent="1"/>
    </xf>
    <xf numFmtId="1" fontId="14" fillId="0" borderId="14" xfId="0" applyNumberFormat="1" applyFont="1" applyFill="1" applyBorder="1" applyAlignment="1">
      <alignment horizontal="left" vertical="center" indent="1"/>
    </xf>
    <xf numFmtId="1" fontId="14" fillId="0" borderId="23" xfId="0" applyNumberFormat="1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indent="1"/>
    </xf>
    <xf numFmtId="0" fontId="11" fillId="8" borderId="11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1" fillId="0" borderId="1" xfId="1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14" fillId="11" borderId="9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left" vertical="center"/>
    </xf>
    <xf numFmtId="0" fontId="11" fillId="11" borderId="10" xfId="0" applyFont="1" applyFill="1" applyBorder="1" applyAlignment="1">
      <alignment horizontal="left" vertical="center"/>
    </xf>
    <xf numFmtId="0" fontId="11" fillId="11" borderId="11" xfId="0" applyFont="1" applyFill="1" applyBorder="1" applyAlignment="1">
      <alignment horizontal="left" vertical="center"/>
    </xf>
    <xf numFmtId="0" fontId="26" fillId="11" borderId="9" xfId="0" applyFont="1" applyFill="1" applyBorder="1" applyAlignment="1">
      <alignment horizontal="center" vertical="center"/>
    </xf>
    <xf numFmtId="0" fontId="26" fillId="11" borderId="11" xfId="0" applyFont="1" applyFill="1" applyBorder="1" applyAlignment="1">
      <alignment horizontal="center" vertical="center"/>
    </xf>
    <xf numFmtId="0" fontId="11" fillId="11" borderId="24" xfId="11" applyFont="1" applyFill="1" applyBorder="1" applyAlignment="1">
      <alignment horizontal="center" vertical="center"/>
    </xf>
    <xf numFmtId="0" fontId="11" fillId="11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/>
    </xf>
    <xf numFmtId="0" fontId="12" fillId="0" borderId="9" xfId="0" applyFont="1" applyFill="1" applyBorder="1" applyAlignment="1">
      <alignment horizontal="left" vertical="center" indent="1"/>
    </xf>
    <xf numFmtId="0" fontId="14" fillId="0" borderId="1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left" vertical="center" indent="1"/>
    </xf>
    <xf numFmtId="3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6" fillId="0" borderId="0" xfId="0" applyFont="1" applyAlignment="1">
      <alignment wrapText="1"/>
    </xf>
  </cellXfs>
  <cellStyles count="15">
    <cellStyle name="Comma" xfId="1" builtinId="3"/>
    <cellStyle name="Comma 2" xfId="2"/>
    <cellStyle name="Comma 3" xfId="3"/>
    <cellStyle name="Comma_CDM monthly amounts" xfId="4"/>
    <cellStyle name="Comma0" xfId="5"/>
    <cellStyle name="Currency" xfId="14" builtinId="4"/>
    <cellStyle name="Currency0" xfId="6"/>
    <cellStyle name="Date" xfId="7"/>
    <cellStyle name="Fixed" xfId="8"/>
    <cellStyle name="Normal" xfId="0" builtinId="0"/>
    <cellStyle name="Normal 2" xfId="9"/>
    <cellStyle name="Normal_OEB Trial Balance - Regulatory-July24-07" xfId="10"/>
    <cellStyle name="Normal_Sheet2" xfId="11"/>
    <cellStyle name="Note 2" xfId="12"/>
    <cellStyle name="Percent" xfId="13" builtinId="5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Actual vs. Predicted (GWh)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Summary!$A$70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Summary!$B$70:$N$70</c:f>
              <c:numCache>
                <c:formatCode>#,##0</c:formatCode>
                <c:ptCount val="13"/>
                <c:pt idx="0">
                  <c:v>1917.2873059999999</c:v>
                </c:pt>
                <c:pt idx="1">
                  <c:v>1963.8665109999999</c:v>
                </c:pt>
                <c:pt idx="2">
                  <c:v>2036.9125200000001</c:v>
                </c:pt>
                <c:pt idx="3">
                  <c:v>2013.2033730000001</c:v>
                </c:pt>
                <c:pt idx="4">
                  <c:v>2009.748106</c:v>
                </c:pt>
                <c:pt idx="5">
                  <c:v>2086.3640945742</c:v>
                </c:pt>
                <c:pt idx="6">
                  <c:v>1983.6457103185001</c:v>
                </c:pt>
                <c:pt idx="7">
                  <c:v>1978.9901764429999</c:v>
                </c:pt>
                <c:pt idx="8">
                  <c:v>1939.0644042694</c:v>
                </c:pt>
                <c:pt idx="9">
                  <c:v>1837.1331214989998</c:v>
                </c:pt>
                <c:pt idx="10">
                  <c:v>1892.6335194493545</c:v>
                </c:pt>
                <c:pt idx="11">
                  <c:v>1895.1972325334652</c:v>
                </c:pt>
                <c:pt idx="12">
                  <c:v>1885.7381183156619</c:v>
                </c:pt>
              </c:numCache>
            </c:numRef>
          </c:val>
        </c:ser>
        <c:ser>
          <c:idx val="1"/>
          <c:order val="1"/>
          <c:tx>
            <c:strRef>
              <c:f>Summary!$A$71</c:f>
              <c:strCache>
                <c:ptCount val="1"/>
                <c:pt idx="0">
                  <c:v>Predicted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Summary!$B$71:$N$71</c:f>
              <c:numCache>
                <c:formatCode>#,##0</c:formatCode>
                <c:ptCount val="13"/>
                <c:pt idx="0">
                  <c:v>1917.2574335265592</c:v>
                </c:pt>
                <c:pt idx="1">
                  <c:v>1953.6410695566638</c:v>
                </c:pt>
                <c:pt idx="2">
                  <c:v>2001.0801729767593</c:v>
                </c:pt>
                <c:pt idx="3">
                  <c:v>1994.3850662226791</c:v>
                </c:pt>
                <c:pt idx="4">
                  <c:v>2002.4798822055197</c:v>
                </c:pt>
                <c:pt idx="5">
                  <c:v>2077.5782514867024</c:v>
                </c:pt>
                <c:pt idx="6">
                  <c:v>2011.4221243310665</c:v>
                </c:pt>
                <c:pt idx="7">
                  <c:v>1990.5979541714844</c:v>
                </c:pt>
                <c:pt idx="8">
                  <c:v>1963.2518616181324</c:v>
                </c:pt>
                <c:pt idx="9">
                  <c:v>1856.1745904812803</c:v>
                </c:pt>
                <c:pt idx="10">
                  <c:v>1889.6918551705751</c:v>
                </c:pt>
                <c:pt idx="11">
                  <c:v>1882.8410422231548</c:v>
                </c:pt>
                <c:pt idx="12">
                  <c:v>1867.9189017622916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6777216"/>
        <c:axId val="146778752"/>
      </c:barChart>
      <c:catAx>
        <c:axId val="1467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6778752"/>
        <c:crosses val="autoZero"/>
        <c:auto val="1"/>
        <c:lblAlgn val="ctr"/>
        <c:lblOffset val="100"/>
        <c:noMultiLvlLbl val="0"/>
      </c:catAx>
      <c:valAx>
        <c:axId val="1467787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6777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Purchased</c:v>
          </c:tx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68544"/>
        <c:axId val="113470080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187862323.87215212</c:v>
                </c:pt>
                <c:pt idx="1">
                  <c:v>169768202.23017526</c:v>
                </c:pt>
                <c:pt idx="2">
                  <c:v>172146169.34201384</c:v>
                </c:pt>
                <c:pt idx="3">
                  <c:v>158942490.73654452</c:v>
                </c:pt>
                <c:pt idx="4">
                  <c:v>155432560.17370808</c:v>
                </c:pt>
                <c:pt idx="5">
                  <c:v>158050362.08907247</c:v>
                </c:pt>
                <c:pt idx="6">
                  <c:v>168270837.01035243</c:v>
                </c:pt>
                <c:pt idx="7">
                  <c:v>172893238.28647593</c:v>
                </c:pt>
                <c:pt idx="8">
                  <c:v>149871955.65010282</c:v>
                </c:pt>
                <c:pt idx="9">
                  <c:v>162598800.86800593</c:v>
                </c:pt>
                <c:pt idx="10">
                  <c:v>160840091.63320276</c:v>
                </c:pt>
                <c:pt idx="11">
                  <c:v>177708034.3308731</c:v>
                </c:pt>
                <c:pt idx="12">
                  <c:v>189184779.44150117</c:v>
                </c:pt>
                <c:pt idx="13">
                  <c:v>169268632.56477711</c:v>
                </c:pt>
                <c:pt idx="14">
                  <c:v>172311075.06145099</c:v>
                </c:pt>
                <c:pt idx="15">
                  <c:v>158629096.0296405</c:v>
                </c:pt>
                <c:pt idx="16">
                  <c:v>156927499.18084982</c:v>
                </c:pt>
                <c:pt idx="17">
                  <c:v>159570711.74641177</c:v>
                </c:pt>
                <c:pt idx="18">
                  <c:v>169371664.78884456</c:v>
                </c:pt>
                <c:pt idx="19">
                  <c:v>165382395.24503526</c:v>
                </c:pt>
                <c:pt idx="20">
                  <c:v>152950750.94183084</c:v>
                </c:pt>
                <c:pt idx="21">
                  <c:v>160188797.94252226</c:v>
                </c:pt>
                <c:pt idx="22">
                  <c:v>165155806.9850384</c:v>
                </c:pt>
                <c:pt idx="23">
                  <c:v>183538672.27761689</c:v>
                </c:pt>
                <c:pt idx="24">
                  <c:v>186876485.70357329</c:v>
                </c:pt>
                <c:pt idx="25">
                  <c:v>174308111.10924655</c:v>
                </c:pt>
                <c:pt idx="26">
                  <c:v>179095242.85575151</c:v>
                </c:pt>
                <c:pt idx="27">
                  <c:v>160916420.39735544</c:v>
                </c:pt>
                <c:pt idx="28">
                  <c:v>160454235.0782423</c:v>
                </c:pt>
                <c:pt idx="29">
                  <c:v>185316495.19387513</c:v>
                </c:pt>
                <c:pt idx="30">
                  <c:v>186141155.10156915</c:v>
                </c:pt>
                <c:pt idx="31">
                  <c:v>177870066.00261351</c:v>
                </c:pt>
                <c:pt idx="32">
                  <c:v>154353805.75649181</c:v>
                </c:pt>
                <c:pt idx="33">
                  <c:v>161492145.25794068</c:v>
                </c:pt>
                <c:pt idx="34">
                  <c:v>166445597.06224477</c:v>
                </c:pt>
                <c:pt idx="35">
                  <c:v>184308491.96779811</c:v>
                </c:pt>
                <c:pt idx="36">
                  <c:v>179867684.5344187</c:v>
                </c:pt>
                <c:pt idx="37">
                  <c:v>169832555.95404831</c:v>
                </c:pt>
                <c:pt idx="38">
                  <c:v>175460615.80547762</c:v>
                </c:pt>
                <c:pt idx="39">
                  <c:v>156617235.72674608</c:v>
                </c:pt>
                <c:pt idx="40">
                  <c:v>163231718.40043423</c:v>
                </c:pt>
                <c:pt idx="41">
                  <c:v>163002548.31204483</c:v>
                </c:pt>
                <c:pt idx="42">
                  <c:v>187681779.66057566</c:v>
                </c:pt>
                <c:pt idx="43">
                  <c:v>169419732.60477912</c:v>
                </c:pt>
                <c:pt idx="44">
                  <c:v>149623219.20172751</c:v>
                </c:pt>
                <c:pt idx="45">
                  <c:v>162055769.69132215</c:v>
                </c:pt>
                <c:pt idx="46">
                  <c:v>162527432.93702021</c:v>
                </c:pt>
                <c:pt idx="47">
                  <c:v>172101831.50247192</c:v>
                </c:pt>
                <c:pt idx="48">
                  <c:v>181290485.79912761</c:v>
                </c:pt>
                <c:pt idx="49">
                  <c:v>171239264.60789421</c:v>
                </c:pt>
                <c:pt idx="50">
                  <c:v>171056886.26448581</c:v>
                </c:pt>
                <c:pt idx="51">
                  <c:v>157126072.70498845</c:v>
                </c:pt>
                <c:pt idx="52">
                  <c:v>156536516.34359515</c:v>
                </c:pt>
                <c:pt idx="53">
                  <c:v>163019313.48170874</c:v>
                </c:pt>
                <c:pt idx="54">
                  <c:v>167530330.84507784</c:v>
                </c:pt>
                <c:pt idx="55">
                  <c:v>171819572.59772125</c:v>
                </c:pt>
                <c:pt idx="56">
                  <c:v>151090009.09129763</c:v>
                </c:pt>
                <c:pt idx="57">
                  <c:v>157953716.10908306</c:v>
                </c:pt>
                <c:pt idx="58">
                  <c:v>165021208.02667066</c:v>
                </c:pt>
                <c:pt idx="59">
                  <c:v>176914578.2998341</c:v>
                </c:pt>
                <c:pt idx="60">
                  <c:v>179210817.406762</c:v>
                </c:pt>
                <c:pt idx="61">
                  <c:v>167702068.49047625</c:v>
                </c:pt>
                <c:pt idx="62">
                  <c:v>170082459.74394858</c:v>
                </c:pt>
                <c:pt idx="63">
                  <c:v>153792198.06494695</c:v>
                </c:pt>
                <c:pt idx="64">
                  <c:v>154040836.95991302</c:v>
                </c:pt>
                <c:pt idx="65">
                  <c:v>162459426.51160863</c:v>
                </c:pt>
                <c:pt idx="66">
                  <c:v>172972071.50269645</c:v>
                </c:pt>
                <c:pt idx="67">
                  <c:v>158024994.23482341</c:v>
                </c:pt>
                <c:pt idx="68">
                  <c:v>148307282.75946513</c:v>
                </c:pt>
                <c:pt idx="69">
                  <c:v>159356263.85164422</c:v>
                </c:pt>
                <c:pt idx="70">
                  <c:v>159459734.20607382</c:v>
                </c:pt>
                <c:pt idx="71">
                  <c:v>177843707.88577357</c:v>
                </c:pt>
                <c:pt idx="72">
                  <c:v>181377063.15520439</c:v>
                </c:pt>
                <c:pt idx="73">
                  <c:v>160477493.04464811</c:v>
                </c:pt>
                <c:pt idx="74">
                  <c:v>162010262.66670027</c:v>
                </c:pt>
                <c:pt idx="75">
                  <c:v>147085246.80228019</c:v>
                </c:pt>
                <c:pt idx="76">
                  <c:v>143840744.98297822</c:v>
                </c:pt>
                <c:pt idx="77">
                  <c:v>149805796.13319573</c:v>
                </c:pt>
                <c:pt idx="78">
                  <c:v>148453000.7609992</c:v>
                </c:pt>
                <c:pt idx="79">
                  <c:v>158560001.93547899</c:v>
                </c:pt>
                <c:pt idx="80">
                  <c:v>138142254.89433983</c:v>
                </c:pt>
                <c:pt idx="81">
                  <c:v>149923723.58778989</c:v>
                </c:pt>
                <c:pt idx="82">
                  <c:v>147470770.40952781</c:v>
                </c:pt>
                <c:pt idx="83">
                  <c:v>169028232.10813761</c:v>
                </c:pt>
                <c:pt idx="84">
                  <c:v>170587047.60868302</c:v>
                </c:pt>
                <c:pt idx="85">
                  <c:v>153904560.65102631</c:v>
                </c:pt>
                <c:pt idx="86">
                  <c:v>157646323.68856096</c:v>
                </c:pt>
                <c:pt idx="87">
                  <c:v>143357312.07124081</c:v>
                </c:pt>
                <c:pt idx="88">
                  <c:v>147556121.58211699</c:v>
                </c:pt>
                <c:pt idx="89">
                  <c:v>150444201.75891888</c:v>
                </c:pt>
                <c:pt idx="90">
                  <c:v>174632822.15863314</c:v>
                </c:pt>
                <c:pt idx="91">
                  <c:v>168403131.96202731</c:v>
                </c:pt>
                <c:pt idx="92">
                  <c:v>146034423.05748788</c:v>
                </c:pt>
                <c:pt idx="93">
                  <c:v>148536312.85526904</c:v>
                </c:pt>
                <c:pt idx="94">
                  <c:v>153727042.9060941</c:v>
                </c:pt>
                <c:pt idx="95">
                  <c:v>174862554.87051675</c:v>
                </c:pt>
                <c:pt idx="96">
                  <c:v>177298182.53512076</c:v>
                </c:pt>
                <c:pt idx="97">
                  <c:v>157499401.39650559</c:v>
                </c:pt>
                <c:pt idx="98">
                  <c:v>165906417.94367927</c:v>
                </c:pt>
                <c:pt idx="99">
                  <c:v>147624614.45646149</c:v>
                </c:pt>
                <c:pt idx="100">
                  <c:v>147496298.14234203</c:v>
                </c:pt>
                <c:pt idx="101">
                  <c:v>148008974.02610269</c:v>
                </c:pt>
                <c:pt idx="102">
                  <c:v>179664621.44756284</c:v>
                </c:pt>
                <c:pt idx="103">
                  <c:v>161902774.90520316</c:v>
                </c:pt>
                <c:pt idx="104">
                  <c:v>142367458.45485967</c:v>
                </c:pt>
                <c:pt idx="105">
                  <c:v>145317346.76887506</c:v>
                </c:pt>
                <c:pt idx="106">
                  <c:v>147657440.09092015</c:v>
                </c:pt>
                <c:pt idx="107">
                  <c:v>162097512.05552197</c:v>
                </c:pt>
                <c:pt idx="108">
                  <c:v>166119375.5647043</c:v>
                </c:pt>
                <c:pt idx="109">
                  <c:v>154369185.6420652</c:v>
                </c:pt>
                <c:pt idx="110">
                  <c:v>151120474.80766872</c:v>
                </c:pt>
                <c:pt idx="111">
                  <c:v>145296967.53772068</c:v>
                </c:pt>
                <c:pt idx="112">
                  <c:v>146920807.53221396</c:v>
                </c:pt>
                <c:pt idx="113">
                  <c:v>156901466.07716921</c:v>
                </c:pt>
                <c:pt idx="114">
                  <c:v>178424479.36374938</c:v>
                </c:pt>
                <c:pt idx="115">
                  <c:v>160399691.88798204</c:v>
                </c:pt>
                <c:pt idx="116">
                  <c:v>140308001.99561921</c:v>
                </c:pt>
                <c:pt idx="117">
                  <c:v>149429802.37611145</c:v>
                </c:pt>
                <c:pt idx="118">
                  <c:v>154967672.4168188</c:v>
                </c:pt>
                <c:pt idx="119">
                  <c:v>163660976.56046847</c:v>
                </c:pt>
                <c:pt idx="120">
                  <c:v>175107820.71366844</c:v>
                </c:pt>
                <c:pt idx="121">
                  <c:v>160293801.13698944</c:v>
                </c:pt>
                <c:pt idx="122">
                  <c:v>160645422.79105017</c:v>
                </c:pt>
                <c:pt idx="123">
                  <c:v>149295848.13454714</c:v>
                </c:pt>
                <c:pt idx="124">
                  <c:v>149918636.59637526</c:v>
                </c:pt>
                <c:pt idx="125">
                  <c:v>154440644.80800059</c:v>
                </c:pt>
                <c:pt idx="126">
                  <c:v>169546881.63187316</c:v>
                </c:pt>
                <c:pt idx="127">
                  <c:v>161257929.9899908</c:v>
                </c:pt>
                <c:pt idx="128">
                  <c:v>143216312.24244437</c:v>
                </c:pt>
                <c:pt idx="129">
                  <c:v>152492543.72719717</c:v>
                </c:pt>
                <c:pt idx="130">
                  <c:v>153795721.9009293</c:v>
                </c:pt>
                <c:pt idx="131">
                  <c:v>169399401.25259173</c:v>
                </c:pt>
                <c:pt idx="132">
                  <c:v>176101719.3281076</c:v>
                </c:pt>
                <c:pt idx="133">
                  <c:v>157641747.486983</c:v>
                </c:pt>
                <c:pt idx="134">
                  <c:v>162775248.07948872</c:v>
                </c:pt>
                <c:pt idx="135">
                  <c:v>150156681.51084986</c:v>
                </c:pt>
                <c:pt idx="136">
                  <c:v>149510473.13082018</c:v>
                </c:pt>
                <c:pt idx="137">
                  <c:v>156437375.31839985</c:v>
                </c:pt>
                <c:pt idx="138">
                  <c:v>170274605.40237069</c:v>
                </c:pt>
                <c:pt idx="139">
                  <c:v>160716642.05220723</c:v>
                </c:pt>
                <c:pt idx="140">
                  <c:v>145079903.37544823</c:v>
                </c:pt>
                <c:pt idx="141">
                  <c:v>153087113.17630261</c:v>
                </c:pt>
                <c:pt idx="142">
                  <c:v>153121264.65884072</c:v>
                </c:pt>
                <c:pt idx="143">
                  <c:v>171129808.05937478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68544"/>
        <c:axId val="113470080"/>
      </c:lineChart>
      <c:dateAx>
        <c:axId val="113468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13470080"/>
        <c:crosses val="autoZero"/>
        <c:auto val="1"/>
        <c:lblOffset val="100"/>
        <c:baseTimeUnit val="months"/>
      </c:dateAx>
      <c:valAx>
        <c:axId val="113470080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13468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zoomScaleNormal="100" zoomScalePageLayoutView="55" workbookViewId="0">
      <selection activeCell="L4" sqref="L4"/>
    </sheetView>
  </sheetViews>
  <sheetFormatPr defaultRowHeight="12.75" x14ac:dyDescent="0.2"/>
  <cols>
    <col min="1" max="1" width="32.85546875" customWidth="1"/>
    <col min="2" max="2" width="13.5703125" style="1" bestFit="1" customWidth="1"/>
    <col min="3" max="9" width="12.7109375" style="1" bestFit="1" customWidth="1"/>
    <col min="10" max="10" width="13.5703125" style="1" bestFit="1" customWidth="1"/>
    <col min="11" max="13" width="12.7109375" style="1" bestFit="1" customWidth="1"/>
    <col min="14" max="14" width="12.7109375" style="22" bestFit="1" customWidth="1"/>
    <col min="15" max="15" width="12.7109375" style="1" bestFit="1" customWidth="1"/>
    <col min="16" max="16" width="12.7109375" style="161" bestFit="1" customWidth="1"/>
    <col min="18" max="19" width="12.7109375" bestFit="1" customWidth="1"/>
  </cols>
  <sheetData>
    <row r="1" spans="1:19" ht="15.75" x14ac:dyDescent="0.25">
      <c r="A1" s="565" t="s">
        <v>274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</row>
    <row r="3" spans="1:19" ht="38.25" x14ac:dyDescent="0.2">
      <c r="B3" s="45" t="s">
        <v>28</v>
      </c>
      <c r="C3" s="45" t="s">
        <v>29</v>
      </c>
      <c r="D3" s="45" t="s">
        <v>30</v>
      </c>
      <c r="E3" s="45" t="s">
        <v>31</v>
      </c>
      <c r="F3" s="45" t="s">
        <v>32</v>
      </c>
      <c r="G3" s="45" t="s">
        <v>33</v>
      </c>
      <c r="H3" s="45" t="s">
        <v>34</v>
      </c>
      <c r="I3" s="45" t="s">
        <v>35</v>
      </c>
      <c r="J3" s="45" t="s">
        <v>43</v>
      </c>
      <c r="K3" s="45" t="s">
        <v>45</v>
      </c>
      <c r="L3" s="45" t="s">
        <v>50</v>
      </c>
      <c r="M3" s="45" t="s">
        <v>52</v>
      </c>
      <c r="N3" s="45" t="s">
        <v>150</v>
      </c>
      <c r="O3" s="45" t="s">
        <v>53</v>
      </c>
      <c r="P3" s="45" t="s">
        <v>151</v>
      </c>
    </row>
    <row r="4" spans="1:19" x14ac:dyDescent="0.2">
      <c r="A4" s="18" t="s">
        <v>38</v>
      </c>
      <c r="B4" s="28">
        <f>'Purchased Power Model '!E225</f>
        <v>1917287306</v>
      </c>
      <c r="C4" s="28">
        <f>'Purchased Power Model '!E226</f>
        <v>1963866511</v>
      </c>
      <c r="D4" s="5">
        <f>'Purchased Power Model '!E227</f>
        <v>2036912520</v>
      </c>
      <c r="E4" s="28">
        <f>'Purchased Power Model '!E228</f>
        <v>2013203373</v>
      </c>
      <c r="F4" s="28">
        <f>'Purchased Power Model '!E229</f>
        <v>2009748106</v>
      </c>
      <c r="G4" s="28">
        <f>'Purchased Power Model '!E230</f>
        <v>2086364094.5741999</v>
      </c>
      <c r="H4" s="28">
        <f>'Purchased Power Model '!E231</f>
        <v>1983645710.3185</v>
      </c>
      <c r="I4" s="28">
        <f>'Purchased Power Model '!E232</f>
        <v>1978990176.4429998</v>
      </c>
      <c r="J4" s="28">
        <f>'Purchased Power Model '!E233</f>
        <v>1939064404.2694001</v>
      </c>
      <c r="K4" s="28">
        <f>'Purchased Power Model '!E234</f>
        <v>1837133121.4989998</v>
      </c>
      <c r="L4" s="28">
        <f>'Purchased Power Model '!E235</f>
        <v>1892633519.4493544</v>
      </c>
      <c r="M4" s="28">
        <f>'Purchased Power Model '!E236</f>
        <v>1895197232.5334651</v>
      </c>
      <c r="N4" s="54">
        <f>'Purchased Power Model '!E237</f>
        <v>1885738118.3156619</v>
      </c>
    </row>
    <row r="5" spans="1:19" x14ac:dyDescent="0.2">
      <c r="A5" s="18" t="s">
        <v>39</v>
      </c>
      <c r="B5" s="28">
        <f>'Purchased Power Model '!K225</f>
        <v>1917257433.5265591</v>
      </c>
      <c r="C5" s="28">
        <f>'Purchased Power Model '!K226</f>
        <v>1953641069.5566638</v>
      </c>
      <c r="D5" s="28">
        <f>'Purchased Power Model '!K227</f>
        <v>2001080172.9767592</v>
      </c>
      <c r="E5" s="28">
        <f>'Purchased Power Model '!K228</f>
        <v>1994385066.2226791</v>
      </c>
      <c r="F5" s="28">
        <f>'Purchased Power Model '!K229</f>
        <v>2002479882.2055197</v>
      </c>
      <c r="G5" s="28">
        <f>'Purchased Power Model '!K230</f>
        <v>2077578251.4867024</v>
      </c>
      <c r="H5" s="28">
        <f>'Purchased Power Model '!K231</f>
        <v>2011422124.3310664</v>
      </c>
      <c r="I5" s="28">
        <f>'Purchased Power Model '!K232</f>
        <v>1990597954.1714845</v>
      </c>
      <c r="J5" s="28">
        <f>'Purchased Power Model '!K233</f>
        <v>1963251861.6181324</v>
      </c>
      <c r="K5" s="28">
        <f>'Purchased Power Model '!K234</f>
        <v>1856174590.4812803</v>
      </c>
      <c r="L5" s="28">
        <f>'Purchased Power Model '!K235</f>
        <v>1889691855.1705751</v>
      </c>
      <c r="M5" s="28">
        <f>'Purchased Power Model '!K236</f>
        <v>1882841042.2231548</v>
      </c>
      <c r="N5" s="54">
        <f>'Purchased Power Model '!K237</f>
        <v>1867918901.7622917</v>
      </c>
      <c r="O5" s="28">
        <f>'Purchased Power Model '!K238</f>
        <v>1899410964.9256573</v>
      </c>
      <c r="P5" s="28">
        <f>'Purchased Power Model '!K239-(O26-P26)</f>
        <v>1871814743.2166193</v>
      </c>
    </row>
    <row r="6" spans="1:19" x14ac:dyDescent="0.2">
      <c r="A6" s="18" t="s">
        <v>9</v>
      </c>
      <c r="B6" s="44">
        <f t="shared" ref="B6:N6" si="0">(B5-B4)/B4</f>
        <v>-1.558059313666866E-5</v>
      </c>
      <c r="C6" s="44">
        <f t="shared" si="0"/>
        <v>-5.2067904748421302E-3</v>
      </c>
      <c r="D6" s="44">
        <f t="shared" si="0"/>
        <v>-1.759150020995541E-2</v>
      </c>
      <c r="E6" s="44">
        <f t="shared" si="0"/>
        <v>-9.347444490557617E-3</v>
      </c>
      <c r="F6" s="44">
        <f t="shared" si="0"/>
        <v>-3.6164849578817436E-3</v>
      </c>
      <c r="G6" s="44">
        <f t="shared" si="0"/>
        <v>-4.2110785506450877E-3</v>
      </c>
      <c r="H6" s="44">
        <f t="shared" si="0"/>
        <v>1.4002709187472023E-2</v>
      </c>
      <c r="I6" s="44">
        <f t="shared" si="0"/>
        <v>5.8655054818656221E-3</v>
      </c>
      <c r="J6" s="44">
        <f t="shared" si="0"/>
        <v>1.2473777196609193E-2</v>
      </c>
      <c r="K6" s="44">
        <f t="shared" si="0"/>
        <v>1.0364773657090074E-2</v>
      </c>
      <c r="L6" s="44">
        <f t="shared" si="0"/>
        <v>-1.5542704113341078E-3</v>
      </c>
      <c r="M6" s="44">
        <f t="shared" si="0"/>
        <v>-6.5197384727038853E-3</v>
      </c>
      <c r="N6" s="44">
        <f t="shared" si="0"/>
        <v>-9.4494651088064818E-3</v>
      </c>
      <c r="O6" s="49"/>
      <c r="P6" s="49"/>
      <c r="Q6" s="50"/>
      <c r="R6" s="32"/>
      <c r="S6" s="32"/>
    </row>
    <row r="7" spans="1:19" x14ac:dyDescent="0.2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9" x14ac:dyDescent="0.2">
      <c r="A8" s="482" t="s">
        <v>293</v>
      </c>
      <c r="B8" s="28">
        <f>'Rate Class Energy Model'!G10</f>
        <v>1825733379</v>
      </c>
      <c r="C8" s="28">
        <f>'Rate Class Energy Model'!G11</f>
        <v>1864957166</v>
      </c>
      <c r="D8" s="28">
        <f>'Rate Class Energy Model'!G12</f>
        <v>1966638125</v>
      </c>
      <c r="E8" s="28">
        <f>'Rate Class Energy Model'!G13</f>
        <v>1970383029.0000002</v>
      </c>
      <c r="F8" s="28">
        <f>'Rate Class Energy Model'!G14</f>
        <v>1947483902</v>
      </c>
      <c r="G8" s="28">
        <f>'Rate Class Energy Model'!G15</f>
        <v>2040872519</v>
      </c>
      <c r="H8" s="28">
        <f>'Rate Class Energy Model'!G16</f>
        <v>1917735012</v>
      </c>
      <c r="I8" s="28">
        <f>'Rate Class Energy Model'!G17</f>
        <v>1918190356</v>
      </c>
      <c r="J8" s="28">
        <f>'Rate Class Energy Model'!G18</f>
        <v>1877404166</v>
      </c>
      <c r="K8" s="28">
        <f>'Rate Class Energy Model'!G19</f>
        <v>1777401233</v>
      </c>
      <c r="L8" s="28">
        <f>'Rate Class Energy Model'!G20</f>
        <v>1829500492</v>
      </c>
      <c r="M8" s="28">
        <f>'Rate Class Energy Model'!G21</f>
        <v>1833881352</v>
      </c>
      <c r="N8" s="54">
        <f>'Rate Class Energy Model'!G22</f>
        <v>1825234090</v>
      </c>
      <c r="O8" s="54">
        <f>'Rate Class Energy Model'!R100</f>
        <v>1826827030.638243</v>
      </c>
      <c r="P8" s="54">
        <f>+'Rate Class Energy Model'!R101</f>
        <v>1789772575.1328919</v>
      </c>
      <c r="Q8" s="50"/>
      <c r="R8" s="64"/>
      <c r="S8" s="64"/>
    </row>
    <row r="9" spans="1:19" x14ac:dyDescent="0.2">
      <c r="A9" s="18"/>
      <c r="B9" s="41"/>
      <c r="C9" s="41"/>
      <c r="D9" s="41"/>
      <c r="E9" s="41"/>
      <c r="F9" s="41"/>
      <c r="G9" s="41"/>
      <c r="H9" s="41"/>
      <c r="I9" s="41"/>
      <c r="K9" s="22"/>
      <c r="L9" s="22"/>
      <c r="M9" s="22"/>
    </row>
    <row r="10" spans="1:19" ht="15.75" x14ac:dyDescent="0.25">
      <c r="A10" s="43" t="s">
        <v>40</v>
      </c>
    </row>
    <row r="11" spans="1:19" x14ac:dyDescent="0.2">
      <c r="A11" s="42" t="str">
        <f>'Rate Class Energy Model'!K2</f>
        <v xml:space="preserve">Residential </v>
      </c>
    </row>
    <row r="12" spans="1:19" x14ac:dyDescent="0.2">
      <c r="A12" t="s">
        <v>25</v>
      </c>
      <c r="B12" s="5">
        <f>'Rate Class Customer Model'!B6</f>
        <v>63692</v>
      </c>
      <c r="C12" s="5">
        <f>'Rate Class Customer Model'!B7</f>
        <v>64284</v>
      </c>
      <c r="D12" s="5">
        <f>'Rate Class Customer Model'!B8</f>
        <v>65683</v>
      </c>
      <c r="E12" s="5">
        <f>'Rate Class Customer Model'!B9</f>
        <v>67527</v>
      </c>
      <c r="F12" s="5">
        <f>'Rate Class Customer Model'!B10</f>
        <v>69405</v>
      </c>
      <c r="G12" s="5">
        <f>'Rate Class Customer Model'!B11</f>
        <v>71490</v>
      </c>
      <c r="H12" s="5">
        <f>'Rate Class Customer Model'!B12</f>
        <v>72866</v>
      </c>
      <c r="I12" s="5">
        <f>'Rate Class Customer Model'!B13</f>
        <v>74392</v>
      </c>
      <c r="J12" s="5">
        <f>'Rate Class Customer Model'!B14</f>
        <v>75153.833333333328</v>
      </c>
      <c r="K12" s="5">
        <f>'Rate Class Customer Model'!B15</f>
        <v>76255.166666666672</v>
      </c>
      <c r="L12" s="5">
        <f>'Rate Class Customer Model'!B16</f>
        <v>77505.916666666672</v>
      </c>
      <c r="M12" s="5">
        <f>'Rate Class Customer Model'!B17</f>
        <v>78761</v>
      </c>
      <c r="N12" s="26">
        <f>'Rate Class Customer Model'!B18</f>
        <v>79997</v>
      </c>
      <c r="O12" s="5">
        <f>'Rate Class Customer Model'!B19</f>
        <v>81276.952000000005</v>
      </c>
      <c r="P12" s="5">
        <f>'Rate Class Customer Model'!B20</f>
        <v>82577.383232000007</v>
      </c>
    </row>
    <row r="13" spans="1:19" x14ac:dyDescent="0.2">
      <c r="A13" t="s">
        <v>26</v>
      </c>
      <c r="B13" s="5">
        <f>'Rate Class Energy Model'!K10</f>
        <v>561410965</v>
      </c>
      <c r="C13" s="5">
        <f>'Rate Class Energy Model'!K11</f>
        <v>540863420</v>
      </c>
      <c r="D13" s="5">
        <f>'Rate Class Energy Model'!K12</f>
        <v>609265500</v>
      </c>
      <c r="E13" s="5">
        <f>'Rate Class Energy Model'!K13</f>
        <v>610213276</v>
      </c>
      <c r="F13" s="5">
        <f>'Rate Class Energy Model'!K14</f>
        <v>593383986</v>
      </c>
      <c r="G13" s="5">
        <f>'Rate Class Energy Model'!K15</f>
        <v>640475237</v>
      </c>
      <c r="H13" s="5">
        <f>'Rate Class Energy Model'!K16</f>
        <v>624196150</v>
      </c>
      <c r="I13" s="5">
        <f>'Rate Class Energy Model'!K17</f>
        <v>639510859</v>
      </c>
      <c r="J13" s="5">
        <f>'Rate Class Energy Model'!K18</f>
        <v>638167356</v>
      </c>
      <c r="K13" s="5">
        <f>'Rate Class Energy Model'!K19</f>
        <v>626869704</v>
      </c>
      <c r="L13" s="5">
        <f>'Rate Class Energy Model'!K20</f>
        <v>650651967</v>
      </c>
      <c r="M13" s="5">
        <f>'Rate Class Energy Model'!K21</f>
        <v>647280211</v>
      </c>
      <c r="N13" s="26">
        <f>'Rate Class Energy Model'!K22</f>
        <v>644467300</v>
      </c>
      <c r="O13" s="5">
        <f>'Rate Class Energy Model'!L100</f>
        <v>649842566.90578818</v>
      </c>
      <c r="P13" s="5">
        <f>'Rate Class Energy Model'!L101</f>
        <v>651926619.65833819</v>
      </c>
    </row>
    <row r="14" spans="1:19" x14ac:dyDescent="0.2">
      <c r="J14" s="50"/>
      <c r="K14" s="22"/>
      <c r="L14" s="22"/>
      <c r="M14" s="22"/>
      <c r="O14" s="49"/>
      <c r="P14" s="49"/>
    </row>
    <row r="15" spans="1:19" x14ac:dyDescent="0.2">
      <c r="A15" s="42" t="str">
        <f>'Rate Class Energy Model'!L2</f>
        <v>General Service
&lt; 50 kW</v>
      </c>
    </row>
    <row r="16" spans="1:19" x14ac:dyDescent="0.2">
      <c r="A16" t="s">
        <v>25</v>
      </c>
      <c r="B16" s="5">
        <f>'Rate Class Customer Model'!C6</f>
        <v>6548</v>
      </c>
      <c r="C16" s="5">
        <f>'Rate Class Customer Model'!C7</f>
        <v>6568</v>
      </c>
      <c r="D16" s="5">
        <f>'Rate Class Customer Model'!C8</f>
        <v>6569</v>
      </c>
      <c r="E16" s="5">
        <f>'Rate Class Customer Model'!C9</f>
        <v>6703</v>
      </c>
      <c r="F16" s="5">
        <f>'Rate Class Customer Model'!C10</f>
        <v>6816</v>
      </c>
      <c r="G16" s="5">
        <f>'Rate Class Customer Model'!C11</f>
        <v>6916</v>
      </c>
      <c r="H16" s="5">
        <f>'Rate Class Customer Model'!C12</f>
        <v>7049</v>
      </c>
      <c r="I16" s="5">
        <f>'Rate Class Customer Model'!C13</f>
        <v>7198</v>
      </c>
      <c r="J16" s="5">
        <f>'Rate Class Customer Model'!C14</f>
        <v>7264.916666666667</v>
      </c>
      <c r="K16" s="5">
        <f>'Rate Class Customer Model'!C15</f>
        <v>7370.333333333333</v>
      </c>
      <c r="L16" s="5">
        <f>'Rate Class Customer Model'!C16</f>
        <v>7447.583333333333</v>
      </c>
      <c r="M16" s="5">
        <f>'Rate Class Customer Model'!C17</f>
        <v>7538</v>
      </c>
      <c r="N16" s="5">
        <f>'Rate Class Customer Model'!C18</f>
        <v>7645.333333333333</v>
      </c>
      <c r="O16" s="5">
        <f>'Rate Class Customer Model'!C19</f>
        <v>7736.9966057773026</v>
      </c>
      <c r="P16" s="5">
        <f>'Rate Class Customer Model'!C20</f>
        <v>7829.7588696123348</v>
      </c>
    </row>
    <row r="17" spans="1:16" x14ac:dyDescent="0.2">
      <c r="A17" t="s">
        <v>26</v>
      </c>
      <c r="B17" s="5">
        <f>'Rate Class Energy Model'!L10</f>
        <v>216113166.22</v>
      </c>
      <c r="C17" s="5">
        <f>'Rate Class Energy Model'!L11</f>
        <v>194422245.08000001</v>
      </c>
      <c r="D17" s="5">
        <f>'Rate Class Energy Model'!L12</f>
        <v>219363891.88</v>
      </c>
      <c r="E17" s="5">
        <f>'Rate Class Energy Model'!L13</f>
        <v>225494014.34</v>
      </c>
      <c r="F17" s="5">
        <f>'Rate Class Energy Model'!L14</f>
        <v>218381163.56</v>
      </c>
      <c r="G17" s="5">
        <f>'Rate Class Energy Model'!L15</f>
        <v>229601685.31999999</v>
      </c>
      <c r="H17" s="5">
        <f>'Rate Class Energy Model'!L16</f>
        <v>231128009</v>
      </c>
      <c r="I17" s="5">
        <f>'Rate Class Energy Model'!L17</f>
        <v>233685645</v>
      </c>
      <c r="J17" s="5">
        <f>'Rate Class Energy Model'!L18</f>
        <v>233464130</v>
      </c>
      <c r="K17" s="5">
        <f>'Rate Class Energy Model'!L19</f>
        <v>230572826</v>
      </c>
      <c r="L17" s="5">
        <f>'Rate Class Energy Model'!L20</f>
        <v>236095929</v>
      </c>
      <c r="M17" s="5">
        <f>'Rate Class Energy Model'!L21</f>
        <v>240155523</v>
      </c>
      <c r="N17" s="5">
        <f>'Rate Class Energy Model'!L22</f>
        <v>240981970</v>
      </c>
      <c r="O17" s="5">
        <f>'Rate Class Energy Model'!M100</f>
        <v>241914173.25771466</v>
      </c>
      <c r="P17" s="5">
        <f>'Rate Class Energy Model'!M101</f>
        <v>241614911.5490337</v>
      </c>
    </row>
    <row r="18" spans="1:16" x14ac:dyDescent="0.2">
      <c r="J18" s="50"/>
      <c r="K18" s="22"/>
      <c r="L18" s="22"/>
      <c r="M18" s="22"/>
      <c r="O18" s="49"/>
      <c r="P18" s="49"/>
    </row>
    <row r="19" spans="1:16" x14ac:dyDescent="0.2">
      <c r="A19" s="42" t="str">
        <f>'Rate Class Energy Model'!M2</f>
        <v>General Service
&gt; 50 kW</v>
      </c>
      <c r="O19" s="5"/>
      <c r="P19" s="5"/>
    </row>
    <row r="20" spans="1:16" x14ac:dyDescent="0.2">
      <c r="A20" t="s">
        <v>25</v>
      </c>
      <c r="B20" s="5">
        <f>'Rate Class Customer Model'!D6</f>
        <v>1033</v>
      </c>
      <c r="C20" s="5">
        <f>'Rate Class Customer Model'!D7</f>
        <v>1035</v>
      </c>
      <c r="D20" s="5">
        <f>'Rate Class Customer Model'!D8</f>
        <v>1068</v>
      </c>
      <c r="E20" s="5">
        <f>'Rate Class Customer Model'!D9</f>
        <v>1035</v>
      </c>
      <c r="F20" s="5">
        <f>'Rate Class Customer Model'!D10</f>
        <v>1058</v>
      </c>
      <c r="G20" s="5">
        <f>'Rate Class Customer Model'!D11</f>
        <v>1077</v>
      </c>
      <c r="H20" s="5">
        <f>'Rate Class Customer Model'!D12</f>
        <v>1021</v>
      </c>
      <c r="I20" s="5">
        <f>'Rate Class Customer Model'!D13</f>
        <v>1005</v>
      </c>
      <c r="J20" s="5">
        <f>'Rate Class Customer Model'!D14</f>
        <v>1014.1666666666666</v>
      </c>
      <c r="K20" s="5">
        <f>'Rate Class Customer Model'!D15</f>
        <v>1004.9166666666666</v>
      </c>
      <c r="L20" s="5">
        <f>'Rate Class Customer Model'!D16</f>
        <v>988.91666666666663</v>
      </c>
      <c r="M20" s="26">
        <f>'Rate Class Customer Model'!D17</f>
        <v>975</v>
      </c>
      <c r="N20" s="5">
        <f>'Rate Class Customer Model'!D18</f>
        <v>952.33333333333337</v>
      </c>
      <c r="O20" s="5">
        <f>'Rate Class Customer Model'!D19</f>
        <v>948.47089081750107</v>
      </c>
      <c r="P20" s="5">
        <f>'Rate Class Customer Model'!D20</f>
        <v>944.62411347022476</v>
      </c>
    </row>
    <row r="21" spans="1:16" x14ac:dyDescent="0.2">
      <c r="A21" t="s">
        <v>26</v>
      </c>
      <c r="B21" s="5">
        <f>'Rate Class Energy Model'!M10</f>
        <v>842011205</v>
      </c>
      <c r="C21" s="5">
        <f>'Rate Class Energy Model'!M11</f>
        <v>882753581</v>
      </c>
      <c r="D21" s="5">
        <f>'Rate Class Energy Model'!M12</f>
        <v>863683912</v>
      </c>
      <c r="E21" s="5">
        <f>'Rate Class Energy Model'!M13</f>
        <v>862174714</v>
      </c>
      <c r="F21" s="5">
        <f>'Rate Class Energy Model'!M14</f>
        <v>881507867</v>
      </c>
      <c r="G21" s="5">
        <f>'Rate Class Energy Model'!M15</f>
        <v>918952852</v>
      </c>
      <c r="H21" s="5">
        <f>'Rate Class Energy Model'!M16</f>
        <v>860411209</v>
      </c>
      <c r="I21" s="5">
        <f>'Rate Class Energy Model'!M17</f>
        <v>866794206</v>
      </c>
      <c r="J21" s="5">
        <f>'Rate Class Energy Model'!M18</f>
        <v>838013719</v>
      </c>
      <c r="K21" s="5">
        <f>'Rate Class Energy Model'!M19</f>
        <v>820920003</v>
      </c>
      <c r="L21" s="5">
        <f>'Rate Class Energy Model'!M20</f>
        <v>876884814</v>
      </c>
      <c r="M21" s="5">
        <f>'Rate Class Energy Model'!M21</f>
        <v>871254048</v>
      </c>
      <c r="N21" s="5">
        <f>'Rate Class Energy Model'!M22</f>
        <v>850788483</v>
      </c>
      <c r="O21" s="5">
        <f>'Rate Class Energy Model'!N100</f>
        <v>849542539.05960453</v>
      </c>
      <c r="P21" s="5">
        <f>'Rate Class Energy Model'!N101</f>
        <v>844886400.47818482</v>
      </c>
    </row>
    <row r="22" spans="1:16" x14ac:dyDescent="0.2">
      <c r="A22" t="s">
        <v>27</v>
      </c>
      <c r="B22" s="5">
        <f>'Rate Class Load Model'!B3</f>
        <v>1702404</v>
      </c>
      <c r="C22" s="5">
        <f>'Rate Class Load Model'!B4</f>
        <v>2097765</v>
      </c>
      <c r="D22" s="5">
        <f>'Rate Class Load Model'!B5</f>
        <v>2249449</v>
      </c>
      <c r="E22" s="5">
        <f>'Rate Class Load Model'!B6</f>
        <v>2243396</v>
      </c>
      <c r="F22" s="5">
        <f>'Rate Class Load Model'!B7</f>
        <v>2273819</v>
      </c>
      <c r="G22" s="5">
        <f>'Rate Class Load Model'!B8</f>
        <v>2343889</v>
      </c>
      <c r="H22" s="5">
        <f>'Rate Class Load Model'!B9</f>
        <v>2306337</v>
      </c>
      <c r="I22" s="5">
        <f>'Rate Class Load Model'!B10</f>
        <v>2286676</v>
      </c>
      <c r="J22" s="5">
        <f>'Rate Class Load Model'!B11</f>
        <v>2227288</v>
      </c>
      <c r="K22" s="5">
        <f>'Rate Class Load Model'!B12</f>
        <v>2169096</v>
      </c>
      <c r="L22" s="26">
        <f>'Rate Class Load Model'!B13</f>
        <v>2260312</v>
      </c>
      <c r="M22" s="26">
        <f>'Rate Class Load Model'!B14</f>
        <v>2244883</v>
      </c>
      <c r="N22" s="5">
        <f>'Rate Class Load Model'!B15</f>
        <v>2227931</v>
      </c>
      <c r="O22" s="5">
        <f>'Rate Class Load Model'!B16</f>
        <v>2179952.4585973085</v>
      </c>
      <c r="P22" s="5">
        <f>'Rate Class Load Model'!B17</f>
        <v>2183247.9865150913</v>
      </c>
    </row>
    <row r="23" spans="1:16" x14ac:dyDescent="0.2">
      <c r="J23" s="50"/>
      <c r="K23" s="22"/>
      <c r="L23" s="22"/>
      <c r="M23" s="22"/>
      <c r="O23" s="49"/>
      <c r="P23" s="49"/>
    </row>
    <row r="24" spans="1:16" x14ac:dyDescent="0.2">
      <c r="A24" s="42" t="str">
        <f>'Rate Class Energy Model'!N2</f>
        <v>Large User</v>
      </c>
      <c r="O24" s="5"/>
      <c r="P24" s="5"/>
    </row>
    <row r="25" spans="1:16" x14ac:dyDescent="0.2">
      <c r="A25" t="s">
        <v>25</v>
      </c>
      <c r="B25" s="5">
        <f>'Rate Class Customer Model'!E6</f>
        <v>3</v>
      </c>
      <c r="C25" s="5">
        <f>'Rate Class Customer Model'!E7</f>
        <v>4</v>
      </c>
      <c r="D25" s="5">
        <f>'Rate Class Customer Model'!E8</f>
        <v>4</v>
      </c>
      <c r="E25" s="5">
        <f>'Rate Class Customer Model'!E9</f>
        <v>4</v>
      </c>
      <c r="F25" s="5">
        <f>'Rate Class Customer Model'!E10</f>
        <v>4</v>
      </c>
      <c r="G25" s="5">
        <f>'Rate Class Customer Model'!E11</f>
        <v>4</v>
      </c>
      <c r="H25" s="5">
        <f>'Rate Class Customer Model'!E12</f>
        <v>4</v>
      </c>
      <c r="I25" s="5">
        <f>'Rate Class Customer Model'!E13</f>
        <v>4</v>
      </c>
      <c r="J25" s="5">
        <f>'Rate Class Customer Model'!E14</f>
        <v>4</v>
      </c>
      <c r="K25" s="5">
        <f>'Rate Class Customer Model'!E15</f>
        <v>3</v>
      </c>
      <c r="L25" s="5">
        <f>'Rate Class Customer Model'!E16</f>
        <v>1.3333333333333333</v>
      </c>
      <c r="M25" s="5">
        <f>'Rate Class Customer Model'!E17</f>
        <v>2</v>
      </c>
      <c r="N25" s="26">
        <f>'Rate Class Customer Model'!E18</f>
        <v>2</v>
      </c>
      <c r="O25" s="5">
        <f>'Rate Class Customer Model'!E19</f>
        <v>2</v>
      </c>
      <c r="P25" s="5">
        <f>'Rate Class Customer Model'!E20</f>
        <v>1</v>
      </c>
    </row>
    <row r="26" spans="1:16" x14ac:dyDescent="0.2">
      <c r="A26" t="s">
        <v>26</v>
      </c>
      <c r="B26" s="5">
        <f>'Rate Class Energy Model'!N10</f>
        <v>188086865</v>
      </c>
      <c r="C26" s="5">
        <f>'Rate Class Energy Model'!N11</f>
        <v>229072005</v>
      </c>
      <c r="D26" s="5">
        <f>'Rate Class Energy Model'!N12</f>
        <v>257359194</v>
      </c>
      <c r="E26" s="5">
        <f>'Rate Class Energy Model'!N13</f>
        <v>253072527</v>
      </c>
      <c r="F26" s="5">
        <f>'Rate Class Energy Model'!N14</f>
        <v>234737963</v>
      </c>
      <c r="G26" s="5">
        <f>'Rate Class Energy Model'!N15</f>
        <v>232058404</v>
      </c>
      <c r="H26" s="5">
        <f>'Rate Class Energy Model'!N16</f>
        <v>181975799</v>
      </c>
      <c r="I26" s="5">
        <f>'Rate Class Energy Model'!N17</f>
        <v>157680777</v>
      </c>
      <c r="J26" s="5">
        <f>'Rate Class Energy Model'!N18</f>
        <v>146928777</v>
      </c>
      <c r="K26" s="5">
        <f>'Rate Class Energy Model'!N19</f>
        <v>79822385</v>
      </c>
      <c r="L26" s="5">
        <f>'Rate Class Energy Model'!N20</f>
        <v>46563626</v>
      </c>
      <c r="M26" s="5">
        <f>'Rate Class Energy Model'!N21</f>
        <v>56015269</v>
      </c>
      <c r="N26" s="5">
        <f>'Rate Class Energy Model'!N22</f>
        <v>69356376</v>
      </c>
      <c r="O26" s="5">
        <f>'Rate Class Energy Model'!O100</f>
        <v>66016828.655037299</v>
      </c>
      <c r="P26" s="5">
        <f>'Rate Class Energy Model'!O101</f>
        <v>31798990.292463161</v>
      </c>
    </row>
    <row r="27" spans="1:16" x14ac:dyDescent="0.2">
      <c r="A27" t="s">
        <v>27</v>
      </c>
      <c r="B27" s="5">
        <f>'Rate Class Load Model'!C3</f>
        <v>339080</v>
      </c>
      <c r="C27" s="5">
        <f>'Rate Class Load Model'!C4</f>
        <v>423831</v>
      </c>
      <c r="D27" s="5">
        <f>'Rate Class Load Model'!C5</f>
        <v>475022</v>
      </c>
      <c r="E27" s="5">
        <f>'Rate Class Load Model'!C6</f>
        <v>474685</v>
      </c>
      <c r="F27" s="5">
        <f>'Rate Class Load Model'!C7</f>
        <v>460426</v>
      </c>
      <c r="G27" s="5">
        <f>'Rate Class Load Model'!C8</f>
        <v>445748</v>
      </c>
      <c r="H27" s="5">
        <f>'Rate Class Load Model'!C9</f>
        <v>381847</v>
      </c>
      <c r="I27" s="5">
        <f>'Rate Class Load Model'!C10</f>
        <v>330481</v>
      </c>
      <c r="J27" s="5">
        <f>'Rate Class Load Model'!C11</f>
        <v>329862</v>
      </c>
      <c r="K27" s="5">
        <f>'Rate Class Load Model'!C12</f>
        <v>171311</v>
      </c>
      <c r="L27" s="26">
        <f>'Rate Class Load Model'!C13</f>
        <v>95621</v>
      </c>
      <c r="M27" s="26">
        <f>'Rate Class Load Model'!C14</f>
        <v>105771</v>
      </c>
      <c r="N27" s="5">
        <f>'Rate Class Load Model'!C15</f>
        <v>136790</v>
      </c>
      <c r="O27" s="5">
        <f>'Rate Class Load Model'!C16</f>
        <v>130795.77587097054</v>
      </c>
      <c r="P27" s="5">
        <f>'Rate Class Load Model'!C17</f>
        <v>63001.717773348704</v>
      </c>
    </row>
    <row r="28" spans="1:16" x14ac:dyDescent="0.2">
      <c r="J28" s="50"/>
      <c r="K28" s="22"/>
      <c r="L28" s="22"/>
      <c r="M28" s="22"/>
      <c r="O28" s="49"/>
      <c r="P28" s="49"/>
    </row>
    <row r="29" spans="1:16" x14ac:dyDescent="0.2">
      <c r="A29" s="42" t="str">
        <f>'Rate Class Energy Model'!O2</f>
        <v xml:space="preserve">Streetlights </v>
      </c>
      <c r="O29" s="5"/>
      <c r="P29" s="5"/>
    </row>
    <row r="30" spans="1:16" x14ac:dyDescent="0.2">
      <c r="A30" t="s">
        <v>46</v>
      </c>
      <c r="B30" s="5">
        <f>'Rate Class Customer Model'!F6</f>
        <v>1342.030303030303</v>
      </c>
      <c r="C30" s="5">
        <f>'Rate Class Customer Model'!F7</f>
        <v>1369.6060606060605</v>
      </c>
      <c r="D30" s="5">
        <f>'Rate Class Customer Model'!F8</f>
        <v>1394.3939393939395</v>
      </c>
      <c r="E30" s="5">
        <f>'Rate Class Customer Model'!F9</f>
        <v>1405</v>
      </c>
      <c r="F30" s="5">
        <f>'Rate Class Customer Model'!F10</f>
        <v>1497</v>
      </c>
      <c r="G30" s="5">
        <f>'Rate Class Customer Model'!F11</f>
        <v>1517</v>
      </c>
      <c r="H30" s="5">
        <f>'Rate Class Customer Model'!F12</f>
        <v>1533</v>
      </c>
      <c r="I30" s="5">
        <f>'Rate Class Customer Model'!F13</f>
        <v>1523</v>
      </c>
      <c r="J30" s="5">
        <f>'Rate Class Customer Model'!F14</f>
        <v>1522.2424242424242</v>
      </c>
      <c r="K30" s="5">
        <f>'Rate Class Customer Model'!F15</f>
        <v>1551</v>
      </c>
      <c r="L30" s="26">
        <f>'Rate Class Customer Model'!F16</f>
        <v>1574.2465237166991</v>
      </c>
      <c r="M30" s="26">
        <f>'Rate Class Customer Model'!F17</f>
        <v>1567.6666666666667</v>
      </c>
      <c r="N30" s="5">
        <f>'Rate Class Customer Model'!F18</f>
        <v>1573.4242424242425</v>
      </c>
      <c r="O30" s="5">
        <f>'Rate Class Customer Model'!F19</f>
        <v>1569</v>
      </c>
      <c r="P30" s="5">
        <f>'Rate Class Customer Model'!F20</f>
        <v>1591.6757998109217</v>
      </c>
    </row>
    <row r="31" spans="1:16" x14ac:dyDescent="0.2">
      <c r="A31" t="s">
        <v>26</v>
      </c>
      <c r="B31" s="5">
        <f>'Rate Class Energy Model'!O10</f>
        <v>13700705</v>
      </c>
      <c r="C31" s="5">
        <f>'Rate Class Energy Model'!O11</f>
        <v>13878114</v>
      </c>
      <c r="D31" s="5">
        <f>'Rate Class Energy Model'!O12</f>
        <v>12488813</v>
      </c>
      <c r="E31" s="5">
        <f>'Rate Class Energy Model'!O13</f>
        <v>14826579</v>
      </c>
      <c r="F31" s="5">
        <f>'Rate Class Energy Model'!O14</f>
        <v>15016164</v>
      </c>
      <c r="G31" s="5">
        <f>'Rate Class Energy Model'!O15</f>
        <v>15098592</v>
      </c>
      <c r="H31" s="5">
        <f>'Rate Class Energy Model'!O16</f>
        <v>15290722</v>
      </c>
      <c r="I31" s="5">
        <f>'Rate Class Energy Model'!O17</f>
        <v>15541491</v>
      </c>
      <c r="J31" s="5">
        <f>'Rate Class Energy Model'!O18</f>
        <v>17542402</v>
      </c>
      <c r="K31" s="5">
        <f>'Rate Class Energy Model'!O19</f>
        <v>15920914</v>
      </c>
      <c r="L31" s="5">
        <f>'Rate Class Energy Model'!O20</f>
        <v>16035117</v>
      </c>
      <c r="M31" s="5">
        <f>'Rate Class Energy Model'!O21</f>
        <v>15857518</v>
      </c>
      <c r="N31" s="5">
        <f>'Rate Class Energy Model'!O22</f>
        <v>15943501</v>
      </c>
      <c r="O31" s="55">
        <f>'Rate Class Energy Model'!P100</f>
        <v>15898680.403048243</v>
      </c>
      <c r="P31" s="55">
        <f>'Rate Class Energy Model'!P101</f>
        <v>16128464.711878158</v>
      </c>
    </row>
    <row r="32" spans="1:16" x14ac:dyDescent="0.2">
      <c r="A32" t="s">
        <v>27</v>
      </c>
      <c r="B32" s="5">
        <f>'Rate Class Load Model'!D3</f>
        <v>39194</v>
      </c>
      <c r="C32" s="5">
        <f>'Rate Class Load Model'!D4</f>
        <v>39703</v>
      </c>
      <c r="D32" s="5">
        <f>'Rate Class Load Model'!D5</f>
        <v>36995</v>
      </c>
      <c r="E32" s="5">
        <f>'Rate Class Load Model'!D6</f>
        <v>41407</v>
      </c>
      <c r="F32" s="5">
        <f>'Rate Class Load Model'!D7</f>
        <v>41732</v>
      </c>
      <c r="G32" s="5">
        <f>'Rate Class Load Model'!D8</f>
        <v>42148</v>
      </c>
      <c r="H32" s="5">
        <f>'Rate Class Load Model'!D9</f>
        <v>42692</v>
      </c>
      <c r="I32" s="5">
        <f>'Rate Class Load Model'!D10</f>
        <v>43371</v>
      </c>
      <c r="J32" s="5">
        <f>'Rate Class Load Model'!D11</f>
        <v>45893</v>
      </c>
      <c r="K32" s="5">
        <f>'Rate Class Load Model'!D12</f>
        <v>44226</v>
      </c>
      <c r="L32" s="26">
        <f>'Rate Class Load Model'!D13</f>
        <v>44895</v>
      </c>
      <c r="M32" s="26">
        <f>'Rate Class Load Model'!D14</f>
        <v>44252</v>
      </c>
      <c r="N32" s="5">
        <f>'Rate Class Load Model'!D15</f>
        <v>44229</v>
      </c>
      <c r="O32" s="5">
        <f>'Rate Class Load Model'!D16</f>
        <v>44502.095867100063</v>
      </c>
      <c r="P32" s="5">
        <f>'Rate Class Load Model'!D17</f>
        <v>45145.286564759699</v>
      </c>
    </row>
    <row r="34" spans="1:16" x14ac:dyDescent="0.2">
      <c r="A34" s="42" t="str">
        <f>'Rate Class Energy Model'!P2</f>
        <v xml:space="preserve">Unmetered Loads </v>
      </c>
      <c r="O34" s="5"/>
      <c r="P34" s="5"/>
    </row>
    <row r="35" spans="1:16" x14ac:dyDescent="0.2">
      <c r="A35" t="s">
        <v>46</v>
      </c>
      <c r="B35" s="26">
        <f>'Rate Class Customer Model'!G6</f>
        <v>750</v>
      </c>
      <c r="C35" s="26">
        <f>'Rate Class Customer Model'!G7</f>
        <v>750</v>
      </c>
      <c r="D35" s="26">
        <f>'Rate Class Customer Model'!G8</f>
        <v>765</v>
      </c>
      <c r="E35" s="26">
        <f>'Rate Class Customer Model'!G9</f>
        <v>765</v>
      </c>
      <c r="F35" s="26">
        <f>'Rate Class Customer Model'!G10</f>
        <v>822</v>
      </c>
      <c r="G35" s="26">
        <f>'Rate Class Customer Model'!G11</f>
        <v>807</v>
      </c>
      <c r="H35" s="5">
        <f>'Rate Class Customer Model'!G12</f>
        <v>807</v>
      </c>
      <c r="I35" s="5">
        <f>'Rate Class Customer Model'!G13</f>
        <v>818</v>
      </c>
      <c r="J35" s="5">
        <f>'Rate Class Customer Model'!G14</f>
        <v>820</v>
      </c>
      <c r="K35" s="5">
        <f>'Rate Class Customer Model'!G15</f>
        <v>817</v>
      </c>
      <c r="L35" s="5">
        <f>'Rate Class Customer Model'!G16</f>
        <v>811</v>
      </c>
      <c r="M35" s="5">
        <f>'Rate Class Customer Model'!G17</f>
        <v>841</v>
      </c>
      <c r="N35" s="26">
        <f>'Rate Class Customer Model'!G18</f>
        <v>868.75</v>
      </c>
      <c r="O35" s="5">
        <f>'Rate Class Customer Model'!G19</f>
        <v>879.45633264592357</v>
      </c>
      <c r="P35" s="5">
        <f>'Rate Class Customer Model'!G20</f>
        <v>890.29460838102727</v>
      </c>
    </row>
    <row r="36" spans="1:16" x14ac:dyDescent="0.2">
      <c r="A36" t="s">
        <v>26</v>
      </c>
      <c r="B36" s="5">
        <f>'Rate Class Energy Model'!P10</f>
        <v>4410472.78</v>
      </c>
      <c r="C36" s="5">
        <f>'Rate Class Energy Model'!P11</f>
        <v>3967800.92</v>
      </c>
      <c r="D36" s="5">
        <f>'Rate Class Energy Model'!P12</f>
        <v>4476814.12</v>
      </c>
      <c r="E36" s="5">
        <f>'Rate Class Energy Model'!P13</f>
        <v>4601918.66</v>
      </c>
      <c r="F36" s="5">
        <f>'Rate Class Energy Model'!P14</f>
        <v>4456758.4400000004</v>
      </c>
      <c r="G36" s="5">
        <f>'Rate Class Energy Model'!P15</f>
        <v>4685748.68</v>
      </c>
      <c r="H36" s="5">
        <f>'Rate Class Energy Model'!P16</f>
        <v>4733123</v>
      </c>
      <c r="I36" s="5">
        <f>'Rate Class Energy Model'!P17</f>
        <v>4977378</v>
      </c>
      <c r="J36" s="5">
        <f>'Rate Class Energy Model'!P18</f>
        <v>3287782</v>
      </c>
      <c r="K36" s="5">
        <f>'Rate Class Energy Model'!P19</f>
        <v>3295401</v>
      </c>
      <c r="L36" s="5">
        <f>'Rate Class Energy Model'!P20</f>
        <v>3269039</v>
      </c>
      <c r="M36" s="5">
        <f>'Rate Class Energy Model'!P21</f>
        <v>3318783</v>
      </c>
      <c r="N36" s="5">
        <f>'Rate Class Energy Model'!P22</f>
        <v>3696460</v>
      </c>
      <c r="O36" s="5">
        <f>'Rate Class Energy Model'!Q100</f>
        <v>3612242.357049867</v>
      </c>
      <c r="P36" s="5">
        <f>'Rate Class Energy Model'!Q101</f>
        <v>3417188.4429939534</v>
      </c>
    </row>
    <row r="37" spans="1:16" x14ac:dyDescent="0.2">
      <c r="O37" s="5"/>
      <c r="P37" s="5"/>
    </row>
    <row r="38" spans="1:16" s="32" customFormat="1" x14ac:dyDescent="0.2">
      <c r="A38" s="483" t="s">
        <v>204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6"/>
      <c r="P38" s="26"/>
    </row>
    <row r="39" spans="1:16" s="32" customFormat="1" x14ac:dyDescent="0.2">
      <c r="A39" s="32" t="s">
        <v>46</v>
      </c>
      <c r="B39" s="484">
        <v>0</v>
      </c>
      <c r="C39" s="484">
        <v>0</v>
      </c>
      <c r="D39" s="26">
        <f>1</f>
        <v>1</v>
      </c>
      <c r="E39" s="26">
        <f>D39</f>
        <v>1</v>
      </c>
      <c r="F39" s="26">
        <f t="shared" ref="F39:P39" si="1">E39</f>
        <v>1</v>
      </c>
      <c r="G39" s="26">
        <f t="shared" si="1"/>
        <v>1</v>
      </c>
      <c r="H39" s="26">
        <f t="shared" si="1"/>
        <v>1</v>
      </c>
      <c r="I39" s="26">
        <f t="shared" si="1"/>
        <v>1</v>
      </c>
      <c r="J39" s="26">
        <f t="shared" si="1"/>
        <v>1</v>
      </c>
      <c r="K39" s="26">
        <f t="shared" si="1"/>
        <v>1</v>
      </c>
      <c r="L39" s="26">
        <f t="shared" si="1"/>
        <v>1</v>
      </c>
      <c r="M39" s="26">
        <f t="shared" si="1"/>
        <v>1</v>
      </c>
      <c r="N39" s="26">
        <f t="shared" si="1"/>
        <v>1</v>
      </c>
      <c r="O39" s="26">
        <f t="shared" si="1"/>
        <v>1</v>
      </c>
      <c r="P39" s="26">
        <f t="shared" si="1"/>
        <v>1</v>
      </c>
    </row>
    <row r="40" spans="1:16" s="32" customFormat="1" x14ac:dyDescent="0.2">
      <c r="A40" s="32" t="s">
        <v>26</v>
      </c>
      <c r="B40" s="484">
        <v>0</v>
      </c>
      <c r="C40" s="484">
        <v>0</v>
      </c>
      <c r="D40" s="26">
        <f>+ED!C6</f>
        <v>15328897</v>
      </c>
      <c r="E40" s="26">
        <f>+ED!C7</f>
        <v>20418900.809999999</v>
      </c>
      <c r="F40" s="26">
        <f>+ED!C8</f>
        <v>19486435.960000001</v>
      </c>
      <c r="G40" s="26">
        <f>+ED!C9</f>
        <v>16865800.48</v>
      </c>
      <c r="H40" s="26">
        <f>+ED!C10</f>
        <v>21112323.120000001</v>
      </c>
      <c r="I40" s="26">
        <f>+ED!C11</f>
        <v>22263925.140000001</v>
      </c>
      <c r="J40" s="26">
        <f>+ED!C12</f>
        <v>22427621.300000001</v>
      </c>
      <c r="K40" s="26">
        <f>+ED!C13</f>
        <v>22622441.550000001</v>
      </c>
      <c r="L40" s="26">
        <f>+ED!C14</f>
        <v>24190281.48</v>
      </c>
      <c r="M40" s="26">
        <f>+ED!C15</f>
        <v>21309995.489999998</v>
      </c>
      <c r="N40" s="26">
        <f>+ED!C16</f>
        <v>17590423.550000001</v>
      </c>
      <c r="O40" s="26">
        <f>+ED!C20</f>
        <v>20328822.352727275</v>
      </c>
      <c r="P40" s="26">
        <f>+ED!C20</f>
        <v>20328822.352727275</v>
      </c>
    </row>
    <row r="41" spans="1:16" s="32" customFormat="1" x14ac:dyDescent="0.2">
      <c r="A41" s="32" t="s">
        <v>27</v>
      </c>
      <c r="B41" s="484">
        <v>0</v>
      </c>
      <c r="C41" s="484">
        <v>0</v>
      </c>
      <c r="D41" s="26">
        <f>+ED!B6</f>
        <v>29356.799999999999</v>
      </c>
      <c r="E41" s="26">
        <f>+ED!B7</f>
        <v>43881.599999999999</v>
      </c>
      <c r="F41" s="26">
        <f>+ED!B8</f>
        <v>40502.400000000001</v>
      </c>
      <c r="G41" s="26">
        <f>+ED!B9</f>
        <v>43934.369999999995</v>
      </c>
      <c r="H41" s="26">
        <f>+ED!B10</f>
        <v>45564.29</v>
      </c>
      <c r="I41" s="26">
        <f>+ED!B11</f>
        <v>49751.514999999999</v>
      </c>
      <c r="J41" s="26">
        <f>+ED!B12</f>
        <v>48352.995000000003</v>
      </c>
      <c r="K41" s="26">
        <f>+ED!B13</f>
        <v>49918.169999999991</v>
      </c>
      <c r="L41" s="26">
        <f>+ED!B14</f>
        <v>53143.520000000004</v>
      </c>
      <c r="M41" s="26">
        <f>+ED!B15</f>
        <v>49138.899999999994</v>
      </c>
      <c r="N41" s="26">
        <f>+ED!B16</f>
        <v>37866.879999999997</v>
      </c>
      <c r="O41" s="26">
        <f>+ED!B20</f>
        <v>44673.767272727266</v>
      </c>
      <c r="P41" s="26">
        <f>+ED!B20</f>
        <v>44673.767272727266</v>
      </c>
    </row>
    <row r="42" spans="1:16" s="32" customFormat="1" x14ac:dyDescent="0.2">
      <c r="B42" s="484"/>
      <c r="C42" s="48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42" t="s">
        <v>296</v>
      </c>
      <c r="B43" s="5"/>
      <c r="C43" s="5"/>
      <c r="D43" s="5"/>
      <c r="E43" s="5"/>
      <c r="F43" s="5"/>
      <c r="G43" s="5"/>
      <c r="H43" s="5"/>
      <c r="I43" s="485"/>
      <c r="J43" s="5"/>
      <c r="K43" s="5"/>
      <c r="L43" s="5"/>
      <c r="M43" s="5"/>
      <c r="N43" s="26"/>
      <c r="O43" s="485"/>
      <c r="P43" s="485"/>
    </row>
    <row r="44" spans="1:16" x14ac:dyDescent="0.2">
      <c r="A44" t="s">
        <v>37</v>
      </c>
      <c r="B44" s="5">
        <f>SUM(B12+B16+B20+B25+B30+B35)</f>
        <v>73368.030303030304</v>
      </c>
      <c r="C44" s="5">
        <f>SUM(C12+C16+C20+C25+C30+C35)</f>
        <v>74010.606060606064</v>
      </c>
      <c r="D44" s="5">
        <f t="shared" ref="D44:P44" si="2">SUM(D12+D16+D20+D25+D30+D35)</f>
        <v>75483.393939393936</v>
      </c>
      <c r="E44" s="5">
        <f t="shared" si="2"/>
        <v>77439</v>
      </c>
      <c r="F44" s="5">
        <f t="shared" si="2"/>
        <v>79602</v>
      </c>
      <c r="G44" s="5">
        <f t="shared" si="2"/>
        <v>81811</v>
      </c>
      <c r="H44" s="5">
        <f t="shared" si="2"/>
        <v>83280</v>
      </c>
      <c r="I44" s="5">
        <f t="shared" si="2"/>
        <v>84940</v>
      </c>
      <c r="J44" s="5">
        <f t="shared" si="2"/>
        <v>85779.159090909103</v>
      </c>
      <c r="K44" s="5">
        <f t="shared" si="2"/>
        <v>87001.416666666672</v>
      </c>
      <c r="L44" s="5">
        <f t="shared" si="2"/>
        <v>88328.996523716705</v>
      </c>
      <c r="M44" s="5">
        <f t="shared" si="2"/>
        <v>89684.666666666672</v>
      </c>
      <c r="N44" s="5">
        <f t="shared" si="2"/>
        <v>91038.840909090897</v>
      </c>
      <c r="O44" s="5">
        <f t="shared" si="2"/>
        <v>92412.875829240715</v>
      </c>
      <c r="P44" s="5">
        <f t="shared" si="2"/>
        <v>93834.736623274526</v>
      </c>
    </row>
    <row r="45" spans="1:16" x14ac:dyDescent="0.2">
      <c r="A45" t="s">
        <v>26</v>
      </c>
      <c r="B45" s="5">
        <f>SUM(B13+B17+B21+B26+B31+B36)</f>
        <v>1825733379</v>
      </c>
      <c r="C45" s="5">
        <f t="shared" ref="C45:P45" si="3">SUM(C13+C17+C21+C26+C31+C36)</f>
        <v>1864957166</v>
      </c>
      <c r="D45" s="5">
        <f t="shared" si="3"/>
        <v>1966638125</v>
      </c>
      <c r="E45" s="5">
        <f t="shared" si="3"/>
        <v>1970383029.0000002</v>
      </c>
      <c r="F45" s="5">
        <f t="shared" si="3"/>
        <v>1947483902</v>
      </c>
      <c r="G45" s="5">
        <f t="shared" si="3"/>
        <v>2040872519</v>
      </c>
      <c r="H45" s="5">
        <f t="shared" si="3"/>
        <v>1917735012</v>
      </c>
      <c r="I45" s="5">
        <f t="shared" si="3"/>
        <v>1918190356</v>
      </c>
      <c r="J45" s="5">
        <f t="shared" si="3"/>
        <v>1877404166</v>
      </c>
      <c r="K45" s="5">
        <f t="shared" si="3"/>
        <v>1777401233</v>
      </c>
      <c r="L45" s="5">
        <f t="shared" si="3"/>
        <v>1829500492</v>
      </c>
      <c r="M45" s="5">
        <f t="shared" si="3"/>
        <v>1833881352</v>
      </c>
      <c r="N45" s="5">
        <f t="shared" si="3"/>
        <v>1825234090</v>
      </c>
      <c r="O45" s="5">
        <f t="shared" si="3"/>
        <v>1826827030.638243</v>
      </c>
      <c r="P45" s="5">
        <f t="shared" si="3"/>
        <v>1789772575.1328919</v>
      </c>
    </row>
    <row r="46" spans="1:16" x14ac:dyDescent="0.2">
      <c r="A46" t="s">
        <v>36</v>
      </c>
      <c r="B46" s="5">
        <f>SUM(B22+B27+B32)</f>
        <v>2080678</v>
      </c>
      <c r="C46" s="5">
        <f t="shared" ref="C46:P46" si="4">SUM(C22+C27+C32)</f>
        <v>2561299</v>
      </c>
      <c r="D46" s="5">
        <f t="shared" si="4"/>
        <v>2761466</v>
      </c>
      <c r="E46" s="5">
        <f t="shared" si="4"/>
        <v>2759488</v>
      </c>
      <c r="F46" s="5">
        <f t="shared" si="4"/>
        <v>2775977</v>
      </c>
      <c r="G46" s="5">
        <f t="shared" si="4"/>
        <v>2831785</v>
      </c>
      <c r="H46" s="5">
        <f t="shared" si="4"/>
        <v>2730876</v>
      </c>
      <c r="I46" s="5">
        <f t="shared" si="4"/>
        <v>2660528</v>
      </c>
      <c r="J46" s="5">
        <f t="shared" si="4"/>
        <v>2603043</v>
      </c>
      <c r="K46" s="5">
        <f t="shared" si="4"/>
        <v>2384633</v>
      </c>
      <c r="L46" s="5">
        <f t="shared" si="4"/>
        <v>2400828</v>
      </c>
      <c r="M46" s="5">
        <f t="shared" si="4"/>
        <v>2394906</v>
      </c>
      <c r="N46" s="5">
        <f t="shared" si="4"/>
        <v>2408950</v>
      </c>
      <c r="O46" s="5">
        <f t="shared" si="4"/>
        <v>2355250.3303353791</v>
      </c>
      <c r="P46" s="5">
        <f t="shared" si="4"/>
        <v>2291394.9908531997</v>
      </c>
    </row>
    <row r="47" spans="1:16" s="32" customFormat="1" x14ac:dyDescent="0.2">
      <c r="B47" s="484"/>
      <c r="C47" s="484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42" t="s">
        <v>294</v>
      </c>
      <c r="B48" s="5"/>
      <c r="C48" s="5"/>
      <c r="D48" s="5"/>
      <c r="E48" s="5"/>
      <c r="F48" s="5"/>
      <c r="G48" s="5"/>
      <c r="H48" s="5"/>
      <c r="J48" s="5"/>
      <c r="K48" s="5"/>
      <c r="L48" s="5"/>
      <c r="M48" s="5"/>
      <c r="N48" s="26"/>
    </row>
    <row r="49" spans="1:16" x14ac:dyDescent="0.2">
      <c r="A49" t="s">
        <v>37</v>
      </c>
      <c r="B49" s="5">
        <f>SUM(B12+B16+B20+B25+B30+B35)</f>
        <v>73368.030303030304</v>
      </c>
      <c r="C49" s="5">
        <f>SUM(C12+C16+C20+C25+C30+C35+C39)</f>
        <v>74010.606060606064</v>
      </c>
      <c r="D49" s="5">
        <f t="shared" ref="D49:P49" si="5">SUM(D12+D16+D20+D25+D30+D35+D39)</f>
        <v>75484.393939393936</v>
      </c>
      <c r="E49" s="5">
        <f t="shared" si="5"/>
        <v>77440</v>
      </c>
      <c r="F49" s="5">
        <f t="shared" si="5"/>
        <v>79603</v>
      </c>
      <c r="G49" s="5">
        <f t="shared" si="5"/>
        <v>81812</v>
      </c>
      <c r="H49" s="5">
        <f t="shared" si="5"/>
        <v>83281</v>
      </c>
      <c r="I49" s="5">
        <f t="shared" si="5"/>
        <v>84941</v>
      </c>
      <c r="J49" s="5">
        <f t="shared" si="5"/>
        <v>85780.159090909103</v>
      </c>
      <c r="K49" s="5">
        <f t="shared" si="5"/>
        <v>87002.416666666672</v>
      </c>
      <c r="L49" s="5">
        <f t="shared" si="5"/>
        <v>88329.996523716705</v>
      </c>
      <c r="M49" s="5">
        <f t="shared" si="5"/>
        <v>89685.666666666672</v>
      </c>
      <c r="N49" s="5">
        <f t="shared" si="5"/>
        <v>91039.840909090897</v>
      </c>
      <c r="O49" s="5">
        <f t="shared" si="5"/>
        <v>92413.875829240715</v>
      </c>
      <c r="P49" s="5">
        <f t="shared" si="5"/>
        <v>93835.736623274526</v>
      </c>
    </row>
    <row r="50" spans="1:16" x14ac:dyDescent="0.2">
      <c r="A50" t="s">
        <v>26</v>
      </c>
      <c r="B50" s="5">
        <f>SUM(B13+B17+B21+B26+B31+B36)</f>
        <v>1825733379</v>
      </c>
      <c r="C50" s="5">
        <f>SUM(C13+C17+C21+C26+C31+C36+C40)</f>
        <v>1864957166</v>
      </c>
      <c r="D50" s="5">
        <f t="shared" ref="D50:P50" si="6">SUM(D13+D17+D21+D26+D31+D36+D40)</f>
        <v>1981967022</v>
      </c>
      <c r="E50" s="5">
        <f t="shared" si="6"/>
        <v>1990801929.8100002</v>
      </c>
      <c r="F50" s="5">
        <f t="shared" si="6"/>
        <v>1966970337.96</v>
      </c>
      <c r="G50" s="5">
        <f t="shared" si="6"/>
        <v>2057738319.48</v>
      </c>
      <c r="H50" s="5">
        <f t="shared" si="6"/>
        <v>1938847335.1199999</v>
      </c>
      <c r="I50" s="5">
        <f t="shared" si="6"/>
        <v>1940454281.1400001</v>
      </c>
      <c r="J50" s="5">
        <f t="shared" si="6"/>
        <v>1899831787.3</v>
      </c>
      <c r="K50" s="5">
        <f t="shared" si="6"/>
        <v>1800023674.55</v>
      </c>
      <c r="L50" s="5">
        <f t="shared" si="6"/>
        <v>1853690773.48</v>
      </c>
      <c r="M50" s="5">
        <f t="shared" si="6"/>
        <v>1855191347.49</v>
      </c>
      <c r="N50" s="5">
        <f t="shared" si="6"/>
        <v>1842824513.55</v>
      </c>
      <c r="O50" s="5">
        <f t="shared" si="6"/>
        <v>1847155852.9909701</v>
      </c>
      <c r="P50" s="5">
        <f t="shared" si="6"/>
        <v>1810101397.4856191</v>
      </c>
    </row>
    <row r="51" spans="1:16" x14ac:dyDescent="0.2">
      <c r="A51" t="s">
        <v>36</v>
      </c>
      <c r="B51" s="5">
        <f>SUM(B22+B27+B32)</f>
        <v>2080678</v>
      </c>
      <c r="C51" s="5">
        <f>SUM(C22+C27+C32+C41)</f>
        <v>2561299</v>
      </c>
      <c r="D51" s="5">
        <f t="shared" ref="D51:P51" si="7">SUM(D22+D27+D32+D41)</f>
        <v>2790822.8</v>
      </c>
      <c r="E51" s="5">
        <f t="shared" si="7"/>
        <v>2803369.6</v>
      </c>
      <c r="F51" s="5">
        <f t="shared" si="7"/>
        <v>2816479.4</v>
      </c>
      <c r="G51" s="5">
        <f t="shared" si="7"/>
        <v>2875719.37</v>
      </c>
      <c r="H51" s="5">
        <f t="shared" si="7"/>
        <v>2776440.29</v>
      </c>
      <c r="I51" s="5">
        <f t="shared" si="7"/>
        <v>2710279.5150000001</v>
      </c>
      <c r="J51" s="5">
        <f t="shared" si="7"/>
        <v>2651395.9950000001</v>
      </c>
      <c r="K51" s="5">
        <f t="shared" si="7"/>
        <v>2434551.17</v>
      </c>
      <c r="L51" s="5">
        <f t="shared" si="7"/>
        <v>2453971.52</v>
      </c>
      <c r="M51" s="5">
        <f t="shared" si="7"/>
        <v>2444044.9</v>
      </c>
      <c r="N51" s="5">
        <f t="shared" si="7"/>
        <v>2446816.88</v>
      </c>
      <c r="O51" s="5">
        <f t="shared" si="7"/>
        <v>2399924.0976081062</v>
      </c>
      <c r="P51" s="5">
        <f t="shared" si="7"/>
        <v>2336068.7581259268</v>
      </c>
    </row>
    <row r="53" spans="1:16" x14ac:dyDescent="0.2">
      <c r="A53" s="42" t="s">
        <v>297</v>
      </c>
      <c r="B53" s="485"/>
      <c r="C53" s="485"/>
      <c r="D53" s="485"/>
      <c r="E53" s="485"/>
      <c r="F53" s="485"/>
      <c r="G53" s="485"/>
      <c r="H53" s="485"/>
      <c r="I53" s="485"/>
      <c r="J53" s="485"/>
      <c r="K53" s="485"/>
      <c r="L53" s="485"/>
      <c r="M53" s="485"/>
      <c r="O53" s="5"/>
      <c r="P53" s="5"/>
    </row>
    <row r="54" spans="1:16" x14ac:dyDescent="0.2">
      <c r="A54" t="s">
        <v>37</v>
      </c>
      <c r="B54" s="5">
        <f>'Rate Class Customer Model'!H6</f>
        <v>73368.030303030304</v>
      </c>
      <c r="C54" s="5">
        <f>'Rate Class Customer Model'!H7</f>
        <v>74010.606060606064</v>
      </c>
      <c r="D54" s="5">
        <f>'Rate Class Customer Model'!H8</f>
        <v>75483.393939393936</v>
      </c>
      <c r="E54" s="5">
        <f>'Rate Class Customer Model'!H9</f>
        <v>77439</v>
      </c>
      <c r="F54" s="5">
        <f>'Rate Class Customer Model'!H10</f>
        <v>79602</v>
      </c>
      <c r="G54" s="5">
        <f>'Rate Class Customer Model'!H11</f>
        <v>81811</v>
      </c>
      <c r="H54" s="5">
        <f>'Rate Class Customer Model'!H12</f>
        <v>83280</v>
      </c>
      <c r="I54" s="5">
        <f>'Rate Class Customer Model'!H13</f>
        <v>84940</v>
      </c>
      <c r="J54" s="5">
        <f>'Rate Class Customer Model'!H14</f>
        <v>85779.159090909103</v>
      </c>
      <c r="K54" s="5">
        <f>'Rate Class Customer Model'!H15</f>
        <v>87001.416666666672</v>
      </c>
      <c r="L54" s="5">
        <f>'Rate Class Customer Model'!H16</f>
        <v>88328.996523716705</v>
      </c>
      <c r="M54" s="5">
        <f>'Rate Class Customer Model'!H17</f>
        <v>89684.666666666672</v>
      </c>
      <c r="N54" s="5">
        <f>'Rate Class Customer Model'!H18</f>
        <v>91038.840909090897</v>
      </c>
      <c r="O54" s="5">
        <f>'Rate Class Customer Model'!H19</f>
        <v>92412.875829240715</v>
      </c>
      <c r="P54" s="5">
        <f>'Rate Class Customer Model'!H20</f>
        <v>93834.736623274526</v>
      </c>
    </row>
    <row r="55" spans="1:16" x14ac:dyDescent="0.2">
      <c r="A55" t="s">
        <v>26</v>
      </c>
      <c r="B55" s="5">
        <f>'Rate Class Energy Model'!G10</f>
        <v>1825733379</v>
      </c>
      <c r="C55" s="5">
        <f>'Rate Class Energy Model'!G11</f>
        <v>1864957166</v>
      </c>
      <c r="D55" s="5">
        <f>'Rate Class Energy Model'!G12</f>
        <v>1966638125</v>
      </c>
      <c r="E55" s="5">
        <f>'Rate Class Energy Model'!G13</f>
        <v>1970383029.0000002</v>
      </c>
      <c r="F55" s="5">
        <f>'Rate Class Energy Model'!G14</f>
        <v>1947483902</v>
      </c>
      <c r="G55" s="5">
        <f>'Rate Class Energy Model'!G15</f>
        <v>2040872519</v>
      </c>
      <c r="H55" s="5">
        <f>'Rate Class Energy Model'!G16</f>
        <v>1917735012</v>
      </c>
      <c r="I55" s="5">
        <f>'Rate Class Energy Model'!G17</f>
        <v>1918190356</v>
      </c>
      <c r="J55" s="5">
        <f>'Rate Class Energy Model'!G18</f>
        <v>1877404166</v>
      </c>
      <c r="K55" s="5">
        <f>'Rate Class Energy Model'!G19</f>
        <v>1777401233</v>
      </c>
      <c r="L55" s="5">
        <f>'Rate Class Energy Model'!G20</f>
        <v>1829500492</v>
      </c>
      <c r="M55" s="5">
        <f>'Rate Class Energy Model'!G21</f>
        <v>1833881352</v>
      </c>
      <c r="N55" s="26">
        <f>'Rate Class Energy Model'!G22</f>
        <v>1825234090</v>
      </c>
      <c r="O55" s="5">
        <f>'Rate Class Energy Model'!R100</f>
        <v>1826827030.638243</v>
      </c>
      <c r="P55" s="5">
        <f>'Rate Class Energy Model'!R101</f>
        <v>1789772575.1328919</v>
      </c>
    </row>
    <row r="56" spans="1:16" x14ac:dyDescent="0.2">
      <c r="A56" t="s">
        <v>36</v>
      </c>
      <c r="B56" s="5">
        <f>'Rate Class Load Model'!E3</f>
        <v>2080678</v>
      </c>
      <c r="C56" s="5">
        <f>'Rate Class Load Model'!E4</f>
        <v>2561299</v>
      </c>
      <c r="D56" s="5">
        <f>'Rate Class Load Model'!E5</f>
        <v>2761466</v>
      </c>
      <c r="E56" s="5">
        <f>'Rate Class Load Model'!E6</f>
        <v>2759488</v>
      </c>
      <c r="F56" s="5">
        <f>'Rate Class Load Model'!E7</f>
        <v>2775977</v>
      </c>
      <c r="G56" s="5">
        <f>'Rate Class Load Model'!E8</f>
        <v>2831785</v>
      </c>
      <c r="H56" s="5">
        <f>'Rate Class Load Model'!E9</f>
        <v>2730876</v>
      </c>
      <c r="I56" s="5">
        <f>'Rate Class Load Model'!E10</f>
        <v>2660528</v>
      </c>
      <c r="J56" s="5">
        <f>'Rate Class Load Model'!E11</f>
        <v>2603043</v>
      </c>
      <c r="K56" s="5">
        <f>'Rate Class Load Model'!E12</f>
        <v>2384633</v>
      </c>
      <c r="L56" s="26">
        <f>'Rate Class Load Model'!E13</f>
        <v>2400828</v>
      </c>
      <c r="M56" s="26">
        <f>'Rate Class Load Model'!E14</f>
        <v>2394906</v>
      </c>
      <c r="N56" s="5">
        <f>'Rate Class Load Model'!E15</f>
        <v>2408950</v>
      </c>
      <c r="O56" s="5">
        <f>'Rate Class Load Model'!E16</f>
        <v>2355250.3303353791</v>
      </c>
      <c r="P56" s="5">
        <f>'Rate Class Load Model'!E17</f>
        <v>2291394.9908531997</v>
      </c>
    </row>
    <row r="57" spans="1:16" x14ac:dyDescent="0.2">
      <c r="B57" s="485"/>
      <c r="C57" s="485"/>
      <c r="D57" s="485"/>
      <c r="E57" s="485"/>
      <c r="F57" s="485"/>
      <c r="G57" s="485"/>
      <c r="H57" s="485"/>
      <c r="I57" s="485"/>
      <c r="J57" s="485"/>
      <c r="K57" s="485"/>
      <c r="L57" s="485"/>
      <c r="M57" s="485"/>
      <c r="O57" s="485"/>
      <c r="P57" s="485"/>
    </row>
    <row r="58" spans="1:16" x14ac:dyDescent="0.2">
      <c r="A58" s="42" t="s">
        <v>295</v>
      </c>
      <c r="O58" s="5"/>
      <c r="P58" s="5"/>
    </row>
    <row r="59" spans="1:16" x14ac:dyDescent="0.2">
      <c r="A59" t="s">
        <v>37</v>
      </c>
      <c r="B59" s="5">
        <f>'Rate Class Customer Model'!H6</f>
        <v>73368.030303030304</v>
      </c>
      <c r="C59" s="5">
        <f>'Rate Class Customer Model'!J7</f>
        <v>74010.606060606064</v>
      </c>
      <c r="D59" s="5">
        <f>'Rate Class Customer Model'!J8</f>
        <v>75484.393939393936</v>
      </c>
      <c r="E59" s="5">
        <f>'Rate Class Customer Model'!J9</f>
        <v>77440</v>
      </c>
      <c r="F59" s="5">
        <f>'Rate Class Customer Model'!J10</f>
        <v>79603</v>
      </c>
      <c r="G59" s="5">
        <f>'Rate Class Customer Model'!J11</f>
        <v>81812</v>
      </c>
      <c r="H59" s="5">
        <f>'Rate Class Customer Model'!J12</f>
        <v>83281</v>
      </c>
      <c r="I59" s="5">
        <f>'Rate Class Customer Model'!J13</f>
        <v>84941</v>
      </c>
      <c r="J59" s="5">
        <f>'Rate Class Customer Model'!J14</f>
        <v>85780.159090909103</v>
      </c>
      <c r="K59" s="5">
        <f>'Rate Class Customer Model'!J15</f>
        <v>87002.416666666672</v>
      </c>
      <c r="L59" s="5">
        <f>'Rate Class Customer Model'!J16</f>
        <v>88329.996523716705</v>
      </c>
      <c r="M59" s="5">
        <f>'Rate Class Customer Model'!J17</f>
        <v>89685.666666666672</v>
      </c>
      <c r="N59" s="5">
        <f>'Rate Class Customer Model'!J18</f>
        <v>91039.840909090897</v>
      </c>
      <c r="O59" s="5">
        <f>'Rate Class Customer Model'!J19</f>
        <v>92413.875829240715</v>
      </c>
      <c r="P59" s="5">
        <f>'Rate Class Customer Model'!J20</f>
        <v>93835.736623274526</v>
      </c>
    </row>
    <row r="60" spans="1:16" x14ac:dyDescent="0.2">
      <c r="A60" t="s">
        <v>26</v>
      </c>
      <c r="B60" s="5">
        <f>'Rate Class Energy Model'!G10</f>
        <v>1825733379</v>
      </c>
      <c r="C60" s="5">
        <f>'Rate Class Energy Model'!G11</f>
        <v>1864957166</v>
      </c>
      <c r="D60" s="5">
        <f>'Rate Class Energy Model'!G12+ED!$C$6</f>
        <v>1981967022</v>
      </c>
      <c r="E60" s="5">
        <f>'Rate Class Energy Model'!G13+ED!C7</f>
        <v>1990801929.8100002</v>
      </c>
      <c r="F60" s="5">
        <f>'Rate Class Energy Model'!G14+ED!C8</f>
        <v>1966970337.96</v>
      </c>
      <c r="G60" s="5">
        <f>'Rate Class Energy Model'!G15+ED!C9</f>
        <v>2057738319.48</v>
      </c>
      <c r="H60" s="5">
        <f>'Rate Class Energy Model'!G16+ED!C10</f>
        <v>1938847335.1199999</v>
      </c>
      <c r="I60" s="5">
        <f>'Rate Class Energy Model'!G17+ED!C11</f>
        <v>1940454281.1400001</v>
      </c>
      <c r="J60" s="5">
        <f>'Rate Class Energy Model'!G18+ED!C12</f>
        <v>1899831787.3</v>
      </c>
      <c r="K60" s="5">
        <f>'Rate Class Energy Model'!G19+ED!C13</f>
        <v>1800023674.55</v>
      </c>
      <c r="L60" s="5">
        <f>'Rate Class Energy Model'!G20+ED!C14</f>
        <v>1853690773.48</v>
      </c>
      <c r="M60" s="5">
        <f>'Rate Class Energy Model'!G21+ED!C15</f>
        <v>1855191347.49</v>
      </c>
      <c r="N60" s="26">
        <f>'Rate Class Energy Model'!G22+ED!C16</f>
        <v>1842824513.55</v>
      </c>
      <c r="O60" s="5">
        <f>'Rate Class Energy Model'!R100+ED!C20</f>
        <v>1847155852.9909701</v>
      </c>
      <c r="P60" s="5">
        <f>'Rate Class Energy Model'!R101+ED!C20</f>
        <v>1810101397.4856191</v>
      </c>
    </row>
    <row r="61" spans="1:16" x14ac:dyDescent="0.2">
      <c r="A61" t="s">
        <v>36</v>
      </c>
      <c r="B61" s="5">
        <f>'Rate Class Load Model'!E3</f>
        <v>2080678</v>
      </c>
      <c r="C61" s="5">
        <f>'Rate Class Load Model'!E4</f>
        <v>2561299</v>
      </c>
      <c r="D61" s="5">
        <f>'Rate Class Load Model'!E5+ED!B6</f>
        <v>2790822.8</v>
      </c>
      <c r="E61" s="5">
        <f>'Rate Class Load Model'!E6+ED!B7</f>
        <v>2803369.6</v>
      </c>
      <c r="F61" s="5">
        <f>'Rate Class Load Model'!E7+ED!B8</f>
        <v>2816479.4</v>
      </c>
      <c r="G61" s="5">
        <f>'Rate Class Load Model'!E8+ED!B9</f>
        <v>2875719.37</v>
      </c>
      <c r="H61" s="5">
        <f>'Rate Class Load Model'!E9+ED!B10</f>
        <v>2776440.29</v>
      </c>
      <c r="I61" s="5">
        <f>'Rate Class Load Model'!E10+ED!B11</f>
        <v>2710279.5150000001</v>
      </c>
      <c r="J61" s="5">
        <f>'Rate Class Load Model'!E11+ED!B12</f>
        <v>2651395.9950000001</v>
      </c>
      <c r="K61" s="5">
        <f>'Rate Class Load Model'!E12+ED!B13</f>
        <v>2434551.17</v>
      </c>
      <c r="L61" s="26">
        <f>'Rate Class Load Model'!E13+ED!B14</f>
        <v>2453971.52</v>
      </c>
      <c r="M61" s="26">
        <f>'Rate Class Load Model'!E14+ED!B15</f>
        <v>2444044.9</v>
      </c>
      <c r="N61" s="5">
        <f>'Rate Class Load Model'!E15+ED!B16</f>
        <v>2446816.88</v>
      </c>
      <c r="O61" s="5">
        <f>'Rate Class Load Model'!E16+ED!B20</f>
        <v>2399924.0976081062</v>
      </c>
      <c r="P61" s="5">
        <f>'Rate Class Load Model'!E17+ED!B20</f>
        <v>2336068.7581259268</v>
      </c>
    </row>
    <row r="63" spans="1:16" x14ac:dyDescent="0.2">
      <c r="A63" s="42" t="s">
        <v>48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">
      <c r="A64" t="s">
        <v>37</v>
      </c>
      <c r="B64" s="246">
        <f t="shared" ref="B64:E66" si="8">B49-B59</f>
        <v>0</v>
      </c>
      <c r="C64" s="246">
        <f t="shared" si="8"/>
        <v>0</v>
      </c>
      <c r="D64" s="246">
        <f t="shared" si="8"/>
        <v>0</v>
      </c>
      <c r="E64" s="246">
        <f t="shared" si="8"/>
        <v>0</v>
      </c>
      <c r="F64" s="246">
        <f t="shared" ref="F64:O64" si="9">F49-F59</f>
        <v>0</v>
      </c>
      <c r="G64" s="246">
        <f t="shared" si="9"/>
        <v>0</v>
      </c>
      <c r="H64" s="246">
        <f t="shared" si="9"/>
        <v>0</v>
      </c>
      <c r="I64" s="246">
        <f t="shared" si="9"/>
        <v>0</v>
      </c>
      <c r="J64" s="246">
        <f t="shared" si="9"/>
        <v>0</v>
      </c>
      <c r="K64" s="246">
        <f t="shared" si="9"/>
        <v>0</v>
      </c>
      <c r="L64" s="246">
        <f t="shared" si="9"/>
        <v>0</v>
      </c>
      <c r="M64" s="246">
        <f t="shared" si="9"/>
        <v>0</v>
      </c>
      <c r="N64" s="246">
        <f t="shared" si="9"/>
        <v>0</v>
      </c>
      <c r="O64" s="246">
        <f t="shared" si="9"/>
        <v>0</v>
      </c>
      <c r="P64" s="246">
        <f t="shared" ref="P64" si="10">P49-P59</f>
        <v>0</v>
      </c>
    </row>
    <row r="65" spans="1:19" x14ac:dyDescent="0.2">
      <c r="A65" t="s">
        <v>26</v>
      </c>
      <c r="B65" s="246">
        <f t="shared" si="8"/>
        <v>0</v>
      </c>
      <c r="C65" s="246">
        <f t="shared" si="8"/>
        <v>0</v>
      </c>
      <c r="D65" s="246">
        <f t="shared" si="8"/>
        <v>0</v>
      </c>
      <c r="E65" s="246">
        <f t="shared" si="8"/>
        <v>0</v>
      </c>
      <c r="F65" s="246">
        <f t="shared" ref="F65:O65" si="11">F50-F60</f>
        <v>0</v>
      </c>
      <c r="G65" s="246">
        <f t="shared" si="11"/>
        <v>0</v>
      </c>
      <c r="H65" s="246">
        <f t="shared" si="11"/>
        <v>0</v>
      </c>
      <c r="I65" s="246">
        <f t="shared" si="11"/>
        <v>0</v>
      </c>
      <c r="J65" s="246">
        <f t="shared" si="11"/>
        <v>0</v>
      </c>
      <c r="K65" s="246">
        <f t="shared" si="11"/>
        <v>0</v>
      </c>
      <c r="L65" s="246">
        <f t="shared" si="11"/>
        <v>0</v>
      </c>
      <c r="M65" s="246">
        <f t="shared" si="11"/>
        <v>0</v>
      </c>
      <c r="N65" s="246">
        <f t="shared" si="11"/>
        <v>0</v>
      </c>
      <c r="O65" s="246">
        <f t="shared" si="11"/>
        <v>0</v>
      </c>
      <c r="P65" s="246">
        <f t="shared" ref="P65" si="12">P50-P60</f>
        <v>0</v>
      </c>
    </row>
    <row r="66" spans="1:19" x14ac:dyDescent="0.2">
      <c r="A66" t="s">
        <v>36</v>
      </c>
      <c r="B66" s="246">
        <f t="shared" si="8"/>
        <v>0</v>
      </c>
      <c r="C66" s="246">
        <f t="shared" si="8"/>
        <v>0</v>
      </c>
      <c r="D66" s="246">
        <f t="shared" si="8"/>
        <v>0</v>
      </c>
      <c r="E66" s="246">
        <f t="shared" si="8"/>
        <v>0</v>
      </c>
      <c r="F66" s="246">
        <f t="shared" ref="F66:O66" si="13">F51-F61</f>
        <v>0</v>
      </c>
      <c r="G66" s="246">
        <f t="shared" si="13"/>
        <v>0</v>
      </c>
      <c r="H66" s="246">
        <f t="shared" si="13"/>
        <v>0</v>
      </c>
      <c r="I66" s="246">
        <f t="shared" si="13"/>
        <v>0</v>
      </c>
      <c r="J66" s="246">
        <f t="shared" si="13"/>
        <v>0</v>
      </c>
      <c r="K66" s="246">
        <f t="shared" si="13"/>
        <v>0</v>
      </c>
      <c r="L66" s="246">
        <f t="shared" si="13"/>
        <v>0</v>
      </c>
      <c r="M66" s="246">
        <f t="shared" si="13"/>
        <v>0</v>
      </c>
      <c r="N66" s="246">
        <f t="shared" si="13"/>
        <v>0</v>
      </c>
      <c r="O66" s="246">
        <f t="shared" si="13"/>
        <v>0</v>
      </c>
      <c r="P66" s="246">
        <f t="shared" ref="P66" si="14">P51-P61</f>
        <v>0</v>
      </c>
    </row>
    <row r="69" spans="1:19" x14ac:dyDescent="0.2">
      <c r="B69" s="152">
        <v>2000</v>
      </c>
      <c r="C69" s="152">
        <v>2001</v>
      </c>
      <c r="D69" s="152">
        <v>2002</v>
      </c>
      <c r="E69" s="152">
        <v>2003</v>
      </c>
      <c r="F69" s="152">
        <v>2004</v>
      </c>
      <c r="G69" s="152">
        <v>2005</v>
      </c>
      <c r="H69" s="152">
        <v>2006</v>
      </c>
      <c r="I69" s="152">
        <v>2007</v>
      </c>
      <c r="J69" s="152">
        <v>2008</v>
      </c>
      <c r="K69" s="152">
        <v>2009</v>
      </c>
      <c r="L69" s="152">
        <v>2010</v>
      </c>
      <c r="M69" s="152">
        <v>2011</v>
      </c>
      <c r="N69" s="22">
        <v>2012</v>
      </c>
      <c r="S69" s="1"/>
    </row>
    <row r="70" spans="1:19" x14ac:dyDescent="0.2">
      <c r="A70" t="s">
        <v>120</v>
      </c>
      <c r="B70" s="153">
        <f t="shared" ref="B70:N70" si="15">B4/1000000</f>
        <v>1917.2873059999999</v>
      </c>
      <c r="C70" s="153">
        <f t="shared" si="15"/>
        <v>1963.8665109999999</v>
      </c>
      <c r="D70" s="153">
        <f t="shared" si="15"/>
        <v>2036.9125200000001</v>
      </c>
      <c r="E70" s="153">
        <f t="shared" si="15"/>
        <v>2013.2033730000001</v>
      </c>
      <c r="F70" s="153">
        <f t="shared" si="15"/>
        <v>2009.748106</v>
      </c>
      <c r="G70" s="153">
        <f t="shared" si="15"/>
        <v>2086.3640945742</v>
      </c>
      <c r="H70" s="153">
        <f t="shared" si="15"/>
        <v>1983.6457103185001</v>
      </c>
      <c r="I70" s="153">
        <f t="shared" si="15"/>
        <v>1978.9901764429999</v>
      </c>
      <c r="J70" s="153">
        <f t="shared" si="15"/>
        <v>1939.0644042694</v>
      </c>
      <c r="K70" s="153">
        <f t="shared" si="15"/>
        <v>1837.1331214989998</v>
      </c>
      <c r="L70" s="153">
        <f t="shared" si="15"/>
        <v>1892.6335194493545</v>
      </c>
      <c r="M70" s="153">
        <f t="shared" si="15"/>
        <v>1895.1972325334652</v>
      </c>
      <c r="N70" s="153">
        <f t="shared" si="15"/>
        <v>1885.7381183156619</v>
      </c>
      <c r="S70" s="1"/>
    </row>
    <row r="71" spans="1:19" x14ac:dyDescent="0.2">
      <c r="A71" t="s">
        <v>121</v>
      </c>
      <c r="B71" s="153">
        <f t="shared" ref="B71:N71" si="16">B5/1000000</f>
        <v>1917.2574335265592</v>
      </c>
      <c r="C71" s="153">
        <f t="shared" si="16"/>
        <v>1953.6410695566638</v>
      </c>
      <c r="D71" s="153">
        <f t="shared" si="16"/>
        <v>2001.0801729767593</v>
      </c>
      <c r="E71" s="153">
        <f t="shared" si="16"/>
        <v>1994.3850662226791</v>
      </c>
      <c r="F71" s="153">
        <f t="shared" si="16"/>
        <v>2002.4798822055197</v>
      </c>
      <c r="G71" s="153">
        <f t="shared" si="16"/>
        <v>2077.5782514867024</v>
      </c>
      <c r="H71" s="153">
        <f t="shared" si="16"/>
        <v>2011.4221243310665</v>
      </c>
      <c r="I71" s="153">
        <f t="shared" si="16"/>
        <v>1990.5979541714844</v>
      </c>
      <c r="J71" s="153">
        <f t="shared" si="16"/>
        <v>1963.2518616181324</v>
      </c>
      <c r="K71" s="153">
        <f t="shared" si="16"/>
        <v>1856.1745904812803</v>
      </c>
      <c r="L71" s="153">
        <f t="shared" si="16"/>
        <v>1889.6918551705751</v>
      </c>
      <c r="M71" s="153">
        <f t="shared" si="16"/>
        <v>1882.8410422231548</v>
      </c>
      <c r="N71" s="153">
        <f t="shared" si="16"/>
        <v>1867.9189017622916</v>
      </c>
      <c r="S71" s="1"/>
    </row>
    <row r="75" spans="1:19" x14ac:dyDescent="0.2">
      <c r="B75"/>
    </row>
  </sheetData>
  <mergeCells count="1">
    <mergeCell ref="A1:P1"/>
  </mergeCells>
  <phoneticPr fontId="0" type="noConversion"/>
  <pageMargins left="0.2" right="0.17" top="0.31" bottom="0.28999999999999998" header="0.23" footer="0.18"/>
  <pageSetup scale="6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53"/>
  <sheetViews>
    <sheetView topLeftCell="A10" workbookViewId="0">
      <selection activeCell="B12" sqref="B12"/>
    </sheetView>
  </sheetViews>
  <sheetFormatPr defaultRowHeight="12.75" x14ac:dyDescent="0.2"/>
  <cols>
    <col min="1" max="1" width="2.28515625" customWidth="1"/>
    <col min="2" max="2" width="33" bestFit="1" customWidth="1"/>
    <col min="3" max="3" width="10.140625" bestFit="1" customWidth="1"/>
    <col min="4" max="11" width="9.7109375" customWidth="1"/>
    <col min="12" max="15" width="10.7109375" customWidth="1"/>
    <col min="16" max="16" width="18.5703125" customWidth="1"/>
    <col min="17" max="17" width="18.28515625" customWidth="1"/>
    <col min="18" max="20" width="11.7109375" customWidth="1"/>
    <col min="21" max="21" width="22.85546875" customWidth="1"/>
  </cols>
  <sheetData>
    <row r="2" spans="2:23" ht="13.5" thickBot="1" x14ac:dyDescent="0.25"/>
    <row r="3" spans="2:23" x14ac:dyDescent="0.2">
      <c r="B3" s="612" t="s">
        <v>234</v>
      </c>
      <c r="C3" s="612" t="s">
        <v>235</v>
      </c>
      <c r="D3" s="614" t="s">
        <v>236</v>
      </c>
      <c r="E3" s="615"/>
      <c r="F3" s="615"/>
      <c r="G3" s="616"/>
      <c r="H3" s="620" t="s">
        <v>237</v>
      </c>
      <c r="I3" s="621"/>
      <c r="J3" s="621"/>
      <c r="K3" s="622"/>
      <c r="L3" s="614" t="s">
        <v>238</v>
      </c>
      <c r="M3" s="615"/>
      <c r="N3" s="615"/>
      <c r="O3" s="616"/>
      <c r="P3" s="601" t="s">
        <v>239</v>
      </c>
      <c r="Q3" s="601" t="s">
        <v>240</v>
      </c>
    </row>
    <row r="4" spans="2:23" ht="55.5" customHeight="1" thickBot="1" x14ac:dyDescent="0.25">
      <c r="B4" s="613"/>
      <c r="C4" s="613"/>
      <c r="D4" s="617"/>
      <c r="E4" s="618"/>
      <c r="F4" s="618"/>
      <c r="G4" s="619"/>
      <c r="H4" s="623"/>
      <c r="I4" s="624"/>
      <c r="J4" s="624"/>
      <c r="K4" s="625"/>
      <c r="L4" s="617"/>
      <c r="M4" s="618"/>
      <c r="N4" s="618"/>
      <c r="O4" s="619"/>
      <c r="P4" s="602"/>
      <c r="Q4" s="602"/>
      <c r="R4" s="316"/>
      <c r="S4" s="316"/>
      <c r="T4" s="316"/>
      <c r="U4" s="316"/>
    </row>
    <row r="5" spans="2:23" ht="16.5" thickBot="1" x14ac:dyDescent="0.3">
      <c r="B5" s="613"/>
      <c r="C5" s="613"/>
      <c r="D5" s="320">
        <v>2011</v>
      </c>
      <c r="E5" s="321">
        <v>2012</v>
      </c>
      <c r="F5" s="321">
        <v>2013</v>
      </c>
      <c r="G5" s="322">
        <v>2014</v>
      </c>
      <c r="H5" s="320">
        <v>2011</v>
      </c>
      <c r="I5" s="321">
        <v>2012</v>
      </c>
      <c r="J5" s="321">
        <v>2013</v>
      </c>
      <c r="K5" s="322">
        <v>2014</v>
      </c>
      <c r="L5" s="320">
        <v>2011</v>
      </c>
      <c r="M5" s="321">
        <v>2012</v>
      </c>
      <c r="N5" s="321">
        <v>2013</v>
      </c>
      <c r="O5" s="322">
        <v>2014</v>
      </c>
      <c r="P5" s="323">
        <v>2014</v>
      </c>
      <c r="Q5" s="323">
        <v>2014</v>
      </c>
      <c r="R5" s="316"/>
      <c r="S5" s="316"/>
      <c r="T5" s="316"/>
      <c r="U5" s="316"/>
    </row>
    <row r="6" spans="2:23" ht="6.6" customHeight="1" thickBot="1" x14ac:dyDescent="0.3">
      <c r="B6" s="324"/>
      <c r="C6" s="324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16"/>
      <c r="S6" s="316"/>
      <c r="T6" s="316"/>
      <c r="U6" s="316"/>
    </row>
    <row r="7" spans="2:23" ht="16.5" thickBot="1" x14ac:dyDescent="0.3">
      <c r="B7" s="603" t="s">
        <v>241</v>
      </c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317" t="s">
        <v>242</v>
      </c>
      <c r="S7" s="317" t="s">
        <v>243</v>
      </c>
      <c r="T7" s="317" t="s">
        <v>244</v>
      </c>
      <c r="U7" s="326"/>
    </row>
    <row r="8" spans="2:23" ht="15" x14ac:dyDescent="0.25">
      <c r="B8" s="327" t="s">
        <v>245</v>
      </c>
      <c r="C8" s="280" t="s">
        <v>246</v>
      </c>
      <c r="D8" s="67">
        <v>631</v>
      </c>
      <c r="E8" s="318">
        <v>335</v>
      </c>
      <c r="F8" s="318"/>
      <c r="G8" s="328"/>
      <c r="H8" s="67">
        <v>36</v>
      </c>
      <c r="I8" s="318">
        <v>21</v>
      </c>
      <c r="J8" s="318">
        <v>25</v>
      </c>
      <c r="K8" s="328">
        <v>20</v>
      </c>
      <c r="L8" s="67">
        <v>262506</v>
      </c>
      <c r="M8" s="318">
        <v>144063</v>
      </c>
      <c r="N8" s="329">
        <v>150000</v>
      </c>
      <c r="O8" s="330">
        <v>130000</v>
      </c>
      <c r="P8" s="331">
        <f>SUM(H8:K8)</f>
        <v>102</v>
      </c>
      <c r="Q8" s="332">
        <f>(L8*4)+(M8*3)+(N8*2)+(O8)</f>
        <v>1912213</v>
      </c>
      <c r="R8" s="333">
        <f>Q8</f>
        <v>1912213</v>
      </c>
      <c r="S8" s="334"/>
      <c r="T8" s="334"/>
      <c r="U8" s="326" t="s">
        <v>114</v>
      </c>
    </row>
    <row r="9" spans="2:23" ht="15" x14ac:dyDescent="0.25">
      <c r="B9" s="327" t="s">
        <v>247</v>
      </c>
      <c r="C9" s="280" t="s">
        <v>246</v>
      </c>
      <c r="D9" s="67">
        <v>69</v>
      </c>
      <c r="E9" s="318">
        <v>2</v>
      </c>
      <c r="F9" s="318"/>
      <c r="G9" s="328"/>
      <c r="H9" s="67">
        <v>7</v>
      </c>
      <c r="I9" s="318">
        <v>0</v>
      </c>
      <c r="J9" s="318">
        <v>5</v>
      </c>
      <c r="K9" s="328">
        <v>5</v>
      </c>
      <c r="L9" s="67">
        <v>8561</v>
      </c>
      <c r="M9" s="318">
        <v>364</v>
      </c>
      <c r="N9" s="329">
        <v>5000</v>
      </c>
      <c r="O9" s="330">
        <v>5000</v>
      </c>
      <c r="P9" s="331">
        <f>SUM(H9:K9)</f>
        <v>17</v>
      </c>
      <c r="Q9" s="332">
        <f>(L9*4)+(M9*3)+(N9*2)+(O9)</f>
        <v>50336</v>
      </c>
      <c r="R9" s="333">
        <f>Q9</f>
        <v>50336</v>
      </c>
      <c r="S9" s="334"/>
      <c r="T9" s="334"/>
      <c r="U9" s="326" t="s">
        <v>114</v>
      </c>
    </row>
    <row r="10" spans="2:23" ht="15" x14ac:dyDescent="0.25">
      <c r="B10" s="327" t="s">
        <v>248</v>
      </c>
      <c r="C10" s="280" t="s">
        <v>249</v>
      </c>
      <c r="D10" s="67">
        <v>2261</v>
      </c>
      <c r="E10" s="318">
        <v>1760</v>
      </c>
      <c r="F10" s="318"/>
      <c r="G10" s="328"/>
      <c r="H10" s="67">
        <v>642</v>
      </c>
      <c r="I10" s="318">
        <v>541</v>
      </c>
      <c r="J10" s="318">
        <v>600</v>
      </c>
      <c r="K10" s="328">
        <v>600</v>
      </c>
      <c r="L10" s="67">
        <v>1178372</v>
      </c>
      <c r="M10" s="318">
        <v>996900</v>
      </c>
      <c r="N10" s="329">
        <v>1200000</v>
      </c>
      <c r="O10" s="330">
        <v>1100000</v>
      </c>
      <c r="P10" s="331">
        <f>SUM(H10:K10)</f>
        <v>2383</v>
      </c>
      <c r="Q10" s="332">
        <f>(L10*4)+(M10*3)+(N10*2)+(O10)</f>
        <v>11204188</v>
      </c>
      <c r="R10" s="333">
        <f>+Q10*90%</f>
        <v>10083769.200000001</v>
      </c>
      <c r="S10" s="334">
        <f>+Q10*10%</f>
        <v>1120418.8</v>
      </c>
      <c r="T10" s="334"/>
      <c r="U10" s="326" t="s">
        <v>302</v>
      </c>
    </row>
    <row r="11" spans="2:23" ht="15" x14ac:dyDescent="0.25">
      <c r="B11" s="327" t="s">
        <v>303</v>
      </c>
      <c r="C11" s="280" t="s">
        <v>250</v>
      </c>
      <c r="D11" s="67">
        <v>8184</v>
      </c>
      <c r="E11" s="318">
        <v>42</v>
      </c>
      <c r="F11" s="318"/>
      <c r="G11" s="328"/>
      <c r="H11" s="67">
        <v>19</v>
      </c>
      <c r="I11" s="318">
        <v>5</v>
      </c>
      <c r="J11" s="318">
        <v>25</v>
      </c>
      <c r="K11" s="328">
        <v>25</v>
      </c>
      <c r="L11" s="67">
        <v>305679</v>
      </c>
      <c r="M11" s="318">
        <v>1789</v>
      </c>
      <c r="N11" s="329">
        <v>300000</v>
      </c>
      <c r="O11" s="330">
        <v>300000</v>
      </c>
      <c r="P11" s="331">
        <f>SUM(H11:K11)</f>
        <v>74</v>
      </c>
      <c r="Q11" s="332">
        <f>(L11*4)+(M11*3)+(N11*2)+(O11)</f>
        <v>2128083</v>
      </c>
      <c r="R11" s="333">
        <f>Q11</f>
        <v>2128083</v>
      </c>
      <c r="S11" s="334"/>
      <c r="T11" s="334"/>
      <c r="U11" s="326" t="s">
        <v>114</v>
      </c>
    </row>
    <row r="12" spans="2:23" ht="15" x14ac:dyDescent="0.25">
      <c r="B12" s="327" t="s">
        <v>251</v>
      </c>
      <c r="C12" s="280" t="s">
        <v>250</v>
      </c>
      <c r="D12" s="67">
        <v>14195</v>
      </c>
      <c r="E12" s="318">
        <v>5138</v>
      </c>
      <c r="F12" s="318"/>
      <c r="G12" s="328"/>
      <c r="H12" s="67">
        <v>27</v>
      </c>
      <c r="I12" s="318">
        <v>11</v>
      </c>
      <c r="J12" s="318">
        <v>10</v>
      </c>
      <c r="K12" s="328">
        <v>10</v>
      </c>
      <c r="L12" s="67">
        <v>479313</v>
      </c>
      <c r="M12" s="318">
        <v>200227</v>
      </c>
      <c r="N12" s="329">
        <v>350000</v>
      </c>
      <c r="O12" s="330">
        <v>300000</v>
      </c>
      <c r="P12" s="331">
        <f>SUM(H12:K12)</f>
        <v>58</v>
      </c>
      <c r="Q12" s="332">
        <f>(L12*4)+(M12*3)+(N12*2)+(O12)</f>
        <v>3517933</v>
      </c>
      <c r="R12" s="333">
        <f>Q12</f>
        <v>3517933</v>
      </c>
      <c r="S12" s="334"/>
      <c r="T12" s="334"/>
      <c r="U12" s="326" t="s">
        <v>114</v>
      </c>
    </row>
    <row r="13" spans="2:23" ht="15" x14ac:dyDescent="0.25">
      <c r="B13" s="335" t="s">
        <v>252</v>
      </c>
      <c r="C13" s="336" t="s">
        <v>253</v>
      </c>
      <c r="D13" s="337">
        <v>271</v>
      </c>
      <c r="E13" s="338">
        <v>271</v>
      </c>
      <c r="F13" s="338"/>
      <c r="G13" s="339"/>
      <c r="H13" s="337">
        <v>152</v>
      </c>
      <c r="I13" s="338">
        <v>152</v>
      </c>
      <c r="J13" s="338">
        <v>750</v>
      </c>
      <c r="K13" s="339">
        <v>2000</v>
      </c>
      <c r="L13" s="337">
        <v>0</v>
      </c>
      <c r="M13" s="338">
        <v>0</v>
      </c>
      <c r="N13" s="340">
        <v>0</v>
      </c>
      <c r="O13" s="341">
        <v>0</v>
      </c>
      <c r="P13" s="342">
        <f>K13</f>
        <v>2000</v>
      </c>
      <c r="Q13" s="343">
        <v>0</v>
      </c>
      <c r="R13" s="334"/>
      <c r="S13" s="334"/>
      <c r="T13" s="334"/>
      <c r="U13" s="326"/>
    </row>
    <row r="14" spans="2:23" ht="15.75" thickBot="1" x14ac:dyDescent="0.3">
      <c r="B14" s="344" t="s">
        <v>254</v>
      </c>
      <c r="C14" s="345"/>
      <c r="D14" s="346"/>
      <c r="E14" s="347"/>
      <c r="F14" s="347"/>
      <c r="G14" s="348"/>
      <c r="H14" s="346">
        <f>SUM(H8:H12)</f>
        <v>731</v>
      </c>
      <c r="I14" s="346">
        <f>SUM(I8:I12)</f>
        <v>578</v>
      </c>
      <c r="J14" s="346">
        <f>SUM(J8:J12)</f>
        <v>665</v>
      </c>
      <c r="K14" s="348">
        <f>SUM(K8:K12)</f>
        <v>660</v>
      </c>
      <c r="L14" s="346">
        <v>2234431</v>
      </c>
      <c r="M14" s="347">
        <f>SUM(M8:M13)</f>
        <v>1343343</v>
      </c>
      <c r="N14" s="349">
        <f>SUM(N8:N13)</f>
        <v>2005000</v>
      </c>
      <c r="O14" s="350">
        <f>SUM(O8:O13)</f>
        <v>1835000</v>
      </c>
      <c r="P14" s="351">
        <f>SUM(P8:P13)</f>
        <v>4634</v>
      </c>
      <c r="Q14" s="352">
        <f>SUM(Q8:Q13)</f>
        <v>18812753</v>
      </c>
      <c r="R14" s="334"/>
      <c r="S14" s="334"/>
      <c r="T14" s="334"/>
      <c r="U14" s="326"/>
      <c r="W14" s="353"/>
    </row>
    <row r="15" spans="2:23" ht="6.6" customHeight="1" thickBot="1" x14ac:dyDescent="0.25">
      <c r="B15" s="354"/>
      <c r="C15" s="354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6"/>
      <c r="O15" s="356"/>
      <c r="P15" s="356"/>
      <c r="R15" s="334"/>
      <c r="S15" s="334"/>
      <c r="T15" s="334"/>
      <c r="U15" s="326"/>
    </row>
    <row r="16" spans="2:23" ht="16.5" thickBot="1" x14ac:dyDescent="0.3">
      <c r="B16" s="603" t="s">
        <v>255</v>
      </c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334"/>
      <c r="S16" s="334"/>
      <c r="T16" s="334"/>
      <c r="U16" s="326"/>
    </row>
    <row r="17" spans="2:21" ht="15" x14ac:dyDescent="0.25">
      <c r="B17" s="327" t="s">
        <v>256</v>
      </c>
      <c r="C17" s="280" t="s">
        <v>257</v>
      </c>
      <c r="D17" s="67">
        <v>50</v>
      </c>
      <c r="E17" s="318">
        <v>92</v>
      </c>
      <c r="F17" s="318"/>
      <c r="G17" s="328"/>
      <c r="H17" s="109">
        <v>564</v>
      </c>
      <c r="I17" s="318">
        <v>741</v>
      </c>
      <c r="J17" s="318">
        <v>1655</v>
      </c>
      <c r="K17" s="357">
        <v>900</v>
      </c>
      <c r="L17" s="67">
        <v>3057370</v>
      </c>
      <c r="M17" s="318">
        <v>3572196</v>
      </c>
      <c r="N17" s="329">
        <v>7000000</v>
      </c>
      <c r="O17" s="330">
        <v>4850000</v>
      </c>
      <c r="P17" s="109">
        <f>SUM(H17:K17)</f>
        <v>3860</v>
      </c>
      <c r="Q17" s="357">
        <f>(L17*4)+(M17*3)+(N17*2)+(O17)</f>
        <v>41796068</v>
      </c>
      <c r="R17" s="334"/>
      <c r="S17" s="333">
        <f>Q17*0.12</f>
        <v>5015528.16</v>
      </c>
      <c r="T17" s="333">
        <f>Q17*0.88</f>
        <v>36780539.840000004</v>
      </c>
      <c r="U17" s="326" t="s">
        <v>258</v>
      </c>
    </row>
    <row r="18" spans="2:21" ht="15" x14ac:dyDescent="0.25">
      <c r="B18" s="327" t="s">
        <v>259</v>
      </c>
      <c r="C18" s="280" t="s">
        <v>257</v>
      </c>
      <c r="D18" s="67">
        <v>239</v>
      </c>
      <c r="E18" s="318">
        <v>172</v>
      </c>
      <c r="F18" s="318"/>
      <c r="G18" s="328"/>
      <c r="H18" s="109">
        <v>261</v>
      </c>
      <c r="I18" s="318">
        <v>333</v>
      </c>
      <c r="J18" s="318">
        <v>350</v>
      </c>
      <c r="K18" s="357">
        <v>350</v>
      </c>
      <c r="L18" s="67">
        <v>631336</v>
      </c>
      <c r="M18" s="318">
        <v>838891</v>
      </c>
      <c r="N18" s="329">
        <v>1000000</v>
      </c>
      <c r="O18" s="329">
        <v>1000000</v>
      </c>
      <c r="P18" s="109">
        <f>SUM(H18:K18)</f>
        <v>1294</v>
      </c>
      <c r="Q18" s="357">
        <f>(L18*4)+(M18*3)+(N18*2)+(O18)</f>
        <v>8042017</v>
      </c>
      <c r="R18" s="334"/>
      <c r="S18" s="333">
        <f>Q18</f>
        <v>8042017</v>
      </c>
      <c r="T18" s="334"/>
      <c r="U18" s="326" t="s">
        <v>243</v>
      </c>
    </row>
    <row r="19" spans="2:21" ht="15" x14ac:dyDescent="0.25">
      <c r="B19" s="335" t="s">
        <v>260</v>
      </c>
      <c r="C19" s="336"/>
      <c r="D19" s="337">
        <v>9</v>
      </c>
      <c r="E19" s="338">
        <v>9</v>
      </c>
      <c r="F19" s="338"/>
      <c r="G19" s="339"/>
      <c r="H19" s="342">
        <v>6</v>
      </c>
      <c r="I19" s="338">
        <v>6</v>
      </c>
      <c r="J19" s="338">
        <v>100</v>
      </c>
      <c r="K19" s="358">
        <v>150</v>
      </c>
      <c r="L19" s="337">
        <v>0</v>
      </c>
      <c r="M19" s="338">
        <v>0</v>
      </c>
      <c r="N19" s="359">
        <v>0</v>
      </c>
      <c r="O19" s="359">
        <v>0</v>
      </c>
      <c r="P19" s="342">
        <f>K19</f>
        <v>150</v>
      </c>
      <c r="Q19" s="358">
        <v>0</v>
      </c>
      <c r="R19" s="334"/>
      <c r="S19" s="334"/>
      <c r="T19" s="334"/>
      <c r="U19" s="326"/>
    </row>
    <row r="20" spans="2:21" ht="15" x14ac:dyDescent="0.25">
      <c r="B20" s="335" t="s">
        <v>261</v>
      </c>
      <c r="C20" s="336" t="s">
        <v>262</v>
      </c>
      <c r="D20" s="337">
        <v>4</v>
      </c>
      <c r="E20" s="338">
        <v>8</v>
      </c>
      <c r="F20" s="338"/>
      <c r="G20" s="339"/>
      <c r="H20" s="342">
        <v>455</v>
      </c>
      <c r="I20" s="338">
        <v>579</v>
      </c>
      <c r="J20" s="338">
        <v>600</v>
      </c>
      <c r="K20" s="358">
        <v>600</v>
      </c>
      <c r="L20" s="337">
        <v>17768</v>
      </c>
      <c r="M20" s="338">
        <v>22681</v>
      </c>
      <c r="N20" s="359">
        <v>0</v>
      </c>
      <c r="O20" s="359">
        <v>0</v>
      </c>
      <c r="P20" s="342">
        <f>K20</f>
        <v>600</v>
      </c>
      <c r="Q20" s="358">
        <v>40449</v>
      </c>
      <c r="R20" s="334"/>
      <c r="S20" s="334"/>
      <c r="T20" s="333">
        <f>Q20</f>
        <v>40449</v>
      </c>
      <c r="U20" s="326" t="s">
        <v>244</v>
      </c>
    </row>
    <row r="21" spans="2:21" ht="15.75" thickBot="1" x14ac:dyDescent="0.3">
      <c r="B21" s="360" t="s">
        <v>263</v>
      </c>
      <c r="C21" s="361"/>
      <c r="D21" s="68"/>
      <c r="E21" s="69"/>
      <c r="F21" s="69"/>
      <c r="G21" s="70"/>
      <c r="H21" s="362">
        <f>SUM(H17:H18)</f>
        <v>825</v>
      </c>
      <c r="I21" s="362">
        <f>SUM(I17:I18)</f>
        <v>1074</v>
      </c>
      <c r="J21" s="363">
        <f>SUM(J17:J18)</f>
        <v>2005</v>
      </c>
      <c r="K21" s="364">
        <f>SUM(K17:K18)</f>
        <v>1250</v>
      </c>
      <c r="L21" s="365">
        <f>SUM(L17:L20)</f>
        <v>3706474</v>
      </c>
      <c r="M21" s="363">
        <f>SUM(M17:M20)</f>
        <v>4433768</v>
      </c>
      <c r="N21" s="366">
        <f t="shared" ref="N21:Q21" si="0">SUM(N17:N20)</f>
        <v>8000000</v>
      </c>
      <c r="O21" s="367">
        <f t="shared" si="0"/>
        <v>5850000</v>
      </c>
      <c r="P21" s="362">
        <f t="shared" si="0"/>
        <v>5904</v>
      </c>
      <c r="Q21" s="364">
        <f t="shared" si="0"/>
        <v>49878534</v>
      </c>
      <c r="R21" s="334"/>
      <c r="S21" s="334"/>
      <c r="T21" s="334"/>
      <c r="U21" s="326"/>
    </row>
    <row r="22" spans="2:21" ht="7.9" customHeight="1" thickBot="1" x14ac:dyDescent="0.25">
      <c r="B22" s="354"/>
      <c r="C22" s="354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6"/>
      <c r="R22" s="334"/>
      <c r="S22" s="334"/>
      <c r="T22" s="334"/>
      <c r="U22" s="326"/>
    </row>
    <row r="23" spans="2:21" ht="16.5" thickBot="1" x14ac:dyDescent="0.3">
      <c r="B23" s="606"/>
      <c r="C23" s="605"/>
      <c r="D23" s="605"/>
      <c r="E23" s="605"/>
      <c r="F23" s="605"/>
      <c r="G23" s="605"/>
      <c r="H23" s="605"/>
      <c r="I23" s="605"/>
      <c r="J23" s="605"/>
      <c r="K23" s="605"/>
      <c r="L23" s="605"/>
      <c r="M23" s="605"/>
      <c r="N23" s="605"/>
      <c r="O23" s="605"/>
      <c r="P23" s="605"/>
      <c r="Q23" s="605"/>
      <c r="R23" s="334"/>
      <c r="S23" s="334"/>
      <c r="T23" s="334"/>
      <c r="U23" s="326"/>
    </row>
    <row r="24" spans="2:21" ht="15" x14ac:dyDescent="0.25">
      <c r="B24" s="327" t="s">
        <v>256</v>
      </c>
      <c r="C24" s="280" t="s">
        <v>257</v>
      </c>
      <c r="D24" s="67">
        <v>10</v>
      </c>
      <c r="E24" s="318">
        <v>0</v>
      </c>
      <c r="F24" s="318"/>
      <c r="G24" s="328"/>
      <c r="H24" s="67"/>
      <c r="I24" s="318"/>
      <c r="J24" s="318"/>
      <c r="K24" s="328"/>
      <c r="L24" s="67">
        <v>271185</v>
      </c>
      <c r="M24" s="318">
        <v>0</v>
      </c>
      <c r="N24" s="329">
        <v>0</v>
      </c>
      <c r="O24" s="330">
        <v>0</v>
      </c>
      <c r="P24" s="109">
        <f>SUM(H24:K24)</f>
        <v>0</v>
      </c>
      <c r="Q24" s="357">
        <f>(L24*4)+(M24*3)+(N24*2)+(O24)</f>
        <v>1084740</v>
      </c>
      <c r="R24" s="334"/>
      <c r="S24" s="334"/>
      <c r="T24" s="334">
        <f>Q24</f>
        <v>1084740</v>
      </c>
      <c r="U24" s="326" t="s">
        <v>244</v>
      </c>
    </row>
    <row r="25" spans="2:21" ht="15" x14ac:dyDescent="0.25">
      <c r="B25" s="335" t="s">
        <v>261</v>
      </c>
      <c r="C25" s="336" t="s">
        <v>262</v>
      </c>
      <c r="D25" s="337">
        <v>4</v>
      </c>
      <c r="E25" s="338">
        <v>3</v>
      </c>
      <c r="F25" s="338"/>
      <c r="G25" s="339"/>
      <c r="H25" s="337">
        <v>1453</v>
      </c>
      <c r="I25" s="338">
        <v>1226</v>
      </c>
      <c r="J25" s="338">
        <v>1500</v>
      </c>
      <c r="K25" s="339">
        <v>1500</v>
      </c>
      <c r="L25" s="337">
        <v>85285</v>
      </c>
      <c r="M25" s="338">
        <v>71988</v>
      </c>
      <c r="N25" s="359">
        <v>0</v>
      </c>
      <c r="O25" s="368">
        <v>0</v>
      </c>
      <c r="P25" s="342">
        <f>K25</f>
        <v>1500</v>
      </c>
      <c r="Q25" s="358">
        <v>157273</v>
      </c>
      <c r="R25" s="334"/>
      <c r="S25" s="334"/>
      <c r="T25" s="334">
        <f>Q25</f>
        <v>157273</v>
      </c>
      <c r="U25" s="326" t="s">
        <v>244</v>
      </c>
    </row>
    <row r="26" spans="2:21" ht="15.75" thickBot="1" x14ac:dyDescent="0.3">
      <c r="B26" s="360" t="s">
        <v>264</v>
      </c>
      <c r="C26" s="369"/>
      <c r="D26" s="365"/>
      <c r="E26" s="363"/>
      <c r="F26" s="363"/>
      <c r="G26" s="370"/>
      <c r="H26" s="365"/>
      <c r="I26" s="363"/>
      <c r="J26" s="363"/>
      <c r="K26" s="370"/>
      <c r="L26" s="365">
        <f>SUM(L24:L25)</f>
        <v>356470</v>
      </c>
      <c r="M26" s="365">
        <f>SUM(M24:M25)</f>
        <v>71988</v>
      </c>
      <c r="N26" s="366">
        <v>0</v>
      </c>
      <c r="O26" s="367">
        <v>0</v>
      </c>
      <c r="P26" s="362">
        <f>SUM(P24:P25)</f>
        <v>1500</v>
      </c>
      <c r="Q26" s="364">
        <f>SUM(Q24:Q25)</f>
        <v>1242013</v>
      </c>
      <c r="R26" s="334"/>
      <c r="S26" s="334"/>
      <c r="T26" s="334"/>
      <c r="U26" s="326"/>
    </row>
    <row r="27" spans="2:21" ht="8.4499999999999993" customHeight="1" thickBot="1" x14ac:dyDescent="0.25">
      <c r="B27" s="354"/>
      <c r="C27" s="354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6"/>
      <c r="Q27" s="356"/>
      <c r="R27" s="334"/>
      <c r="S27" s="334"/>
      <c r="T27" s="334"/>
      <c r="U27" s="326"/>
    </row>
    <row r="28" spans="2:21" ht="15.75" thickBot="1" x14ac:dyDescent="0.3">
      <c r="B28" s="607" t="s">
        <v>265</v>
      </c>
      <c r="C28" s="608"/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8"/>
      <c r="P28" s="608"/>
      <c r="Q28" s="608"/>
      <c r="R28" s="334"/>
      <c r="S28" s="334"/>
      <c r="T28" s="334"/>
      <c r="U28" s="326"/>
    </row>
    <row r="29" spans="2:21" ht="15" x14ac:dyDescent="0.25">
      <c r="B29" s="327" t="s">
        <v>266</v>
      </c>
      <c r="C29" s="280"/>
      <c r="D29" s="67">
        <v>68</v>
      </c>
      <c r="E29" s="318">
        <v>0</v>
      </c>
      <c r="F29" s="318"/>
      <c r="G29" s="328"/>
      <c r="H29" s="67">
        <v>964</v>
      </c>
      <c r="I29" s="318">
        <v>0</v>
      </c>
      <c r="J29" s="318">
        <v>0</v>
      </c>
      <c r="K29" s="328">
        <v>0</v>
      </c>
      <c r="L29" s="67">
        <v>6580023</v>
      </c>
      <c r="M29" s="318">
        <v>0</v>
      </c>
      <c r="N29" s="329">
        <v>0</v>
      </c>
      <c r="O29" s="330">
        <v>0</v>
      </c>
      <c r="P29" s="109">
        <f>SUM(H29:K29)</f>
        <v>964</v>
      </c>
      <c r="Q29" s="357">
        <f>(L29*4)+(M29*3)+(N29*2)+(O29)</f>
        <v>26320092</v>
      </c>
      <c r="R29" s="334"/>
      <c r="S29" s="333">
        <f>Q29*0.12</f>
        <v>3158411.04</v>
      </c>
      <c r="T29" s="333">
        <f>Q29*0.88</f>
        <v>23161680.960000001</v>
      </c>
      <c r="U29" s="326" t="s">
        <v>258</v>
      </c>
    </row>
    <row r="30" spans="2:21" ht="15" x14ac:dyDescent="0.25">
      <c r="B30" s="327" t="s">
        <v>267</v>
      </c>
      <c r="C30" s="280"/>
      <c r="D30" s="67">
        <v>0</v>
      </c>
      <c r="E30" s="318">
        <v>1</v>
      </c>
      <c r="F30" s="318"/>
      <c r="G30" s="328"/>
      <c r="H30" s="67">
        <v>1</v>
      </c>
      <c r="I30" s="318">
        <v>134</v>
      </c>
      <c r="J30" s="318">
        <v>15</v>
      </c>
      <c r="K30" s="328">
        <v>0</v>
      </c>
      <c r="L30" s="67">
        <v>5230</v>
      </c>
      <c r="M30" s="318">
        <v>712344</v>
      </c>
      <c r="N30" s="329">
        <v>0</v>
      </c>
      <c r="O30" s="330">
        <v>0</v>
      </c>
      <c r="P30" s="109">
        <f>SUM(H30:K30)</f>
        <v>150</v>
      </c>
      <c r="Q30" s="357">
        <f>(L30*4)+(M30*3)+(N30*2)+(O30)</f>
        <v>2157952</v>
      </c>
      <c r="R30" s="334"/>
      <c r="S30" s="334"/>
      <c r="T30" s="333">
        <f>Q30</f>
        <v>2157952</v>
      </c>
      <c r="U30" s="326" t="s">
        <v>244</v>
      </c>
    </row>
    <row r="31" spans="2:21" ht="15.75" thickBot="1" x14ac:dyDescent="0.3">
      <c r="B31" s="360" t="s">
        <v>268</v>
      </c>
      <c r="C31" s="369"/>
      <c r="D31" s="365"/>
      <c r="E31" s="363"/>
      <c r="F31" s="363"/>
      <c r="G31" s="370"/>
      <c r="H31" s="352">
        <f>SUM(H29:H30)</f>
        <v>965</v>
      </c>
      <c r="I31" s="363">
        <f>SUM(I29:I30)</f>
        <v>134</v>
      </c>
      <c r="J31" s="363">
        <f>SUM(J29:J30)</f>
        <v>15</v>
      </c>
      <c r="K31" s="370">
        <f>SUM(K29:K30)</f>
        <v>0</v>
      </c>
      <c r="L31" s="365">
        <v>6585253</v>
      </c>
      <c r="M31" s="363">
        <v>712344</v>
      </c>
      <c r="N31" s="366">
        <v>0</v>
      </c>
      <c r="O31" s="367">
        <v>0</v>
      </c>
      <c r="P31" s="362">
        <f>SUM(P29:P30)</f>
        <v>1114</v>
      </c>
      <c r="Q31" s="364">
        <f>SUM(Q29:Q30)</f>
        <v>28478044</v>
      </c>
      <c r="R31" s="334"/>
      <c r="S31" s="334"/>
      <c r="T31" s="334"/>
      <c r="U31" s="326"/>
    </row>
    <row r="32" spans="2:21" ht="13.5" thickBot="1" x14ac:dyDescent="0.25">
      <c r="N32" s="64"/>
      <c r="O32" s="64"/>
      <c r="R32" s="334"/>
      <c r="S32" s="334"/>
      <c r="T32" s="334"/>
      <c r="U32" s="326"/>
    </row>
    <row r="33" spans="2:21" ht="15.75" thickBot="1" x14ac:dyDescent="0.3">
      <c r="B33" s="371" t="s">
        <v>269</v>
      </c>
      <c r="C33" s="609"/>
      <c r="D33" s="610"/>
      <c r="E33" s="610"/>
      <c r="F33" s="610"/>
      <c r="G33" s="610"/>
      <c r="H33" s="610"/>
      <c r="I33" s="610"/>
      <c r="J33" s="610"/>
      <c r="K33" s="611"/>
      <c r="L33" s="372">
        <v>12882629</v>
      </c>
      <c r="M33" s="372">
        <f>M31+M26+M21+M14</f>
        <v>6561443</v>
      </c>
      <c r="N33" s="372">
        <f>N31+N26+N21+N14</f>
        <v>10005000</v>
      </c>
      <c r="O33" s="372">
        <f>O31+O26+O21+O14</f>
        <v>7685000</v>
      </c>
      <c r="P33" s="372">
        <f>P31+P26+P21+P14</f>
        <v>13152</v>
      </c>
      <c r="Q33" s="373">
        <f>Q31+Q26+Q21+Q14</f>
        <v>98411344</v>
      </c>
      <c r="R33" s="374">
        <f>SUM(R8:R32)</f>
        <v>17692334.200000003</v>
      </c>
      <c r="S33" s="374">
        <f>SUM(S8:S32)</f>
        <v>17336375</v>
      </c>
      <c r="T33" s="374">
        <f>SUM(T8:T32)</f>
        <v>63382634.800000004</v>
      </c>
      <c r="U33" s="326"/>
    </row>
    <row r="34" spans="2:21" ht="13.5" thickBot="1" x14ac:dyDescent="0.25">
      <c r="L34" s="64" t="s">
        <v>270</v>
      </c>
      <c r="Q34" t="s">
        <v>270</v>
      </c>
      <c r="R34" s="353">
        <f>+R33/Q33</f>
        <v>0.17977941851906831</v>
      </c>
      <c r="S34" s="353">
        <f>+S33/Q33</f>
        <v>0.17616236396486973</v>
      </c>
      <c r="T34" s="353">
        <f>+T33/Q33</f>
        <v>0.64405821751606207</v>
      </c>
    </row>
    <row r="35" spans="2:21" ht="15.75" thickBot="1" x14ac:dyDescent="0.3">
      <c r="M35" s="600" t="s">
        <v>271</v>
      </c>
      <c r="N35" s="600"/>
      <c r="O35" s="600"/>
      <c r="P35" s="372">
        <v>21560</v>
      </c>
      <c r="Q35" s="372">
        <v>90290000</v>
      </c>
      <c r="U35" s="64" t="s">
        <v>270</v>
      </c>
    </row>
    <row r="36" spans="2:21" ht="13.5" thickBot="1" x14ac:dyDescent="0.25"/>
    <row r="37" spans="2:21" ht="15.75" thickBot="1" x14ac:dyDescent="0.3">
      <c r="B37" s="375"/>
      <c r="M37" s="600" t="s">
        <v>272</v>
      </c>
      <c r="N37" s="600"/>
      <c r="O37" s="600"/>
      <c r="P37" s="376">
        <f>P33/P35</f>
        <v>0.61001855287569573</v>
      </c>
      <c r="Q37" s="376">
        <f>Q33/Q35</f>
        <v>1.0899473252851921</v>
      </c>
    </row>
    <row r="38" spans="2:21" x14ac:dyDescent="0.2">
      <c r="B38" s="375"/>
    </row>
    <row r="52" spans="2:2" x14ac:dyDescent="0.2">
      <c r="B52" s="375"/>
    </row>
    <row r="53" spans="2:2" x14ac:dyDescent="0.2">
      <c r="B53" s="375"/>
    </row>
  </sheetData>
  <mergeCells count="14">
    <mergeCell ref="M35:O35"/>
    <mergeCell ref="M37:O37"/>
    <mergeCell ref="Q3:Q4"/>
    <mergeCell ref="B7:Q7"/>
    <mergeCell ref="B16:Q16"/>
    <mergeCell ref="B23:Q23"/>
    <mergeCell ref="B28:Q28"/>
    <mergeCell ref="C33:K33"/>
    <mergeCell ref="B3:B5"/>
    <mergeCell ref="C3:C5"/>
    <mergeCell ref="D3:G4"/>
    <mergeCell ref="H3:K4"/>
    <mergeCell ref="L3:O4"/>
    <mergeCell ref="P3:P4"/>
  </mergeCells>
  <pageMargins left="0.17" right="0.18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51"/>
  <sheetViews>
    <sheetView topLeftCell="A340" workbookViewId="0">
      <selection activeCell="E350" sqref="E350"/>
    </sheetView>
  </sheetViews>
  <sheetFormatPr defaultRowHeight="14.25" x14ac:dyDescent="0.2"/>
  <cols>
    <col min="1" max="1" width="9.140625" style="72"/>
    <col min="2" max="2" width="4.5703125" style="72" customWidth="1"/>
    <col min="3" max="3" width="22.7109375" style="72" hidden="1" customWidth="1"/>
    <col min="4" max="4" width="34.42578125" style="72" customWidth="1"/>
    <col min="5" max="5" width="14.28515625" style="72" bestFit="1" customWidth="1"/>
    <col min="6" max="6" width="15" style="72" customWidth="1"/>
    <col min="7" max="7" width="14.28515625" style="72" bestFit="1" customWidth="1"/>
    <col min="8" max="8" width="14.5703125" style="72" customWidth="1"/>
    <col min="9" max="9" width="14.28515625" style="72" bestFit="1" customWidth="1"/>
    <col min="10" max="10" width="13.5703125" style="72" customWidth="1"/>
    <col min="11" max="12" width="13.140625" style="72" customWidth="1"/>
    <col min="13" max="13" width="10.140625" style="72" bestFit="1" customWidth="1"/>
    <col min="14" max="14" width="9.140625" style="72"/>
    <col min="15" max="15" width="11" style="72" customWidth="1"/>
    <col min="16" max="16384" width="9.140625" style="72"/>
  </cols>
  <sheetData>
    <row r="2" spans="1:17" ht="15" x14ac:dyDescent="0.2">
      <c r="A2" s="634" t="s">
        <v>208</v>
      </c>
      <c r="B2" s="635"/>
      <c r="C2" s="635"/>
      <c r="D2" s="635"/>
      <c r="E2" s="635"/>
      <c r="F2" s="635"/>
      <c r="G2" s="635"/>
      <c r="H2" s="635"/>
      <c r="I2" s="636"/>
      <c r="J2" s="74"/>
    </row>
    <row r="3" spans="1:17" ht="45" x14ac:dyDescent="0.2">
      <c r="A3" s="637" t="s">
        <v>83</v>
      </c>
      <c r="B3" s="638"/>
      <c r="C3" s="378"/>
      <c r="D3" s="379" t="s">
        <v>276</v>
      </c>
      <c r="E3" s="379" t="s">
        <v>277</v>
      </c>
      <c r="F3" s="379" t="s">
        <v>84</v>
      </c>
      <c r="G3" s="379" t="s">
        <v>85</v>
      </c>
      <c r="H3" s="379" t="s">
        <v>86</v>
      </c>
      <c r="I3" s="379" t="s">
        <v>87</v>
      </c>
      <c r="J3" s="75"/>
    </row>
    <row r="4" spans="1:17" ht="15" x14ac:dyDescent="0.2">
      <c r="A4" s="634" t="s">
        <v>286</v>
      </c>
      <c r="B4" s="635"/>
      <c r="C4" s="635"/>
      <c r="D4" s="635"/>
      <c r="E4" s="635"/>
      <c r="F4" s="635"/>
      <c r="G4" s="635"/>
      <c r="H4" s="635"/>
      <c r="I4" s="636"/>
      <c r="J4" s="74"/>
    </row>
    <row r="5" spans="1:17" ht="7.5" customHeight="1" x14ac:dyDescent="0.2">
      <c r="A5" s="645"/>
      <c r="B5" s="646"/>
      <c r="C5" s="73"/>
      <c r="D5" s="76"/>
      <c r="E5" s="76"/>
      <c r="F5" s="76"/>
      <c r="G5" s="76"/>
      <c r="H5" s="76"/>
      <c r="I5" s="76"/>
      <c r="J5" s="74"/>
      <c r="O5"/>
      <c r="P5"/>
      <c r="Q5"/>
    </row>
    <row r="6" spans="1:17" ht="15" x14ac:dyDescent="0.2">
      <c r="A6" s="401" t="s">
        <v>159</v>
      </c>
      <c r="B6" s="402"/>
      <c r="C6" s="403"/>
      <c r="D6" s="380">
        <f>J28</f>
        <v>1861.2111650000002</v>
      </c>
      <c r="E6" s="406"/>
      <c r="F6" s="406"/>
      <c r="G6" s="381">
        <f>+J48</f>
        <v>89033</v>
      </c>
      <c r="H6" s="406"/>
      <c r="I6" s="406"/>
      <c r="J6" s="74"/>
      <c r="O6"/>
      <c r="P6"/>
      <c r="Q6"/>
    </row>
    <row r="7" spans="1:17" ht="7.5" customHeight="1" x14ac:dyDescent="0.2">
      <c r="A7" s="647"/>
      <c r="B7" s="648"/>
      <c r="C7" s="73"/>
      <c r="D7" s="76"/>
      <c r="E7" s="76"/>
      <c r="F7" s="76"/>
      <c r="G7" s="76"/>
      <c r="H7" s="76"/>
      <c r="I7" s="76"/>
      <c r="J7" s="74"/>
      <c r="O7"/>
      <c r="P7"/>
      <c r="Q7"/>
    </row>
    <row r="8" spans="1:17" ht="15" customHeight="1" x14ac:dyDescent="0.2">
      <c r="A8" s="300" t="s">
        <v>118</v>
      </c>
      <c r="B8" s="301"/>
      <c r="C8" s="77"/>
      <c r="D8" s="78">
        <f>Summary!B8/1000000</f>
        <v>1825.733379</v>
      </c>
      <c r="E8" s="79"/>
      <c r="F8" s="80"/>
      <c r="G8" s="81">
        <f>Summary!B59</f>
        <v>73368.030303030304</v>
      </c>
      <c r="H8" s="382"/>
      <c r="I8" s="80"/>
      <c r="J8" s="82"/>
      <c r="K8" s="83"/>
      <c r="O8"/>
      <c r="P8"/>
      <c r="Q8"/>
    </row>
    <row r="9" spans="1:17" ht="15" customHeight="1" x14ac:dyDescent="0.2">
      <c r="A9" s="300" t="s">
        <v>29</v>
      </c>
      <c r="B9" s="301"/>
      <c r="C9" s="77"/>
      <c r="D9" s="78">
        <f>Summary!C8/1000000</f>
        <v>1864.9571659999999</v>
      </c>
      <c r="E9" s="382">
        <f t="shared" ref="E9:E22" si="0">D9-D8</f>
        <v>39.223786999999902</v>
      </c>
      <c r="F9" s="384">
        <f t="shared" ref="F9:F19" si="1">E9/D8</f>
        <v>2.1483852708813242E-2</v>
      </c>
      <c r="G9" s="81">
        <f>Summary!C59</f>
        <v>74010.606060606064</v>
      </c>
      <c r="H9" s="461">
        <f t="shared" ref="H9:H22" si="2">G9-G8</f>
        <v>642.57575757575978</v>
      </c>
      <c r="I9" s="384">
        <f t="shared" ref="I9:I22" si="3">H9/G8</f>
        <v>8.7582528101373819E-3</v>
      </c>
      <c r="J9" s="82"/>
      <c r="K9" s="83"/>
      <c r="O9"/>
      <c r="P9"/>
      <c r="Q9"/>
    </row>
    <row r="10" spans="1:17" ht="15" customHeight="1" x14ac:dyDescent="0.2">
      <c r="A10" s="300" t="s">
        <v>30</v>
      </c>
      <c r="B10" s="301"/>
      <c r="C10" s="77"/>
      <c r="D10" s="78">
        <f>Summary!D8/1000000</f>
        <v>1966.6381249999999</v>
      </c>
      <c r="E10" s="382">
        <f t="shared" si="0"/>
        <v>101.68095900000003</v>
      </c>
      <c r="F10" s="384">
        <f t="shared" si="1"/>
        <v>5.4521873667526387E-2</v>
      </c>
      <c r="G10" s="81">
        <f>Summary!D59</f>
        <v>75484.393939393936</v>
      </c>
      <c r="H10" s="461">
        <f t="shared" si="2"/>
        <v>1473.7878787878726</v>
      </c>
      <c r="I10" s="384">
        <f t="shared" si="3"/>
        <v>1.9913198354044176E-2</v>
      </c>
      <c r="J10" s="82"/>
      <c r="K10" s="83"/>
      <c r="O10"/>
      <c r="P10"/>
      <c r="Q10"/>
    </row>
    <row r="11" spans="1:17" ht="15" customHeight="1" x14ac:dyDescent="0.2">
      <c r="A11" s="300" t="s">
        <v>31</v>
      </c>
      <c r="B11" s="301"/>
      <c r="C11" s="77"/>
      <c r="D11" s="78">
        <f>Summary!E8/1000000</f>
        <v>1970.3830290000003</v>
      </c>
      <c r="E11" s="382">
        <f t="shared" si="0"/>
        <v>3.7449040000003606</v>
      </c>
      <c r="F11" s="384">
        <f t="shared" si="1"/>
        <v>1.9042161099161853E-3</v>
      </c>
      <c r="G11" s="81">
        <f>Summary!E59</f>
        <v>77440</v>
      </c>
      <c r="H11" s="461">
        <f t="shared" si="2"/>
        <v>1955.6060606060637</v>
      </c>
      <c r="I11" s="384">
        <f t="shared" si="3"/>
        <v>2.5907422164324595E-2</v>
      </c>
      <c r="J11" s="82"/>
      <c r="K11" s="83"/>
      <c r="O11"/>
      <c r="P11"/>
      <c r="Q11"/>
    </row>
    <row r="12" spans="1:17" ht="15" customHeight="1" x14ac:dyDescent="0.2">
      <c r="A12" s="300" t="s">
        <v>32</v>
      </c>
      <c r="B12" s="301"/>
      <c r="C12" s="77"/>
      <c r="D12" s="78">
        <f>Summary!F8/1000000</f>
        <v>1947.4839019999999</v>
      </c>
      <c r="E12" s="382">
        <f t="shared" si="0"/>
        <v>-22.899127000000362</v>
      </c>
      <c r="F12" s="384">
        <f t="shared" si="1"/>
        <v>-1.1621662723933439E-2</v>
      </c>
      <c r="G12" s="81">
        <f>Summary!F59</f>
        <v>79603</v>
      </c>
      <c r="H12" s="461">
        <f t="shared" si="2"/>
        <v>2163</v>
      </c>
      <c r="I12" s="384">
        <f t="shared" si="3"/>
        <v>2.7931301652892562E-2</v>
      </c>
      <c r="J12" s="82"/>
      <c r="K12" s="83"/>
      <c r="O12"/>
      <c r="P12"/>
      <c r="Q12"/>
    </row>
    <row r="13" spans="1:17" ht="15" customHeight="1" x14ac:dyDescent="0.2">
      <c r="A13" s="300" t="s">
        <v>33</v>
      </c>
      <c r="B13" s="301"/>
      <c r="C13" s="77"/>
      <c r="D13" s="78">
        <f>Summary!G8/1000000</f>
        <v>2040.872519</v>
      </c>
      <c r="E13" s="382">
        <f t="shared" si="0"/>
        <v>93.388617000000067</v>
      </c>
      <c r="F13" s="384">
        <f t="shared" si="1"/>
        <v>4.795347314763071E-2</v>
      </c>
      <c r="G13" s="81">
        <f>Summary!G59</f>
        <v>81812</v>
      </c>
      <c r="H13" s="461">
        <f t="shared" si="2"/>
        <v>2209</v>
      </c>
      <c r="I13" s="384">
        <f t="shared" si="3"/>
        <v>2.7750210419205307E-2</v>
      </c>
      <c r="J13" s="82"/>
      <c r="K13" s="83"/>
      <c r="O13"/>
      <c r="P13"/>
      <c r="Q13"/>
    </row>
    <row r="14" spans="1:17" ht="15" customHeight="1" x14ac:dyDescent="0.2">
      <c r="A14" s="300" t="s">
        <v>34</v>
      </c>
      <c r="B14" s="301"/>
      <c r="C14" s="77"/>
      <c r="D14" s="78">
        <f>Summary!H8/1000000</f>
        <v>1917.7350120000001</v>
      </c>
      <c r="E14" s="382">
        <f t="shared" si="0"/>
        <v>-123.13750699999991</v>
      </c>
      <c r="F14" s="384">
        <f t="shared" si="1"/>
        <v>-6.033571712766049E-2</v>
      </c>
      <c r="G14" s="81">
        <f>Summary!H59</f>
        <v>83281</v>
      </c>
      <c r="H14" s="461">
        <f t="shared" si="2"/>
        <v>1469</v>
      </c>
      <c r="I14" s="384">
        <f t="shared" si="3"/>
        <v>1.7955801104972375E-2</v>
      </c>
      <c r="J14" s="82"/>
      <c r="K14" s="83"/>
    </row>
    <row r="15" spans="1:17" ht="15" customHeight="1" x14ac:dyDescent="0.2">
      <c r="A15" s="300" t="s">
        <v>35</v>
      </c>
      <c r="B15" s="301"/>
      <c r="C15" s="77"/>
      <c r="D15" s="78">
        <f>Summary!I8/1000000</f>
        <v>1918.1903560000001</v>
      </c>
      <c r="E15" s="382">
        <f t="shared" si="0"/>
        <v>0.45534399999996822</v>
      </c>
      <c r="F15" s="384">
        <f t="shared" si="1"/>
        <v>2.374384350031193E-4</v>
      </c>
      <c r="G15" s="81">
        <f>Summary!I59</f>
        <v>84941</v>
      </c>
      <c r="H15" s="461">
        <f t="shared" si="2"/>
        <v>1660</v>
      </c>
      <c r="I15" s="384">
        <f t="shared" si="3"/>
        <v>1.9932517621066029E-2</v>
      </c>
      <c r="J15" s="82"/>
      <c r="K15" s="83"/>
    </row>
    <row r="16" spans="1:17" ht="15" customHeight="1" x14ac:dyDescent="0.2">
      <c r="A16" s="300" t="s">
        <v>88</v>
      </c>
      <c r="B16" s="301"/>
      <c r="C16" s="77"/>
      <c r="D16" s="78">
        <f>Summary!J8/1000000</f>
        <v>1877.404166</v>
      </c>
      <c r="E16" s="382">
        <f t="shared" si="0"/>
        <v>-40.786190000000033</v>
      </c>
      <c r="F16" s="384">
        <f t="shared" si="1"/>
        <v>-2.1262848013192719E-2</v>
      </c>
      <c r="G16" s="81">
        <f>Summary!J59</f>
        <v>85780.159090909103</v>
      </c>
      <c r="H16" s="461">
        <f t="shared" si="2"/>
        <v>839.15909090910282</v>
      </c>
      <c r="I16" s="384">
        <f t="shared" si="3"/>
        <v>9.8793173015281534E-3</v>
      </c>
      <c r="J16" s="82"/>
      <c r="K16" s="83"/>
    </row>
    <row r="17" spans="1:30" ht="15" customHeight="1" x14ac:dyDescent="0.2">
      <c r="A17" s="300" t="s">
        <v>89</v>
      </c>
      <c r="B17" s="301"/>
      <c r="C17" s="77"/>
      <c r="D17" s="78">
        <f>Summary!K8/1000000</f>
        <v>1777.401233</v>
      </c>
      <c r="E17" s="382">
        <f t="shared" si="0"/>
        <v>-100.00293299999998</v>
      </c>
      <c r="F17" s="384">
        <f t="shared" si="1"/>
        <v>-5.3266598003277245E-2</v>
      </c>
      <c r="G17" s="81">
        <f>Summary!K49</f>
        <v>87002.416666666672</v>
      </c>
      <c r="H17" s="461">
        <f t="shared" si="2"/>
        <v>1222.2575757575687</v>
      </c>
      <c r="I17" s="384">
        <f t="shared" si="3"/>
        <v>1.4248721251055623E-2</v>
      </c>
      <c r="J17" s="82"/>
      <c r="K17" s="83"/>
    </row>
    <row r="18" spans="1:30" ht="15" customHeight="1" x14ac:dyDescent="0.2">
      <c r="A18" s="300" t="s">
        <v>50</v>
      </c>
      <c r="B18" s="301"/>
      <c r="C18" s="84"/>
      <c r="D18" s="78">
        <f>Summary!L8/1000000</f>
        <v>1829.5004919999999</v>
      </c>
      <c r="E18" s="382">
        <f t="shared" si="0"/>
        <v>52.099258999999847</v>
      </c>
      <c r="F18" s="384">
        <f t="shared" si="1"/>
        <v>2.9312041666621172E-2</v>
      </c>
      <c r="G18" s="81">
        <f>Summary!L49</f>
        <v>88329.996523716705</v>
      </c>
      <c r="H18" s="461">
        <f t="shared" si="2"/>
        <v>1327.5798570500338</v>
      </c>
      <c r="I18" s="384">
        <f t="shared" si="3"/>
        <v>1.525911472248415E-2</v>
      </c>
      <c r="J18" s="82"/>
      <c r="K18" s="83"/>
    </row>
    <row r="19" spans="1:30" s="86" customFormat="1" ht="15" customHeight="1" x14ac:dyDescent="0.25">
      <c r="A19" s="300" t="s">
        <v>52</v>
      </c>
      <c r="B19" s="305"/>
      <c r="C19" s="73"/>
      <c r="D19" s="78">
        <f>Summary!M8/1000000</f>
        <v>1833.8813520000001</v>
      </c>
      <c r="E19" s="382">
        <f t="shared" si="0"/>
        <v>4.3808600000002116</v>
      </c>
      <c r="F19" s="384">
        <f t="shared" si="1"/>
        <v>2.3945661775751038E-3</v>
      </c>
      <c r="G19" s="81">
        <f>Summary!M49</f>
        <v>89685.666666666672</v>
      </c>
      <c r="H19" s="461">
        <f t="shared" si="2"/>
        <v>1355.6701429499662</v>
      </c>
      <c r="I19" s="384">
        <f t="shared" si="3"/>
        <v>1.5347788931316976E-2</v>
      </c>
      <c r="J19" s="82"/>
      <c r="K19" s="85"/>
    </row>
    <row r="20" spans="1:30" s="86" customFormat="1" ht="15" customHeight="1" x14ac:dyDescent="0.25">
      <c r="A20" s="302" t="s">
        <v>160</v>
      </c>
      <c r="B20" s="305"/>
      <c r="C20" s="74"/>
      <c r="D20" s="78">
        <f>Summary!N8/1000000</f>
        <v>1825.2340899999999</v>
      </c>
      <c r="E20" s="382">
        <f t="shared" ref="E20" si="4">D20-D19</f>
        <v>-8.6472620000001825</v>
      </c>
      <c r="F20" s="384">
        <f t="shared" ref="F20" si="5">E20/D19</f>
        <v>-4.7152788759041711E-3</v>
      </c>
      <c r="G20" s="81">
        <f>Summary!N49</f>
        <v>91039.840909090897</v>
      </c>
      <c r="H20" s="461">
        <f t="shared" ref="H20" si="6">G20-G19</f>
        <v>1354.1742424242257</v>
      </c>
      <c r="I20" s="384">
        <f t="shared" ref="I20" si="7">H20/G19</f>
        <v>1.5099115530436587E-2</v>
      </c>
      <c r="J20" s="82"/>
      <c r="K20" s="85"/>
    </row>
    <row r="21" spans="1:30" s="86" customFormat="1" ht="15" customHeight="1" x14ac:dyDescent="0.25">
      <c r="A21" s="306" t="s">
        <v>161</v>
      </c>
      <c r="B21" s="304"/>
      <c r="C21" s="74"/>
      <c r="D21" s="87">
        <f>Summary!O8/1000000</f>
        <v>1826.8270306382431</v>
      </c>
      <c r="E21" s="383">
        <f>D21-D20</f>
        <v>1.5929406382431353</v>
      </c>
      <c r="F21" s="385">
        <f>E21/D20</f>
        <v>8.727322412891901E-4</v>
      </c>
      <c r="G21" s="89">
        <f>Summary!O49</f>
        <v>92413.875829240715</v>
      </c>
      <c r="H21" s="462">
        <f>G21-G20</f>
        <v>1374.0349201498175</v>
      </c>
      <c r="I21" s="385">
        <f>H21/G20</f>
        <v>1.5092677078839354E-2</v>
      </c>
      <c r="J21" s="90"/>
      <c r="K21" s="85"/>
      <c r="L21" s="158"/>
    </row>
    <row r="22" spans="1:30" s="86" customFormat="1" ht="15" customHeight="1" x14ac:dyDescent="0.25">
      <c r="A22" s="307" t="s">
        <v>162</v>
      </c>
      <c r="B22" s="307"/>
      <c r="C22" s="74"/>
      <c r="D22" s="87">
        <f>Summary!P8/1000000</f>
        <v>1789.7725751328919</v>
      </c>
      <c r="E22" s="383">
        <f t="shared" si="0"/>
        <v>-37.054455505351143</v>
      </c>
      <c r="F22" s="385">
        <f>E22/D21</f>
        <v>-2.0283505161627337E-2</v>
      </c>
      <c r="G22" s="89">
        <f>Summary!P49</f>
        <v>93835.736623274526</v>
      </c>
      <c r="H22" s="462">
        <f t="shared" si="2"/>
        <v>1421.8607940338115</v>
      </c>
      <c r="I22" s="385">
        <f t="shared" si="3"/>
        <v>1.5385793326762731E-2</v>
      </c>
      <c r="J22" s="90"/>
      <c r="K22" s="85"/>
      <c r="L22" s="158"/>
    </row>
    <row r="23" spans="1:30" s="86" customFormat="1" ht="15" x14ac:dyDescent="0.25">
      <c r="A23" s="143"/>
      <c r="B23" s="144"/>
      <c r="C23" s="74"/>
      <c r="D23" s="145"/>
      <c r="E23" s="146"/>
      <c r="F23" s="147"/>
      <c r="G23" s="148"/>
      <c r="H23" s="149"/>
      <c r="I23" s="147"/>
      <c r="J23" s="90"/>
      <c r="K23" s="85"/>
    </row>
    <row r="24" spans="1:30" ht="15" x14ac:dyDescent="0.2">
      <c r="A24" s="634" t="s">
        <v>209</v>
      </c>
      <c r="B24" s="635"/>
      <c r="C24" s="635"/>
      <c r="D24" s="635"/>
      <c r="E24" s="635"/>
      <c r="F24" s="635"/>
      <c r="G24" s="635"/>
      <c r="H24" s="635"/>
      <c r="I24" s="635"/>
      <c r="J24" s="636"/>
      <c r="K24" s="121"/>
      <c r="L24" s="121"/>
      <c r="M24" s="91"/>
    </row>
    <row r="25" spans="1:30" ht="30" x14ac:dyDescent="0.2">
      <c r="A25" s="637" t="s">
        <v>83</v>
      </c>
      <c r="B25" s="649"/>
      <c r="C25" s="386"/>
      <c r="D25" s="387" t="s">
        <v>72</v>
      </c>
      <c r="E25" s="387" t="s">
        <v>115</v>
      </c>
      <c r="F25" s="387" t="s">
        <v>116</v>
      </c>
      <c r="G25" s="387" t="str">
        <f>Summary!A24</f>
        <v>Large User</v>
      </c>
      <c r="H25" s="387" t="s">
        <v>90</v>
      </c>
      <c r="I25" s="387" t="s">
        <v>117</v>
      </c>
      <c r="J25" s="387" t="s">
        <v>10</v>
      </c>
    </row>
    <row r="26" spans="1:30" ht="14.25" customHeight="1" x14ac:dyDescent="0.2">
      <c r="A26" s="93" t="s">
        <v>283</v>
      </c>
      <c r="B26" s="93"/>
      <c r="C26" s="93"/>
      <c r="D26" s="93"/>
      <c r="E26" s="93"/>
      <c r="F26" s="93"/>
      <c r="G26" s="93"/>
      <c r="H26" s="93"/>
      <c r="I26" s="93"/>
      <c r="J26" s="93"/>
      <c r="M26"/>
    </row>
    <row r="27" spans="1:30" ht="7.5" customHeight="1" x14ac:dyDescent="0.2">
      <c r="A27" s="650"/>
      <c r="B27" s="650"/>
      <c r="C27" s="76"/>
      <c r="D27" s="76"/>
      <c r="E27" s="76"/>
      <c r="F27" s="76"/>
      <c r="G27" s="76"/>
      <c r="H27" s="76"/>
      <c r="I27" s="76"/>
      <c r="J27" s="94"/>
    </row>
    <row r="28" spans="1:30" ht="15" customHeight="1" x14ac:dyDescent="0.2">
      <c r="A28" s="404" t="str">
        <f>A6</f>
        <v>2010 Board Approved</v>
      </c>
      <c r="B28" s="405"/>
      <c r="C28" s="244"/>
      <c r="D28" s="388">
        <f>650038341/1000000</f>
        <v>650.03834099999995</v>
      </c>
      <c r="E28" s="380">
        <f>235461608/1000000</f>
        <v>235.46160800000001</v>
      </c>
      <c r="F28" s="380">
        <f>884051506/1000000</f>
        <v>884.05150600000002</v>
      </c>
      <c r="G28" s="392">
        <f>71682604/1000000</f>
        <v>71.682603999999998</v>
      </c>
      <c r="H28" s="380">
        <f>16689726/1000000</f>
        <v>16.689726</v>
      </c>
      <c r="I28" s="389">
        <f>3287380/1000000</f>
        <v>3.2873800000000002</v>
      </c>
      <c r="J28" s="390">
        <f>SUM(D28:I28)</f>
        <v>1861.2111650000002</v>
      </c>
    </row>
    <row r="29" spans="1:30" ht="7.5" customHeight="1" x14ac:dyDescent="0.2">
      <c r="A29" s="644"/>
      <c r="B29" s="644"/>
      <c r="C29" s="76"/>
      <c r="D29" s="76"/>
      <c r="E29" s="76"/>
      <c r="F29" s="76"/>
      <c r="G29" s="393"/>
      <c r="H29" s="76"/>
      <c r="I29" s="78"/>
      <c r="J29" s="76"/>
    </row>
    <row r="30" spans="1:30" ht="15" customHeight="1" x14ac:dyDescent="0.2">
      <c r="A30" s="299" t="str">
        <f t="shared" ref="A30:A44" si="8">A8</f>
        <v xml:space="preserve">2000 Actual </v>
      </c>
      <c r="B30" s="307"/>
      <c r="C30" s="76"/>
      <c r="D30" s="78">
        <f>Summary!B13/1000000</f>
        <v>561.41096500000003</v>
      </c>
      <c r="E30" s="78">
        <f>Summary!B17/1000000</f>
        <v>216.11316622000001</v>
      </c>
      <c r="F30" s="78">
        <f>Summary!B21/1000000</f>
        <v>842.01120500000002</v>
      </c>
      <c r="G30" s="394">
        <f>Summary!B26/1000000</f>
        <v>188.08686499999999</v>
      </c>
      <c r="H30" s="78">
        <f>Summary!B31/1000000</f>
        <v>13.700704999999999</v>
      </c>
      <c r="I30" s="78">
        <f>Summary!B36/1000000</f>
        <v>4.4104727800000001</v>
      </c>
      <c r="J30" s="78">
        <f t="shared" ref="J30:J41" si="9">SUM(D30:I30)</f>
        <v>1825.733379</v>
      </c>
      <c r="M30"/>
      <c r="N30"/>
      <c r="W30"/>
      <c r="X30"/>
      <c r="Y30"/>
      <c r="Z30"/>
      <c r="AA30"/>
      <c r="AB30"/>
      <c r="AC30"/>
      <c r="AD30"/>
    </row>
    <row r="31" spans="1:30" ht="15" customHeight="1" x14ac:dyDescent="0.2">
      <c r="A31" s="299" t="str">
        <f t="shared" si="8"/>
        <v xml:space="preserve">2001 Actual </v>
      </c>
      <c r="B31" s="307"/>
      <c r="C31" s="76"/>
      <c r="D31" s="78">
        <f>Summary!C13/1000000</f>
        <v>540.86342000000002</v>
      </c>
      <c r="E31" s="78">
        <f>Summary!C17/1000000</f>
        <v>194.42224508000001</v>
      </c>
      <c r="F31" s="78">
        <f>Summary!C21/1000000</f>
        <v>882.75358100000005</v>
      </c>
      <c r="G31" s="394">
        <f>Summary!C26/1000000</f>
        <v>229.07200499999999</v>
      </c>
      <c r="H31" s="78">
        <f>Summary!C31/1000000</f>
        <v>13.878114</v>
      </c>
      <c r="I31" s="78">
        <f>Summary!C36/1000000</f>
        <v>3.9678009199999997</v>
      </c>
      <c r="J31" s="78">
        <f t="shared" si="9"/>
        <v>1864.9571660000001</v>
      </c>
      <c r="M31"/>
      <c r="N31"/>
    </row>
    <row r="32" spans="1:30" ht="15" customHeight="1" x14ac:dyDescent="0.2">
      <c r="A32" s="299" t="str">
        <f t="shared" si="8"/>
        <v xml:space="preserve">2002 Actual </v>
      </c>
      <c r="B32" s="299"/>
      <c r="C32" s="95"/>
      <c r="D32" s="78">
        <f>Summary!D13/1000000</f>
        <v>609.26549999999997</v>
      </c>
      <c r="E32" s="78">
        <f>Summary!D17/1000000</f>
        <v>219.36389187999998</v>
      </c>
      <c r="F32" s="78">
        <f>Summary!D21/1000000</f>
        <v>863.68391199999996</v>
      </c>
      <c r="G32" s="394">
        <f>Summary!D26/1000000</f>
        <v>257.359194</v>
      </c>
      <c r="H32" s="78">
        <f>Summary!D31/1000000</f>
        <v>12.488813</v>
      </c>
      <c r="I32" s="78">
        <f>Summary!D36/1000000</f>
        <v>4.4768141200000002</v>
      </c>
      <c r="J32" s="78">
        <f t="shared" si="9"/>
        <v>1966.6381249999997</v>
      </c>
      <c r="M32"/>
      <c r="N32"/>
    </row>
    <row r="33" spans="1:14" ht="15" customHeight="1" x14ac:dyDescent="0.2">
      <c r="A33" s="299" t="str">
        <f t="shared" si="8"/>
        <v xml:space="preserve">2003 Actual </v>
      </c>
      <c r="B33" s="299"/>
      <c r="C33" s="95"/>
      <c r="D33" s="78">
        <f>Summary!E13/1000000</f>
        <v>610.21327599999995</v>
      </c>
      <c r="E33" s="78">
        <f>Summary!E17/1000000</f>
        <v>225.49401434000001</v>
      </c>
      <c r="F33" s="78">
        <f>Summary!E21/1000000</f>
        <v>862.17471399999999</v>
      </c>
      <c r="G33" s="394">
        <f>Summary!E26/1000000</f>
        <v>253.07252700000001</v>
      </c>
      <c r="H33" s="78">
        <f>Summary!E31/1000000</f>
        <v>14.826579000000001</v>
      </c>
      <c r="I33" s="78">
        <f>Summary!E36/1000000</f>
        <v>4.6019186599999999</v>
      </c>
      <c r="J33" s="78">
        <f t="shared" si="9"/>
        <v>1970.3830290000001</v>
      </c>
      <c r="M33"/>
      <c r="N33"/>
    </row>
    <row r="34" spans="1:14" ht="15" customHeight="1" x14ac:dyDescent="0.2">
      <c r="A34" s="299" t="str">
        <f t="shared" si="8"/>
        <v xml:space="preserve">2004 Actual </v>
      </c>
      <c r="B34" s="299"/>
      <c r="C34" s="95"/>
      <c r="D34" s="78">
        <f>Summary!F13/1000000</f>
        <v>593.38398600000005</v>
      </c>
      <c r="E34" s="78">
        <f>Summary!F17/1000000</f>
        <v>218.38116356</v>
      </c>
      <c r="F34" s="78">
        <f>Summary!F21/1000000</f>
        <v>881.50786700000003</v>
      </c>
      <c r="G34" s="394">
        <f>Summary!F26/1000000</f>
        <v>234.73796300000001</v>
      </c>
      <c r="H34" s="78">
        <f>Summary!F31/1000000</f>
        <v>15.016164</v>
      </c>
      <c r="I34" s="78">
        <f>Summary!F36/1000000</f>
        <v>4.4567584400000007</v>
      </c>
      <c r="J34" s="78">
        <f t="shared" si="9"/>
        <v>1947.4839019999999</v>
      </c>
      <c r="M34"/>
      <c r="N34"/>
    </row>
    <row r="35" spans="1:14" ht="15" customHeight="1" x14ac:dyDescent="0.2">
      <c r="A35" s="299" t="str">
        <f t="shared" si="8"/>
        <v xml:space="preserve">2005 Actual </v>
      </c>
      <c r="B35" s="299"/>
      <c r="C35" s="95"/>
      <c r="D35" s="78">
        <f>Summary!G13/1000000</f>
        <v>640.47523699999999</v>
      </c>
      <c r="E35" s="78">
        <f>Summary!G17/1000000</f>
        <v>229.60168532</v>
      </c>
      <c r="F35" s="78">
        <f>Summary!G21/1000000</f>
        <v>918.95285200000001</v>
      </c>
      <c r="G35" s="394">
        <f>Summary!G26/1000000</f>
        <v>232.058404</v>
      </c>
      <c r="H35" s="78">
        <f>Summary!G31/1000000</f>
        <v>15.098592</v>
      </c>
      <c r="I35" s="78">
        <f>Summary!G36/1000000</f>
        <v>4.6857486799999997</v>
      </c>
      <c r="J35" s="78">
        <f t="shared" si="9"/>
        <v>2040.8725189999998</v>
      </c>
      <c r="M35"/>
      <c r="N35"/>
    </row>
    <row r="36" spans="1:14" ht="15" customHeight="1" x14ac:dyDescent="0.2">
      <c r="A36" s="299" t="str">
        <f t="shared" si="8"/>
        <v xml:space="preserve">2006 Actual </v>
      </c>
      <c r="B36" s="299"/>
      <c r="C36" s="95"/>
      <c r="D36" s="78">
        <f>Summary!H13/1000000</f>
        <v>624.19614999999999</v>
      </c>
      <c r="E36" s="78">
        <f>Summary!H17/1000000</f>
        <v>231.12800899999999</v>
      </c>
      <c r="F36" s="78">
        <f>Summary!H21/1000000</f>
        <v>860.41120899999999</v>
      </c>
      <c r="G36" s="394">
        <f>Summary!H26/1000000</f>
        <v>181.97579899999999</v>
      </c>
      <c r="H36" s="78">
        <f>Summary!H31/1000000</f>
        <v>15.290722000000001</v>
      </c>
      <c r="I36" s="78">
        <f>Summary!H36/1000000</f>
        <v>4.733123</v>
      </c>
      <c r="J36" s="78">
        <f t="shared" si="9"/>
        <v>1917.7350120000001</v>
      </c>
      <c r="M36"/>
      <c r="N36"/>
    </row>
    <row r="37" spans="1:14" ht="15" customHeight="1" x14ac:dyDescent="0.2">
      <c r="A37" s="299" t="str">
        <f t="shared" si="8"/>
        <v xml:space="preserve">2007 Actual </v>
      </c>
      <c r="B37" s="299"/>
      <c r="C37" s="95"/>
      <c r="D37" s="78">
        <f>Summary!I13/1000000</f>
        <v>639.51085899999998</v>
      </c>
      <c r="E37" s="78">
        <f>Summary!I17/1000000</f>
        <v>233.68564499999999</v>
      </c>
      <c r="F37" s="78">
        <f>Summary!I21/1000000</f>
        <v>866.79420600000003</v>
      </c>
      <c r="G37" s="394">
        <f>Summary!I26/1000000</f>
        <v>157.68077700000001</v>
      </c>
      <c r="H37" s="78">
        <f>Summary!I31/1000000</f>
        <v>15.541491000000001</v>
      </c>
      <c r="I37" s="78">
        <f>Summary!I36/1000000</f>
        <v>4.9773779999999999</v>
      </c>
      <c r="J37" s="78">
        <f t="shared" si="9"/>
        <v>1918.1903560000001</v>
      </c>
      <c r="M37"/>
      <c r="N37"/>
    </row>
    <row r="38" spans="1:14" ht="15" customHeight="1" x14ac:dyDescent="0.2">
      <c r="A38" s="299" t="str">
        <f t="shared" si="8"/>
        <v xml:space="preserve">2008 Actual </v>
      </c>
      <c r="B38" s="299"/>
      <c r="C38" s="95"/>
      <c r="D38" s="78">
        <f>Summary!J13/1000000</f>
        <v>638.16735600000004</v>
      </c>
      <c r="E38" s="78">
        <f>Summary!J17/1000000</f>
        <v>233.46413000000001</v>
      </c>
      <c r="F38" s="78">
        <f>Summary!J21/1000000</f>
        <v>838.01371900000004</v>
      </c>
      <c r="G38" s="394">
        <f>Summary!J26/1000000</f>
        <v>146.928777</v>
      </c>
      <c r="H38" s="78">
        <f>Summary!J31/1000000</f>
        <v>17.542401999999999</v>
      </c>
      <c r="I38" s="78">
        <f>Summary!J36/1000000</f>
        <v>3.287782</v>
      </c>
      <c r="J38" s="78">
        <f t="shared" si="9"/>
        <v>1877.4041660000003</v>
      </c>
      <c r="M38"/>
      <c r="N38"/>
    </row>
    <row r="39" spans="1:14" ht="15" customHeight="1" x14ac:dyDescent="0.2">
      <c r="A39" s="299" t="str">
        <f t="shared" si="8"/>
        <v>2009 Actual</v>
      </c>
      <c r="B39" s="299"/>
      <c r="C39" s="95"/>
      <c r="D39" s="78">
        <f>Summary!K13/1000000</f>
        <v>626.86970399999996</v>
      </c>
      <c r="E39" s="78">
        <f>Summary!K17/1000000</f>
        <v>230.57282599999999</v>
      </c>
      <c r="F39" s="78">
        <f>Summary!K21/1000000</f>
        <v>820.92000299999995</v>
      </c>
      <c r="G39" s="394">
        <f>Summary!K26/1000000</f>
        <v>79.822384999999997</v>
      </c>
      <c r="H39" s="78">
        <f>Summary!K31/1000000</f>
        <v>15.920914</v>
      </c>
      <c r="I39" s="78">
        <f>Summary!K36/1000000</f>
        <v>3.295401</v>
      </c>
      <c r="J39" s="78">
        <f t="shared" si="9"/>
        <v>1777.401233</v>
      </c>
      <c r="M39"/>
      <c r="N39"/>
    </row>
    <row r="40" spans="1:14" s="97" customFormat="1" ht="15" customHeight="1" x14ac:dyDescent="0.2">
      <c r="A40" s="299" t="str">
        <f t="shared" si="8"/>
        <v xml:space="preserve">2010 Actual </v>
      </c>
      <c r="B40" s="299"/>
      <c r="C40" s="96"/>
      <c r="D40" s="78">
        <f>Summary!L13/1000000</f>
        <v>650.65196700000001</v>
      </c>
      <c r="E40" s="78">
        <f>Summary!L17/1000000</f>
        <v>236.09592900000001</v>
      </c>
      <c r="F40" s="78">
        <f>Summary!L21/1000000</f>
        <v>876.88481400000001</v>
      </c>
      <c r="G40" s="394">
        <f>Summary!L26/1000000</f>
        <v>46.563625999999999</v>
      </c>
      <c r="H40" s="78">
        <f>Summary!L31/1000000</f>
        <v>16.035117</v>
      </c>
      <c r="I40" s="78">
        <f>Summary!L36/1000000</f>
        <v>3.2690389999999998</v>
      </c>
      <c r="J40" s="78">
        <f t="shared" si="9"/>
        <v>1829.5004919999999</v>
      </c>
      <c r="M40"/>
      <c r="N40"/>
    </row>
    <row r="41" spans="1:14" s="86" customFormat="1" ht="15" customHeight="1" x14ac:dyDescent="0.25">
      <c r="A41" s="299" t="str">
        <f t="shared" si="8"/>
        <v xml:space="preserve">2011 Actual </v>
      </c>
      <c r="B41" s="299"/>
      <c r="C41" s="76"/>
      <c r="D41" s="78">
        <f>Summary!M13/1000000</f>
        <v>647.28021100000001</v>
      </c>
      <c r="E41" s="78">
        <f>Summary!M17/1000000</f>
        <v>240.15552299999999</v>
      </c>
      <c r="F41" s="78">
        <f>Summary!M21/1000000</f>
        <v>871.25404800000001</v>
      </c>
      <c r="G41" s="394">
        <f>Summary!M26/1000000</f>
        <v>56.015269000000004</v>
      </c>
      <c r="H41" s="78">
        <f>Summary!M31/1000000</f>
        <v>15.857518000000001</v>
      </c>
      <c r="I41" s="78">
        <f>Summary!M36/1000000</f>
        <v>3.3187829999999998</v>
      </c>
      <c r="J41" s="78">
        <f t="shared" si="9"/>
        <v>1833.8813519999999</v>
      </c>
      <c r="M41"/>
      <c r="N41"/>
    </row>
    <row r="42" spans="1:14" s="86" customFormat="1" ht="15" customHeight="1" x14ac:dyDescent="0.25">
      <c r="A42" s="299" t="str">
        <f t="shared" si="8"/>
        <v>2012 Actual</v>
      </c>
      <c r="B42" s="299"/>
      <c r="C42" s="223"/>
      <c r="D42" s="78">
        <f>Summary!N13/1000000</f>
        <v>644.46730000000002</v>
      </c>
      <c r="E42" s="78">
        <f>Summary!N17/1000000</f>
        <v>240.98196999999999</v>
      </c>
      <c r="F42" s="78">
        <f>Summary!N21/1000000</f>
        <v>850.78848300000004</v>
      </c>
      <c r="G42" s="394">
        <f>Summary!N26/1000000</f>
        <v>69.356375999999997</v>
      </c>
      <c r="H42" s="78">
        <f>Summary!N31/1000000</f>
        <v>15.943500999999999</v>
      </c>
      <c r="I42" s="78">
        <f>Summary!N36/1000000</f>
        <v>3.6964600000000001</v>
      </c>
      <c r="J42" s="78">
        <f t="shared" ref="J42" si="10">SUM(D42:I42)</f>
        <v>1825.2340899999999</v>
      </c>
      <c r="M42"/>
      <c r="N42"/>
    </row>
    <row r="43" spans="1:14" s="86" customFormat="1" ht="15" customHeight="1" x14ac:dyDescent="0.25">
      <c r="A43" s="307" t="str">
        <f t="shared" si="8"/>
        <v>2013 Bridge</v>
      </c>
      <c r="B43" s="307"/>
      <c r="C43" s="76"/>
      <c r="D43" s="87">
        <f>Summary!O13/1000000</f>
        <v>649.8425669057882</v>
      </c>
      <c r="E43" s="87">
        <f>Summary!O17/1000000</f>
        <v>241.91417325771465</v>
      </c>
      <c r="F43" s="87">
        <f>Summary!O21/1000000</f>
        <v>849.54253905960456</v>
      </c>
      <c r="G43" s="395">
        <f>Summary!O26/1000000</f>
        <v>66.016828655037301</v>
      </c>
      <c r="H43" s="87">
        <f>Summary!O31/1000000</f>
        <v>15.898680403048244</v>
      </c>
      <c r="I43" s="87">
        <f>Summary!O36/1000000</f>
        <v>3.6122423570498672</v>
      </c>
      <c r="J43" s="87">
        <f>SUM(D43:I43)</f>
        <v>1826.8270306382428</v>
      </c>
      <c r="M43" s="18"/>
      <c r="N43" s="18"/>
    </row>
    <row r="44" spans="1:14" s="86" customFormat="1" ht="15" customHeight="1" x14ac:dyDescent="0.25">
      <c r="A44" s="307" t="str">
        <f t="shared" si="8"/>
        <v>2014 Test</v>
      </c>
      <c r="B44" s="307"/>
      <c r="C44" s="223"/>
      <c r="D44" s="87">
        <f>Summary!P13/1000000</f>
        <v>651.92661965833815</v>
      </c>
      <c r="E44" s="87">
        <f>Summary!P17/1000000</f>
        <v>241.61491154903371</v>
      </c>
      <c r="F44" s="87">
        <f>Summary!P21/1000000</f>
        <v>844.88640047818478</v>
      </c>
      <c r="G44" s="395">
        <f>Summary!P26/1000000</f>
        <v>31.798990292463159</v>
      </c>
      <c r="H44" s="87">
        <f>Summary!P31/1000000</f>
        <v>16.128464711878159</v>
      </c>
      <c r="I44" s="87">
        <f>Summary!P36/1000000</f>
        <v>3.4171884429939534</v>
      </c>
      <c r="J44" s="87">
        <f>SUM(D44:I44)</f>
        <v>1789.7725751328921</v>
      </c>
      <c r="M44" s="18"/>
      <c r="N44" s="18"/>
    </row>
    <row r="45" spans="1:14" s="119" customFormat="1" x14ac:dyDescent="0.2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</row>
    <row r="46" spans="1:14" ht="15" x14ac:dyDescent="0.2">
      <c r="A46" s="634" t="s">
        <v>210</v>
      </c>
      <c r="B46" s="635"/>
      <c r="C46" s="635"/>
      <c r="D46" s="635"/>
      <c r="E46" s="635"/>
      <c r="F46" s="635"/>
      <c r="G46" s="635"/>
      <c r="H46" s="635"/>
      <c r="I46" s="635"/>
      <c r="J46" s="636"/>
      <c r="K46" s="121"/>
      <c r="L46" s="121"/>
    </row>
    <row r="47" spans="1:14" ht="7.5" customHeight="1" x14ac:dyDescent="0.2">
      <c r="A47" s="410"/>
      <c r="B47" s="411"/>
      <c r="C47" s="411"/>
      <c r="D47" s="411"/>
      <c r="E47" s="411"/>
      <c r="F47" s="411"/>
      <c r="G47" s="411"/>
      <c r="H47" s="411"/>
      <c r="I47" s="411"/>
      <c r="J47" s="412"/>
      <c r="K47" s="121"/>
      <c r="L47" s="121"/>
    </row>
    <row r="48" spans="1:14" ht="15" customHeight="1" x14ac:dyDescent="0.2">
      <c r="A48" s="404" t="str">
        <f>A28</f>
        <v>2010 Board Approved</v>
      </c>
      <c r="B48" s="404"/>
      <c r="C48" s="243"/>
      <c r="D48" s="391">
        <v>78139</v>
      </c>
      <c r="E48" s="391">
        <v>7484</v>
      </c>
      <c r="F48" s="391">
        <v>1003</v>
      </c>
      <c r="G48" s="391">
        <v>2</v>
      </c>
      <c r="H48" s="391">
        <v>1585</v>
      </c>
      <c r="I48" s="391">
        <v>820</v>
      </c>
      <c r="J48" s="391">
        <f>SUM(D48:I48)</f>
        <v>89033</v>
      </c>
    </row>
    <row r="49" spans="1:20" ht="7.5" customHeight="1" x14ac:dyDescent="0.2">
      <c r="A49" s="628"/>
      <c r="B49" s="628"/>
      <c r="C49" s="95"/>
      <c r="D49" s="98"/>
      <c r="E49" s="98"/>
      <c r="F49" s="98"/>
      <c r="G49" s="98"/>
      <c r="H49" s="94"/>
      <c r="I49" s="94"/>
      <c r="J49" s="98"/>
    </row>
    <row r="50" spans="1:20" ht="15" customHeight="1" x14ac:dyDescent="0.2">
      <c r="A50" s="299" t="str">
        <f t="shared" ref="A50:A64" si="11">A30</f>
        <v xml:space="preserve">2000 Actual </v>
      </c>
      <c r="B50" s="299"/>
      <c r="C50" s="95"/>
      <c r="D50" s="98">
        <f>Summary!B12</f>
        <v>63692</v>
      </c>
      <c r="E50" s="98">
        <f>Summary!B16</f>
        <v>6548</v>
      </c>
      <c r="F50" s="480">
        <f>Summary!B20</f>
        <v>1033</v>
      </c>
      <c r="G50" s="98">
        <f>Summary!B25</f>
        <v>3</v>
      </c>
      <c r="H50" s="98">
        <f>Summary!B30</f>
        <v>1342.030303030303</v>
      </c>
      <c r="I50" s="98">
        <f>Summary!B35</f>
        <v>750</v>
      </c>
      <c r="J50" s="98">
        <f t="shared" ref="J50:J61" si="12">SUM(D50:I50)</f>
        <v>73368.030303030304</v>
      </c>
      <c r="M50" s="99"/>
      <c r="N50" s="99"/>
    </row>
    <row r="51" spans="1:20" ht="15" customHeight="1" x14ac:dyDescent="0.2">
      <c r="A51" s="299" t="str">
        <f t="shared" si="11"/>
        <v xml:space="preserve">2001 Actual </v>
      </c>
      <c r="B51" s="299"/>
      <c r="C51" s="95"/>
      <c r="D51" s="98">
        <f>Summary!C12</f>
        <v>64284</v>
      </c>
      <c r="E51" s="98">
        <f>Summary!C16</f>
        <v>6568</v>
      </c>
      <c r="F51" s="480">
        <f>Summary!C20</f>
        <v>1035</v>
      </c>
      <c r="G51" s="98">
        <f>Summary!C25</f>
        <v>4</v>
      </c>
      <c r="H51" s="98">
        <f>Summary!C30</f>
        <v>1369.6060606060605</v>
      </c>
      <c r="I51" s="98">
        <f>Summary!C35</f>
        <v>750</v>
      </c>
      <c r="J51" s="98">
        <f t="shared" si="12"/>
        <v>74010.606060606064</v>
      </c>
      <c r="M51" s="99"/>
      <c r="N51" s="99"/>
    </row>
    <row r="52" spans="1:20" ht="15" customHeight="1" x14ac:dyDescent="0.2">
      <c r="A52" s="299" t="str">
        <f t="shared" si="11"/>
        <v xml:space="preserve">2002 Actual </v>
      </c>
      <c r="B52" s="308"/>
      <c r="C52" s="95"/>
      <c r="D52" s="98">
        <f>Summary!D12</f>
        <v>65683</v>
      </c>
      <c r="E52" s="98">
        <f>Summary!D16</f>
        <v>6569</v>
      </c>
      <c r="F52" s="480">
        <f>Summary!D20</f>
        <v>1068</v>
      </c>
      <c r="G52" s="98">
        <f>Summary!D25</f>
        <v>4</v>
      </c>
      <c r="H52" s="98">
        <f>Summary!D30</f>
        <v>1394.3939393939395</v>
      </c>
      <c r="I52" s="98">
        <f>Summary!D35</f>
        <v>765</v>
      </c>
      <c r="J52" s="98">
        <f t="shared" si="12"/>
        <v>75483.393939393936</v>
      </c>
      <c r="M52" s="99"/>
      <c r="N52" s="99"/>
    </row>
    <row r="53" spans="1:20" ht="15" customHeight="1" x14ac:dyDescent="0.2">
      <c r="A53" s="299" t="str">
        <f t="shared" si="11"/>
        <v xml:space="preserve">2003 Actual </v>
      </c>
      <c r="B53" s="299"/>
      <c r="C53" s="95"/>
      <c r="D53" s="98">
        <f>Summary!E12</f>
        <v>67527</v>
      </c>
      <c r="E53" s="98">
        <f>Summary!E16</f>
        <v>6703</v>
      </c>
      <c r="F53" s="480">
        <f>Summary!E20</f>
        <v>1035</v>
      </c>
      <c r="G53" s="98">
        <f>Summary!E25</f>
        <v>4</v>
      </c>
      <c r="H53" s="98">
        <f>Summary!E30</f>
        <v>1405</v>
      </c>
      <c r="I53" s="98">
        <f>Summary!E35</f>
        <v>765</v>
      </c>
      <c r="J53" s="98">
        <f t="shared" si="12"/>
        <v>77439</v>
      </c>
      <c r="M53" s="99"/>
      <c r="N53" s="99"/>
    </row>
    <row r="54" spans="1:20" ht="15" customHeight="1" x14ac:dyDescent="0.2">
      <c r="A54" s="299" t="str">
        <f t="shared" si="11"/>
        <v xml:space="preserve">2004 Actual </v>
      </c>
      <c r="B54" s="299"/>
      <c r="C54" s="95"/>
      <c r="D54" s="98">
        <f>Summary!F12</f>
        <v>69405</v>
      </c>
      <c r="E54" s="98">
        <f>Summary!F16</f>
        <v>6816</v>
      </c>
      <c r="F54" s="480">
        <f>Summary!F20</f>
        <v>1058</v>
      </c>
      <c r="G54" s="98">
        <f>Summary!F25</f>
        <v>4</v>
      </c>
      <c r="H54" s="98">
        <f>Summary!F30</f>
        <v>1497</v>
      </c>
      <c r="I54" s="98">
        <f>Summary!F35</f>
        <v>822</v>
      </c>
      <c r="J54" s="98">
        <f t="shared" si="12"/>
        <v>79602</v>
      </c>
      <c r="M54" s="99"/>
      <c r="N54" s="99"/>
    </row>
    <row r="55" spans="1:20" ht="15" customHeight="1" x14ac:dyDescent="0.2">
      <c r="A55" s="299" t="str">
        <f t="shared" si="11"/>
        <v xml:space="preserve">2005 Actual </v>
      </c>
      <c r="B55" s="299"/>
      <c r="C55" s="95"/>
      <c r="D55" s="98">
        <f>Summary!G12</f>
        <v>71490</v>
      </c>
      <c r="E55" s="98">
        <f>Summary!G16</f>
        <v>6916</v>
      </c>
      <c r="F55" s="480">
        <f>Summary!G20</f>
        <v>1077</v>
      </c>
      <c r="G55" s="98">
        <f>Summary!G25</f>
        <v>4</v>
      </c>
      <c r="H55" s="98">
        <f>Summary!G30</f>
        <v>1517</v>
      </c>
      <c r="I55" s="98">
        <f>Summary!G35</f>
        <v>807</v>
      </c>
      <c r="J55" s="98">
        <f t="shared" si="12"/>
        <v>81811</v>
      </c>
      <c r="M55" s="99"/>
      <c r="N55" s="99"/>
    </row>
    <row r="56" spans="1:20" ht="15" customHeight="1" x14ac:dyDescent="0.2">
      <c r="A56" s="299" t="str">
        <f t="shared" si="11"/>
        <v xml:space="preserve">2006 Actual </v>
      </c>
      <c r="B56" s="299"/>
      <c r="C56" s="95"/>
      <c r="D56" s="98">
        <f>Summary!H12</f>
        <v>72866</v>
      </c>
      <c r="E56" s="98">
        <f>Summary!H16</f>
        <v>7049</v>
      </c>
      <c r="F56" s="480">
        <f>Summary!H20</f>
        <v>1021</v>
      </c>
      <c r="G56" s="98">
        <f>Summary!H25</f>
        <v>4</v>
      </c>
      <c r="H56" s="98">
        <f>Summary!H30</f>
        <v>1533</v>
      </c>
      <c r="I56" s="98">
        <f>Summary!H35</f>
        <v>807</v>
      </c>
      <c r="J56" s="98">
        <f t="shared" si="12"/>
        <v>83280</v>
      </c>
      <c r="M56" s="99"/>
      <c r="N56" s="99"/>
    </row>
    <row r="57" spans="1:20" ht="15" customHeight="1" x14ac:dyDescent="0.2">
      <c r="A57" s="299" t="str">
        <f t="shared" si="11"/>
        <v xml:space="preserve">2007 Actual </v>
      </c>
      <c r="B57" s="299"/>
      <c r="C57" s="95"/>
      <c r="D57" s="98">
        <f>Summary!I12</f>
        <v>74392</v>
      </c>
      <c r="E57" s="98">
        <f>Summary!I16</f>
        <v>7198</v>
      </c>
      <c r="F57" s="480">
        <f>Summary!I20</f>
        <v>1005</v>
      </c>
      <c r="G57" s="98">
        <f>Summary!I25</f>
        <v>4</v>
      </c>
      <c r="H57" s="98">
        <f>Summary!I30</f>
        <v>1523</v>
      </c>
      <c r="I57" s="98">
        <f>Summary!I35</f>
        <v>818</v>
      </c>
      <c r="J57" s="98">
        <f t="shared" si="12"/>
        <v>84940</v>
      </c>
      <c r="M57" s="99"/>
      <c r="N57" s="99"/>
      <c r="P57"/>
      <c r="Q57"/>
      <c r="R57"/>
      <c r="S57"/>
      <c r="T57"/>
    </row>
    <row r="58" spans="1:20" ht="15" customHeight="1" x14ac:dyDescent="0.2">
      <c r="A58" s="299" t="str">
        <f t="shared" si="11"/>
        <v xml:space="preserve">2008 Actual </v>
      </c>
      <c r="B58" s="299"/>
      <c r="C58" s="95"/>
      <c r="D58" s="98">
        <f>Summary!J12</f>
        <v>75153.833333333328</v>
      </c>
      <c r="E58" s="98">
        <f>Summary!J16</f>
        <v>7264.916666666667</v>
      </c>
      <c r="F58" s="480">
        <f>Summary!J20</f>
        <v>1014.1666666666666</v>
      </c>
      <c r="G58" s="98">
        <f>Summary!J25</f>
        <v>4</v>
      </c>
      <c r="H58" s="98">
        <f>Summary!J30</f>
        <v>1522.2424242424242</v>
      </c>
      <c r="I58" s="98">
        <f>Summary!J35</f>
        <v>820</v>
      </c>
      <c r="J58" s="98">
        <f t="shared" si="12"/>
        <v>85779.159090909103</v>
      </c>
      <c r="M58" s="99"/>
      <c r="N58" s="99"/>
    </row>
    <row r="59" spans="1:20" ht="15" customHeight="1" x14ac:dyDescent="0.2">
      <c r="A59" s="299" t="str">
        <f t="shared" si="11"/>
        <v>2009 Actual</v>
      </c>
      <c r="B59" s="299"/>
      <c r="C59" s="95"/>
      <c r="D59" s="98">
        <f>Summary!K12</f>
        <v>76255.166666666672</v>
      </c>
      <c r="E59" s="98">
        <f>Summary!K16</f>
        <v>7370.333333333333</v>
      </c>
      <c r="F59" s="480">
        <f>Summary!K20</f>
        <v>1004.9166666666666</v>
      </c>
      <c r="G59" s="98">
        <f>Summary!K25</f>
        <v>3</v>
      </c>
      <c r="H59" s="98">
        <f>Summary!K30</f>
        <v>1551</v>
      </c>
      <c r="I59" s="98">
        <f>Summary!K35</f>
        <v>817</v>
      </c>
      <c r="J59" s="98">
        <f t="shared" si="12"/>
        <v>87001.416666666672</v>
      </c>
      <c r="M59" s="99"/>
      <c r="N59" s="99"/>
      <c r="P59"/>
      <c r="Q59"/>
      <c r="R59"/>
      <c r="S59"/>
    </row>
    <row r="60" spans="1:20" s="97" customFormat="1" ht="15" customHeight="1" x14ac:dyDescent="0.2">
      <c r="A60" s="299" t="str">
        <f t="shared" si="11"/>
        <v xml:space="preserve">2010 Actual </v>
      </c>
      <c r="B60" s="299"/>
      <c r="C60" s="96"/>
      <c r="D60" s="98">
        <f>Summary!L12</f>
        <v>77505.916666666672</v>
      </c>
      <c r="E60" s="98">
        <f>Summary!L16</f>
        <v>7447.583333333333</v>
      </c>
      <c r="F60" s="480">
        <f>Summary!L20</f>
        <v>988.91666666666663</v>
      </c>
      <c r="G60" s="98">
        <f>Summary!L25</f>
        <v>1.3333333333333333</v>
      </c>
      <c r="H60" s="98">
        <f>Summary!L30</f>
        <v>1574.2465237166991</v>
      </c>
      <c r="I60" s="98">
        <f>Summary!L35</f>
        <v>811</v>
      </c>
      <c r="J60" s="98">
        <f t="shared" si="12"/>
        <v>88328.996523716705</v>
      </c>
      <c r="M60" s="99"/>
      <c r="N60" s="99"/>
    </row>
    <row r="61" spans="1:20" s="97" customFormat="1" ht="15" customHeight="1" x14ac:dyDescent="0.2">
      <c r="A61" s="299" t="str">
        <f t="shared" si="11"/>
        <v xml:space="preserve">2011 Actual </v>
      </c>
      <c r="B61" s="308"/>
      <c r="C61" s="96"/>
      <c r="D61" s="98">
        <f>Summary!M12</f>
        <v>78761</v>
      </c>
      <c r="E61" s="98">
        <f>Summary!M16</f>
        <v>7538</v>
      </c>
      <c r="F61" s="480">
        <f>Summary!M20</f>
        <v>975</v>
      </c>
      <c r="G61" s="98">
        <f>Summary!M25</f>
        <v>2</v>
      </c>
      <c r="H61" s="98">
        <f>Summary!M30</f>
        <v>1567.6666666666667</v>
      </c>
      <c r="I61" s="98">
        <f>Summary!M35</f>
        <v>841</v>
      </c>
      <c r="J61" s="98">
        <f t="shared" si="12"/>
        <v>89684.666666666672</v>
      </c>
      <c r="M61" s="99"/>
      <c r="N61" s="99"/>
    </row>
    <row r="62" spans="1:20" s="97" customFormat="1" ht="15" customHeight="1" x14ac:dyDescent="0.2">
      <c r="A62" s="299" t="str">
        <f t="shared" si="11"/>
        <v>2012 Actual</v>
      </c>
      <c r="B62" s="308"/>
      <c r="C62" s="96"/>
      <c r="D62" s="98">
        <f>Summary!N12</f>
        <v>79997</v>
      </c>
      <c r="E62" s="98">
        <f>Summary!N16</f>
        <v>7645.333333333333</v>
      </c>
      <c r="F62" s="480">
        <f>Summary!N20</f>
        <v>952.33333333333337</v>
      </c>
      <c r="G62" s="98">
        <f>Summary!N25</f>
        <v>2</v>
      </c>
      <c r="H62" s="98">
        <f>Summary!N30</f>
        <v>1573.4242424242425</v>
      </c>
      <c r="I62" s="98">
        <f>Summary!N35</f>
        <v>868.75</v>
      </c>
      <c r="J62" s="98">
        <f t="shared" ref="J62" si="13">SUM(D62:I62)</f>
        <v>91038.840909090897</v>
      </c>
      <c r="M62" s="99"/>
      <c r="N62" s="99"/>
    </row>
    <row r="63" spans="1:20" s="86" customFormat="1" ht="15" customHeight="1" x14ac:dyDescent="0.25">
      <c r="A63" s="307" t="str">
        <f t="shared" si="11"/>
        <v>2013 Bridge</v>
      </c>
      <c r="B63" s="309"/>
      <c r="C63" s="76"/>
      <c r="D63" s="102">
        <f>Summary!O12</f>
        <v>81276.952000000005</v>
      </c>
      <c r="E63" s="102">
        <f>Summary!O16</f>
        <v>7736.9966057773026</v>
      </c>
      <c r="F63" s="481">
        <f>Summary!O20</f>
        <v>948.47089081750107</v>
      </c>
      <c r="G63" s="102">
        <f>Summary!O25</f>
        <v>2</v>
      </c>
      <c r="H63" s="102">
        <f>Summary!O30</f>
        <v>1569</v>
      </c>
      <c r="I63" s="102">
        <f>Summary!O35</f>
        <v>879.45633264592357</v>
      </c>
      <c r="J63" s="102">
        <f>SUM(D63:I63)</f>
        <v>92412.875829240715</v>
      </c>
      <c r="M63" s="150"/>
      <c r="N63" s="150"/>
    </row>
    <row r="64" spans="1:20" s="86" customFormat="1" ht="15" customHeight="1" x14ac:dyDescent="0.25">
      <c r="A64" s="307" t="str">
        <f t="shared" si="11"/>
        <v>2014 Test</v>
      </c>
      <c r="B64" s="307"/>
      <c r="C64" s="151"/>
      <c r="D64" s="102">
        <f>Summary!P12</f>
        <v>82577.383232000007</v>
      </c>
      <c r="E64" s="102">
        <f>Summary!P16</f>
        <v>7829.7588696123348</v>
      </c>
      <c r="F64" s="481">
        <f>Summary!P20</f>
        <v>944.62411347022476</v>
      </c>
      <c r="G64" s="102">
        <f>Summary!P25</f>
        <v>1</v>
      </c>
      <c r="H64" s="102">
        <f>Summary!P30</f>
        <v>1591.6757998109217</v>
      </c>
      <c r="I64" s="102">
        <f>Summary!P35</f>
        <v>890.29460838102727</v>
      </c>
      <c r="J64" s="102">
        <f>SUM(D64:I64)</f>
        <v>93834.736623274526</v>
      </c>
      <c r="M64" s="150"/>
      <c r="N64" s="150"/>
    </row>
    <row r="66" spans="1:12" ht="15" x14ac:dyDescent="0.2">
      <c r="A66" s="634" t="s">
        <v>211</v>
      </c>
      <c r="B66" s="635"/>
      <c r="C66" s="635"/>
      <c r="D66" s="635"/>
      <c r="E66" s="635"/>
      <c r="F66" s="635"/>
      <c r="G66" s="635"/>
      <c r="H66" s="635"/>
      <c r="I66" s="636"/>
      <c r="J66" s="121"/>
      <c r="K66" s="121"/>
      <c r="L66" s="121"/>
    </row>
    <row r="67" spans="1:12" ht="30" x14ac:dyDescent="0.2">
      <c r="A67" s="637" t="s">
        <v>83</v>
      </c>
      <c r="B67" s="649"/>
      <c r="C67" s="386"/>
      <c r="D67" s="387" t="str">
        <f t="shared" ref="D67:I67" si="14">D25</f>
        <v xml:space="preserve">Residential </v>
      </c>
      <c r="E67" s="387" t="str">
        <f t="shared" si="14"/>
        <v>GS&lt;50</v>
      </c>
      <c r="F67" s="387" t="str">
        <f t="shared" si="14"/>
        <v>GS&gt;50</v>
      </c>
      <c r="G67" s="387" t="str">
        <f t="shared" si="14"/>
        <v>Large User</v>
      </c>
      <c r="H67" s="387" t="str">
        <f t="shared" si="14"/>
        <v>Street Lighting</v>
      </c>
      <c r="I67" s="387" t="str">
        <f t="shared" si="14"/>
        <v>USL</v>
      </c>
      <c r="J67" s="232"/>
      <c r="L67"/>
    </row>
    <row r="68" spans="1:12" ht="15" x14ac:dyDescent="0.2">
      <c r="A68" s="634" t="s">
        <v>212</v>
      </c>
      <c r="B68" s="635"/>
      <c r="C68" s="635"/>
      <c r="D68" s="635"/>
      <c r="E68" s="635"/>
      <c r="F68" s="635"/>
      <c r="G68" s="635"/>
      <c r="H68" s="635"/>
      <c r="I68" s="636"/>
      <c r="J68" s="121"/>
    </row>
    <row r="69" spans="1:12" ht="7.5" customHeight="1" x14ac:dyDescent="0.2">
      <c r="A69" s="226"/>
      <c r="B69" s="227"/>
      <c r="C69" s="227"/>
      <c r="D69" s="227"/>
      <c r="E69" s="227"/>
      <c r="F69" s="227"/>
      <c r="G69" s="227"/>
      <c r="H69" s="227"/>
      <c r="I69" s="227"/>
      <c r="J69" s="121"/>
    </row>
    <row r="70" spans="1:12" ht="15" x14ac:dyDescent="0.2">
      <c r="A70" s="404" t="str">
        <f>A48</f>
        <v>2010 Board Approved</v>
      </c>
      <c r="B70" s="405"/>
      <c r="C70" s="93"/>
      <c r="D70" s="396">
        <f t="shared" ref="D70:I70" si="15">D28/D48*1000000</f>
        <v>8319</v>
      </c>
      <c r="E70" s="396">
        <f t="shared" si="15"/>
        <v>31462.000000000004</v>
      </c>
      <c r="F70" s="396">
        <f t="shared" si="15"/>
        <v>881407.28414755734</v>
      </c>
      <c r="G70" s="396">
        <f t="shared" si="15"/>
        <v>35841302</v>
      </c>
      <c r="H70" s="396">
        <f t="shared" si="15"/>
        <v>10529.795583596215</v>
      </c>
      <c r="I70" s="396">
        <f t="shared" si="15"/>
        <v>4009.0000000000005</v>
      </c>
      <c r="J70" s="233"/>
    </row>
    <row r="71" spans="1:12" ht="7.5" customHeight="1" x14ac:dyDescent="0.2">
      <c r="A71" s="306"/>
      <c r="B71" s="304"/>
      <c r="C71" s="227"/>
      <c r="D71" s="227"/>
      <c r="E71" s="227"/>
      <c r="F71" s="227"/>
      <c r="G71" s="227"/>
      <c r="H71" s="227"/>
      <c r="I71" s="227"/>
      <c r="J71" s="121"/>
    </row>
    <row r="72" spans="1:12" ht="15" x14ac:dyDescent="0.2">
      <c r="A72" s="299" t="str">
        <f t="shared" ref="A72:A86" si="16">A8</f>
        <v xml:space="preserve">2000 Actual </v>
      </c>
      <c r="B72" s="307"/>
      <c r="C72" s="142"/>
      <c r="D72" s="81">
        <f t="shared" ref="D72:I86" si="17">D30/D50*1000000</f>
        <v>8814.4659454876582</v>
      </c>
      <c r="E72" s="81">
        <f t="shared" si="17"/>
        <v>33004.454218081861</v>
      </c>
      <c r="F72" s="81">
        <f t="shared" si="17"/>
        <v>815112.49273959338</v>
      </c>
      <c r="G72" s="81">
        <f t="shared" si="17"/>
        <v>62695621.666666664</v>
      </c>
      <c r="H72" s="81">
        <f t="shared" si="17"/>
        <v>10208.93862758823</v>
      </c>
      <c r="I72" s="81">
        <f t="shared" si="17"/>
        <v>5880.6303733333334</v>
      </c>
      <c r="J72" s="233"/>
    </row>
    <row r="73" spans="1:12" ht="15" x14ac:dyDescent="0.2">
      <c r="A73" s="299" t="str">
        <f t="shared" si="16"/>
        <v xml:space="preserve">2001 Actual </v>
      </c>
      <c r="B73" s="307"/>
      <c r="C73" s="142"/>
      <c r="D73" s="81">
        <f t="shared" si="17"/>
        <v>8413.6553419202282</v>
      </c>
      <c r="E73" s="81">
        <f t="shared" si="17"/>
        <v>29601.438045066992</v>
      </c>
      <c r="F73" s="81">
        <f t="shared" si="17"/>
        <v>852902.01062801946</v>
      </c>
      <c r="G73" s="81">
        <f t="shared" si="17"/>
        <v>57268001.25</v>
      </c>
      <c r="H73" s="81">
        <f t="shared" si="17"/>
        <v>10132.923910879041</v>
      </c>
      <c r="I73" s="81">
        <f t="shared" si="17"/>
        <v>5290.4012266666668</v>
      </c>
      <c r="J73" s="233"/>
    </row>
    <row r="74" spans="1:12" x14ac:dyDescent="0.2">
      <c r="A74" s="299" t="str">
        <f t="shared" si="16"/>
        <v xml:space="preserve">2002 Actual </v>
      </c>
      <c r="B74" s="299"/>
      <c r="C74" s="95"/>
      <c r="D74" s="81">
        <f t="shared" si="17"/>
        <v>9275.8476318073172</v>
      </c>
      <c r="E74" s="81">
        <f t="shared" si="17"/>
        <v>33393.802995889782</v>
      </c>
      <c r="F74" s="81">
        <f t="shared" si="17"/>
        <v>808692.80149812729</v>
      </c>
      <c r="G74" s="81">
        <f t="shared" si="17"/>
        <v>64339798.5</v>
      </c>
      <c r="H74" s="81">
        <f t="shared" si="17"/>
        <v>8956.4452678474408</v>
      </c>
      <c r="I74" s="81">
        <f t="shared" si="17"/>
        <v>5852.0446013071896</v>
      </c>
      <c r="J74" s="233"/>
    </row>
    <row r="75" spans="1:12" x14ac:dyDescent="0.2">
      <c r="A75" s="299" t="str">
        <f t="shared" si="16"/>
        <v xml:space="preserve">2003 Actual </v>
      </c>
      <c r="B75" s="299"/>
      <c r="C75" s="95"/>
      <c r="D75" s="81">
        <f t="shared" si="17"/>
        <v>9036.5820486620159</v>
      </c>
      <c r="E75" s="81">
        <f t="shared" si="17"/>
        <v>33640.760008951213</v>
      </c>
      <c r="F75" s="81">
        <f t="shared" si="17"/>
        <v>833019.04734299518</v>
      </c>
      <c r="G75" s="81">
        <f t="shared" si="17"/>
        <v>63268131.75</v>
      </c>
      <c r="H75" s="81">
        <f t="shared" si="17"/>
        <v>10552.725266903915</v>
      </c>
      <c r="I75" s="81">
        <f t="shared" si="17"/>
        <v>6015.5799477124183</v>
      </c>
      <c r="J75" s="233"/>
    </row>
    <row r="76" spans="1:12" x14ac:dyDescent="0.2">
      <c r="A76" s="299" t="str">
        <f t="shared" si="16"/>
        <v xml:space="preserve">2004 Actual </v>
      </c>
      <c r="B76" s="299"/>
      <c r="C76" s="95"/>
      <c r="D76" s="81">
        <f t="shared" si="17"/>
        <v>8549.5855629997841</v>
      </c>
      <c r="E76" s="81">
        <f t="shared" si="17"/>
        <v>32039.489958920192</v>
      </c>
      <c r="F76" s="81">
        <f t="shared" si="17"/>
        <v>833183.23913043481</v>
      </c>
      <c r="G76" s="81">
        <f t="shared" si="17"/>
        <v>58684490.75</v>
      </c>
      <c r="H76" s="81">
        <f t="shared" si="17"/>
        <v>10030.837675350702</v>
      </c>
      <c r="I76" s="81">
        <f t="shared" si="17"/>
        <v>5421.8472506082735</v>
      </c>
      <c r="J76" s="233"/>
    </row>
    <row r="77" spans="1:12" x14ac:dyDescent="0.2">
      <c r="A77" s="299" t="str">
        <f t="shared" si="16"/>
        <v xml:space="preserve">2005 Actual </v>
      </c>
      <c r="B77" s="299"/>
      <c r="C77" s="95"/>
      <c r="D77" s="81">
        <f t="shared" si="17"/>
        <v>8958.948622184922</v>
      </c>
      <c r="E77" s="81">
        <f t="shared" si="17"/>
        <v>33198.624251012145</v>
      </c>
      <c r="F77" s="81">
        <f t="shared" si="17"/>
        <v>853252.41597028787</v>
      </c>
      <c r="G77" s="81">
        <f t="shared" si="17"/>
        <v>58014601</v>
      </c>
      <c r="H77" s="81">
        <f t="shared" si="17"/>
        <v>9952.9281476598553</v>
      </c>
      <c r="I77" s="81">
        <f t="shared" si="17"/>
        <v>5806.3800247831468</v>
      </c>
      <c r="J77" s="233"/>
    </row>
    <row r="78" spans="1:12" x14ac:dyDescent="0.2">
      <c r="A78" s="299" t="str">
        <f t="shared" si="16"/>
        <v xml:space="preserve">2006 Actual </v>
      </c>
      <c r="B78" s="299"/>
      <c r="C78" s="95"/>
      <c r="D78" s="81">
        <f t="shared" si="17"/>
        <v>8566.3567370241271</v>
      </c>
      <c r="E78" s="81">
        <f t="shared" si="17"/>
        <v>32788.765640516387</v>
      </c>
      <c r="F78" s="81">
        <f t="shared" si="17"/>
        <v>842714.21057786478</v>
      </c>
      <c r="G78" s="81">
        <f t="shared" si="17"/>
        <v>45493949.75</v>
      </c>
      <c r="H78" s="81">
        <f t="shared" si="17"/>
        <v>9974.3783431180691</v>
      </c>
      <c r="I78" s="81">
        <f t="shared" si="17"/>
        <v>5865.0842627013626</v>
      </c>
      <c r="J78" s="233"/>
    </row>
    <row r="79" spans="1:12" x14ac:dyDescent="0.2">
      <c r="A79" s="299" t="str">
        <f t="shared" si="16"/>
        <v xml:space="preserve">2007 Actual </v>
      </c>
      <c r="B79" s="299"/>
      <c r="C79" s="95"/>
      <c r="D79" s="81">
        <f t="shared" si="17"/>
        <v>8596.5004167114748</v>
      </c>
      <c r="E79" s="81">
        <f t="shared" si="17"/>
        <v>32465.357738260627</v>
      </c>
      <c r="F79" s="81">
        <f t="shared" si="17"/>
        <v>862481.7970149254</v>
      </c>
      <c r="G79" s="81">
        <f t="shared" si="17"/>
        <v>39420194.25</v>
      </c>
      <c r="H79" s="81">
        <f t="shared" si="17"/>
        <v>10204.524622455679</v>
      </c>
      <c r="I79" s="81">
        <f t="shared" si="17"/>
        <v>6084.8141809290955</v>
      </c>
      <c r="J79" s="233"/>
    </row>
    <row r="80" spans="1:12" x14ac:dyDescent="0.2">
      <c r="A80" s="299" t="str">
        <f t="shared" si="16"/>
        <v xml:space="preserve">2008 Actual </v>
      </c>
      <c r="B80" s="299"/>
      <c r="C80" s="95"/>
      <c r="D80" s="81">
        <f t="shared" si="17"/>
        <v>8491.4811087480575</v>
      </c>
      <c r="E80" s="81">
        <f t="shared" si="17"/>
        <v>32135.830417875863</v>
      </c>
      <c r="F80" s="81">
        <f t="shared" si="17"/>
        <v>826307.69334428932</v>
      </c>
      <c r="G80" s="81">
        <f t="shared" si="17"/>
        <v>36732194.25</v>
      </c>
      <c r="H80" s="81">
        <f t="shared" si="17"/>
        <v>11524.052753115418</v>
      </c>
      <c r="I80" s="81">
        <f t="shared" si="17"/>
        <v>4009.490243902439</v>
      </c>
      <c r="J80" s="233"/>
    </row>
    <row r="81" spans="1:11" x14ac:dyDescent="0.2">
      <c r="A81" s="299" t="str">
        <f t="shared" si="16"/>
        <v>2009 Actual</v>
      </c>
      <c r="B81" s="299"/>
      <c r="C81" s="95"/>
      <c r="D81" s="81">
        <f t="shared" si="17"/>
        <v>8220.6849896509721</v>
      </c>
      <c r="E81" s="81">
        <f t="shared" si="17"/>
        <v>31283.907466871693</v>
      </c>
      <c r="F81" s="81">
        <f t="shared" si="17"/>
        <v>816903.56049423665</v>
      </c>
      <c r="G81" s="81">
        <f t="shared" si="17"/>
        <v>26607461.666666664</v>
      </c>
      <c r="H81" s="81">
        <f t="shared" si="17"/>
        <v>10264.934880722114</v>
      </c>
      <c r="I81" s="81">
        <f t="shared" si="17"/>
        <v>4033.5385556915539</v>
      </c>
      <c r="J81" s="233"/>
    </row>
    <row r="82" spans="1:11" s="97" customFormat="1" x14ac:dyDescent="0.2">
      <c r="A82" s="299" t="str">
        <f t="shared" si="16"/>
        <v xml:space="preserve">2010 Actual </v>
      </c>
      <c r="B82" s="299"/>
      <c r="C82" s="95"/>
      <c r="D82" s="81">
        <f t="shared" si="17"/>
        <v>8394.8683530612179</v>
      </c>
      <c r="E82" s="81">
        <f t="shared" si="17"/>
        <v>31701.012050888996</v>
      </c>
      <c r="F82" s="81">
        <f t="shared" si="17"/>
        <v>886712.54470380046</v>
      </c>
      <c r="G82" s="81">
        <f t="shared" si="17"/>
        <v>34922719.5</v>
      </c>
      <c r="H82" s="81">
        <f t="shared" si="17"/>
        <v>10185.89957698752</v>
      </c>
      <c r="I82" s="81">
        <f t="shared" si="17"/>
        <v>4030.8742293464857</v>
      </c>
      <c r="J82" s="233"/>
    </row>
    <row r="83" spans="1:11" s="86" customFormat="1" ht="15" x14ac:dyDescent="0.25">
      <c r="A83" s="299" t="str">
        <f t="shared" si="16"/>
        <v xml:space="preserve">2011 Actual </v>
      </c>
      <c r="B83" s="299"/>
      <c r="C83" s="76"/>
      <c r="D83" s="81">
        <f t="shared" si="17"/>
        <v>8218.2833001104609</v>
      </c>
      <c r="E83" s="81">
        <f t="shared" si="17"/>
        <v>31859.315866277528</v>
      </c>
      <c r="F83" s="81">
        <f t="shared" si="17"/>
        <v>893593.8953846154</v>
      </c>
      <c r="G83" s="81">
        <f t="shared" si="17"/>
        <v>28007634.5</v>
      </c>
      <c r="H83" s="81">
        <f t="shared" si="17"/>
        <v>10115.363385073357</v>
      </c>
      <c r="I83" s="81">
        <f t="shared" si="17"/>
        <v>3946.2342449464918</v>
      </c>
      <c r="J83" s="233"/>
    </row>
    <row r="84" spans="1:11" s="86" customFormat="1" ht="15" x14ac:dyDescent="0.25">
      <c r="A84" s="299" t="str">
        <f t="shared" si="16"/>
        <v>2012 Actual</v>
      </c>
      <c r="B84" s="299"/>
      <c r="C84" s="223"/>
      <c r="D84" s="81">
        <f t="shared" si="17"/>
        <v>8056.1433553758279</v>
      </c>
      <c r="E84" s="81">
        <f t="shared" si="17"/>
        <v>31520.139082664809</v>
      </c>
      <c r="F84" s="81">
        <f t="shared" si="17"/>
        <v>893372.57577878889</v>
      </c>
      <c r="G84" s="81">
        <f t="shared" si="17"/>
        <v>34678188</v>
      </c>
      <c r="H84" s="81">
        <f t="shared" si="17"/>
        <v>10132.995647400958</v>
      </c>
      <c r="I84" s="81">
        <f t="shared" si="17"/>
        <v>4254.9179856115115</v>
      </c>
      <c r="J84" s="233"/>
    </row>
    <row r="85" spans="1:11" s="86" customFormat="1" ht="15" x14ac:dyDescent="0.25">
      <c r="A85" s="307" t="str">
        <f t="shared" si="16"/>
        <v>2013 Bridge</v>
      </c>
      <c r="B85" s="307"/>
      <c r="C85" s="76"/>
      <c r="D85" s="89">
        <f t="shared" si="17"/>
        <v>7995.4101490640078</v>
      </c>
      <c r="E85" s="89">
        <f t="shared" si="17"/>
        <v>31267.193923424315</v>
      </c>
      <c r="F85" s="89">
        <f t="shared" si="17"/>
        <v>895697.00797814818</v>
      </c>
      <c r="G85" s="89">
        <f t="shared" si="17"/>
        <v>33008414.327518649</v>
      </c>
      <c r="H85" s="89">
        <f t="shared" si="17"/>
        <v>10133.002168928137</v>
      </c>
      <c r="I85" s="89">
        <f t="shared" si="17"/>
        <v>4107.3584019596638</v>
      </c>
      <c r="J85" s="234"/>
    </row>
    <row r="86" spans="1:11" s="86" customFormat="1" ht="15" x14ac:dyDescent="0.25">
      <c r="A86" s="307" t="str">
        <f t="shared" si="16"/>
        <v>2014 Test</v>
      </c>
      <c r="B86" s="307"/>
      <c r="C86" s="223"/>
      <c r="D86" s="89">
        <f t="shared" si="17"/>
        <v>7894.7357513952638</v>
      </c>
      <c r="E86" s="89">
        <f t="shared" si="17"/>
        <v>30858.537992370701</v>
      </c>
      <c r="F86" s="89">
        <f t="shared" si="17"/>
        <v>894415.44888618402</v>
      </c>
      <c r="G86" s="89">
        <f t="shared" si="17"/>
        <v>31798990.292463161</v>
      </c>
      <c r="H86" s="89">
        <f t="shared" si="17"/>
        <v>10133.00869045951</v>
      </c>
      <c r="I86" s="89">
        <f t="shared" si="17"/>
        <v>3838.2670307394123</v>
      </c>
      <c r="J86" s="234"/>
    </row>
    <row r="87" spans="1:11" x14ac:dyDescent="0.2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</row>
    <row r="88" spans="1:11" ht="15" x14ac:dyDescent="0.2">
      <c r="A88" s="235" t="s">
        <v>213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</row>
    <row r="89" spans="1:11" ht="7.5" customHeight="1" x14ac:dyDescent="0.2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</row>
    <row r="90" spans="1:11" ht="15" x14ac:dyDescent="0.2">
      <c r="A90" s="310" t="s">
        <v>163</v>
      </c>
      <c r="B90" s="311"/>
      <c r="C90" s="224"/>
      <c r="D90" s="384">
        <f t="shared" ref="D90:G90" si="18">D70/D81-1</f>
        <v>1.1959466938922692E-2</v>
      </c>
      <c r="E90" s="384">
        <f t="shared" si="18"/>
        <v>5.6927841676077673E-3</v>
      </c>
      <c r="F90" s="384">
        <f t="shared" si="18"/>
        <v>7.8961246801636076E-2</v>
      </c>
      <c r="G90" s="384">
        <f t="shared" si="18"/>
        <v>0.34703950527161043</v>
      </c>
      <c r="H90" s="384">
        <f>H70/H81-1</f>
        <v>2.580247278251302E-2</v>
      </c>
      <c r="I90" s="397">
        <f>I70/I81-1</f>
        <v>-6.083629882979058E-3</v>
      </c>
      <c r="J90" s="82"/>
    </row>
    <row r="91" spans="1:11" ht="7.5" customHeight="1" x14ac:dyDescent="0.2">
      <c r="A91" s="312"/>
      <c r="B91" s="312"/>
      <c r="C91" s="235"/>
      <c r="D91" s="398"/>
      <c r="E91" s="398"/>
      <c r="F91" s="398"/>
      <c r="G91" s="398"/>
      <c r="H91" s="398"/>
      <c r="I91" s="398"/>
      <c r="J91" s="235"/>
    </row>
    <row r="92" spans="1:11" ht="15" x14ac:dyDescent="0.2">
      <c r="A92" s="313" t="str">
        <f t="shared" ref="A92:A106" si="19">A72</f>
        <v xml:space="preserve">2000 Actual </v>
      </c>
      <c r="B92" s="311"/>
      <c r="C92" s="225"/>
      <c r="D92" s="384"/>
      <c r="E92" s="385"/>
      <c r="F92" s="385"/>
      <c r="G92" s="385"/>
      <c r="H92" s="385"/>
      <c r="I92" s="399"/>
      <c r="J92" s="90"/>
    </row>
    <row r="93" spans="1:11" ht="15" x14ac:dyDescent="0.2">
      <c r="A93" s="313" t="str">
        <f t="shared" si="19"/>
        <v xml:space="preserve">2001 Actual </v>
      </c>
      <c r="B93" s="311"/>
      <c r="C93" s="88"/>
      <c r="D93" s="384">
        <f t="shared" ref="D93:G93" si="20">D73/D72-1</f>
        <v>-4.5471910158393025E-2</v>
      </c>
      <c r="E93" s="384">
        <f t="shared" si="20"/>
        <v>-0.10310778510466889</v>
      </c>
      <c r="F93" s="384">
        <f t="shared" si="20"/>
        <v>4.6361107485195729E-2</v>
      </c>
      <c r="G93" s="384">
        <f t="shared" si="20"/>
        <v>-8.6570964165945341E-2</v>
      </c>
      <c r="H93" s="384">
        <f t="shared" ref="H93:I104" si="21">H73/H72-1</f>
        <v>-7.4458980979442702E-3</v>
      </c>
      <c r="I93" s="397">
        <f t="shared" si="21"/>
        <v>-0.10036834645196469</v>
      </c>
      <c r="J93" s="82"/>
    </row>
    <row r="94" spans="1:11" x14ac:dyDescent="0.2">
      <c r="A94" s="313" t="str">
        <f t="shared" si="19"/>
        <v xml:space="preserve">2002 Actual </v>
      </c>
      <c r="B94" s="313"/>
      <c r="C94" s="104"/>
      <c r="D94" s="384">
        <f t="shared" ref="D94:G94" si="22">D74/D73-1</f>
        <v>0.10247535165735866</v>
      </c>
      <c r="E94" s="384">
        <f t="shared" si="22"/>
        <v>0.12811421340574958</v>
      </c>
      <c r="F94" s="384">
        <f t="shared" si="22"/>
        <v>-5.1833866703326792E-2</v>
      </c>
      <c r="G94" s="384">
        <f t="shared" si="22"/>
        <v>0.12348601480132859</v>
      </c>
      <c r="H94" s="384">
        <f t="shared" si="21"/>
        <v>-0.11610455712279588</v>
      </c>
      <c r="I94" s="397">
        <f t="shared" si="21"/>
        <v>0.10616271820925727</v>
      </c>
      <c r="J94" s="82"/>
    </row>
    <row r="95" spans="1:11" x14ac:dyDescent="0.2">
      <c r="A95" s="313" t="str">
        <f t="shared" si="19"/>
        <v xml:space="preserve">2003 Actual </v>
      </c>
      <c r="B95" s="313"/>
      <c r="C95" s="104"/>
      <c r="D95" s="384">
        <f t="shared" ref="D95:G95" si="23">D75/D74-1</f>
        <v>-2.5794471043794287E-2</v>
      </c>
      <c r="E95" s="384">
        <f t="shared" si="23"/>
        <v>7.3952946626603122E-3</v>
      </c>
      <c r="F95" s="384">
        <f t="shared" si="23"/>
        <v>3.0080947672345815E-2</v>
      </c>
      <c r="G95" s="384">
        <f t="shared" si="23"/>
        <v>-1.6656358505692248E-2</v>
      </c>
      <c r="H95" s="384">
        <f t="shared" si="21"/>
        <v>0.1782269584995877</v>
      </c>
      <c r="I95" s="397">
        <f t="shared" si="21"/>
        <v>2.7944993168490084E-2</v>
      </c>
      <c r="J95" s="82"/>
    </row>
    <row r="96" spans="1:11" x14ac:dyDescent="0.2">
      <c r="A96" s="313" t="str">
        <f t="shared" si="19"/>
        <v xml:space="preserve">2004 Actual </v>
      </c>
      <c r="B96" s="313"/>
      <c r="C96" s="104"/>
      <c r="D96" s="384">
        <f t="shared" ref="D96:G96" si="24">D76/D75-1</f>
        <v>-5.389166866850259E-2</v>
      </c>
      <c r="E96" s="384">
        <f t="shared" si="24"/>
        <v>-4.7599104467465958E-2</v>
      </c>
      <c r="F96" s="384">
        <f t="shared" si="24"/>
        <v>1.9710448154008908E-4</v>
      </c>
      <c r="G96" s="384">
        <f t="shared" si="24"/>
        <v>-7.2447863927956102E-2</v>
      </c>
      <c r="H96" s="384">
        <f t="shared" si="21"/>
        <v>-4.9455242920991127E-2</v>
      </c>
      <c r="I96" s="397">
        <f t="shared" si="21"/>
        <v>-9.8699161554643977E-2</v>
      </c>
      <c r="J96" s="82"/>
    </row>
    <row r="97" spans="1:17" x14ac:dyDescent="0.2">
      <c r="A97" s="313" t="str">
        <f t="shared" si="19"/>
        <v xml:space="preserve">2005 Actual </v>
      </c>
      <c r="B97" s="313"/>
      <c r="C97" s="104"/>
      <c r="D97" s="384">
        <f t="shared" ref="D97:G97" si="25">D77/D76-1</f>
        <v>4.788104127020465E-2</v>
      </c>
      <c r="E97" s="384">
        <f t="shared" si="25"/>
        <v>3.6178300390491636E-2</v>
      </c>
      <c r="F97" s="384">
        <f t="shared" si="25"/>
        <v>2.4087350653859252E-2</v>
      </c>
      <c r="G97" s="384">
        <f t="shared" si="25"/>
        <v>-1.1415107150776427E-2</v>
      </c>
      <c r="H97" s="384">
        <f t="shared" si="21"/>
        <v>-7.7670011431146824E-3</v>
      </c>
      <c r="I97" s="397">
        <f t="shared" si="21"/>
        <v>7.0922834303702054E-2</v>
      </c>
      <c r="J97" s="82"/>
    </row>
    <row r="98" spans="1:17" x14ac:dyDescent="0.2">
      <c r="A98" s="313" t="str">
        <f t="shared" si="19"/>
        <v xml:space="preserve">2006 Actual </v>
      </c>
      <c r="B98" s="313"/>
      <c r="C98" s="104"/>
      <c r="D98" s="384">
        <f t="shared" ref="D98:G98" si="26">D78/D77-1</f>
        <v>-4.3821200647208181E-2</v>
      </c>
      <c r="E98" s="384">
        <f t="shared" si="26"/>
        <v>-1.2345650452164847E-2</v>
      </c>
      <c r="F98" s="384">
        <f t="shared" si="26"/>
        <v>-1.2350630593221834E-2</v>
      </c>
      <c r="G98" s="384">
        <f t="shared" si="26"/>
        <v>-0.21581896684939705</v>
      </c>
      <c r="H98" s="384">
        <f t="shared" si="21"/>
        <v>2.155164303407231E-3</v>
      </c>
      <c r="I98" s="397">
        <f t="shared" si="21"/>
        <v>1.0110298958671438E-2</v>
      </c>
      <c r="J98" s="82"/>
    </row>
    <row r="99" spans="1:17" x14ac:dyDescent="0.2">
      <c r="A99" s="313" t="str">
        <f t="shared" si="19"/>
        <v xml:space="preserve">2007 Actual </v>
      </c>
      <c r="B99" s="313"/>
      <c r="C99" s="104"/>
      <c r="D99" s="384">
        <f t="shared" ref="D99:G99" si="27">D79/D78-1</f>
        <v>3.5188447799594513E-3</v>
      </c>
      <c r="E99" s="384">
        <f t="shared" si="27"/>
        <v>-9.8633753341459407E-3</v>
      </c>
      <c r="F99" s="384">
        <f t="shared" si="27"/>
        <v>2.345704651581193E-2</v>
      </c>
      <c r="G99" s="384">
        <f t="shared" si="27"/>
        <v>-0.13350688461601423</v>
      </c>
      <c r="H99" s="384">
        <f t="shared" si="21"/>
        <v>2.3073746695843278E-2</v>
      </c>
      <c r="I99" s="397">
        <f t="shared" si="21"/>
        <v>3.7464068440600462E-2</v>
      </c>
      <c r="J99" s="82"/>
    </row>
    <row r="100" spans="1:17" x14ac:dyDescent="0.2">
      <c r="A100" s="313" t="str">
        <f t="shared" si="19"/>
        <v xml:space="preserve">2008 Actual </v>
      </c>
      <c r="B100" s="313"/>
      <c r="C100" s="104"/>
      <c r="D100" s="384">
        <f t="shared" ref="D100:G100" si="28">D80/D79-1</f>
        <v>-1.2216518684657007E-2</v>
      </c>
      <c r="E100" s="384">
        <f t="shared" si="28"/>
        <v>-1.0150121339843277E-2</v>
      </c>
      <c r="F100" s="384">
        <f t="shared" si="28"/>
        <v>-4.1941874942561963E-2</v>
      </c>
      <c r="G100" s="384">
        <f t="shared" si="28"/>
        <v>-6.818840066979126E-2</v>
      </c>
      <c r="H100" s="384">
        <f t="shared" si="21"/>
        <v>0.12930814315015104</v>
      </c>
      <c r="I100" s="397">
        <f t="shared" si="21"/>
        <v>-0.34106611563112244</v>
      </c>
      <c r="J100" s="82"/>
    </row>
    <row r="101" spans="1:17" s="86" customFormat="1" ht="15" x14ac:dyDescent="0.25">
      <c r="A101" s="313" t="str">
        <f t="shared" si="19"/>
        <v>2009 Actual</v>
      </c>
      <c r="B101" s="313"/>
      <c r="C101" s="105"/>
      <c r="D101" s="384">
        <f t="shared" ref="D101:G101" si="29">D81/D80-1</f>
        <v>-3.1890328157016978E-2</v>
      </c>
      <c r="E101" s="384">
        <f t="shared" si="29"/>
        <v>-2.6510064931456689E-2</v>
      </c>
      <c r="F101" s="384">
        <f t="shared" si="29"/>
        <v>-1.1380909225220504E-2</v>
      </c>
      <c r="G101" s="384">
        <f t="shared" si="29"/>
        <v>-0.27563647612294051</v>
      </c>
      <c r="H101" s="384">
        <f t="shared" si="21"/>
        <v>-0.1092599885967126</v>
      </c>
      <c r="I101" s="397">
        <f t="shared" si="21"/>
        <v>5.9978476879167797E-3</v>
      </c>
      <c r="J101" s="82"/>
    </row>
    <row r="102" spans="1:17" s="86" customFormat="1" ht="15" x14ac:dyDescent="0.25">
      <c r="A102" s="313" t="str">
        <f t="shared" si="19"/>
        <v xml:space="preserve">2010 Actual </v>
      </c>
      <c r="B102" s="311"/>
      <c r="C102" s="105"/>
      <c r="D102" s="384">
        <f t="shared" ref="D102:G102" si="30">D82/D81-1</f>
        <v>2.1188424520526716E-2</v>
      </c>
      <c r="E102" s="384">
        <f t="shared" si="30"/>
        <v>1.3332879994578661E-2</v>
      </c>
      <c r="F102" s="384">
        <f t="shared" si="30"/>
        <v>8.5455600373841589E-2</v>
      </c>
      <c r="G102" s="384">
        <f t="shared" si="30"/>
        <v>0.31251601289538034</v>
      </c>
      <c r="H102" s="384">
        <f t="shared" si="21"/>
        <v>-7.6995426325621175E-3</v>
      </c>
      <c r="I102" s="397">
        <f t="shared" si="21"/>
        <v>-6.6054317029118348E-4</v>
      </c>
      <c r="J102" s="82"/>
      <c r="L102" s="106"/>
      <c r="M102" s="106"/>
      <c r="N102" s="106"/>
      <c r="O102" s="106"/>
      <c r="P102" s="106"/>
      <c r="Q102" s="106"/>
    </row>
    <row r="103" spans="1:17" s="86" customFormat="1" ht="15" x14ac:dyDescent="0.25">
      <c r="A103" s="313" t="str">
        <f t="shared" si="19"/>
        <v xml:space="preserve">2011 Actual </v>
      </c>
      <c r="B103" s="311"/>
      <c r="C103" s="105"/>
      <c r="D103" s="384">
        <f t="shared" ref="D103:G104" si="31">D83/D82-1</f>
        <v>-2.1034880539414824E-2</v>
      </c>
      <c r="E103" s="384">
        <f t="shared" si="31"/>
        <v>4.9936517841893124E-3</v>
      </c>
      <c r="F103" s="384">
        <f t="shared" si="31"/>
        <v>7.760520274485927E-3</v>
      </c>
      <c r="G103" s="384">
        <f t="shared" si="31"/>
        <v>-0.19801106841063743</v>
      </c>
      <c r="H103" s="384">
        <f t="shared" si="21"/>
        <v>-6.9248858562793725E-3</v>
      </c>
      <c r="I103" s="397">
        <f t="shared" si="21"/>
        <v>-2.099792243175902E-2</v>
      </c>
      <c r="J103" s="82"/>
      <c r="L103" s="107"/>
      <c r="M103" s="107"/>
      <c r="N103" s="107"/>
      <c r="O103" s="107"/>
      <c r="P103" s="107"/>
      <c r="Q103" s="107"/>
    </row>
    <row r="104" spans="1:17" s="86" customFormat="1" ht="15" x14ac:dyDescent="0.25">
      <c r="A104" s="313" t="str">
        <f t="shared" si="19"/>
        <v>2012 Actual</v>
      </c>
      <c r="B104" s="311"/>
      <c r="C104" s="224"/>
      <c r="D104" s="384">
        <f t="shared" si="31"/>
        <v>-1.9729174428977592E-2</v>
      </c>
      <c r="E104" s="384">
        <f t="shared" si="31"/>
        <v>-1.0646078686571192E-2</v>
      </c>
      <c r="F104" s="384">
        <f t="shared" si="31"/>
        <v>-2.4767358748711832E-4</v>
      </c>
      <c r="G104" s="384">
        <f t="shared" si="31"/>
        <v>0.23816911421062703</v>
      </c>
      <c r="H104" s="384">
        <f t="shared" si="21"/>
        <v>1.7431170444770494E-3</v>
      </c>
      <c r="I104" s="397">
        <f t="shared" si="21"/>
        <v>7.8222356176731456E-2</v>
      </c>
      <c r="J104" s="82"/>
      <c r="L104" s="107"/>
      <c r="M104" s="107"/>
      <c r="N104" s="107"/>
      <c r="O104" s="107"/>
      <c r="P104" s="107"/>
      <c r="Q104" s="107"/>
    </row>
    <row r="105" spans="1:17" s="86" customFormat="1" ht="15" x14ac:dyDescent="0.25">
      <c r="A105" s="311" t="str">
        <f t="shared" si="19"/>
        <v>2013 Bridge</v>
      </c>
      <c r="B105" s="311"/>
      <c r="C105" s="105"/>
      <c r="D105" s="385">
        <f t="shared" ref="D105:I105" si="32">D85/D84-1</f>
        <v>-7.5387444876204857E-3</v>
      </c>
      <c r="E105" s="385">
        <f t="shared" si="32"/>
        <v>-8.0248744644533243E-3</v>
      </c>
      <c r="F105" s="385">
        <f t="shared" si="32"/>
        <v>2.601862047682646E-3</v>
      </c>
      <c r="G105" s="385">
        <f t="shared" si="32"/>
        <v>-4.8150545596019945E-2</v>
      </c>
      <c r="H105" s="385">
        <f t="shared" si="32"/>
        <v>6.4359320828266675E-7</v>
      </c>
      <c r="I105" s="400">
        <f t="shared" si="32"/>
        <v>-3.4679771537509563E-2</v>
      </c>
      <c r="J105" s="90"/>
    </row>
    <row r="106" spans="1:17" s="86" customFormat="1" ht="15" x14ac:dyDescent="0.25">
      <c r="A106" s="311" t="str">
        <f t="shared" si="19"/>
        <v>2014 Test</v>
      </c>
      <c r="B106" s="311"/>
      <c r="C106" s="105"/>
      <c r="D106" s="385">
        <f t="shared" ref="D106:I106" si="33">D86/D85-1</f>
        <v>-1.259152386079021E-2</v>
      </c>
      <c r="E106" s="385">
        <f t="shared" si="33"/>
        <v>-1.3069798717929126E-2</v>
      </c>
      <c r="F106" s="385">
        <f t="shared" si="33"/>
        <v>-1.4307953253712702E-3</v>
      </c>
      <c r="G106" s="385">
        <f t="shared" si="33"/>
        <v>-3.6639870763110483E-2</v>
      </c>
      <c r="H106" s="385">
        <f t="shared" si="33"/>
        <v>6.4359320806062215E-7</v>
      </c>
      <c r="I106" s="400">
        <f t="shared" si="33"/>
        <v>-6.5514460849548706E-2</v>
      </c>
      <c r="J106" s="90"/>
    </row>
    <row r="107" spans="1:17" s="86" customFormat="1" ht="15" x14ac:dyDescent="0.25">
      <c r="A107" s="108"/>
      <c r="B107" s="103"/>
      <c r="C107" s="103"/>
      <c r="D107" s="82"/>
      <c r="E107" s="82"/>
      <c r="F107" s="82"/>
      <c r="G107" s="82"/>
      <c r="H107" s="82"/>
      <c r="I107" s="82"/>
      <c r="J107" s="82"/>
      <c r="K107" s="83"/>
    </row>
    <row r="108" spans="1:17" ht="30.75" customHeight="1" x14ac:dyDescent="0.2">
      <c r="D108" s="631" t="s">
        <v>307</v>
      </c>
      <c r="E108" s="632"/>
      <c r="F108" s="632"/>
      <c r="G108" s="632"/>
      <c r="H108" s="633"/>
      <c r="J108" s="83"/>
    </row>
    <row r="109" spans="1:17" x14ac:dyDescent="0.2">
      <c r="D109" s="651" t="s">
        <v>306</v>
      </c>
      <c r="E109" s="652"/>
      <c r="F109" s="652"/>
      <c r="G109" s="652"/>
      <c r="H109" s="653"/>
      <c r="L109"/>
    </row>
    <row r="110" spans="1:17" x14ac:dyDescent="0.2">
      <c r="D110" s="186">
        <v>2005</v>
      </c>
      <c r="E110" s="186">
        <v>2006</v>
      </c>
      <c r="F110" s="186">
        <v>2007</v>
      </c>
      <c r="G110" s="186">
        <v>2008</v>
      </c>
      <c r="H110" s="186">
        <v>2009</v>
      </c>
      <c r="L110"/>
    </row>
    <row r="111" spans="1:17" x14ac:dyDescent="0.2">
      <c r="D111" s="61">
        <f>'CDM Activity'!C2</f>
        <v>292583</v>
      </c>
      <c r="E111" s="61">
        <f>'CDM Activity'!C3</f>
        <v>10724826.971235819</v>
      </c>
      <c r="F111" s="61">
        <f>'CDM Activity'!C4</f>
        <v>21463789.011532571</v>
      </c>
      <c r="G111" s="61">
        <f>'CDM Activity'!C5</f>
        <v>27058909.442072801</v>
      </c>
      <c r="H111" s="377">
        <f>'CDM Activity'!C6</f>
        <v>36655514.888181098</v>
      </c>
      <c r="L111"/>
    </row>
    <row r="112" spans="1:17" x14ac:dyDescent="0.2">
      <c r="D112" s="491">
        <v>2010</v>
      </c>
      <c r="E112" s="491">
        <v>2011</v>
      </c>
      <c r="F112" s="491">
        <v>2012</v>
      </c>
      <c r="G112" s="491">
        <v>2013</v>
      </c>
      <c r="H112" s="491">
        <v>2014</v>
      </c>
      <c r="L112"/>
    </row>
    <row r="113" spans="1:12" x14ac:dyDescent="0.2">
      <c r="D113" s="377">
        <f>'CDM Activity'!C7</f>
        <v>39643598.152045503</v>
      </c>
      <c r="E113" s="377">
        <f>'CDM Activity'!C8</f>
        <v>37374960.879255295</v>
      </c>
      <c r="F113" s="61">
        <f>'CDM Activity'!C9</f>
        <v>36539763.596583202</v>
      </c>
      <c r="G113" s="61">
        <f>'CDM Activity'!C10</f>
        <v>31270273.197305299</v>
      </c>
      <c r="H113" s="377">
        <f>'CDM Activity'!C11</f>
        <v>30516052.283574499</v>
      </c>
      <c r="L113"/>
    </row>
    <row r="114" spans="1:12" x14ac:dyDescent="0.2">
      <c r="D114" s="651" t="s">
        <v>92</v>
      </c>
      <c r="E114" s="656"/>
      <c r="F114" s="656"/>
      <c r="G114" s="656"/>
      <c r="H114" s="657"/>
      <c r="J114" s="83"/>
      <c r="L114"/>
    </row>
    <row r="115" spans="1:12" x14ac:dyDescent="0.2">
      <c r="D115" s="490"/>
      <c r="E115" s="491">
        <v>2011</v>
      </c>
      <c r="F115" s="491">
        <v>2012</v>
      </c>
      <c r="G115" s="491">
        <v>2013</v>
      </c>
      <c r="H115" s="491">
        <v>2014</v>
      </c>
      <c r="J115" s="83"/>
      <c r="L115"/>
    </row>
    <row r="116" spans="1:12" x14ac:dyDescent="0.2">
      <c r="D116" s="94"/>
      <c r="E116" s="489">
        <f>'CDM Activity'!A27</f>
        <v>12882628.587043101</v>
      </c>
      <c r="F116" s="489">
        <f>'CDM Activity'!B27</f>
        <v>12777283.2059868</v>
      </c>
      <c r="G116" s="489">
        <f>'CDM Activity'!C27</f>
        <v>12766732.7844238</v>
      </c>
      <c r="H116" s="489">
        <f>'CDM Activity'!D27</f>
        <v>12588174.119054999</v>
      </c>
      <c r="L116"/>
    </row>
    <row r="117" spans="1:12" x14ac:dyDescent="0.2">
      <c r="L117"/>
    </row>
    <row r="118" spans="1:12" x14ac:dyDescent="0.2">
      <c r="D118" s="56"/>
      <c r="E118" s="56"/>
      <c r="F118" s="56"/>
      <c r="G118" s="56"/>
      <c r="H118" s="56"/>
      <c r="L118"/>
    </row>
    <row r="119" spans="1:12" x14ac:dyDescent="0.2">
      <c r="A119" s="119"/>
      <c r="B119" s="119"/>
      <c r="C119" s="119"/>
      <c r="D119" s="56"/>
      <c r="E119" s="56"/>
      <c r="F119" s="56"/>
      <c r="G119" s="56"/>
      <c r="H119" s="56"/>
      <c r="L119"/>
    </row>
    <row r="120" spans="1:12" ht="15" x14ac:dyDescent="0.2">
      <c r="A120" s="629" t="s">
        <v>207</v>
      </c>
      <c r="B120" s="629"/>
      <c r="C120" s="629"/>
      <c r="D120" s="629"/>
      <c r="E120" s="629"/>
      <c r="L120"/>
    </row>
    <row r="121" spans="1:12" ht="15" x14ac:dyDescent="0.2">
      <c r="A121" s="654" t="s">
        <v>93</v>
      </c>
      <c r="B121" s="654"/>
      <c r="C121" s="654"/>
      <c r="D121" s="654"/>
      <c r="E121" s="236" t="s">
        <v>94</v>
      </c>
      <c r="K121" s="91"/>
    </row>
    <row r="122" spans="1:12" x14ac:dyDescent="0.2">
      <c r="A122" s="655" t="s">
        <v>18</v>
      </c>
      <c r="B122" s="655"/>
      <c r="C122" s="655"/>
      <c r="D122" s="655"/>
      <c r="E122" s="110">
        <f>'Purchased Power Model '!B249</f>
        <v>0.90127572977519887</v>
      </c>
      <c r="K122"/>
    </row>
    <row r="123" spans="1:12" x14ac:dyDescent="0.2">
      <c r="A123" s="655" t="s">
        <v>19</v>
      </c>
      <c r="B123" s="655"/>
      <c r="C123" s="655"/>
      <c r="D123" s="655"/>
      <c r="E123" s="110">
        <f>'Purchased Power Model '!B250</f>
        <v>0.89639376036847795</v>
      </c>
      <c r="K123"/>
    </row>
    <row r="124" spans="1:12" x14ac:dyDescent="0.2">
      <c r="A124" s="655" t="s">
        <v>95</v>
      </c>
      <c r="B124" s="655"/>
      <c r="C124" s="655"/>
      <c r="D124" s="655"/>
      <c r="E124" s="111">
        <f>'Purchased Power Model '!E256</f>
        <v>184.6131457797394</v>
      </c>
      <c r="K124"/>
    </row>
    <row r="125" spans="1:12" x14ac:dyDescent="0.2">
      <c r="A125" s="655" t="s">
        <v>96</v>
      </c>
      <c r="B125" s="655"/>
      <c r="C125" s="655"/>
      <c r="D125" s="655"/>
      <c r="E125" s="111"/>
      <c r="K125"/>
    </row>
    <row r="126" spans="1:12" x14ac:dyDescent="0.2">
      <c r="A126" s="641" t="str">
        <f>'Purchased Power Model '!A262</f>
        <v>Heating Degree Days</v>
      </c>
      <c r="B126" s="642"/>
      <c r="C126" s="642"/>
      <c r="D126" s="643"/>
      <c r="E126" s="112">
        <f>'Purchased Power Model '!D262</f>
        <v>23.718225930666719</v>
      </c>
      <c r="K126"/>
    </row>
    <row r="127" spans="1:12" x14ac:dyDescent="0.2">
      <c r="A127" s="641" t="str">
        <f>'Purchased Power Model '!A263</f>
        <v>Cooling Degree Days</v>
      </c>
      <c r="B127" s="642"/>
      <c r="C127" s="642"/>
      <c r="D127" s="643"/>
      <c r="E127" s="112">
        <f>'Purchased Power Model '!D263</f>
        <v>17.560312924504089</v>
      </c>
      <c r="K127"/>
    </row>
    <row r="128" spans="1:12" x14ac:dyDescent="0.2">
      <c r="A128" s="641" t="str">
        <f>'Purchased Power Model '!A264</f>
        <v>Ontario Real GDP Monthly %</v>
      </c>
      <c r="B128" s="642"/>
      <c r="C128" s="642"/>
      <c r="D128" s="643"/>
      <c r="E128" s="112">
        <f>'Purchased Power Model '!D264</f>
        <v>1.9726061190367565</v>
      </c>
      <c r="K128"/>
    </row>
    <row r="129" spans="1:11" x14ac:dyDescent="0.2">
      <c r="A129" s="641" t="str">
        <f>'Purchased Power Model '!A265</f>
        <v>Number of Days in Month</v>
      </c>
      <c r="B129" s="642"/>
      <c r="C129" s="642"/>
      <c r="D129" s="643"/>
      <c r="E129" s="112">
        <f>'Purchased Power Model '!D265</f>
        <v>9.3156432007877683</v>
      </c>
      <c r="K129"/>
    </row>
    <row r="130" spans="1:11" ht="14.25" customHeight="1" x14ac:dyDescent="0.2">
      <c r="A130" s="641" t="str">
        <f>'Purchased Power Model '!A266</f>
        <v>Spring Fall Flag</v>
      </c>
      <c r="B130" s="642"/>
      <c r="C130" s="642"/>
      <c r="D130" s="643"/>
      <c r="E130" s="112">
        <f>'Purchased Power Model '!D266</f>
        <v>-5.967795519685172</v>
      </c>
    </row>
    <row r="131" spans="1:11" x14ac:dyDescent="0.2">
      <c r="A131" s="641" t="str">
        <f>'Purchased Power Model '!A267</f>
        <v>CDM Activity</v>
      </c>
      <c r="B131" s="642"/>
      <c r="C131" s="642"/>
      <c r="D131" s="643"/>
      <c r="E131" s="112">
        <f>'Purchased Power Model '!D267</f>
        <v>-9.3562094710358714</v>
      </c>
    </row>
    <row r="132" spans="1:11" x14ac:dyDescent="0.2">
      <c r="A132" s="641" t="str">
        <f>'Purchased Power Model '!A268</f>
        <v>Number of Peak Hours</v>
      </c>
      <c r="B132" s="642"/>
      <c r="C132" s="642"/>
      <c r="D132" s="643"/>
      <c r="E132" s="112">
        <f>'Purchased Power Model '!D268</f>
        <v>4.1745784219562374</v>
      </c>
    </row>
    <row r="133" spans="1:11" x14ac:dyDescent="0.2">
      <c r="A133" s="641" t="str">
        <f>'Purchased Power Model '!A269</f>
        <v>Employment Kitchener-Waterloo-Barrie (000's)</v>
      </c>
      <c r="B133" s="642"/>
      <c r="C133" s="642"/>
      <c r="D133" s="643"/>
      <c r="E133" s="112">
        <f>'Purchased Power Model '!D269</f>
        <v>3.5195886052926331</v>
      </c>
    </row>
    <row r="134" spans="1:11" x14ac:dyDescent="0.2">
      <c r="A134" s="641" t="str">
        <f>'Purchased Power Model '!A270</f>
        <v>Unemployment Kitchener-Waterloo-Barrie (000's)</v>
      </c>
      <c r="B134" s="642"/>
      <c r="C134" s="642"/>
      <c r="D134" s="643"/>
      <c r="E134" s="112">
        <f>'Purchased Power Model '!D270</f>
        <v>-2.6581000113986644</v>
      </c>
    </row>
    <row r="135" spans="1:11" x14ac:dyDescent="0.2">
      <c r="A135" s="678" t="str">
        <f>'Purchased Power Model '!A261</f>
        <v>Intercept</v>
      </c>
      <c r="B135" s="678"/>
      <c r="C135" s="678"/>
      <c r="D135" s="678"/>
      <c r="E135" s="112">
        <f>'Purchased Power Model '!D261</f>
        <v>-3.6602568352830707</v>
      </c>
    </row>
    <row r="136" spans="1:11" x14ac:dyDescent="0.2">
      <c r="K136" s="91"/>
    </row>
    <row r="137" spans="1:11" ht="15" x14ac:dyDescent="0.2">
      <c r="A137" s="634" t="s">
        <v>119</v>
      </c>
      <c r="B137" s="635"/>
      <c r="C137" s="635"/>
      <c r="D137" s="635"/>
      <c r="E137" s="635"/>
      <c r="F137" s="636"/>
      <c r="K137" s="83"/>
    </row>
    <row r="138" spans="1:11" ht="15" x14ac:dyDescent="0.2">
      <c r="A138" s="637" t="s">
        <v>83</v>
      </c>
      <c r="B138" s="638"/>
      <c r="C138" s="413"/>
      <c r="D138" s="379" t="s">
        <v>97</v>
      </c>
      <c r="E138" s="379" t="s">
        <v>98</v>
      </c>
      <c r="F138" s="379" t="s">
        <v>9</v>
      </c>
      <c r="K138" s="83"/>
    </row>
    <row r="139" spans="1:11" ht="15" x14ac:dyDescent="0.2">
      <c r="A139" s="634" t="s">
        <v>275</v>
      </c>
      <c r="B139" s="635"/>
      <c r="C139" s="635"/>
      <c r="D139" s="635"/>
      <c r="E139" s="635"/>
      <c r="F139" s="636"/>
      <c r="K139" s="83"/>
    </row>
    <row r="140" spans="1:11" ht="15" customHeight="1" x14ac:dyDescent="0.2">
      <c r="A140" s="639">
        <v>1997</v>
      </c>
      <c r="B140" s="640"/>
      <c r="C140" s="73"/>
      <c r="D140" s="78">
        <f>'Purchased Power Model '!E222/1000000</f>
        <v>1835.0953099999999</v>
      </c>
      <c r="E140" s="78">
        <f>'Purchased Power Model '!K222/1000000</f>
        <v>1823.3025051213237</v>
      </c>
      <c r="F140" s="113">
        <f t="shared" ref="F140:F155" si="34">E140/D140-1</f>
        <v>-6.4262628836843083E-3</v>
      </c>
      <c r="G140"/>
      <c r="H140"/>
      <c r="I140"/>
      <c r="J140"/>
      <c r="K140"/>
    </row>
    <row r="141" spans="1:11" ht="15" customHeight="1" x14ac:dyDescent="0.2">
      <c r="A141" s="639">
        <v>1998</v>
      </c>
      <c r="B141" s="640"/>
      <c r="C141" s="73"/>
      <c r="D141" s="78">
        <f>'Purchased Power Model '!E223/1000000</f>
        <v>1835.3451239999999</v>
      </c>
      <c r="E141" s="78">
        <f>'Purchased Power Model '!K223/1000000</f>
        <v>1855.0558883889723</v>
      </c>
      <c r="F141" s="113">
        <f t="shared" si="34"/>
        <v>1.0739541098414351E-2</v>
      </c>
      <c r="K141" s="83"/>
    </row>
    <row r="142" spans="1:11" ht="15" customHeight="1" x14ac:dyDescent="0.2">
      <c r="A142" s="639">
        <v>1999</v>
      </c>
      <c r="B142" s="640"/>
      <c r="C142" s="73"/>
      <c r="D142" s="78">
        <f>'Purchased Power Model '!E224/1000000</f>
        <v>1899.849275</v>
      </c>
      <c r="E142" s="78">
        <f>'Purchased Power Model '!K224/1000000</f>
        <v>1923.3953031594185</v>
      </c>
      <c r="F142" s="113">
        <f t="shared" si="34"/>
        <v>1.239362957328205E-2</v>
      </c>
      <c r="K142" s="83"/>
    </row>
    <row r="143" spans="1:11" ht="15" customHeight="1" x14ac:dyDescent="0.2">
      <c r="A143" s="639">
        <v>2000</v>
      </c>
      <c r="B143" s="640"/>
      <c r="C143" s="73"/>
      <c r="D143" s="78">
        <f>'Purchased Power Model '!E225/1000000</f>
        <v>1917.2873059999999</v>
      </c>
      <c r="E143" s="78">
        <f>'Purchased Power Model '!K225/1000000</f>
        <v>1917.2574335265592</v>
      </c>
      <c r="F143" s="113">
        <f t="shared" si="34"/>
        <v>-1.558059313655491E-5</v>
      </c>
      <c r="K143" s="83"/>
    </row>
    <row r="144" spans="1:11" ht="15" customHeight="1" x14ac:dyDescent="0.2">
      <c r="A144" s="639">
        <v>2001</v>
      </c>
      <c r="B144" s="640"/>
      <c r="C144" s="73"/>
      <c r="D144" s="78">
        <f>'Purchased Power Model '!E226/1000000</f>
        <v>1963.8665109999999</v>
      </c>
      <c r="E144" s="78">
        <f>'Purchased Power Model '!K226/1000000</f>
        <v>1953.6410695566638</v>
      </c>
      <c r="F144" s="113">
        <f t="shared" si="34"/>
        <v>-5.2067904748420712E-3</v>
      </c>
      <c r="K144" s="83"/>
    </row>
    <row r="145" spans="1:12" ht="15" customHeight="1" x14ac:dyDescent="0.2">
      <c r="A145" s="639">
        <v>2002</v>
      </c>
      <c r="B145" s="640"/>
      <c r="C145" s="77"/>
      <c r="D145" s="78">
        <f>'Purchased Power Model '!E227/1000000</f>
        <v>2036.9125200000001</v>
      </c>
      <c r="E145" s="78">
        <f>'Purchased Power Model '!K227/1000000</f>
        <v>2001.0801729767593</v>
      </c>
      <c r="F145" s="113">
        <f t="shared" si="34"/>
        <v>-1.7591500209955369E-2</v>
      </c>
      <c r="K145" s="83"/>
    </row>
    <row r="146" spans="1:12" ht="15" customHeight="1" x14ac:dyDescent="0.2">
      <c r="A146" s="639">
        <v>2003</v>
      </c>
      <c r="B146" s="640"/>
      <c r="C146" s="73"/>
      <c r="D146" s="78">
        <f>'Purchased Power Model '!E228/1000000</f>
        <v>2013.2033730000001</v>
      </c>
      <c r="E146" s="78">
        <f>'Purchased Power Model '!K228/1000000</f>
        <v>1994.3850662226791</v>
      </c>
      <c r="F146" s="113">
        <f t="shared" si="34"/>
        <v>-9.3474444905576881E-3</v>
      </c>
      <c r="K146" s="83"/>
    </row>
    <row r="147" spans="1:12" ht="15" customHeight="1" x14ac:dyDescent="0.2">
      <c r="A147" s="639">
        <v>2004</v>
      </c>
      <c r="B147" s="640"/>
      <c r="C147" s="77"/>
      <c r="D147" s="78">
        <f>'Purchased Power Model '!E229/1000000</f>
        <v>2009.748106</v>
      </c>
      <c r="E147" s="78">
        <f>'Purchased Power Model '!K229/1000000</f>
        <v>2002.4798822055197</v>
      </c>
      <c r="F147" s="113">
        <f t="shared" si="34"/>
        <v>-3.6164849578816938E-3</v>
      </c>
      <c r="G147"/>
      <c r="K147" s="83"/>
    </row>
    <row r="148" spans="1:12" ht="15" customHeight="1" x14ac:dyDescent="0.2">
      <c r="A148" s="639">
        <v>2005</v>
      </c>
      <c r="B148" s="640"/>
      <c r="C148" s="77"/>
      <c r="D148" s="78">
        <f>'Purchased Power Model '!E230/1000000</f>
        <v>2086.3640945742</v>
      </c>
      <c r="E148" s="78">
        <f>'Purchased Power Model '!K230/1000000</f>
        <v>2077.5782514867024</v>
      </c>
      <c r="F148" s="113">
        <f t="shared" si="34"/>
        <v>-4.2110785506451753E-3</v>
      </c>
      <c r="G148"/>
      <c r="K148" s="83"/>
    </row>
    <row r="149" spans="1:12" ht="15" customHeight="1" x14ac:dyDescent="0.2">
      <c r="A149" s="639">
        <v>2006</v>
      </c>
      <c r="B149" s="640"/>
      <c r="C149" s="77"/>
      <c r="D149" s="78">
        <f>'Purchased Power Model '!E231/1000000</f>
        <v>1983.6457103185001</v>
      </c>
      <c r="E149" s="78">
        <f>'Purchased Power Model '!K231/1000000</f>
        <v>2011.4221243310665</v>
      </c>
      <c r="F149" s="113">
        <f t="shared" si="34"/>
        <v>1.4002709187472151E-2</v>
      </c>
      <c r="G149"/>
      <c r="K149" s="83"/>
    </row>
    <row r="150" spans="1:12" ht="15" customHeight="1" x14ac:dyDescent="0.2">
      <c r="A150" s="639">
        <v>2007</v>
      </c>
      <c r="B150" s="640"/>
      <c r="C150" s="77"/>
      <c r="D150" s="78">
        <f>'Purchased Power Model '!E232/1000000</f>
        <v>1978.9901764429999</v>
      </c>
      <c r="E150" s="78">
        <f>'Purchased Power Model '!K232/1000000</f>
        <v>1990.5979541714844</v>
      </c>
      <c r="F150" s="113">
        <f t="shared" si="34"/>
        <v>5.865505481865485E-3</v>
      </c>
      <c r="G150"/>
      <c r="K150" s="83"/>
    </row>
    <row r="151" spans="1:12" ht="15" customHeight="1" x14ac:dyDescent="0.2">
      <c r="A151" s="639">
        <v>2008</v>
      </c>
      <c r="B151" s="640"/>
      <c r="C151" s="77"/>
      <c r="D151" s="78">
        <f>'Purchased Power Model '!E233/1000000</f>
        <v>1939.0644042694</v>
      </c>
      <c r="E151" s="78">
        <f>'Purchased Power Model '!K233/1000000</f>
        <v>1963.2518616181324</v>
      </c>
      <c r="F151" s="113">
        <f t="shared" si="34"/>
        <v>1.2473777196609248E-2</v>
      </c>
      <c r="G151"/>
      <c r="K151" s="83"/>
    </row>
    <row r="152" spans="1:12" ht="15" customHeight="1" x14ac:dyDescent="0.2">
      <c r="A152" s="639">
        <v>2009</v>
      </c>
      <c r="B152" s="640"/>
      <c r="C152" s="77"/>
      <c r="D152" s="78">
        <f>'Purchased Power Model '!E234/1000000</f>
        <v>1837.1331214989998</v>
      </c>
      <c r="E152" s="78">
        <f>'Purchased Power Model '!K234/1000000</f>
        <v>1856.1745904812803</v>
      </c>
      <c r="F152" s="113">
        <f t="shared" si="34"/>
        <v>1.0364773657090209E-2</v>
      </c>
      <c r="G152"/>
      <c r="K152" s="83"/>
    </row>
    <row r="153" spans="1:12" ht="15" customHeight="1" x14ac:dyDescent="0.2">
      <c r="A153" s="639">
        <v>2010</v>
      </c>
      <c r="B153" s="640"/>
      <c r="C153" s="77"/>
      <c r="D153" s="78">
        <f>'Purchased Power Model '!E235/1000000</f>
        <v>1892.6335194493545</v>
      </c>
      <c r="E153" s="78">
        <f>'Purchased Power Model '!K235/1000000</f>
        <v>1889.6918551705751</v>
      </c>
      <c r="F153" s="113">
        <f t="shared" si="34"/>
        <v>-1.5542704113341577E-3</v>
      </c>
      <c r="G153"/>
      <c r="K153" s="83"/>
    </row>
    <row r="154" spans="1:12" ht="15" customHeight="1" x14ac:dyDescent="0.2">
      <c r="A154" s="639">
        <v>2011</v>
      </c>
      <c r="B154" s="640"/>
      <c r="C154" s="77"/>
      <c r="D154" s="78">
        <f>'Purchased Power Model '!E236/1000000</f>
        <v>1895.1972325334652</v>
      </c>
      <c r="E154" s="78">
        <f>'Purchased Power Model '!K236/1000000</f>
        <v>1882.8410422231548</v>
      </c>
      <c r="F154" s="113">
        <f t="shared" si="34"/>
        <v>-6.5197384727039287E-3</v>
      </c>
      <c r="G154"/>
      <c r="K154" s="83"/>
    </row>
    <row r="155" spans="1:12" ht="15" customHeight="1" x14ac:dyDescent="0.2">
      <c r="A155" s="639">
        <v>2012</v>
      </c>
      <c r="B155" s="640"/>
      <c r="C155" s="114"/>
      <c r="D155" s="78">
        <f>'Purchased Power Model '!E237/1000000</f>
        <v>1885.7381183156619</v>
      </c>
      <c r="E155" s="78">
        <f>'Purchased Power Model '!K237/1000000</f>
        <v>1867.9189017622916</v>
      </c>
      <c r="F155" s="113">
        <f t="shared" si="34"/>
        <v>-9.4494651088065096E-3</v>
      </c>
      <c r="G155"/>
    </row>
    <row r="156" spans="1:12" s="86" customFormat="1" ht="15" customHeight="1" x14ac:dyDescent="0.25">
      <c r="A156" s="634" t="s">
        <v>53</v>
      </c>
      <c r="B156" s="635"/>
      <c r="C156" s="635"/>
      <c r="D156" s="636"/>
      <c r="E156" s="87">
        <f>'Purchased Power Model '!K238/1000000</f>
        <v>1899.4109649256573</v>
      </c>
      <c r="F156" s="115"/>
      <c r="K156" s="116"/>
    </row>
    <row r="157" spans="1:12" s="86" customFormat="1" ht="15" customHeight="1" x14ac:dyDescent="0.25">
      <c r="A157" s="634" t="s">
        <v>151</v>
      </c>
      <c r="B157" s="635"/>
      <c r="C157" s="635"/>
      <c r="D157" s="636"/>
      <c r="E157" s="87">
        <f>'Purchased Power Model '!K239/1000000</f>
        <v>1906.0325815791934</v>
      </c>
      <c r="F157" s="115"/>
      <c r="K157" s="116"/>
    </row>
    <row r="158" spans="1:12" s="86" customFormat="1" ht="15" customHeight="1" x14ac:dyDescent="0.25">
      <c r="A158" s="634" t="s">
        <v>291</v>
      </c>
      <c r="B158" s="635"/>
      <c r="C158" s="635"/>
      <c r="D158" s="636"/>
      <c r="E158" s="87">
        <f>'Purchased Power Model '!K296/1000000</f>
        <v>1905.3749092027442</v>
      </c>
      <c r="F158" s="115"/>
      <c r="K158" s="116"/>
    </row>
    <row r="159" spans="1:12" s="83" customFormat="1" ht="15" customHeight="1" x14ac:dyDescent="0.2">
      <c r="A159" s="634" t="s">
        <v>292</v>
      </c>
      <c r="B159" s="635"/>
      <c r="C159" s="635"/>
      <c r="D159" s="636"/>
      <c r="E159" s="87">
        <f>'Purchased Power Model '!K312/1000000</f>
        <v>1906.210968859682</v>
      </c>
      <c r="F159" s="113"/>
      <c r="K159" s="229"/>
      <c r="L159" s="230"/>
    </row>
    <row r="160" spans="1:12" x14ac:dyDescent="0.2">
      <c r="K160"/>
    </row>
    <row r="161" spans="1:16" ht="15" x14ac:dyDescent="0.2">
      <c r="A161" s="660" t="s">
        <v>377</v>
      </c>
      <c r="B161" s="661"/>
      <c r="C161" s="661"/>
      <c r="D161" s="661"/>
      <c r="E161" s="661"/>
      <c r="F161" s="661"/>
      <c r="G161" s="661"/>
      <c r="H161" s="661"/>
      <c r="I161" s="661"/>
      <c r="J161" s="662"/>
      <c r="K161" s="121"/>
      <c r="L161" s="121"/>
    </row>
    <row r="162" spans="1:16" ht="30" x14ac:dyDescent="0.2">
      <c r="A162" s="665" t="s">
        <v>83</v>
      </c>
      <c r="B162" s="666"/>
      <c r="C162" s="553"/>
      <c r="D162" s="554" t="str">
        <f t="shared" ref="D162:I162" si="35">D67</f>
        <v xml:space="preserve">Residential </v>
      </c>
      <c r="E162" s="554" t="str">
        <f t="shared" si="35"/>
        <v>GS&lt;50</v>
      </c>
      <c r="F162" s="554" t="str">
        <f t="shared" si="35"/>
        <v>GS&gt;50</v>
      </c>
      <c r="G162" s="554" t="str">
        <f t="shared" si="35"/>
        <v>Large User</v>
      </c>
      <c r="H162" s="554" t="str">
        <f t="shared" si="35"/>
        <v>Street Lighting</v>
      </c>
      <c r="I162" s="554" t="str">
        <f t="shared" si="35"/>
        <v>USL</v>
      </c>
      <c r="J162" s="554" t="s">
        <v>10</v>
      </c>
    </row>
    <row r="163" spans="1:16" ht="15" x14ac:dyDescent="0.2">
      <c r="A163" s="555" t="s">
        <v>91</v>
      </c>
      <c r="B163" s="556"/>
      <c r="C163" s="556"/>
      <c r="D163" s="556"/>
      <c r="E163" s="556"/>
      <c r="F163" s="556"/>
      <c r="G163" s="556"/>
      <c r="H163" s="556"/>
      <c r="I163" s="556"/>
      <c r="J163" s="557"/>
    </row>
    <row r="164" spans="1:16" ht="15" x14ac:dyDescent="0.2">
      <c r="A164" s="658">
        <f t="shared" ref="A164:A176" si="36">+A143</f>
        <v>2000</v>
      </c>
      <c r="B164" s="659"/>
      <c r="C164" s="558"/>
      <c r="D164" s="559">
        <f>'Rate Class Customer Model'!B6</f>
        <v>63692</v>
      </c>
      <c r="E164" s="559">
        <f>'Rate Class Customer Model'!C6</f>
        <v>6548</v>
      </c>
      <c r="F164" s="560">
        <f>'Rate Class Customer Model'!D6</f>
        <v>1033</v>
      </c>
      <c r="G164" s="559">
        <f>'Rate Class Customer Model'!E6</f>
        <v>3</v>
      </c>
      <c r="H164" s="559">
        <f>'Rate Class Customer Model'!F6</f>
        <v>1342.030303030303</v>
      </c>
      <c r="I164" s="559">
        <f>'Rate Class Customer Model'!G6</f>
        <v>750</v>
      </c>
      <c r="J164" s="559">
        <f t="shared" ref="J164:J175" si="37">SUM(D164:I164)</f>
        <v>73368.030303030304</v>
      </c>
      <c r="N164"/>
      <c r="O164"/>
      <c r="P164"/>
    </row>
    <row r="165" spans="1:16" ht="15" x14ac:dyDescent="0.2">
      <c r="A165" s="658">
        <f t="shared" si="36"/>
        <v>2001</v>
      </c>
      <c r="B165" s="659"/>
      <c r="C165" s="558"/>
      <c r="D165" s="559">
        <f>'Rate Class Customer Model'!B7</f>
        <v>64284</v>
      </c>
      <c r="E165" s="559">
        <f>'Rate Class Customer Model'!C7</f>
        <v>6568</v>
      </c>
      <c r="F165" s="560">
        <f>'Rate Class Customer Model'!D7</f>
        <v>1035</v>
      </c>
      <c r="G165" s="559">
        <f>'Rate Class Customer Model'!E7</f>
        <v>4</v>
      </c>
      <c r="H165" s="559">
        <f>'Rate Class Customer Model'!F7</f>
        <v>1369.6060606060605</v>
      </c>
      <c r="I165" s="559">
        <f>'Rate Class Customer Model'!G7</f>
        <v>750</v>
      </c>
      <c r="J165" s="559">
        <f t="shared" si="37"/>
        <v>74010.606060606064</v>
      </c>
      <c r="N165"/>
      <c r="O165"/>
      <c r="P165"/>
    </row>
    <row r="166" spans="1:16" x14ac:dyDescent="0.2">
      <c r="A166" s="658">
        <f t="shared" si="36"/>
        <v>2002</v>
      </c>
      <c r="B166" s="659"/>
      <c r="C166" s="561"/>
      <c r="D166" s="559">
        <f>'Rate Class Customer Model'!B8</f>
        <v>65683</v>
      </c>
      <c r="E166" s="559">
        <f>'Rate Class Customer Model'!C8</f>
        <v>6569</v>
      </c>
      <c r="F166" s="560">
        <f>'Rate Class Customer Model'!D8</f>
        <v>1068</v>
      </c>
      <c r="G166" s="559">
        <f>'Rate Class Customer Model'!E8</f>
        <v>4</v>
      </c>
      <c r="H166" s="559">
        <f>'Rate Class Customer Model'!F8</f>
        <v>1394.3939393939395</v>
      </c>
      <c r="I166" s="559">
        <f>'Rate Class Customer Model'!G8</f>
        <v>765</v>
      </c>
      <c r="J166" s="559">
        <f t="shared" si="37"/>
        <v>75483.393939393936</v>
      </c>
      <c r="N166"/>
      <c r="O166"/>
      <c r="P166"/>
    </row>
    <row r="167" spans="1:16" x14ac:dyDescent="0.2">
      <c r="A167" s="658">
        <f t="shared" si="36"/>
        <v>2003</v>
      </c>
      <c r="B167" s="659"/>
      <c r="C167" s="561"/>
      <c r="D167" s="559">
        <f>'Rate Class Customer Model'!B9</f>
        <v>67527</v>
      </c>
      <c r="E167" s="559">
        <f>'Rate Class Customer Model'!C9</f>
        <v>6703</v>
      </c>
      <c r="F167" s="560">
        <f>'Rate Class Customer Model'!D9</f>
        <v>1035</v>
      </c>
      <c r="G167" s="559">
        <f>'Rate Class Customer Model'!E9</f>
        <v>4</v>
      </c>
      <c r="H167" s="559">
        <f>'Rate Class Customer Model'!F9</f>
        <v>1405</v>
      </c>
      <c r="I167" s="559">
        <f>'Rate Class Customer Model'!G9</f>
        <v>765</v>
      </c>
      <c r="J167" s="559">
        <f t="shared" si="37"/>
        <v>77439</v>
      </c>
      <c r="N167"/>
      <c r="O167"/>
      <c r="P167"/>
    </row>
    <row r="168" spans="1:16" x14ac:dyDescent="0.2">
      <c r="A168" s="658">
        <f t="shared" si="36"/>
        <v>2004</v>
      </c>
      <c r="B168" s="659"/>
      <c r="C168" s="561"/>
      <c r="D168" s="559">
        <f>'Rate Class Customer Model'!B10</f>
        <v>69405</v>
      </c>
      <c r="E168" s="559">
        <f>'Rate Class Customer Model'!C10</f>
        <v>6816</v>
      </c>
      <c r="F168" s="560">
        <f>'Rate Class Customer Model'!D10</f>
        <v>1058</v>
      </c>
      <c r="G168" s="559">
        <f>'Rate Class Customer Model'!E10</f>
        <v>4</v>
      </c>
      <c r="H168" s="559">
        <f>'Rate Class Customer Model'!F10</f>
        <v>1497</v>
      </c>
      <c r="I168" s="559">
        <f>'Rate Class Customer Model'!G10</f>
        <v>822</v>
      </c>
      <c r="J168" s="559">
        <f t="shared" si="37"/>
        <v>79602</v>
      </c>
      <c r="N168"/>
      <c r="O168"/>
      <c r="P168"/>
    </row>
    <row r="169" spans="1:16" x14ac:dyDescent="0.2">
      <c r="A169" s="658">
        <f t="shared" si="36"/>
        <v>2005</v>
      </c>
      <c r="B169" s="659"/>
      <c r="C169" s="561"/>
      <c r="D169" s="559">
        <f>'Rate Class Customer Model'!B11</f>
        <v>71490</v>
      </c>
      <c r="E169" s="559">
        <f>'Rate Class Customer Model'!C11</f>
        <v>6916</v>
      </c>
      <c r="F169" s="560">
        <f>'Rate Class Customer Model'!D11</f>
        <v>1077</v>
      </c>
      <c r="G169" s="559">
        <f>'Rate Class Customer Model'!E11</f>
        <v>4</v>
      </c>
      <c r="H169" s="559">
        <f>'Rate Class Customer Model'!F11</f>
        <v>1517</v>
      </c>
      <c r="I169" s="559">
        <f>'Rate Class Customer Model'!G11</f>
        <v>807</v>
      </c>
      <c r="J169" s="559">
        <f t="shared" si="37"/>
        <v>81811</v>
      </c>
      <c r="N169"/>
      <c r="O169"/>
      <c r="P169"/>
    </row>
    <row r="170" spans="1:16" x14ac:dyDescent="0.2">
      <c r="A170" s="658">
        <f t="shared" si="36"/>
        <v>2006</v>
      </c>
      <c r="B170" s="659"/>
      <c r="C170" s="561"/>
      <c r="D170" s="559">
        <f>'Rate Class Customer Model'!B12</f>
        <v>72866</v>
      </c>
      <c r="E170" s="559">
        <f>'Rate Class Customer Model'!C12</f>
        <v>7049</v>
      </c>
      <c r="F170" s="560">
        <f>'Rate Class Customer Model'!D12</f>
        <v>1021</v>
      </c>
      <c r="G170" s="559">
        <f>'Rate Class Customer Model'!E12</f>
        <v>4</v>
      </c>
      <c r="H170" s="559">
        <f>'Rate Class Customer Model'!F12</f>
        <v>1533</v>
      </c>
      <c r="I170" s="559">
        <f>'Rate Class Customer Model'!G12</f>
        <v>807</v>
      </c>
      <c r="J170" s="559">
        <f t="shared" si="37"/>
        <v>83280</v>
      </c>
      <c r="N170"/>
      <c r="O170"/>
      <c r="P170"/>
    </row>
    <row r="171" spans="1:16" x14ac:dyDescent="0.2">
      <c r="A171" s="658">
        <f t="shared" si="36"/>
        <v>2007</v>
      </c>
      <c r="B171" s="659"/>
      <c r="C171" s="561"/>
      <c r="D171" s="559">
        <f>'Rate Class Customer Model'!B13</f>
        <v>74392</v>
      </c>
      <c r="E171" s="559">
        <f>'Rate Class Customer Model'!C13</f>
        <v>7198</v>
      </c>
      <c r="F171" s="560">
        <f>'Rate Class Customer Model'!D13</f>
        <v>1005</v>
      </c>
      <c r="G171" s="559">
        <f>'Rate Class Customer Model'!E13</f>
        <v>4</v>
      </c>
      <c r="H171" s="559">
        <f>'Rate Class Customer Model'!F13</f>
        <v>1523</v>
      </c>
      <c r="I171" s="559">
        <f>'Rate Class Customer Model'!G13</f>
        <v>818</v>
      </c>
      <c r="J171" s="559">
        <f t="shared" si="37"/>
        <v>84940</v>
      </c>
      <c r="N171"/>
      <c r="O171"/>
      <c r="P171"/>
    </row>
    <row r="172" spans="1:16" x14ac:dyDescent="0.2">
      <c r="A172" s="658">
        <f t="shared" si="36"/>
        <v>2008</v>
      </c>
      <c r="B172" s="659"/>
      <c r="C172" s="561"/>
      <c r="D172" s="559">
        <f>'Rate Class Customer Model'!B14</f>
        <v>75153.833333333328</v>
      </c>
      <c r="E172" s="559">
        <f>'Rate Class Customer Model'!C14</f>
        <v>7264.916666666667</v>
      </c>
      <c r="F172" s="560">
        <f>'Rate Class Customer Model'!D14</f>
        <v>1014.1666666666666</v>
      </c>
      <c r="G172" s="559">
        <f>'Rate Class Customer Model'!E14</f>
        <v>4</v>
      </c>
      <c r="H172" s="559">
        <f>'Rate Class Customer Model'!F14</f>
        <v>1522.2424242424242</v>
      </c>
      <c r="I172" s="559">
        <f>'Rate Class Customer Model'!G14</f>
        <v>820</v>
      </c>
      <c r="J172" s="559">
        <f t="shared" si="37"/>
        <v>85779.159090909103</v>
      </c>
      <c r="N172"/>
      <c r="O172"/>
      <c r="P172"/>
    </row>
    <row r="173" spans="1:16" x14ac:dyDescent="0.2">
      <c r="A173" s="658">
        <f t="shared" si="36"/>
        <v>2009</v>
      </c>
      <c r="B173" s="659"/>
      <c r="C173" s="561"/>
      <c r="D173" s="559">
        <f>'Rate Class Customer Model'!B15</f>
        <v>76255.166666666672</v>
      </c>
      <c r="E173" s="559">
        <f>'Rate Class Customer Model'!C15</f>
        <v>7370.333333333333</v>
      </c>
      <c r="F173" s="560">
        <f>'Rate Class Customer Model'!D15</f>
        <v>1004.9166666666666</v>
      </c>
      <c r="G173" s="559">
        <f>'Rate Class Customer Model'!E15</f>
        <v>3</v>
      </c>
      <c r="H173" s="559">
        <f>'Rate Class Customer Model'!F15</f>
        <v>1551</v>
      </c>
      <c r="I173" s="559">
        <f>'Rate Class Customer Model'!G15</f>
        <v>817</v>
      </c>
      <c r="J173" s="559">
        <f t="shared" si="37"/>
        <v>87001.416666666672</v>
      </c>
      <c r="N173"/>
      <c r="O173"/>
      <c r="P173"/>
    </row>
    <row r="174" spans="1:16" x14ac:dyDescent="0.2">
      <c r="A174" s="658">
        <f t="shared" si="36"/>
        <v>2010</v>
      </c>
      <c r="B174" s="659"/>
      <c r="C174" s="561"/>
      <c r="D174" s="559">
        <f>'Rate Class Customer Model'!B16</f>
        <v>77505.916666666672</v>
      </c>
      <c r="E174" s="559">
        <f>'Rate Class Customer Model'!C16</f>
        <v>7447.583333333333</v>
      </c>
      <c r="F174" s="560">
        <f>'Rate Class Customer Model'!D16</f>
        <v>988.91666666666663</v>
      </c>
      <c r="G174" s="559">
        <f>'Rate Class Customer Model'!E16</f>
        <v>1.3333333333333333</v>
      </c>
      <c r="H174" s="559">
        <f>'Rate Class Customer Model'!F16</f>
        <v>1574.2465237166991</v>
      </c>
      <c r="I174" s="559">
        <f>'Rate Class Customer Model'!G16</f>
        <v>811</v>
      </c>
      <c r="J174" s="559">
        <f t="shared" si="37"/>
        <v>88328.996523716705</v>
      </c>
      <c r="N174"/>
      <c r="O174"/>
      <c r="P174"/>
    </row>
    <row r="175" spans="1:16" x14ac:dyDescent="0.2">
      <c r="A175" s="658">
        <f t="shared" si="36"/>
        <v>2011</v>
      </c>
      <c r="B175" s="659"/>
      <c r="C175" s="561"/>
      <c r="D175" s="559">
        <f>'Rate Class Customer Model'!B17</f>
        <v>78761</v>
      </c>
      <c r="E175" s="559">
        <f>'Rate Class Customer Model'!C17</f>
        <v>7538</v>
      </c>
      <c r="F175" s="560">
        <f>'Rate Class Customer Model'!D17</f>
        <v>975</v>
      </c>
      <c r="G175" s="559">
        <f>'Rate Class Customer Model'!E17</f>
        <v>2</v>
      </c>
      <c r="H175" s="559">
        <f>'Rate Class Customer Model'!F17</f>
        <v>1567.6666666666667</v>
      </c>
      <c r="I175" s="559">
        <f>'Rate Class Customer Model'!G17</f>
        <v>841</v>
      </c>
      <c r="J175" s="559">
        <f t="shared" si="37"/>
        <v>89684.666666666672</v>
      </c>
      <c r="N175"/>
      <c r="O175"/>
      <c r="P175"/>
    </row>
    <row r="176" spans="1:16" x14ac:dyDescent="0.2">
      <c r="A176" s="658">
        <f t="shared" si="36"/>
        <v>2012</v>
      </c>
      <c r="B176" s="659"/>
      <c r="C176" s="561"/>
      <c r="D176" s="559">
        <f>'Rate Class Customer Model'!B18</f>
        <v>79997</v>
      </c>
      <c r="E176" s="559">
        <f>'Rate Class Customer Model'!C18</f>
        <v>7645.333333333333</v>
      </c>
      <c r="F176" s="560">
        <f>'Rate Class Customer Model'!D18</f>
        <v>952.33333333333337</v>
      </c>
      <c r="G176" s="559">
        <f>'Rate Class Customer Model'!E18</f>
        <v>2</v>
      </c>
      <c r="H176" s="559">
        <f>'Rate Class Customer Model'!F18</f>
        <v>1573.4242424242425</v>
      </c>
      <c r="I176" s="559">
        <f>'Rate Class Customer Model'!G18</f>
        <v>868.75</v>
      </c>
      <c r="J176" s="559">
        <f t="shared" ref="J176" si="38">SUM(D176:I176)</f>
        <v>91038.840909090897</v>
      </c>
      <c r="N176"/>
      <c r="O176"/>
      <c r="P176"/>
    </row>
    <row r="177" spans="1:16" s="551" customFormat="1" ht="15" x14ac:dyDescent="0.25">
      <c r="A177" s="663">
        <v>2013</v>
      </c>
      <c r="B177" s="664"/>
      <c r="C177" s="562"/>
      <c r="D177" s="563">
        <v>80985</v>
      </c>
      <c r="E177" s="563">
        <v>7693</v>
      </c>
      <c r="F177" s="564">
        <v>947</v>
      </c>
      <c r="G177" s="563">
        <v>3</v>
      </c>
      <c r="H177" s="563">
        <v>1575</v>
      </c>
      <c r="I177" s="563">
        <v>817</v>
      </c>
      <c r="J177" s="563">
        <f>SUM(D177:I177)</f>
        <v>92020</v>
      </c>
      <c r="N177" s="552"/>
      <c r="O177" s="552"/>
      <c r="P177" s="552"/>
    </row>
    <row r="179" spans="1:16" ht="15" x14ac:dyDescent="0.2">
      <c r="A179" s="634" t="s">
        <v>214</v>
      </c>
      <c r="B179" s="635"/>
      <c r="C179" s="635"/>
      <c r="D179" s="635"/>
      <c r="E179" s="635"/>
      <c r="F179" s="635"/>
      <c r="G179" s="635"/>
      <c r="H179" s="635"/>
      <c r="I179" s="636"/>
      <c r="J179" s="121"/>
      <c r="K179" s="121"/>
    </row>
    <row r="180" spans="1:16" ht="30" x14ac:dyDescent="0.2">
      <c r="A180" s="667" t="s">
        <v>83</v>
      </c>
      <c r="B180" s="667"/>
      <c r="C180" s="417"/>
      <c r="D180" s="387" t="str">
        <f>D162</f>
        <v xml:space="preserve">Residential </v>
      </c>
      <c r="E180" s="387" t="str">
        <f t="shared" ref="E180:G180" si="39">E162</f>
        <v>GS&lt;50</v>
      </c>
      <c r="F180" s="387" t="str">
        <f t="shared" si="39"/>
        <v>GS&gt;50</v>
      </c>
      <c r="G180" s="387" t="str">
        <f t="shared" si="39"/>
        <v>Large User</v>
      </c>
      <c r="H180" s="387" t="str">
        <f>H162</f>
        <v>Street Lighting</v>
      </c>
      <c r="I180" s="387" t="str">
        <f>I162</f>
        <v>USL</v>
      </c>
    </row>
    <row r="181" spans="1:16" ht="15" customHeight="1" x14ac:dyDescent="0.2">
      <c r="A181" s="226" t="s">
        <v>215</v>
      </c>
      <c r="B181" s="227"/>
      <c r="C181" s="227"/>
      <c r="D181" s="227"/>
      <c r="E181" s="227"/>
      <c r="F181" s="227"/>
      <c r="G181" s="227"/>
      <c r="H181" s="227"/>
      <c r="I181" s="228"/>
    </row>
    <row r="182" spans="1:16" ht="15" customHeight="1" x14ac:dyDescent="0.2">
      <c r="A182" s="628">
        <f t="shared" ref="A182:A194" si="40">A164</f>
        <v>2000</v>
      </c>
      <c r="B182" s="628"/>
      <c r="C182" s="76"/>
      <c r="D182" s="118"/>
      <c r="E182" s="76"/>
      <c r="F182" s="76"/>
      <c r="G182" s="76"/>
      <c r="H182" s="76"/>
      <c r="I182" s="94"/>
    </row>
    <row r="183" spans="1:16" ht="15" customHeight="1" x14ac:dyDescent="0.2">
      <c r="A183" s="628">
        <f t="shared" si="40"/>
        <v>2001</v>
      </c>
      <c r="B183" s="628"/>
      <c r="C183" s="76"/>
      <c r="D183" s="118">
        <f t="shared" ref="D183:G183" si="41">D165/D164-1</f>
        <v>9.2947308924198335E-3</v>
      </c>
      <c r="E183" s="118">
        <f t="shared" si="41"/>
        <v>3.0543677458765295E-3</v>
      </c>
      <c r="F183" s="118">
        <f t="shared" si="41"/>
        <v>1.9361084220717029E-3</v>
      </c>
      <c r="G183" s="118">
        <f t="shared" si="41"/>
        <v>0.33333333333333326</v>
      </c>
      <c r="H183" s="118">
        <f t="shared" ref="H183:I194" si="42">H165/H164-1</f>
        <v>2.0547790548016254E-2</v>
      </c>
      <c r="I183" s="118">
        <f t="shared" si="42"/>
        <v>0</v>
      </c>
      <c r="L183" s="155"/>
      <c r="M183" s="156"/>
      <c r="N183" s="156"/>
    </row>
    <row r="184" spans="1:16" ht="15" customHeight="1" x14ac:dyDescent="0.2">
      <c r="A184" s="628">
        <f t="shared" si="40"/>
        <v>2002</v>
      </c>
      <c r="B184" s="628"/>
      <c r="C184" s="76"/>
      <c r="D184" s="118">
        <f t="shared" ref="D184:G184" si="43">D166/D165-1</f>
        <v>2.176280256362384E-2</v>
      </c>
      <c r="E184" s="118">
        <f t="shared" si="43"/>
        <v>1.5225334957369441E-4</v>
      </c>
      <c r="F184" s="118">
        <f t="shared" si="43"/>
        <v>3.1884057971014457E-2</v>
      </c>
      <c r="G184" s="118">
        <f t="shared" si="43"/>
        <v>0</v>
      </c>
      <c r="H184" s="118">
        <f t="shared" si="42"/>
        <v>1.8098546363696899E-2</v>
      </c>
      <c r="I184" s="118">
        <f t="shared" si="42"/>
        <v>2.0000000000000018E-2</v>
      </c>
      <c r="L184" s="155"/>
      <c r="M184" s="156"/>
      <c r="N184" s="156"/>
    </row>
    <row r="185" spans="1:16" ht="15" customHeight="1" x14ac:dyDescent="0.2">
      <c r="A185" s="628">
        <f t="shared" si="40"/>
        <v>2003</v>
      </c>
      <c r="B185" s="628"/>
      <c r="C185" s="95"/>
      <c r="D185" s="118">
        <f t="shared" ref="D185:G185" si="44">D167/D166-1</f>
        <v>2.8074235342478326E-2</v>
      </c>
      <c r="E185" s="118">
        <f t="shared" si="44"/>
        <v>2.0398843050692728E-2</v>
      </c>
      <c r="F185" s="118">
        <f t="shared" si="44"/>
        <v>-3.0898876404494402E-2</v>
      </c>
      <c r="G185" s="118">
        <f t="shared" si="44"/>
        <v>0</v>
      </c>
      <c r="H185" s="118">
        <f t="shared" si="42"/>
        <v>7.606215364554858E-3</v>
      </c>
      <c r="I185" s="118">
        <f t="shared" si="42"/>
        <v>0</v>
      </c>
      <c r="L185" s="155"/>
      <c r="M185" s="156"/>
      <c r="N185" s="156"/>
    </row>
    <row r="186" spans="1:16" ht="15" customHeight="1" x14ac:dyDescent="0.2">
      <c r="A186" s="628">
        <f t="shared" si="40"/>
        <v>2004</v>
      </c>
      <c r="B186" s="628"/>
      <c r="C186" s="95"/>
      <c r="D186" s="118">
        <f t="shared" ref="D186:G186" si="45">D168/D167-1</f>
        <v>2.7811097783108973E-2</v>
      </c>
      <c r="E186" s="118">
        <f t="shared" si="45"/>
        <v>1.6858123228405297E-2</v>
      </c>
      <c r="F186" s="118">
        <f t="shared" si="45"/>
        <v>2.2222222222222143E-2</v>
      </c>
      <c r="G186" s="118">
        <f t="shared" si="45"/>
        <v>0</v>
      </c>
      <c r="H186" s="118">
        <f t="shared" si="42"/>
        <v>6.5480427046263445E-2</v>
      </c>
      <c r="I186" s="118">
        <f t="shared" si="42"/>
        <v>7.4509803921568585E-2</v>
      </c>
      <c r="L186" s="155"/>
      <c r="M186" s="156"/>
      <c r="N186" s="156"/>
    </row>
    <row r="187" spans="1:16" ht="15" customHeight="1" x14ac:dyDescent="0.2">
      <c r="A187" s="628">
        <f t="shared" si="40"/>
        <v>2005</v>
      </c>
      <c r="B187" s="628"/>
      <c r="C187" s="95"/>
      <c r="D187" s="118">
        <f t="shared" ref="D187:G187" si="46">D169/D168-1</f>
        <v>3.0041063323968054E-2</v>
      </c>
      <c r="E187" s="118">
        <f t="shared" si="46"/>
        <v>1.4671361502347491E-2</v>
      </c>
      <c r="F187" s="118">
        <f t="shared" si="46"/>
        <v>1.7958412098298737E-2</v>
      </c>
      <c r="G187" s="118">
        <f t="shared" si="46"/>
        <v>0</v>
      </c>
      <c r="H187" s="118">
        <f t="shared" si="42"/>
        <v>1.3360053440213848E-2</v>
      </c>
      <c r="I187" s="118">
        <f t="shared" si="42"/>
        <v>-1.8248175182481785E-2</v>
      </c>
      <c r="L187" s="155"/>
      <c r="M187" s="156"/>
      <c r="N187" s="156"/>
    </row>
    <row r="188" spans="1:16" ht="15" customHeight="1" x14ac:dyDescent="0.2">
      <c r="A188" s="628">
        <f t="shared" si="40"/>
        <v>2006</v>
      </c>
      <c r="B188" s="628"/>
      <c r="C188" s="95"/>
      <c r="D188" s="118">
        <f t="shared" ref="D188:G188" si="47">D170/D169-1</f>
        <v>1.9247447195412049E-2</v>
      </c>
      <c r="E188" s="118">
        <f t="shared" si="47"/>
        <v>1.9230769230769162E-2</v>
      </c>
      <c r="F188" s="118">
        <f t="shared" si="47"/>
        <v>-5.1996285979572843E-2</v>
      </c>
      <c r="G188" s="118">
        <f t="shared" si="47"/>
        <v>0</v>
      </c>
      <c r="H188" s="118">
        <f t="shared" si="42"/>
        <v>1.054713249835193E-2</v>
      </c>
      <c r="I188" s="118">
        <f t="shared" si="42"/>
        <v>0</v>
      </c>
      <c r="L188" s="155"/>
      <c r="M188" s="156"/>
      <c r="N188" s="156"/>
    </row>
    <row r="189" spans="1:16" ht="15" customHeight="1" x14ac:dyDescent="0.2">
      <c r="A189" s="628">
        <f t="shared" si="40"/>
        <v>2007</v>
      </c>
      <c r="B189" s="628"/>
      <c r="C189" s="95"/>
      <c r="D189" s="118">
        <f t="shared" ref="D189:G189" si="48">D171/D170-1</f>
        <v>2.0942552081903765E-2</v>
      </c>
      <c r="E189" s="118">
        <f t="shared" si="48"/>
        <v>2.1137750035465919E-2</v>
      </c>
      <c r="F189" s="118">
        <f t="shared" si="48"/>
        <v>-1.5670910871694366E-2</v>
      </c>
      <c r="G189" s="118">
        <f t="shared" si="48"/>
        <v>0</v>
      </c>
      <c r="H189" s="118">
        <f t="shared" si="42"/>
        <v>-6.5231572080887146E-3</v>
      </c>
      <c r="I189" s="118">
        <f t="shared" si="42"/>
        <v>1.3630731102850069E-2</v>
      </c>
      <c r="L189" s="155"/>
      <c r="M189" s="156"/>
      <c r="N189" s="156"/>
    </row>
    <row r="190" spans="1:16" ht="15" customHeight="1" x14ac:dyDescent="0.2">
      <c r="A190" s="628">
        <f t="shared" si="40"/>
        <v>2008</v>
      </c>
      <c r="B190" s="628"/>
      <c r="C190" s="95"/>
      <c r="D190" s="118">
        <f t="shared" ref="D190:G190" si="49">D172/D171-1</f>
        <v>1.0240796501415961E-2</v>
      </c>
      <c r="E190" s="118">
        <f t="shared" si="49"/>
        <v>9.2965638603315082E-3</v>
      </c>
      <c r="F190" s="118">
        <f t="shared" si="49"/>
        <v>9.121061359867344E-3</v>
      </c>
      <c r="G190" s="118">
        <f t="shared" si="49"/>
        <v>0</v>
      </c>
      <c r="H190" s="118">
        <f t="shared" si="42"/>
        <v>-4.9742334706226465E-4</v>
      </c>
      <c r="I190" s="118">
        <f t="shared" si="42"/>
        <v>2.4449877750611915E-3</v>
      </c>
      <c r="L190" s="155"/>
      <c r="M190" s="156"/>
      <c r="N190" s="156"/>
    </row>
    <row r="191" spans="1:16" ht="15" customHeight="1" x14ac:dyDescent="0.2">
      <c r="A191" s="628">
        <f t="shared" si="40"/>
        <v>2009</v>
      </c>
      <c r="B191" s="628"/>
      <c r="C191" s="95"/>
      <c r="D191" s="118">
        <f t="shared" ref="D191:G191" si="50">D173/D172-1</f>
        <v>1.4654386669121111E-2</v>
      </c>
      <c r="E191" s="118">
        <f t="shared" si="50"/>
        <v>1.4510375205037729E-2</v>
      </c>
      <c r="F191" s="118">
        <f t="shared" si="50"/>
        <v>-9.1207888249794644E-3</v>
      </c>
      <c r="G191" s="118">
        <f t="shared" si="50"/>
        <v>-0.25</v>
      </c>
      <c r="H191" s="118">
        <f t="shared" si="42"/>
        <v>1.8891587371103302E-2</v>
      </c>
      <c r="I191" s="118">
        <f t="shared" si="42"/>
        <v>-3.6585365853658569E-3</v>
      </c>
      <c r="L191" s="155"/>
      <c r="M191" s="156"/>
      <c r="N191" s="156"/>
    </row>
    <row r="192" spans="1:16" ht="15" customHeight="1" x14ac:dyDescent="0.2">
      <c r="A192" s="628">
        <f t="shared" si="40"/>
        <v>2010</v>
      </c>
      <c r="B192" s="628"/>
      <c r="C192" s="95"/>
      <c r="D192" s="118">
        <f t="shared" ref="D192:G192" si="51">D174/D173-1</f>
        <v>1.6402167284839786E-2</v>
      </c>
      <c r="E192" s="118">
        <f t="shared" si="51"/>
        <v>1.0481208448283708E-2</v>
      </c>
      <c r="F192" s="118">
        <f t="shared" si="51"/>
        <v>-1.5921718218757763E-2</v>
      </c>
      <c r="G192" s="118">
        <f t="shared" si="51"/>
        <v>-0.55555555555555558</v>
      </c>
      <c r="H192" s="118">
        <f t="shared" si="42"/>
        <v>1.4988087502707303E-2</v>
      </c>
      <c r="I192" s="118">
        <f t="shared" si="42"/>
        <v>-7.3439412484700428E-3</v>
      </c>
      <c r="L192" s="155"/>
      <c r="M192" s="156"/>
      <c r="N192" s="156"/>
    </row>
    <row r="193" spans="1:14" ht="15" customHeight="1" x14ac:dyDescent="0.2">
      <c r="A193" s="628">
        <f t="shared" si="40"/>
        <v>2011</v>
      </c>
      <c r="B193" s="628"/>
      <c r="C193" s="95"/>
      <c r="D193" s="118">
        <f t="shared" ref="D193:G194" si="52">D175/D174-1</f>
        <v>1.6193387386554292E-2</v>
      </c>
      <c r="E193" s="118">
        <f t="shared" si="52"/>
        <v>1.2140403486589735E-2</v>
      </c>
      <c r="F193" s="118">
        <f t="shared" si="52"/>
        <v>-1.4072638409033389E-2</v>
      </c>
      <c r="G193" s="118">
        <f t="shared" si="52"/>
        <v>0.5</v>
      </c>
      <c r="H193" s="118">
        <f t="shared" si="42"/>
        <v>-4.1796865680845396E-3</v>
      </c>
      <c r="I193" s="118">
        <f t="shared" si="42"/>
        <v>3.6991368680641123E-2</v>
      </c>
      <c r="L193" s="155"/>
      <c r="M193" s="156"/>
      <c r="N193" s="156"/>
    </row>
    <row r="194" spans="1:14" ht="15" customHeight="1" x14ac:dyDescent="0.2">
      <c r="A194" s="628">
        <f t="shared" si="40"/>
        <v>2012</v>
      </c>
      <c r="B194" s="628"/>
      <c r="C194" s="242"/>
      <c r="D194" s="118">
        <f t="shared" si="52"/>
        <v>1.5693046050710313E-2</v>
      </c>
      <c r="E194" s="118">
        <f t="shared" si="52"/>
        <v>1.4238967011585668E-2</v>
      </c>
      <c r="F194" s="118">
        <f t="shared" si="52"/>
        <v>-2.324786324786321E-2</v>
      </c>
      <c r="G194" s="118">
        <f t="shared" si="52"/>
        <v>0</v>
      </c>
      <c r="H194" s="118">
        <f t="shared" si="42"/>
        <v>3.6727040767015051E-3</v>
      </c>
      <c r="I194" s="118">
        <f t="shared" si="42"/>
        <v>3.2996432818073629E-2</v>
      </c>
      <c r="L194" s="155"/>
      <c r="M194" s="156"/>
      <c r="N194" s="156"/>
    </row>
    <row r="195" spans="1:14" ht="15" customHeight="1" x14ac:dyDescent="0.2">
      <c r="A195" s="629" t="s">
        <v>99</v>
      </c>
      <c r="B195" s="629"/>
      <c r="C195" s="76"/>
      <c r="D195" s="120">
        <f>'Rate Class Customer Model'!B42-1</f>
        <v>1.8946055149189567E-2</v>
      </c>
      <c r="E195" s="120">
        <f>'Rate Class Customer Model'!C42-1</f>
        <v>1.1989440937038243E-2</v>
      </c>
      <c r="F195" s="120">
        <f>'Rate Class Customer Model'!D42-1</f>
        <v>-4.0557674299953606E-3</v>
      </c>
      <c r="G195" s="120">
        <f>'Rate Class Customer Model'!E42-1</f>
        <v>-3.0708245041122573E-2</v>
      </c>
      <c r="H195" s="120">
        <f>'Rate Class Customer Model'!F42-1</f>
        <v>1.3334882458073682E-2</v>
      </c>
      <c r="I195" s="120">
        <f>'Rate Class Customer Model'!G42-1</f>
        <v>1.2323836139192634E-2</v>
      </c>
    </row>
    <row r="196" spans="1:14" x14ac:dyDescent="0.2">
      <c r="I196"/>
      <c r="J196"/>
      <c r="L196" s="83"/>
    </row>
    <row r="197" spans="1:14" ht="15" x14ac:dyDescent="0.2">
      <c r="A197" s="634" t="s">
        <v>216</v>
      </c>
      <c r="B197" s="635"/>
      <c r="C197" s="635"/>
      <c r="D197" s="635"/>
      <c r="E197" s="635"/>
      <c r="F197" s="635"/>
      <c r="G197" s="635"/>
      <c r="H197" s="635"/>
      <c r="I197" s="635"/>
      <c r="J197" s="636"/>
      <c r="K197" s="121"/>
      <c r="L197" s="121"/>
    </row>
    <row r="198" spans="1:14" ht="30" x14ac:dyDescent="0.2">
      <c r="A198" s="637" t="s">
        <v>83</v>
      </c>
      <c r="B198" s="649"/>
      <c r="C198" s="418"/>
      <c r="D198" s="387" t="str">
        <f t="shared" ref="D198:G198" si="53">D180</f>
        <v xml:space="preserve">Residential </v>
      </c>
      <c r="E198" s="387" t="str">
        <f t="shared" si="53"/>
        <v>GS&lt;50</v>
      </c>
      <c r="F198" s="387" t="str">
        <f t="shared" si="53"/>
        <v>GS&gt;50</v>
      </c>
      <c r="G198" s="387" t="str">
        <f t="shared" si="53"/>
        <v>Large User</v>
      </c>
      <c r="H198" s="387" t="str">
        <f>H180</f>
        <v>Street Lighting</v>
      </c>
      <c r="I198" s="387" t="str">
        <f>I180</f>
        <v>USL</v>
      </c>
      <c r="J198" s="387" t="s">
        <v>10</v>
      </c>
    </row>
    <row r="199" spans="1:14" ht="15" customHeight="1" x14ac:dyDescent="0.2">
      <c r="A199" s="226" t="s">
        <v>217</v>
      </c>
      <c r="B199" s="227"/>
      <c r="C199" s="227"/>
      <c r="D199" s="227"/>
      <c r="E199" s="227"/>
      <c r="F199" s="227"/>
      <c r="G199" s="227"/>
      <c r="H199" s="227"/>
      <c r="I199" s="227"/>
      <c r="J199" s="228"/>
    </row>
    <row r="200" spans="1:14" ht="15" customHeight="1" x14ac:dyDescent="0.2">
      <c r="A200" s="628">
        <v>2013</v>
      </c>
      <c r="B200" s="628"/>
      <c r="C200" s="249"/>
      <c r="D200" s="250">
        <f>+'Rate Class Customer Model'!B19</f>
        <v>81276.952000000005</v>
      </c>
      <c r="E200" s="250">
        <f>+'Rate Class Customer Model'!C19</f>
        <v>7736.9966057773026</v>
      </c>
      <c r="F200" s="250">
        <f>+'Rate Class Customer Model'!D19</f>
        <v>948.47089081750107</v>
      </c>
      <c r="G200" s="250">
        <f>+'Rate Class Customer Model'!E19</f>
        <v>2</v>
      </c>
      <c r="H200" s="250">
        <f>+'Rate Class Customer Model'!F19</f>
        <v>1569</v>
      </c>
      <c r="I200" s="250">
        <f>+'Rate Class Customer Model'!G19</f>
        <v>879.45633264592357</v>
      </c>
      <c r="J200" s="250">
        <f>SUM(D200:I200)</f>
        <v>92412.875829240715</v>
      </c>
      <c r="M200"/>
      <c r="N200"/>
    </row>
    <row r="201" spans="1:14" ht="15" customHeight="1" x14ac:dyDescent="0.2">
      <c r="A201" s="628">
        <v>2014</v>
      </c>
      <c r="B201" s="628"/>
      <c r="C201" s="247"/>
      <c r="D201" s="250">
        <f>+'Rate Class Customer Model'!B20</f>
        <v>82577.383232000007</v>
      </c>
      <c r="E201" s="250">
        <f>+'Rate Class Customer Model'!C20</f>
        <v>7829.7588696123348</v>
      </c>
      <c r="F201" s="250">
        <f>+'Rate Class Customer Model'!D20</f>
        <v>944.62411347022476</v>
      </c>
      <c r="G201" s="250">
        <f>+'Rate Class Customer Model'!E20</f>
        <v>1</v>
      </c>
      <c r="H201" s="250">
        <f>+'Rate Class Customer Model'!F20</f>
        <v>1591.6757998109217</v>
      </c>
      <c r="I201" s="250">
        <f>+'Rate Class Customer Model'!G20</f>
        <v>890.29460838102727</v>
      </c>
      <c r="J201" s="250">
        <f>SUM(D201:I201)</f>
        <v>93834.736623274526</v>
      </c>
      <c r="L201" s="251"/>
      <c r="M201"/>
      <c r="N201"/>
    </row>
    <row r="202" spans="1:14" x14ac:dyDescent="0.2">
      <c r="K202"/>
    </row>
    <row r="203" spans="1:14" ht="15" x14ac:dyDescent="0.2">
      <c r="A203" s="629" t="s">
        <v>305</v>
      </c>
      <c r="B203" s="629"/>
      <c r="C203" s="629"/>
      <c r="D203" s="629"/>
      <c r="E203" s="629"/>
      <c r="F203" s="629"/>
      <c r="G203" s="629"/>
      <c r="H203" s="629"/>
      <c r="I203" s="629"/>
      <c r="J203" s="629"/>
      <c r="K203" s="121"/>
    </row>
    <row r="204" spans="1:14" ht="30" x14ac:dyDescent="0.2">
      <c r="A204" s="668" t="s">
        <v>83</v>
      </c>
      <c r="B204" s="668"/>
      <c r="C204" s="428"/>
      <c r="D204" s="379" t="str">
        <f t="shared" ref="D204:G204" si="54">D198</f>
        <v xml:space="preserve">Residential </v>
      </c>
      <c r="E204" s="379" t="str">
        <f t="shared" si="54"/>
        <v>GS&lt;50</v>
      </c>
      <c r="F204" s="379" t="str">
        <f t="shared" si="54"/>
        <v>GS&gt;50</v>
      </c>
      <c r="G204" s="379" t="str">
        <f t="shared" si="54"/>
        <v>Large User</v>
      </c>
      <c r="H204" s="379" t="str">
        <f>H198</f>
        <v>Street Lighting</v>
      </c>
      <c r="I204" s="379" t="str">
        <f>I198</f>
        <v>USL</v>
      </c>
      <c r="J204" s="379" t="s">
        <v>282</v>
      </c>
    </row>
    <row r="205" spans="1:14" ht="15" x14ac:dyDescent="0.2">
      <c r="A205" s="629" t="s">
        <v>218</v>
      </c>
      <c r="B205" s="629"/>
      <c r="C205" s="629"/>
      <c r="D205" s="629"/>
      <c r="E205" s="629"/>
      <c r="F205" s="629"/>
      <c r="G205" s="629"/>
      <c r="H205" s="629"/>
      <c r="I205" s="629"/>
      <c r="J205" s="629"/>
    </row>
    <row r="206" spans="1:14" ht="15" customHeight="1" x14ac:dyDescent="0.2">
      <c r="A206" s="628">
        <f t="shared" ref="A206:A218" si="55">A182</f>
        <v>2000</v>
      </c>
      <c r="B206" s="628"/>
      <c r="C206" s="414"/>
      <c r="D206" s="117">
        <f t="shared" ref="D206:I218" si="56">D72</f>
        <v>8814.4659454876582</v>
      </c>
      <c r="E206" s="117">
        <f t="shared" si="56"/>
        <v>33004.454218081861</v>
      </c>
      <c r="F206" s="117">
        <f t="shared" si="56"/>
        <v>815112.49273959338</v>
      </c>
      <c r="G206" s="117">
        <f t="shared" si="56"/>
        <v>62695621.666666664</v>
      </c>
      <c r="H206" s="448">
        <f t="shared" si="56"/>
        <v>10208.93862758823</v>
      </c>
      <c r="I206" s="117">
        <f t="shared" si="56"/>
        <v>5880.6303733333334</v>
      </c>
      <c r="J206" s="407"/>
    </row>
    <row r="207" spans="1:14" ht="15" customHeight="1" x14ac:dyDescent="0.2">
      <c r="A207" s="628">
        <f t="shared" si="55"/>
        <v>2001</v>
      </c>
      <c r="B207" s="628"/>
      <c r="C207" s="414"/>
      <c r="D207" s="117">
        <f t="shared" si="56"/>
        <v>8413.6553419202282</v>
      </c>
      <c r="E207" s="117">
        <f t="shared" si="56"/>
        <v>29601.438045066992</v>
      </c>
      <c r="F207" s="117">
        <f t="shared" si="56"/>
        <v>852902.01062801946</v>
      </c>
      <c r="G207" s="117">
        <f t="shared" si="56"/>
        <v>57268001.25</v>
      </c>
      <c r="H207" s="448">
        <f t="shared" si="56"/>
        <v>10132.923910879041</v>
      </c>
      <c r="I207" s="117">
        <f t="shared" si="56"/>
        <v>5290.4012266666668</v>
      </c>
      <c r="J207" s="407"/>
    </row>
    <row r="208" spans="1:14" ht="15" customHeight="1" x14ac:dyDescent="0.2">
      <c r="A208" s="628">
        <f t="shared" si="55"/>
        <v>2002</v>
      </c>
      <c r="B208" s="628"/>
      <c r="C208" s="414"/>
      <c r="D208" s="117">
        <f t="shared" si="56"/>
        <v>9275.8476318073172</v>
      </c>
      <c r="E208" s="117">
        <f t="shared" si="56"/>
        <v>33393.802995889782</v>
      </c>
      <c r="F208" s="117">
        <f t="shared" si="56"/>
        <v>808692.80149812729</v>
      </c>
      <c r="G208" s="117">
        <f t="shared" si="56"/>
        <v>64339798.5</v>
      </c>
      <c r="H208" s="448">
        <f t="shared" si="56"/>
        <v>8956.4452678474408</v>
      </c>
      <c r="I208" s="117">
        <f t="shared" si="56"/>
        <v>5852.0446013071896</v>
      </c>
      <c r="J208" s="117">
        <f>+ED!C6</f>
        <v>15328897</v>
      </c>
    </row>
    <row r="209" spans="1:22" ht="15" customHeight="1" x14ac:dyDescent="0.2">
      <c r="A209" s="628">
        <f t="shared" si="55"/>
        <v>2003</v>
      </c>
      <c r="B209" s="628"/>
      <c r="C209" s="415"/>
      <c r="D209" s="117">
        <f t="shared" si="56"/>
        <v>9036.5820486620159</v>
      </c>
      <c r="E209" s="117">
        <f t="shared" si="56"/>
        <v>33640.760008951213</v>
      </c>
      <c r="F209" s="117">
        <f t="shared" si="56"/>
        <v>833019.04734299518</v>
      </c>
      <c r="G209" s="117">
        <f t="shared" si="56"/>
        <v>63268131.75</v>
      </c>
      <c r="H209" s="448">
        <f t="shared" si="56"/>
        <v>10552.725266903915</v>
      </c>
      <c r="I209" s="117">
        <f t="shared" si="56"/>
        <v>6015.5799477124183</v>
      </c>
      <c r="J209" s="117">
        <f>+ED!C7</f>
        <v>20418900.809999999</v>
      </c>
    </row>
    <row r="210" spans="1:22" ht="15" customHeight="1" x14ac:dyDescent="0.2">
      <c r="A210" s="628">
        <f t="shared" si="55"/>
        <v>2004</v>
      </c>
      <c r="B210" s="628"/>
      <c r="C210" s="415"/>
      <c r="D210" s="117">
        <f t="shared" si="56"/>
        <v>8549.5855629997841</v>
      </c>
      <c r="E210" s="117">
        <f t="shared" si="56"/>
        <v>32039.489958920192</v>
      </c>
      <c r="F210" s="117">
        <f t="shared" si="56"/>
        <v>833183.23913043481</v>
      </c>
      <c r="G210" s="117">
        <f t="shared" si="56"/>
        <v>58684490.75</v>
      </c>
      <c r="H210" s="448">
        <f t="shared" si="56"/>
        <v>10030.837675350702</v>
      </c>
      <c r="I210" s="117">
        <f t="shared" si="56"/>
        <v>5421.8472506082735</v>
      </c>
      <c r="J210" s="117">
        <f>+ED!C8</f>
        <v>19486435.960000001</v>
      </c>
    </row>
    <row r="211" spans="1:22" ht="15" customHeight="1" x14ac:dyDescent="0.2">
      <c r="A211" s="628">
        <f t="shared" si="55"/>
        <v>2005</v>
      </c>
      <c r="B211" s="628"/>
      <c r="C211" s="415"/>
      <c r="D211" s="117">
        <f t="shared" si="56"/>
        <v>8958.948622184922</v>
      </c>
      <c r="E211" s="117">
        <f t="shared" si="56"/>
        <v>33198.624251012145</v>
      </c>
      <c r="F211" s="117">
        <f t="shared" si="56"/>
        <v>853252.41597028787</v>
      </c>
      <c r="G211" s="117">
        <f t="shared" si="56"/>
        <v>58014601</v>
      </c>
      <c r="H211" s="448">
        <f t="shared" si="56"/>
        <v>9952.9281476598553</v>
      </c>
      <c r="I211" s="117">
        <f t="shared" si="56"/>
        <v>5806.3800247831468</v>
      </c>
      <c r="J211" s="117">
        <f>+ED!C9</f>
        <v>16865800.48</v>
      </c>
    </row>
    <row r="212" spans="1:22" ht="15" customHeight="1" x14ac:dyDescent="0.2">
      <c r="A212" s="628">
        <f t="shared" si="55"/>
        <v>2006</v>
      </c>
      <c r="B212" s="628"/>
      <c r="C212" s="415"/>
      <c r="D212" s="117">
        <f t="shared" si="56"/>
        <v>8566.3567370241271</v>
      </c>
      <c r="E212" s="117">
        <f t="shared" si="56"/>
        <v>32788.765640516387</v>
      </c>
      <c r="F212" s="117">
        <f t="shared" si="56"/>
        <v>842714.21057786478</v>
      </c>
      <c r="G212" s="117">
        <f t="shared" si="56"/>
        <v>45493949.75</v>
      </c>
      <c r="H212" s="448">
        <f t="shared" si="56"/>
        <v>9974.3783431180691</v>
      </c>
      <c r="I212" s="117">
        <f t="shared" si="56"/>
        <v>5865.0842627013626</v>
      </c>
      <c r="J212" s="117">
        <f>+ED!C10</f>
        <v>21112323.120000001</v>
      </c>
    </row>
    <row r="213" spans="1:22" ht="15" customHeight="1" x14ac:dyDescent="0.2">
      <c r="A213" s="628">
        <f t="shared" si="55"/>
        <v>2007</v>
      </c>
      <c r="B213" s="628"/>
      <c r="C213" s="415"/>
      <c r="D213" s="117">
        <f t="shared" si="56"/>
        <v>8596.5004167114748</v>
      </c>
      <c r="E213" s="117">
        <f t="shared" si="56"/>
        <v>32465.357738260627</v>
      </c>
      <c r="F213" s="117">
        <f t="shared" si="56"/>
        <v>862481.7970149254</v>
      </c>
      <c r="G213" s="117">
        <f t="shared" si="56"/>
        <v>39420194.25</v>
      </c>
      <c r="H213" s="448">
        <f t="shared" si="56"/>
        <v>10204.524622455679</v>
      </c>
      <c r="I213" s="117">
        <f t="shared" si="56"/>
        <v>6084.8141809290955</v>
      </c>
      <c r="J213" s="117">
        <f>+ED!C11</f>
        <v>22263925.140000001</v>
      </c>
    </row>
    <row r="214" spans="1:22" ht="15" customHeight="1" x14ac:dyDescent="0.2">
      <c r="A214" s="628">
        <f t="shared" si="55"/>
        <v>2008</v>
      </c>
      <c r="B214" s="628"/>
      <c r="C214" s="415"/>
      <c r="D214" s="117">
        <f t="shared" si="56"/>
        <v>8491.4811087480575</v>
      </c>
      <c r="E214" s="117">
        <f t="shared" si="56"/>
        <v>32135.830417875863</v>
      </c>
      <c r="F214" s="117">
        <f t="shared" si="56"/>
        <v>826307.69334428932</v>
      </c>
      <c r="G214" s="117">
        <f t="shared" si="56"/>
        <v>36732194.25</v>
      </c>
      <c r="H214" s="448">
        <f t="shared" si="56"/>
        <v>11524.052753115418</v>
      </c>
      <c r="I214" s="117">
        <f t="shared" si="56"/>
        <v>4009.490243902439</v>
      </c>
      <c r="J214" s="117">
        <f>+ED!C12</f>
        <v>22427621.300000001</v>
      </c>
    </row>
    <row r="215" spans="1:22" ht="15" customHeight="1" x14ac:dyDescent="0.2">
      <c r="A215" s="628">
        <f t="shared" si="55"/>
        <v>2009</v>
      </c>
      <c r="B215" s="628"/>
      <c r="C215" s="415"/>
      <c r="D215" s="117">
        <f t="shared" si="56"/>
        <v>8220.6849896509721</v>
      </c>
      <c r="E215" s="117">
        <f t="shared" si="56"/>
        <v>31283.907466871693</v>
      </c>
      <c r="F215" s="117">
        <f t="shared" si="56"/>
        <v>816903.56049423665</v>
      </c>
      <c r="G215" s="117">
        <f t="shared" si="56"/>
        <v>26607461.666666664</v>
      </c>
      <c r="H215" s="448">
        <f t="shared" si="56"/>
        <v>10264.934880722114</v>
      </c>
      <c r="I215" s="117">
        <f t="shared" si="56"/>
        <v>4033.5385556915539</v>
      </c>
      <c r="J215" s="117">
        <f>+ED!C13</f>
        <v>22622441.550000001</v>
      </c>
    </row>
    <row r="216" spans="1:22" ht="15" customHeight="1" x14ac:dyDescent="0.2">
      <c r="A216" s="628">
        <f t="shared" si="55"/>
        <v>2010</v>
      </c>
      <c r="B216" s="628"/>
      <c r="C216" s="415"/>
      <c r="D216" s="117">
        <f t="shared" si="56"/>
        <v>8394.8683530612179</v>
      </c>
      <c r="E216" s="117">
        <f t="shared" si="56"/>
        <v>31701.012050888996</v>
      </c>
      <c r="F216" s="117">
        <f t="shared" si="56"/>
        <v>886712.54470380046</v>
      </c>
      <c r="G216" s="117">
        <f t="shared" si="56"/>
        <v>34922719.5</v>
      </c>
      <c r="H216" s="448">
        <f t="shared" si="56"/>
        <v>10185.89957698752</v>
      </c>
      <c r="I216" s="117">
        <f t="shared" si="56"/>
        <v>4030.8742293464857</v>
      </c>
      <c r="J216" s="117">
        <f>+ED!C14</f>
        <v>24190281.48</v>
      </c>
    </row>
    <row r="217" spans="1:22" ht="15" customHeight="1" x14ac:dyDescent="0.2">
      <c r="A217" s="628">
        <f t="shared" si="55"/>
        <v>2011</v>
      </c>
      <c r="B217" s="628"/>
      <c r="C217" s="415"/>
      <c r="D217" s="117">
        <f t="shared" si="56"/>
        <v>8218.2833001104609</v>
      </c>
      <c r="E217" s="117">
        <f t="shared" si="56"/>
        <v>31859.315866277528</v>
      </c>
      <c r="F217" s="117">
        <f t="shared" si="56"/>
        <v>893593.8953846154</v>
      </c>
      <c r="G217" s="117">
        <f t="shared" si="56"/>
        <v>28007634.5</v>
      </c>
      <c r="H217" s="448">
        <f t="shared" si="56"/>
        <v>10115.363385073357</v>
      </c>
      <c r="I217" s="117">
        <f t="shared" si="56"/>
        <v>3946.2342449464918</v>
      </c>
      <c r="J217" s="117">
        <f>+ED!C15</f>
        <v>21309995.489999998</v>
      </c>
      <c r="M217" s="99"/>
      <c r="N217" s="99"/>
      <c r="O217" s="99"/>
      <c r="P217" s="99"/>
      <c r="Q217" s="99"/>
      <c r="R217" s="99"/>
      <c r="S217" s="99"/>
      <c r="T217" s="99"/>
      <c r="U217" s="99"/>
      <c r="V217" s="99"/>
    </row>
    <row r="218" spans="1:22" ht="15" customHeight="1" x14ac:dyDescent="0.2">
      <c r="A218" s="628">
        <f t="shared" si="55"/>
        <v>2012</v>
      </c>
      <c r="B218" s="628"/>
      <c r="C218" s="415"/>
      <c r="D218" s="117">
        <f t="shared" si="56"/>
        <v>8056.1433553758279</v>
      </c>
      <c r="E218" s="117">
        <f t="shared" si="56"/>
        <v>31520.139082664809</v>
      </c>
      <c r="F218" s="117">
        <f t="shared" si="56"/>
        <v>893372.57577878889</v>
      </c>
      <c r="G218" s="117">
        <f t="shared" si="56"/>
        <v>34678188</v>
      </c>
      <c r="H218" s="448">
        <f t="shared" si="56"/>
        <v>10132.995647400958</v>
      </c>
      <c r="I218" s="117">
        <f t="shared" si="56"/>
        <v>4254.9179856115115</v>
      </c>
      <c r="J218" s="117">
        <f>+ED!C16</f>
        <v>17590423.550000001</v>
      </c>
      <c r="M218" s="99"/>
      <c r="N218" s="99"/>
      <c r="O218" s="99"/>
      <c r="P218" s="99"/>
      <c r="Q218" s="99"/>
      <c r="R218" s="99"/>
      <c r="S218" s="99"/>
      <c r="T218" s="99"/>
      <c r="U218" s="99"/>
      <c r="V218" s="99"/>
    </row>
    <row r="219" spans="1:22" x14ac:dyDescent="0.2">
      <c r="M219" s="99"/>
      <c r="N219" s="99"/>
      <c r="O219" s="99"/>
      <c r="P219" s="99"/>
      <c r="Q219" s="99"/>
      <c r="R219" s="99"/>
      <c r="S219" s="99"/>
      <c r="T219" s="99"/>
    </row>
    <row r="220" spans="1:22" ht="15" x14ac:dyDescent="0.2">
      <c r="A220" s="634" t="s">
        <v>219</v>
      </c>
      <c r="B220" s="635"/>
      <c r="C220" s="635"/>
      <c r="D220" s="635"/>
      <c r="E220" s="635"/>
      <c r="F220" s="635"/>
      <c r="G220" s="635"/>
      <c r="H220" s="635"/>
      <c r="I220" s="636"/>
      <c r="J220" s="121"/>
      <c r="K220" s="121"/>
      <c r="M220" s="99"/>
      <c r="N220" s="99"/>
      <c r="O220" s="99"/>
      <c r="P220" s="99"/>
      <c r="Q220" s="99"/>
      <c r="R220" s="99"/>
      <c r="S220" s="99"/>
      <c r="T220" s="99"/>
    </row>
    <row r="221" spans="1:22" ht="30" x14ac:dyDescent="0.2">
      <c r="A221" s="637" t="s">
        <v>83</v>
      </c>
      <c r="B221" s="649"/>
      <c r="C221" s="417"/>
      <c r="D221" s="419" t="str">
        <f t="shared" ref="D221:G221" si="57">D204</f>
        <v xml:space="preserve">Residential </v>
      </c>
      <c r="E221" s="419" t="str">
        <f t="shared" si="57"/>
        <v>GS&lt;50</v>
      </c>
      <c r="F221" s="419" t="str">
        <f t="shared" si="57"/>
        <v>GS&gt;50</v>
      </c>
      <c r="G221" s="419" t="str">
        <f t="shared" si="57"/>
        <v>Large User</v>
      </c>
      <c r="H221" s="419" t="str">
        <f>H204</f>
        <v>Street Lighting</v>
      </c>
      <c r="I221" s="419" t="str">
        <f>I204</f>
        <v>USL</v>
      </c>
    </row>
    <row r="222" spans="1:22" ht="15" customHeight="1" x14ac:dyDescent="0.2">
      <c r="A222" s="226" t="s">
        <v>220</v>
      </c>
      <c r="B222" s="227"/>
      <c r="C222" s="227"/>
      <c r="D222" s="227"/>
      <c r="E222" s="227"/>
      <c r="F222" s="227"/>
      <c r="G222" s="227"/>
      <c r="H222" s="227"/>
      <c r="I222" s="228"/>
    </row>
    <row r="223" spans="1:22" ht="15" customHeight="1" x14ac:dyDescent="0.2">
      <c r="A223" s="628">
        <f t="shared" ref="A223:A235" si="58">A206</f>
        <v>2000</v>
      </c>
      <c r="B223" s="628"/>
      <c r="C223" s="76"/>
      <c r="D223" s="76"/>
      <c r="E223" s="76"/>
      <c r="F223" s="76"/>
      <c r="G223" s="76"/>
      <c r="H223" s="76"/>
      <c r="I223" s="92"/>
    </row>
    <row r="224" spans="1:22" ht="15" customHeight="1" x14ac:dyDescent="0.2">
      <c r="A224" s="628">
        <f t="shared" si="58"/>
        <v>2001</v>
      </c>
      <c r="B224" s="628"/>
      <c r="C224" s="76"/>
      <c r="D224" s="423">
        <f t="shared" ref="D224:I225" si="59">D207/D206-1</f>
        <v>-4.5471910158393025E-2</v>
      </c>
      <c r="E224" s="423">
        <f t="shared" si="59"/>
        <v>-0.10310778510466889</v>
      </c>
      <c r="F224" s="423">
        <f t="shared" si="59"/>
        <v>4.6361107485195729E-2</v>
      </c>
      <c r="G224" s="423">
        <f t="shared" si="59"/>
        <v>-8.6570964165945341E-2</v>
      </c>
      <c r="H224" s="423">
        <f t="shared" si="59"/>
        <v>-7.4458980979442702E-3</v>
      </c>
      <c r="I224" s="423">
        <f t="shared" si="59"/>
        <v>-0.10036834645196469</v>
      </c>
      <c r="M224" s="155">
        <f t="shared" ref="M224:M236" si="60">SUM(D224:I224)</f>
        <v>-0.29660379649372048</v>
      </c>
      <c r="N224" s="156">
        <f>'Rate Class Energy Model'!Z55</f>
        <v>0</v>
      </c>
      <c r="O224" s="157">
        <f>M224-N224</f>
        <v>-0.29660379649372048</v>
      </c>
    </row>
    <row r="225" spans="1:20" ht="15" customHeight="1" x14ac:dyDescent="0.2">
      <c r="A225" s="628">
        <f t="shared" si="58"/>
        <v>2002</v>
      </c>
      <c r="B225" s="628"/>
      <c r="C225" s="76"/>
      <c r="D225" s="423">
        <f t="shared" si="59"/>
        <v>0.10247535165735866</v>
      </c>
      <c r="E225" s="423">
        <f t="shared" si="59"/>
        <v>0.12811421340574958</v>
      </c>
      <c r="F225" s="423">
        <f t="shared" si="59"/>
        <v>-5.1833866703326792E-2</v>
      </c>
      <c r="G225" s="423">
        <f t="shared" si="59"/>
        <v>0.12348601480132859</v>
      </c>
      <c r="H225" s="423">
        <f t="shared" si="59"/>
        <v>-0.11610455712279588</v>
      </c>
      <c r="I225" s="423">
        <f t="shared" si="59"/>
        <v>0.10616271820925727</v>
      </c>
      <c r="M225" s="155">
        <f t="shared" si="60"/>
        <v>0.29229987424757142</v>
      </c>
      <c r="N225" s="156">
        <f>'Rate Class Energy Model'!Z56</f>
        <v>0</v>
      </c>
      <c r="O225" s="157">
        <f t="shared" ref="O225:O236" si="61">M225-N225</f>
        <v>0.29229987424757142</v>
      </c>
    </row>
    <row r="226" spans="1:20" ht="15" customHeight="1" x14ac:dyDescent="0.2">
      <c r="A226" s="628">
        <f t="shared" si="58"/>
        <v>2003</v>
      </c>
      <c r="B226" s="628"/>
      <c r="C226" s="95"/>
      <c r="D226" s="423">
        <f>D209/D208-1</f>
        <v>-2.5794471043794287E-2</v>
      </c>
      <c r="E226" s="423">
        <f t="shared" ref="E226:G226" si="62">E209/E208-1</f>
        <v>7.3952946626603122E-3</v>
      </c>
      <c r="F226" s="423">
        <f t="shared" si="62"/>
        <v>3.0080947672345815E-2</v>
      </c>
      <c r="G226" s="423">
        <f t="shared" si="62"/>
        <v>-1.6656358505692248E-2</v>
      </c>
      <c r="H226" s="423">
        <f t="shared" ref="H226:I235" si="63">H209/H208-1</f>
        <v>0.1782269584995877</v>
      </c>
      <c r="I226" s="423">
        <f t="shared" si="63"/>
        <v>2.7944993168490084E-2</v>
      </c>
      <c r="M226" s="155">
        <f t="shared" si="60"/>
        <v>0.20119736445359737</v>
      </c>
      <c r="N226" s="156">
        <f>'Rate Class Energy Model'!Z57</f>
        <v>0</v>
      </c>
      <c r="O226" s="157">
        <f t="shared" si="61"/>
        <v>0.20119736445359737</v>
      </c>
    </row>
    <row r="227" spans="1:20" ht="15" customHeight="1" x14ac:dyDescent="0.2">
      <c r="A227" s="628">
        <f t="shared" si="58"/>
        <v>2004</v>
      </c>
      <c r="B227" s="628"/>
      <c r="C227" s="95"/>
      <c r="D227" s="423">
        <f t="shared" ref="D227:G227" si="64">D210/D209-1</f>
        <v>-5.389166866850259E-2</v>
      </c>
      <c r="E227" s="423">
        <f t="shared" si="64"/>
        <v>-4.7599104467465958E-2</v>
      </c>
      <c r="F227" s="423">
        <f t="shared" si="64"/>
        <v>1.9710448154008908E-4</v>
      </c>
      <c r="G227" s="423">
        <f t="shared" si="64"/>
        <v>-7.2447863927956102E-2</v>
      </c>
      <c r="H227" s="423">
        <f t="shared" si="63"/>
        <v>-4.9455242920991127E-2</v>
      </c>
      <c r="I227" s="423">
        <f t="shared" si="63"/>
        <v>-9.8699161554643977E-2</v>
      </c>
      <c r="M227" s="155">
        <f t="shared" si="60"/>
        <v>-0.32189593705801967</v>
      </c>
      <c r="N227" s="156">
        <f>'Rate Class Energy Model'!Z58</f>
        <v>0</v>
      </c>
      <c r="O227" s="157">
        <f t="shared" si="61"/>
        <v>-0.32189593705801967</v>
      </c>
    </row>
    <row r="228" spans="1:20" ht="15" customHeight="1" x14ac:dyDescent="0.2">
      <c r="A228" s="628">
        <f t="shared" si="58"/>
        <v>2005</v>
      </c>
      <c r="B228" s="628"/>
      <c r="C228" s="95"/>
      <c r="D228" s="423">
        <f t="shared" ref="D228:G228" si="65">D211/D210-1</f>
        <v>4.788104127020465E-2</v>
      </c>
      <c r="E228" s="423">
        <f t="shared" si="65"/>
        <v>3.6178300390491636E-2</v>
      </c>
      <c r="F228" s="423">
        <f t="shared" si="65"/>
        <v>2.4087350653859252E-2</v>
      </c>
      <c r="G228" s="423">
        <f t="shared" si="65"/>
        <v>-1.1415107150776427E-2</v>
      </c>
      <c r="H228" s="423">
        <f t="shared" si="63"/>
        <v>-7.7670011431146824E-3</v>
      </c>
      <c r="I228" s="423">
        <f t="shared" si="63"/>
        <v>7.0922834303702054E-2</v>
      </c>
      <c r="M228" s="155">
        <f t="shared" si="60"/>
        <v>0.15988741832436648</v>
      </c>
      <c r="N228" s="156">
        <f>'Rate Class Energy Model'!Z59</f>
        <v>0</v>
      </c>
      <c r="O228" s="157">
        <f t="shared" si="61"/>
        <v>0.15988741832436648</v>
      </c>
    </row>
    <row r="229" spans="1:20" ht="15" customHeight="1" x14ac:dyDescent="0.2">
      <c r="A229" s="628">
        <f t="shared" si="58"/>
        <v>2006</v>
      </c>
      <c r="B229" s="628"/>
      <c r="C229" s="95"/>
      <c r="D229" s="423">
        <f t="shared" ref="D229:G229" si="66">D212/D211-1</f>
        <v>-4.3821200647208181E-2</v>
      </c>
      <c r="E229" s="423">
        <f t="shared" si="66"/>
        <v>-1.2345650452164847E-2</v>
      </c>
      <c r="F229" s="423">
        <f t="shared" si="66"/>
        <v>-1.2350630593221834E-2</v>
      </c>
      <c r="G229" s="423">
        <f t="shared" si="66"/>
        <v>-0.21581896684939705</v>
      </c>
      <c r="H229" s="423">
        <f t="shared" si="63"/>
        <v>2.155164303407231E-3</v>
      </c>
      <c r="I229" s="423">
        <f t="shared" si="63"/>
        <v>1.0110298958671438E-2</v>
      </c>
      <c r="M229" s="155">
        <f t="shared" si="60"/>
        <v>-0.27207098527991325</v>
      </c>
      <c r="N229" s="156">
        <f>'Rate Class Energy Model'!Z60</f>
        <v>0</v>
      </c>
      <c r="O229" s="157">
        <f t="shared" si="61"/>
        <v>-0.27207098527991325</v>
      </c>
    </row>
    <row r="230" spans="1:20" ht="15" customHeight="1" x14ac:dyDescent="0.2">
      <c r="A230" s="628">
        <f t="shared" si="58"/>
        <v>2007</v>
      </c>
      <c r="B230" s="628"/>
      <c r="C230" s="95"/>
      <c r="D230" s="423">
        <f t="shared" ref="D230:G230" si="67">D213/D212-1</f>
        <v>3.5188447799594513E-3</v>
      </c>
      <c r="E230" s="423">
        <f t="shared" si="67"/>
        <v>-9.8633753341459407E-3</v>
      </c>
      <c r="F230" s="423">
        <f t="shared" si="67"/>
        <v>2.345704651581193E-2</v>
      </c>
      <c r="G230" s="423">
        <f t="shared" si="67"/>
        <v>-0.13350688461601423</v>
      </c>
      <c r="H230" s="423">
        <f t="shared" si="63"/>
        <v>2.3073746695843278E-2</v>
      </c>
      <c r="I230" s="423">
        <f t="shared" si="63"/>
        <v>3.7464068440600462E-2</v>
      </c>
      <c r="M230" s="155">
        <f t="shared" si="60"/>
        <v>-5.5856553517945051E-2</v>
      </c>
      <c r="N230" s="156">
        <f>'Rate Class Energy Model'!Z61</f>
        <v>0</v>
      </c>
      <c r="O230" s="157">
        <f t="shared" si="61"/>
        <v>-5.5856553517945051E-2</v>
      </c>
    </row>
    <row r="231" spans="1:20" ht="15" customHeight="1" x14ac:dyDescent="0.2">
      <c r="A231" s="628">
        <f t="shared" si="58"/>
        <v>2008</v>
      </c>
      <c r="B231" s="628"/>
      <c r="C231" s="95"/>
      <c r="D231" s="423">
        <f t="shared" ref="D231:G231" si="68">D214/D213-1</f>
        <v>-1.2216518684657007E-2</v>
      </c>
      <c r="E231" s="423">
        <f t="shared" si="68"/>
        <v>-1.0150121339843277E-2</v>
      </c>
      <c r="F231" s="423">
        <f t="shared" si="68"/>
        <v>-4.1941874942561963E-2</v>
      </c>
      <c r="G231" s="423">
        <f t="shared" si="68"/>
        <v>-6.818840066979126E-2</v>
      </c>
      <c r="H231" s="423">
        <f t="shared" si="63"/>
        <v>0.12930814315015104</v>
      </c>
      <c r="I231" s="423">
        <f t="shared" si="63"/>
        <v>-0.34106611563112244</v>
      </c>
      <c r="M231" s="155">
        <f t="shared" si="60"/>
        <v>-0.3442548881178249</v>
      </c>
      <c r="N231" s="156">
        <f>'Rate Class Energy Model'!Z62</f>
        <v>0</v>
      </c>
      <c r="O231" s="157">
        <f t="shared" si="61"/>
        <v>-0.3442548881178249</v>
      </c>
    </row>
    <row r="232" spans="1:20" ht="15" customHeight="1" x14ac:dyDescent="0.2">
      <c r="A232" s="628">
        <f t="shared" si="58"/>
        <v>2009</v>
      </c>
      <c r="B232" s="628"/>
      <c r="C232" s="95"/>
      <c r="D232" s="423">
        <f t="shared" ref="D232:G232" si="69">D215/D214-1</f>
        <v>-3.1890328157016978E-2</v>
      </c>
      <c r="E232" s="423">
        <f t="shared" si="69"/>
        <v>-2.6510064931456689E-2</v>
      </c>
      <c r="F232" s="423">
        <f t="shared" si="69"/>
        <v>-1.1380909225220504E-2</v>
      </c>
      <c r="G232" s="423">
        <f t="shared" si="69"/>
        <v>-0.27563647612294051</v>
      </c>
      <c r="H232" s="423">
        <f t="shared" si="63"/>
        <v>-0.1092599885967126</v>
      </c>
      <c r="I232" s="423">
        <f t="shared" si="63"/>
        <v>5.9978476879167797E-3</v>
      </c>
      <c r="M232" s="155">
        <f t="shared" si="60"/>
        <v>-0.4486799193454305</v>
      </c>
      <c r="N232" s="156">
        <f>'Rate Class Energy Model'!Z63</f>
        <v>0</v>
      </c>
      <c r="O232" s="157">
        <f t="shared" si="61"/>
        <v>-0.4486799193454305</v>
      </c>
    </row>
    <row r="233" spans="1:20" ht="15" customHeight="1" x14ac:dyDescent="0.2">
      <c r="A233" s="628">
        <f t="shared" si="58"/>
        <v>2010</v>
      </c>
      <c r="B233" s="628"/>
      <c r="C233" s="95"/>
      <c r="D233" s="423">
        <f t="shared" ref="D233:G233" si="70">D216/D215-1</f>
        <v>2.1188424520526716E-2</v>
      </c>
      <c r="E233" s="423">
        <f t="shared" si="70"/>
        <v>1.3332879994578661E-2</v>
      </c>
      <c r="F233" s="423">
        <f t="shared" si="70"/>
        <v>8.5455600373841589E-2</v>
      </c>
      <c r="G233" s="423">
        <f t="shared" si="70"/>
        <v>0.31251601289538034</v>
      </c>
      <c r="H233" s="423">
        <f t="shared" si="63"/>
        <v>-7.6995426325621175E-3</v>
      </c>
      <c r="I233" s="423">
        <f t="shared" si="63"/>
        <v>-6.6054317029118348E-4</v>
      </c>
      <c r="L233" s="123"/>
      <c r="M233" s="155">
        <f t="shared" si="60"/>
        <v>0.424132831981474</v>
      </c>
      <c r="N233" s="156">
        <f>'Rate Class Energy Model'!Z64</f>
        <v>0</v>
      </c>
      <c r="O233" s="157">
        <f t="shared" si="61"/>
        <v>0.424132831981474</v>
      </c>
      <c r="P233" s="123"/>
      <c r="Q233" s="123"/>
      <c r="R233" s="123"/>
      <c r="S233" s="123"/>
      <c r="T233" s="123"/>
    </row>
    <row r="234" spans="1:20" ht="15" customHeight="1" x14ac:dyDescent="0.2">
      <c r="A234" s="628">
        <f t="shared" si="58"/>
        <v>2011</v>
      </c>
      <c r="B234" s="628"/>
      <c r="C234" s="95"/>
      <c r="D234" s="423">
        <f t="shared" ref="D234:G235" si="71">D217/D216-1</f>
        <v>-2.1034880539414824E-2</v>
      </c>
      <c r="E234" s="423">
        <f t="shared" si="71"/>
        <v>4.9936517841893124E-3</v>
      </c>
      <c r="F234" s="423">
        <f t="shared" si="71"/>
        <v>7.760520274485927E-3</v>
      </c>
      <c r="G234" s="423">
        <f t="shared" si="71"/>
        <v>-0.19801106841063743</v>
      </c>
      <c r="H234" s="423">
        <f t="shared" si="63"/>
        <v>-6.9248858562793725E-3</v>
      </c>
      <c r="I234" s="423">
        <f t="shared" si="63"/>
        <v>-2.099792243175902E-2</v>
      </c>
      <c r="L234" s="123"/>
      <c r="M234" s="155">
        <f t="shared" si="60"/>
        <v>-0.2342145851794154</v>
      </c>
      <c r="N234" s="156">
        <f>'Rate Class Energy Model'!Z65</f>
        <v>0</v>
      </c>
      <c r="O234" s="157">
        <f t="shared" si="61"/>
        <v>-0.2342145851794154</v>
      </c>
      <c r="P234" s="123"/>
      <c r="Q234" s="123"/>
      <c r="R234" s="123"/>
      <c r="S234" s="123"/>
      <c r="T234" s="123"/>
    </row>
    <row r="235" spans="1:20" ht="15" customHeight="1" x14ac:dyDescent="0.2">
      <c r="A235" s="628">
        <f t="shared" si="58"/>
        <v>2012</v>
      </c>
      <c r="B235" s="628"/>
      <c r="C235" s="242"/>
      <c r="D235" s="423">
        <f t="shared" si="71"/>
        <v>-1.9729174428977592E-2</v>
      </c>
      <c r="E235" s="423">
        <f t="shared" si="71"/>
        <v>-1.0646078686571192E-2</v>
      </c>
      <c r="F235" s="423">
        <f t="shared" si="71"/>
        <v>-2.4767358748711832E-4</v>
      </c>
      <c r="G235" s="423">
        <f t="shared" si="71"/>
        <v>0.23816911421062703</v>
      </c>
      <c r="H235" s="423">
        <f t="shared" si="63"/>
        <v>1.7431170444770494E-3</v>
      </c>
      <c r="I235" s="423">
        <f t="shared" si="63"/>
        <v>7.8222356176731456E-2</v>
      </c>
      <c r="L235" s="123"/>
      <c r="M235" s="155"/>
      <c r="N235" s="156"/>
      <c r="O235" s="157"/>
      <c r="P235" s="123"/>
      <c r="Q235" s="123"/>
      <c r="R235" s="123"/>
      <c r="S235" s="123"/>
      <c r="T235" s="123"/>
    </row>
    <row r="236" spans="1:20" ht="15" customHeight="1" x14ac:dyDescent="0.2">
      <c r="A236" s="629" t="str">
        <f>A195</f>
        <v>Geometric Mean</v>
      </c>
      <c r="B236" s="629"/>
      <c r="C236" s="76"/>
      <c r="D236" s="424">
        <f>'Rate Class Energy Model'!K70-1</f>
        <v>-7.468577126746867E-3</v>
      </c>
      <c r="E236" s="424">
        <f>'Rate Class Energy Model'!L70-1</f>
        <v>-3.8273113657024682E-3</v>
      </c>
      <c r="F236" s="424">
        <f>'Rate Class Energy Model'!M70-1</f>
        <v>7.6690560835313004E-3</v>
      </c>
      <c r="G236" s="424">
        <f>'Rate Class Energy Model'!N70-1</f>
        <v>-4.8150545596019945E-2</v>
      </c>
      <c r="H236" s="424">
        <f>'Rate Class Energy Model'!O70-1</f>
        <v>6.4359320806062215E-7</v>
      </c>
      <c r="I236" s="424">
        <f>'Rate Class Energy Model'!P70-1</f>
        <v>-6.5514460849548706E-2</v>
      </c>
      <c r="M236" s="155">
        <f t="shared" si="60"/>
        <v>-0.11729119526127862</v>
      </c>
      <c r="N236" s="156">
        <f>'Rate Class Energy Model'!Z70</f>
        <v>0</v>
      </c>
      <c r="O236" s="157">
        <f t="shared" si="61"/>
        <v>-0.11729119526127862</v>
      </c>
    </row>
    <row r="237" spans="1:20" ht="15" x14ac:dyDescent="0.2">
      <c r="K237" s="124"/>
    </row>
    <row r="238" spans="1:20" ht="15" customHeight="1" x14ac:dyDescent="0.2">
      <c r="A238" s="634" t="s">
        <v>221</v>
      </c>
      <c r="B238" s="635"/>
      <c r="C238" s="635"/>
      <c r="D238" s="635"/>
      <c r="E238" s="635"/>
      <c r="F238" s="635"/>
      <c r="G238" s="635"/>
      <c r="H238" s="635"/>
      <c r="I238" s="636"/>
      <c r="J238" s="121"/>
      <c r="K238" s="121"/>
    </row>
    <row r="239" spans="1:20" ht="30" x14ac:dyDescent="0.2">
      <c r="A239" s="637" t="s">
        <v>83</v>
      </c>
      <c r="B239" s="649"/>
      <c r="C239" s="417"/>
      <c r="D239" s="419" t="str">
        <f t="shared" ref="D239:G239" si="72">D221</f>
        <v xml:space="preserve">Residential </v>
      </c>
      <c r="E239" s="419" t="str">
        <f t="shared" si="72"/>
        <v>GS&lt;50</v>
      </c>
      <c r="F239" s="419" t="str">
        <f t="shared" si="72"/>
        <v>GS&gt;50</v>
      </c>
      <c r="G239" s="419" t="str">
        <f t="shared" si="72"/>
        <v>Large User</v>
      </c>
      <c r="H239" s="419" t="str">
        <f>H221</f>
        <v>Street Lighting</v>
      </c>
      <c r="I239" s="419" t="str">
        <f>I221</f>
        <v>USL</v>
      </c>
    </row>
    <row r="240" spans="1:20" ht="15" customHeight="1" x14ac:dyDescent="0.2">
      <c r="A240" s="226" t="s">
        <v>222</v>
      </c>
      <c r="B240" s="227"/>
      <c r="C240" s="227"/>
      <c r="D240" s="227"/>
      <c r="E240" s="227"/>
      <c r="F240" s="227"/>
      <c r="G240" s="227"/>
      <c r="H240" s="227"/>
      <c r="I240" s="228"/>
    </row>
    <row r="241" spans="1:15" ht="15" customHeight="1" x14ac:dyDescent="0.2">
      <c r="A241" s="628">
        <f>+A200</f>
        <v>2013</v>
      </c>
      <c r="B241" s="628"/>
      <c r="C241" s="249"/>
      <c r="D241" s="250">
        <f t="shared" ref="D241:I241" si="73">D218*(1+D236)</f>
        <v>7995.9754273820745</v>
      </c>
      <c r="E241" s="250">
        <f t="shared" si="73"/>
        <v>31399.501696105202</v>
      </c>
      <c r="F241" s="250">
        <f t="shared" si="73"/>
        <v>900223.90016592527</v>
      </c>
      <c r="G241" s="250">
        <f t="shared" si="73"/>
        <v>33008414.327518649</v>
      </c>
      <c r="H241" s="250">
        <f t="shared" si="73"/>
        <v>10133.002168928133</v>
      </c>
      <c r="I241" s="250">
        <f t="shared" si="73"/>
        <v>3976.1593278251257</v>
      </c>
    </row>
    <row r="242" spans="1:15" ht="15" customHeight="1" x14ac:dyDescent="0.2">
      <c r="A242" s="628">
        <f>+A201</f>
        <v>2014</v>
      </c>
      <c r="B242" s="628"/>
      <c r="C242" s="247"/>
      <c r="D242" s="250">
        <f t="shared" ref="D242:G242" si="74">D241*(1+D236)</f>
        <v>7936.2568681990988</v>
      </c>
      <c r="E242" s="250">
        <f t="shared" si="74"/>
        <v>31279.326026386305</v>
      </c>
      <c r="F242" s="250">
        <f t="shared" si="74"/>
        <v>907127.76774403302</v>
      </c>
      <c r="G242" s="250">
        <f t="shared" si="74"/>
        <v>31419041.168389145</v>
      </c>
      <c r="H242" s="250">
        <f>H241*(1+H236)</f>
        <v>10133.008690459506</v>
      </c>
      <c r="I242" s="250">
        <f>I241*(1+I236)</f>
        <v>3715.6633932107588</v>
      </c>
      <c r="J242" s="251"/>
      <c r="L242" s="99"/>
      <c r="M242" s="99"/>
      <c r="N242" s="99"/>
      <c r="O242" s="99"/>
    </row>
    <row r="243" spans="1:15" x14ac:dyDescent="0.2">
      <c r="H243"/>
      <c r="I243"/>
      <c r="J243"/>
    </row>
    <row r="244" spans="1:15" ht="15" x14ac:dyDescent="0.2">
      <c r="A244" s="634" t="s">
        <v>278</v>
      </c>
      <c r="B244" s="635"/>
      <c r="C244" s="635"/>
      <c r="D244" s="635"/>
      <c r="E244" s="635"/>
      <c r="F244" s="635"/>
      <c r="G244" s="635"/>
      <c r="H244" s="635"/>
      <c r="I244" s="635"/>
      <c r="J244" s="636"/>
      <c r="K244" s="121"/>
      <c r="L244" s="121"/>
    </row>
    <row r="245" spans="1:15" ht="30" x14ac:dyDescent="0.2">
      <c r="A245" s="637" t="s">
        <v>83</v>
      </c>
      <c r="B245" s="649"/>
      <c r="C245" s="417"/>
      <c r="D245" s="419" t="str">
        <f t="shared" ref="D245:G245" si="75">D239</f>
        <v xml:space="preserve">Residential </v>
      </c>
      <c r="E245" s="419" t="str">
        <f t="shared" si="75"/>
        <v>GS&lt;50</v>
      </c>
      <c r="F245" s="419" t="str">
        <f t="shared" si="75"/>
        <v>GS&gt;50</v>
      </c>
      <c r="G245" s="419" t="str">
        <f t="shared" si="75"/>
        <v>Large User</v>
      </c>
      <c r="H245" s="419" t="str">
        <f>H239</f>
        <v>Street Lighting</v>
      </c>
      <c r="I245" s="419" t="str">
        <f>I239</f>
        <v>USL</v>
      </c>
      <c r="J245" s="419" t="s">
        <v>10</v>
      </c>
    </row>
    <row r="246" spans="1:15" ht="15" customHeight="1" x14ac:dyDescent="0.2">
      <c r="A246" s="93" t="s">
        <v>279</v>
      </c>
      <c r="B246" s="93"/>
      <c r="C246" s="93"/>
      <c r="D246" s="93"/>
      <c r="E246" s="93"/>
      <c r="F246" s="93"/>
      <c r="G246" s="93"/>
      <c r="H246" s="93"/>
      <c r="I246" s="93"/>
      <c r="J246" s="93"/>
    </row>
    <row r="247" spans="1:15" ht="15" customHeight="1" x14ac:dyDescent="0.2">
      <c r="A247" s="299" t="s">
        <v>100</v>
      </c>
      <c r="B247" s="247"/>
      <c r="C247" s="247"/>
      <c r="D247" s="248">
        <f>+'Rate Class Energy Model'!L79/1000000</f>
        <v>649.88851100451234</v>
      </c>
      <c r="E247" s="248">
        <f>+'Rate Class Energy Model'!M79/1000000</f>
        <v>242.93783804586462</v>
      </c>
      <c r="F247" s="248">
        <f>+'Rate Class Energy Model'!N79/1000000</f>
        <v>853.83616452558033</v>
      </c>
      <c r="G247" s="248">
        <f>+'Rate Class Energy Model'!O79/1000000</f>
        <v>66.016828655037301</v>
      </c>
      <c r="H247" s="248">
        <f>+'Rate Class Energy Model'!P79/1000000</f>
        <v>15.898680403048244</v>
      </c>
      <c r="I247" s="248">
        <f>+'Rate Class Energy Model'!Q79/1000000</f>
        <v>3.6122423570498672</v>
      </c>
      <c r="J247" s="248">
        <f>SUM(D247:I247)</f>
        <v>1832.1902649910926</v>
      </c>
    </row>
    <row r="248" spans="1:15" ht="15" customHeight="1" x14ac:dyDescent="0.2">
      <c r="A248" s="299" t="s">
        <v>197</v>
      </c>
      <c r="B248" s="247"/>
      <c r="C248" s="247"/>
      <c r="D248" s="248">
        <f>+'Rate Class Energy Model'!L80/1000000</f>
        <v>655.35532483286909</v>
      </c>
      <c r="E248" s="248">
        <f>+'Rate Class Energy Model'!M80/1000000</f>
        <v>244.90958039059413</v>
      </c>
      <c r="F248" s="248">
        <f>+'Rate Class Energy Model'!N80/1000000</f>
        <v>856.89476340943111</v>
      </c>
      <c r="G248" s="248">
        <f>+'Rate Class Energy Model'!O80/1000000</f>
        <v>31.798990292463159</v>
      </c>
      <c r="H248" s="248">
        <f>+'Rate Class Energy Model'!P80/1000000</f>
        <v>16.128464711878159</v>
      </c>
      <c r="I248" s="248">
        <f>+'Rate Class Energy Model'!Q80/1000000</f>
        <v>3.4171884429939534</v>
      </c>
      <c r="J248" s="248">
        <f>SUM(D248:I248)</f>
        <v>1808.5043120802297</v>
      </c>
    </row>
    <row r="249" spans="1:15" ht="15" x14ac:dyDescent="0.2">
      <c r="A249" s="74"/>
      <c r="B249" s="74"/>
      <c r="C249" s="74"/>
      <c r="D249" s="122"/>
      <c r="E249" s="122"/>
      <c r="F249" s="122"/>
      <c r="G249" s="122"/>
      <c r="H249" s="122"/>
      <c r="I249" s="122"/>
      <c r="J249" s="122"/>
      <c r="K249" s="122"/>
      <c r="L249" s="122"/>
    </row>
    <row r="251" spans="1:15" ht="15" x14ac:dyDescent="0.2">
      <c r="D251" s="634" t="s">
        <v>223</v>
      </c>
      <c r="E251" s="635"/>
      <c r="F251" s="635"/>
      <c r="G251" s="635"/>
      <c r="H251" s="635"/>
      <c r="I251" s="636"/>
      <c r="J251" s="121"/>
      <c r="K251" s="121"/>
    </row>
    <row r="252" spans="1:15" ht="30" x14ac:dyDescent="0.2">
      <c r="D252" s="419" t="str">
        <f t="shared" ref="D252:G252" si="76">D245</f>
        <v xml:space="preserve">Residential </v>
      </c>
      <c r="E252" s="419" t="str">
        <f t="shared" si="76"/>
        <v>GS&lt;50</v>
      </c>
      <c r="F252" s="419" t="str">
        <f t="shared" si="76"/>
        <v>GS&gt;50</v>
      </c>
      <c r="G252" s="419" t="str">
        <f t="shared" si="76"/>
        <v>Large User</v>
      </c>
      <c r="H252" s="419" t="str">
        <f>H245</f>
        <v>Street Lighting</v>
      </c>
      <c r="I252" s="419" t="str">
        <f>I245</f>
        <v>USL</v>
      </c>
    </row>
    <row r="253" spans="1:15" ht="15" x14ac:dyDescent="0.2">
      <c r="D253" s="226" t="s">
        <v>101</v>
      </c>
      <c r="E253" s="227"/>
      <c r="F253" s="227"/>
      <c r="G253" s="227"/>
      <c r="H253" s="227"/>
      <c r="I253" s="228"/>
    </row>
    <row r="254" spans="1:15" x14ac:dyDescent="0.2">
      <c r="D254" s="125">
        <f>'Rate Class Energy Model'!L87</f>
        <v>0.82000000000000006</v>
      </c>
      <c r="E254" s="125">
        <f>'Rate Class Energy Model'!M87</f>
        <v>0.82000000000000006</v>
      </c>
      <c r="F254" s="125">
        <f>'Rate Class Energy Model'!N87</f>
        <v>0.64</v>
      </c>
      <c r="G254" s="125">
        <f>'Rate Class Energy Model'!O87</f>
        <v>0</v>
      </c>
      <c r="H254" s="125">
        <f>'Rate Class Energy Model'!P87</f>
        <v>0</v>
      </c>
      <c r="I254" s="125">
        <f>'Rate Class Energy Model'!Q87</f>
        <v>0</v>
      </c>
    </row>
    <row r="255" spans="1:15" x14ac:dyDescent="0.2">
      <c r="D255" s="126"/>
      <c r="E255" s="126"/>
      <c r="F255" s="126"/>
      <c r="G255" s="126"/>
      <c r="H255" s="126"/>
      <c r="I255"/>
      <c r="J255"/>
    </row>
    <row r="256" spans="1:15" ht="15" x14ac:dyDescent="0.2">
      <c r="D256" s="629" t="s">
        <v>124</v>
      </c>
      <c r="E256" s="629"/>
      <c r="F256" s="629"/>
      <c r="G256" s="629"/>
      <c r="H256" s="629"/>
    </row>
    <row r="257" spans="2:8" ht="25.5" x14ac:dyDescent="0.2">
      <c r="D257" s="57"/>
      <c r="E257" s="452" t="s">
        <v>284</v>
      </c>
      <c r="F257" s="452" t="s">
        <v>285</v>
      </c>
      <c r="G257" s="127" t="s">
        <v>79</v>
      </c>
      <c r="H257" s="127" t="s">
        <v>80</v>
      </c>
    </row>
    <row r="258" spans="2:8" ht="15" customHeight="1" x14ac:dyDescent="0.2">
      <c r="D258" s="128">
        <v>2005</v>
      </c>
      <c r="E258" s="449">
        <f>'CDM Activity'!B2</f>
        <v>292583</v>
      </c>
      <c r="F258" s="449">
        <f>'CDM Activity'!C2</f>
        <v>292583</v>
      </c>
      <c r="G258" s="449">
        <f t="shared" ref="G258:G266" si="77">E258-F258</f>
        <v>0</v>
      </c>
      <c r="H258" s="425">
        <f t="shared" ref="H258:H268" si="78">G258/F258</f>
        <v>0</v>
      </c>
    </row>
    <row r="259" spans="2:8" ht="15" customHeight="1" x14ac:dyDescent="0.2">
      <c r="D259" s="128">
        <v>2006</v>
      </c>
      <c r="E259" s="449">
        <f>'CDM Activity'!B3</f>
        <v>11429858.065328151</v>
      </c>
      <c r="F259" s="449">
        <f>'CDM Activity'!C3</f>
        <v>10724826.971235819</v>
      </c>
      <c r="G259" s="449">
        <f t="shared" si="77"/>
        <v>705031.09409233183</v>
      </c>
      <c r="H259" s="425">
        <f t="shared" si="78"/>
        <v>6.5738225519464136E-2</v>
      </c>
    </row>
    <row r="260" spans="2:8" ht="15" customHeight="1" x14ac:dyDescent="0.2">
      <c r="D260" s="128">
        <v>2007</v>
      </c>
      <c r="E260" s="449">
        <f>'CDM Activity'!B4</f>
        <v>30126927.641539197</v>
      </c>
      <c r="F260" s="449">
        <f>'CDM Activity'!C4</f>
        <v>21463789.011532571</v>
      </c>
      <c r="G260" s="449">
        <f t="shared" si="77"/>
        <v>8663138.6300066262</v>
      </c>
      <c r="H260" s="425">
        <f t="shared" si="78"/>
        <v>0.40361646423899761</v>
      </c>
    </row>
    <row r="261" spans="2:8" ht="15" customHeight="1" x14ac:dyDescent="0.2">
      <c r="D261" s="128">
        <v>2008</v>
      </c>
      <c r="E261" s="449">
        <f>'CDM Activity'!B5</f>
        <v>34400975.704919301</v>
      </c>
      <c r="F261" s="449">
        <f>'CDM Activity'!C5</f>
        <v>27058909.442072801</v>
      </c>
      <c r="G261" s="449">
        <f t="shared" si="77"/>
        <v>7342066.2628464997</v>
      </c>
      <c r="H261" s="425">
        <f t="shared" si="78"/>
        <v>0.27133636995106014</v>
      </c>
    </row>
    <row r="262" spans="2:8" ht="15" customHeight="1" x14ac:dyDescent="0.2">
      <c r="D262" s="128">
        <v>2009</v>
      </c>
      <c r="E262" s="449">
        <f>'CDM Activity'!B6</f>
        <v>47381960.2825993</v>
      </c>
      <c r="F262" s="449">
        <f>'CDM Activity'!C6</f>
        <v>36655514.888181098</v>
      </c>
      <c r="G262" s="449">
        <f t="shared" si="77"/>
        <v>10726445.394418202</v>
      </c>
      <c r="H262" s="425">
        <f t="shared" si="78"/>
        <v>0.2926284196836299</v>
      </c>
    </row>
    <row r="263" spans="2:8" ht="15" customHeight="1" x14ac:dyDescent="0.2">
      <c r="D263" s="128">
        <v>2010</v>
      </c>
      <c r="E263" s="449">
        <f>'CDM Activity'!B7</f>
        <v>54664486.6800697</v>
      </c>
      <c r="F263" s="449">
        <f>'CDM Activity'!C7</f>
        <v>39643598.152045503</v>
      </c>
      <c r="G263" s="449">
        <f t="shared" si="77"/>
        <v>15020888.528024197</v>
      </c>
      <c r="H263" s="425">
        <f t="shared" si="78"/>
        <v>0.37889821379014155</v>
      </c>
    </row>
    <row r="264" spans="2:8" ht="15" customHeight="1" x14ac:dyDescent="0.2">
      <c r="D264" s="128">
        <v>2011</v>
      </c>
      <c r="E264" s="449">
        <f>'CDM Activity'!B8</f>
        <v>52431811.111596398</v>
      </c>
      <c r="F264" s="449">
        <f>'CDM Activity'!C8</f>
        <v>37374960.879255295</v>
      </c>
      <c r="G264" s="449">
        <f t="shared" si="77"/>
        <v>15056850.232341103</v>
      </c>
      <c r="H264" s="425">
        <f t="shared" si="78"/>
        <v>0.40285929076913901</v>
      </c>
    </row>
    <row r="265" spans="2:8" ht="15" customHeight="1" x14ac:dyDescent="0.2">
      <c r="D265" s="128">
        <v>2012</v>
      </c>
      <c r="E265" s="449">
        <f>'CDM Activity'!B9</f>
        <v>50947313.907669194</v>
      </c>
      <c r="F265" s="449">
        <f>'CDM Activity'!C9</f>
        <v>36539763.596583202</v>
      </c>
      <c r="G265" s="449">
        <f t="shared" si="77"/>
        <v>14407550.311085992</v>
      </c>
      <c r="H265" s="425">
        <f t="shared" si="78"/>
        <v>0.39429785233841053</v>
      </c>
    </row>
    <row r="266" spans="2:8" ht="15" customHeight="1" x14ac:dyDescent="0.2">
      <c r="D266" s="128">
        <v>2013</v>
      </c>
      <c r="E266" s="449">
        <f>'CDM Activity'!B10</f>
        <v>45587649.596601203</v>
      </c>
      <c r="F266" s="449">
        <f>'CDM Activity'!C10</f>
        <v>31270273.197305299</v>
      </c>
      <c r="G266" s="449">
        <f t="shared" si="77"/>
        <v>14317376.399295904</v>
      </c>
      <c r="H266" s="425">
        <f t="shared" si="78"/>
        <v>0.4578590122624735</v>
      </c>
    </row>
    <row r="267" spans="2:8" ht="15" customHeight="1" x14ac:dyDescent="0.2">
      <c r="D267" s="128">
        <v>2014</v>
      </c>
      <c r="E267" s="449">
        <f>'CDM Activity'!B11</f>
        <v>44094366.763853706</v>
      </c>
      <c r="F267" s="449">
        <f>'CDM Activity'!C11</f>
        <v>30516052.283574499</v>
      </c>
      <c r="G267" s="449">
        <f t="shared" ref="G267" si="79">E267-F267</f>
        <v>13578314.480279207</v>
      </c>
      <c r="H267" s="425">
        <f t="shared" ref="H267" si="80">G267/F267</f>
        <v>0.44495645616611557</v>
      </c>
    </row>
    <row r="268" spans="2:8" ht="15" customHeight="1" x14ac:dyDescent="0.2">
      <c r="D268" s="128" t="s">
        <v>10</v>
      </c>
      <c r="E268" s="449">
        <f>SUM(E258:E267)</f>
        <v>371357932.75417614</v>
      </c>
      <c r="F268" s="449">
        <f>SUM(F258:F267)</f>
        <v>271540271.42178607</v>
      </c>
      <c r="G268" s="449">
        <f>SUM(G258:G267)</f>
        <v>99817661.33239007</v>
      </c>
      <c r="H268" s="425">
        <f t="shared" si="78"/>
        <v>0.36759800235060658</v>
      </c>
    </row>
    <row r="270" spans="2:8" ht="15" customHeight="1" x14ac:dyDescent="0.2">
      <c r="B270" s="670" t="s">
        <v>308</v>
      </c>
      <c r="C270" s="581"/>
      <c r="D270" s="581"/>
      <c r="E270" s="581"/>
      <c r="F270" s="581"/>
      <c r="G270" s="581"/>
      <c r="H270" s="581"/>
    </row>
    <row r="271" spans="2:8" ht="15" customHeight="1" x14ac:dyDescent="0.2">
      <c r="B271" s="679">
        <f>'CDM Activity'!A17</f>
        <v>98411344</v>
      </c>
      <c r="C271" s="679"/>
      <c r="D271" s="679"/>
      <c r="E271" s="679"/>
      <c r="F271" s="679"/>
      <c r="G271" s="679"/>
      <c r="H271" s="679"/>
    </row>
    <row r="272" spans="2:8" ht="15" customHeight="1" x14ac:dyDescent="0.2">
      <c r="B272" s="94"/>
      <c r="C272" s="94"/>
      <c r="D272" s="57">
        <v>2011</v>
      </c>
      <c r="E272" s="57">
        <v>2012</v>
      </c>
      <c r="F272" s="57">
        <v>2013</v>
      </c>
      <c r="G272" s="57">
        <v>2014</v>
      </c>
      <c r="H272" s="57" t="s">
        <v>10</v>
      </c>
    </row>
    <row r="273" spans="1:12" ht="15" customHeight="1" x14ac:dyDescent="0.2">
      <c r="B273" s="314" t="s">
        <v>102</v>
      </c>
      <c r="C273" s="94"/>
      <c r="D273" s="450">
        <f>D279/$B$271</f>
        <v>0.13090593079435131</v>
      </c>
      <c r="E273" s="450">
        <f>E279/$B$271</f>
        <v>0.12983547106100696</v>
      </c>
      <c r="F273" s="450">
        <f>F279/$B$271</f>
        <v>0.12972826368902959</v>
      </c>
      <c r="G273" s="450">
        <f>G279/$B$271</f>
        <v>0.12791385227962132</v>
      </c>
      <c r="H273" s="451">
        <f>SUM(D273:G273)</f>
        <v>0.51838351782400927</v>
      </c>
    </row>
    <row r="274" spans="1:12" ht="15" customHeight="1" x14ac:dyDescent="0.2">
      <c r="B274" s="314" t="s">
        <v>103</v>
      </c>
      <c r="C274" s="94"/>
      <c r="D274" s="451"/>
      <c r="E274" s="451">
        <f>+'CDM Activity'!B22</f>
        <v>6.6673644859478798E-2</v>
      </c>
      <c r="F274" s="451">
        <f>+'CDM Activity'!C22</f>
        <v>6.6673644859478798E-2</v>
      </c>
      <c r="G274" s="451">
        <f>+'CDM Activity'!D22</f>
        <v>6.6673644859478798E-2</v>
      </c>
      <c r="H274" s="451">
        <f>SUM(D274:G274)</f>
        <v>0.20002093457843639</v>
      </c>
    </row>
    <row r="275" spans="1:12" ht="15" customHeight="1" x14ac:dyDescent="0.2">
      <c r="B275" s="314" t="s">
        <v>104</v>
      </c>
      <c r="C275" s="94"/>
      <c r="D275" s="451"/>
      <c r="E275" s="451"/>
      <c r="F275" s="451">
        <f>+'CDM Activity'!C23</f>
        <v>9.3865182532518118E-2</v>
      </c>
      <c r="G275" s="451">
        <f>+'CDM Activity'!D23</f>
        <v>9.3865182532518118E-2</v>
      </c>
      <c r="H275" s="451">
        <f>SUM(D275:G275)</f>
        <v>0.18773036506503624</v>
      </c>
    </row>
    <row r="276" spans="1:12" ht="15" customHeight="1" x14ac:dyDescent="0.2">
      <c r="B276" s="314" t="s">
        <v>105</v>
      </c>
      <c r="C276" s="94"/>
      <c r="D276" s="451"/>
      <c r="E276" s="451"/>
      <c r="F276" s="451"/>
      <c r="G276" s="451">
        <f>G275</f>
        <v>9.3865182532518118E-2</v>
      </c>
      <c r="H276" s="451">
        <f>SUM(D276:G276)</f>
        <v>9.3865182532518118E-2</v>
      </c>
    </row>
    <row r="277" spans="1:12" ht="15" customHeight="1" x14ac:dyDescent="0.2">
      <c r="B277" s="129"/>
      <c r="C277" s="94"/>
      <c r="D277" s="451">
        <f>SUM(D273:D276)</f>
        <v>0.13090593079435131</v>
      </c>
      <c r="E277" s="451">
        <f>SUM(E273:E276)</f>
        <v>0.19650911592048576</v>
      </c>
      <c r="F277" s="451">
        <f>SUM(F273:F276)</f>
        <v>0.2902670910810265</v>
      </c>
      <c r="G277" s="451">
        <f>SUM(G273:G276)</f>
        <v>0.38231786220413638</v>
      </c>
      <c r="H277" s="451">
        <f>SUM(D277:G277)</f>
        <v>1</v>
      </c>
    </row>
    <row r="278" spans="1:12" ht="15" customHeight="1" x14ac:dyDescent="0.2">
      <c r="B278" s="581" t="s">
        <v>106</v>
      </c>
      <c r="C278" s="581"/>
      <c r="D278" s="581"/>
      <c r="E278" s="581"/>
      <c r="F278" s="581"/>
      <c r="G278" s="581"/>
      <c r="H278" s="581"/>
    </row>
    <row r="279" spans="1:12" ht="15" customHeight="1" x14ac:dyDescent="0.2">
      <c r="B279" s="314" t="s">
        <v>102</v>
      </c>
      <c r="C279" s="94"/>
      <c r="D279" s="252">
        <f>'CDM Activity'!A27</f>
        <v>12882628.587043101</v>
      </c>
      <c r="E279" s="252">
        <f>'CDM Activity'!B27</f>
        <v>12777283.2059868</v>
      </c>
      <c r="F279" s="252">
        <f>'CDM Activity'!C27</f>
        <v>12766732.7844238</v>
      </c>
      <c r="G279" s="252">
        <f>'CDM Activity'!D27</f>
        <v>12588174.119054999</v>
      </c>
      <c r="H279" s="252">
        <f>SUM(D279:G279)</f>
        <v>51014818.696508706</v>
      </c>
    </row>
    <row r="280" spans="1:12" ht="15" customHeight="1" x14ac:dyDescent="0.2">
      <c r="B280" s="314" t="s">
        <v>103</v>
      </c>
      <c r="C280" s="94"/>
      <c r="D280" s="252"/>
      <c r="E280" s="252">
        <f>+'CDM Activity'!B28</f>
        <v>6561443</v>
      </c>
      <c r="F280" s="252">
        <f>+'CDM Activity'!C28</f>
        <v>6561443</v>
      </c>
      <c r="G280" s="252">
        <f>+'CDM Activity'!D28</f>
        <v>6561443</v>
      </c>
      <c r="H280" s="252">
        <f>SUM(D280:G280)</f>
        <v>19684329</v>
      </c>
    </row>
    <row r="281" spans="1:12" ht="15" customHeight="1" x14ac:dyDescent="0.2">
      <c r="B281" s="314" t="s">
        <v>104</v>
      </c>
      <c r="C281" s="94"/>
      <c r="D281" s="252"/>
      <c r="E281" s="252"/>
      <c r="F281" s="252">
        <f>F275*$B$271</f>
        <v>9237398.7678304315</v>
      </c>
      <c r="G281" s="252">
        <f>G275*$B$271</f>
        <v>9237398.7678304315</v>
      </c>
      <c r="H281" s="252">
        <f>SUM(D281:G281)</f>
        <v>18474797.535660863</v>
      </c>
    </row>
    <row r="282" spans="1:12" ht="15" customHeight="1" x14ac:dyDescent="0.2">
      <c r="B282" s="314" t="s">
        <v>105</v>
      </c>
      <c r="C282" s="94"/>
      <c r="D282" s="252"/>
      <c r="E282" s="252"/>
      <c r="F282" s="252"/>
      <c r="G282" s="252">
        <f>G276*$B$271</f>
        <v>9237398.7678304315</v>
      </c>
      <c r="H282" s="252">
        <f>SUM(D282:G282)</f>
        <v>9237398.7678304315</v>
      </c>
    </row>
    <row r="283" spans="1:12" ht="15" customHeight="1" x14ac:dyDescent="0.2">
      <c r="B283" s="94"/>
      <c r="C283" s="94"/>
      <c r="D283" s="252">
        <f>SUM(D279:D282)</f>
        <v>12882628.587043101</v>
      </c>
      <c r="E283" s="252">
        <f>SUM(E279:E282)</f>
        <v>19338726.205986798</v>
      </c>
      <c r="F283" s="252">
        <f>SUM(F279:F282)</f>
        <v>28565574.55225423</v>
      </c>
      <c r="G283" s="252">
        <f>SUM(G279:G282)</f>
        <v>37624414.654715866</v>
      </c>
      <c r="H283" s="252">
        <f>SUM(D283:G283)</f>
        <v>98411344</v>
      </c>
      <c r="L283" s="99"/>
    </row>
    <row r="285" spans="1:12" ht="15" x14ac:dyDescent="0.2">
      <c r="A285" s="634" t="s">
        <v>289</v>
      </c>
      <c r="B285" s="635"/>
      <c r="C285" s="635"/>
      <c r="D285" s="635"/>
      <c r="E285" s="635"/>
      <c r="F285" s="635"/>
      <c r="G285" s="635"/>
      <c r="H285" s="635"/>
      <c r="I285" s="635"/>
      <c r="J285" s="636"/>
      <c r="K285" s="121"/>
      <c r="L285" s="121"/>
    </row>
    <row r="286" spans="1:12" ht="30" x14ac:dyDescent="0.2">
      <c r="A286" s="426"/>
      <c r="B286" s="427"/>
      <c r="C286" s="416"/>
      <c r="D286" s="419" t="str">
        <f t="shared" ref="D286:J286" si="81">D245</f>
        <v xml:space="preserve">Residential </v>
      </c>
      <c r="E286" s="419" t="str">
        <f t="shared" si="81"/>
        <v>GS&lt;50</v>
      </c>
      <c r="F286" s="419" t="str">
        <f t="shared" si="81"/>
        <v>GS&gt;50</v>
      </c>
      <c r="G286" s="419" t="str">
        <f t="shared" si="81"/>
        <v>Large User</v>
      </c>
      <c r="H286" s="419" t="str">
        <f t="shared" si="81"/>
        <v>Street Lighting</v>
      </c>
      <c r="I286" s="419" t="str">
        <f t="shared" si="81"/>
        <v>USL</v>
      </c>
      <c r="J286" s="419" t="str">
        <f t="shared" si="81"/>
        <v>Total</v>
      </c>
    </row>
    <row r="287" spans="1:12" ht="15" x14ac:dyDescent="0.2">
      <c r="A287" s="295"/>
      <c r="B287" s="296" t="s">
        <v>106</v>
      </c>
      <c r="C287" s="292"/>
      <c r="D287" s="453">
        <f>+G283*'CDM Forecast'!R34</f>
        <v>6764095.388745131</v>
      </c>
      <c r="E287" s="453">
        <f>+G283*'CDM Forecast'!S34</f>
        <v>6628005.8283692347</v>
      </c>
      <c r="F287" s="453">
        <f>+G283*'CDM Forecast'!T34</f>
        <v>24232313.437601503</v>
      </c>
      <c r="G287" s="453"/>
      <c r="H287" s="453"/>
      <c r="I287" s="453"/>
      <c r="J287" s="453">
        <f>SUM(D287:I287)</f>
        <v>37624414.654715866</v>
      </c>
    </row>
    <row r="288" spans="1:12" ht="15" x14ac:dyDescent="0.2">
      <c r="A288" s="297"/>
      <c r="B288" s="291" t="s">
        <v>194</v>
      </c>
      <c r="C288" s="292"/>
      <c r="D288" s="454"/>
      <c r="E288" s="454"/>
      <c r="F288" s="453">
        <f>F287*'Rate Class Load Model'!B34</f>
        <v>61748.436717341894</v>
      </c>
      <c r="G288" s="453"/>
      <c r="H288" s="453"/>
      <c r="I288" s="455"/>
      <c r="J288" s="453">
        <f>SUM(D288:I288)</f>
        <v>61748.436717341894</v>
      </c>
    </row>
    <row r="290" spans="1:10" ht="15" x14ac:dyDescent="0.2">
      <c r="A290" s="634" t="s">
        <v>224</v>
      </c>
      <c r="B290" s="635"/>
      <c r="C290" s="635"/>
      <c r="D290" s="635"/>
      <c r="E290" s="635"/>
      <c r="F290" s="635"/>
      <c r="G290" s="635"/>
      <c r="H290" s="635"/>
      <c r="I290" s="635"/>
      <c r="J290" s="636"/>
    </row>
    <row r="291" spans="1:10" ht="30" x14ac:dyDescent="0.2">
      <c r="A291" s="637" t="s">
        <v>83</v>
      </c>
      <c r="B291" s="649"/>
      <c r="C291" s="428"/>
      <c r="D291" s="379" t="str">
        <f t="shared" ref="D291:I291" si="82">D252</f>
        <v xml:space="preserve">Residential </v>
      </c>
      <c r="E291" s="379" t="str">
        <f t="shared" si="82"/>
        <v>GS&lt;50</v>
      </c>
      <c r="F291" s="379" t="str">
        <f t="shared" si="82"/>
        <v>GS&gt;50</v>
      </c>
      <c r="G291" s="379" t="str">
        <f t="shared" si="82"/>
        <v>Large User</v>
      </c>
      <c r="H291" s="379" t="str">
        <f t="shared" si="82"/>
        <v>Street Lighting</v>
      </c>
      <c r="I291" s="379" t="str">
        <f t="shared" si="82"/>
        <v>USL</v>
      </c>
      <c r="J291" s="379" t="str">
        <f>J286</f>
        <v>Total</v>
      </c>
    </row>
    <row r="292" spans="1:10" ht="15" customHeight="1" x14ac:dyDescent="0.2">
      <c r="A292" s="226" t="s">
        <v>309</v>
      </c>
      <c r="B292" s="227"/>
      <c r="C292" s="227"/>
      <c r="D292" s="227"/>
      <c r="E292" s="227"/>
      <c r="F292" s="227"/>
      <c r="G292" s="227"/>
      <c r="H292" s="227"/>
      <c r="I292" s="227"/>
      <c r="J292" s="228"/>
    </row>
    <row r="293" spans="1:10" ht="15" customHeight="1" x14ac:dyDescent="0.2">
      <c r="A293" s="315" t="s">
        <v>195</v>
      </c>
      <c r="B293" s="247"/>
      <c r="C293" s="247"/>
      <c r="D293" s="456">
        <f t="shared" ref="D293:I294" si="83">D247</f>
        <v>649.88851100451234</v>
      </c>
      <c r="E293" s="456">
        <f t="shared" si="83"/>
        <v>242.93783804586462</v>
      </c>
      <c r="F293" s="456">
        <f t="shared" si="83"/>
        <v>853.83616452558033</v>
      </c>
      <c r="G293" s="456">
        <f t="shared" si="83"/>
        <v>66.016828655037301</v>
      </c>
      <c r="H293" s="456">
        <f t="shared" si="83"/>
        <v>15.898680403048244</v>
      </c>
      <c r="I293" s="456">
        <f t="shared" si="83"/>
        <v>3.6122423570498672</v>
      </c>
      <c r="J293" s="456">
        <f>SUM(D293:I293)</f>
        <v>1832.1902649910926</v>
      </c>
    </row>
    <row r="294" spans="1:10" ht="15" customHeight="1" x14ac:dyDescent="0.2">
      <c r="A294" s="315" t="s">
        <v>196</v>
      </c>
      <c r="B294" s="247"/>
      <c r="C294" s="247"/>
      <c r="D294" s="456">
        <f t="shared" si="83"/>
        <v>655.35532483286909</v>
      </c>
      <c r="E294" s="456">
        <f t="shared" si="83"/>
        <v>244.90958039059413</v>
      </c>
      <c r="F294" s="456">
        <f t="shared" si="83"/>
        <v>856.89476340943111</v>
      </c>
      <c r="G294" s="456">
        <f t="shared" si="83"/>
        <v>31.798990292463159</v>
      </c>
      <c r="H294" s="456">
        <f t="shared" si="83"/>
        <v>16.128464711878159</v>
      </c>
      <c r="I294" s="456">
        <f t="shared" si="83"/>
        <v>3.4171884429939534</v>
      </c>
      <c r="J294" s="456">
        <f>SUM(D294:I294)</f>
        <v>1808.5043120802297</v>
      </c>
    </row>
    <row r="295" spans="1:10" ht="15" customHeight="1" x14ac:dyDescent="0.2">
      <c r="A295" s="226" t="s">
        <v>310</v>
      </c>
      <c r="B295" s="227"/>
      <c r="C295" s="227"/>
      <c r="D295" s="408"/>
      <c r="E295" s="408"/>
      <c r="F295" s="408"/>
      <c r="G295" s="408"/>
      <c r="H295" s="408"/>
      <c r="I295" s="408"/>
      <c r="J295" s="457"/>
    </row>
    <row r="296" spans="1:10" ht="15" customHeight="1" x14ac:dyDescent="0.2">
      <c r="A296" s="669">
        <f>A241</f>
        <v>2013</v>
      </c>
      <c r="B296" s="669"/>
      <c r="C296" s="249"/>
      <c r="D296" s="458">
        <f>'Rate Class Energy Model'!L92/1000000</f>
        <v>1.6147500803852168</v>
      </c>
      <c r="E296" s="458">
        <f>'Rate Class Energy Model'!M92/1000000</f>
        <v>0.60361721567723947</v>
      </c>
      <c r="F296" s="458">
        <f>'Rate Class Energy Model'!N92/1000000</f>
        <v>1.6557971189181933</v>
      </c>
      <c r="G296" s="458">
        <f>'Rate Class Energy Model'!O92/1000000</f>
        <v>0</v>
      </c>
      <c r="H296" s="458">
        <f>'Rate Class Energy Model'!P92/1000000</f>
        <v>0</v>
      </c>
      <c r="I296" s="458">
        <f>'Rate Class Energy Model'!Q92/1000000</f>
        <v>0</v>
      </c>
      <c r="J296" s="458">
        <f>SUM(D296:I296)</f>
        <v>3.8741644149806493</v>
      </c>
    </row>
    <row r="297" spans="1:10" ht="15" customHeight="1" x14ac:dyDescent="0.2">
      <c r="A297" s="669">
        <f>A242</f>
        <v>2014</v>
      </c>
      <c r="B297" s="669"/>
      <c r="C297" s="247"/>
      <c r="D297" s="458">
        <f>'Rate Class Energy Model'!L93/1000000</f>
        <v>-0.1073168163121745</v>
      </c>
      <c r="E297" s="458">
        <f>'Rate Class Energy Model'!M93/1000000</f>
        <v>-4.0104833906052233E-2</v>
      </c>
      <c r="F297" s="458">
        <f>'Rate Class Energy Model'!N93/1000000</f>
        <v>-0.10951776145841853</v>
      </c>
      <c r="G297" s="458">
        <f>'Rate Class Energy Model'!O93/1000000</f>
        <v>0</v>
      </c>
      <c r="H297" s="458">
        <f>'Rate Class Energy Model'!P93/1000000</f>
        <v>0</v>
      </c>
      <c r="I297" s="458">
        <f>'Rate Class Energy Model'!Q93/1000000</f>
        <v>0</v>
      </c>
      <c r="J297" s="458">
        <f>SUM(D297:I297)</f>
        <v>-0.25693941167664525</v>
      </c>
    </row>
    <row r="298" spans="1:10" ht="15" customHeight="1" x14ac:dyDescent="0.2">
      <c r="A298" s="226" t="s">
        <v>311</v>
      </c>
      <c r="B298" s="227"/>
      <c r="C298" s="227"/>
      <c r="D298" s="408"/>
      <c r="E298" s="408"/>
      <c r="F298" s="408"/>
      <c r="G298" s="408"/>
      <c r="H298" s="408"/>
      <c r="I298" s="408"/>
      <c r="J298" s="457"/>
    </row>
    <row r="299" spans="1:10" ht="15" customHeight="1" x14ac:dyDescent="0.2">
      <c r="A299" s="669">
        <f>A296</f>
        <v>2013</v>
      </c>
      <c r="B299" s="669"/>
      <c r="C299" s="247"/>
      <c r="D299" s="458">
        <f>'Rate Class Energy Model'!L96/1000000</f>
        <v>-1.6606941791093131</v>
      </c>
      <c r="E299" s="458">
        <f>'Rate Class Energy Model'!M96/1000000</f>
        <v>-1.6272820038271838</v>
      </c>
      <c r="F299" s="458">
        <f>'Rate Class Energy Model'!N96/1000000</f>
        <v>-5.9494225848939353</v>
      </c>
      <c r="G299" s="458">
        <f>'Rate Class Energy Model'!O96/1000000</f>
        <v>0</v>
      </c>
      <c r="H299" s="458">
        <f>'Rate Class Energy Model'!P96/1000000</f>
        <v>0</v>
      </c>
      <c r="I299" s="458">
        <f>'Rate Class Energy Model'!Q96/1000000</f>
        <v>0</v>
      </c>
      <c r="J299" s="458">
        <f>SUM(D299:I299)</f>
        <v>-9.237398767830431</v>
      </c>
    </row>
    <row r="300" spans="1:10" ht="15" customHeight="1" x14ac:dyDescent="0.2">
      <c r="A300" s="669">
        <f>A297</f>
        <v>2014</v>
      </c>
      <c r="B300" s="669"/>
      <c r="C300" s="247"/>
      <c r="D300" s="458">
        <f>'Rate Class Energy Model'!L97/1000000</f>
        <v>-3.3213883582186261</v>
      </c>
      <c r="E300" s="458">
        <f>'Rate Class Energy Model'!M97/1000000</f>
        <v>-3.2545640076543676</v>
      </c>
      <c r="F300" s="458">
        <f>'Rate Class Energy Model'!N97/1000000</f>
        <v>-11.898845169787871</v>
      </c>
      <c r="G300" s="458">
        <f>'Rate Class Energy Model'!O97/1000000</f>
        <v>0</v>
      </c>
      <c r="H300" s="458">
        <f>'Rate Class Energy Model'!P97/1000000</f>
        <v>0</v>
      </c>
      <c r="I300" s="458">
        <f>'Rate Class Energy Model'!Q97/1000000</f>
        <v>0</v>
      </c>
      <c r="J300" s="458">
        <f>SUM(D300:I300)</f>
        <v>-18.474797535660862</v>
      </c>
    </row>
    <row r="301" spans="1:10" ht="15" customHeight="1" x14ac:dyDescent="0.2">
      <c r="A301" s="226" t="s">
        <v>312</v>
      </c>
      <c r="B301" s="227"/>
      <c r="C301" s="227"/>
      <c r="D301" s="227"/>
      <c r="E301" s="227"/>
      <c r="F301" s="227"/>
      <c r="G301" s="227"/>
      <c r="H301" s="227"/>
      <c r="I301" s="227"/>
      <c r="J301" s="228"/>
    </row>
    <row r="302" spans="1:10" ht="15" customHeight="1" x14ac:dyDescent="0.2">
      <c r="A302" s="315" t="s">
        <v>164</v>
      </c>
      <c r="B302" s="249"/>
      <c r="C302" s="249"/>
      <c r="D302" s="459">
        <f t="shared" ref="D302:G303" si="84">D293+D296+D299</f>
        <v>649.8425669057882</v>
      </c>
      <c r="E302" s="459">
        <f t="shared" si="84"/>
        <v>241.91417325771468</v>
      </c>
      <c r="F302" s="459">
        <f t="shared" si="84"/>
        <v>849.54253905960456</v>
      </c>
      <c r="G302" s="459">
        <f t="shared" si="84"/>
        <v>66.016828655037301</v>
      </c>
      <c r="H302" s="459">
        <f>H293+H296+H299</f>
        <v>15.898680403048244</v>
      </c>
      <c r="I302" s="459">
        <f>I293+I296+I299</f>
        <v>3.6122423570498672</v>
      </c>
      <c r="J302" s="456">
        <f>SUM(D302:I302)</f>
        <v>1826.8270306382428</v>
      </c>
    </row>
    <row r="303" spans="1:10" ht="15" customHeight="1" x14ac:dyDescent="0.2">
      <c r="A303" s="315" t="s">
        <v>165</v>
      </c>
      <c r="B303" s="247"/>
      <c r="C303" s="247"/>
      <c r="D303" s="459">
        <f t="shared" si="84"/>
        <v>651.92661965833827</v>
      </c>
      <c r="E303" s="459">
        <f t="shared" si="84"/>
        <v>241.61491154903371</v>
      </c>
      <c r="F303" s="459">
        <f t="shared" si="84"/>
        <v>844.8864004781849</v>
      </c>
      <c r="G303" s="459">
        <f t="shared" si="84"/>
        <v>31.798990292463159</v>
      </c>
      <c r="H303" s="459">
        <f>H294+H297+H300</f>
        <v>16.128464711878159</v>
      </c>
      <c r="I303" s="459">
        <f>I294+I297+I300</f>
        <v>3.4171884429939534</v>
      </c>
      <c r="J303" s="456">
        <f>SUM(D303:I303)</f>
        <v>1789.7725751328921</v>
      </c>
    </row>
    <row r="305" spans="1:12" ht="15" x14ac:dyDescent="0.2">
      <c r="A305" s="629" t="s">
        <v>225</v>
      </c>
      <c r="B305" s="629"/>
      <c r="C305" s="629"/>
      <c r="D305" s="629"/>
      <c r="E305" s="629"/>
      <c r="F305" s="629"/>
      <c r="G305" s="629"/>
      <c r="H305" s="121"/>
      <c r="I305" s="121"/>
    </row>
    <row r="306" spans="1:12" ht="30" x14ac:dyDescent="0.2">
      <c r="A306" s="668" t="s">
        <v>83</v>
      </c>
      <c r="B306" s="668"/>
      <c r="C306" s="428"/>
      <c r="D306" s="379" t="str">
        <f>F291</f>
        <v>GS&gt;50</v>
      </c>
      <c r="E306" s="379" t="str">
        <f>G291</f>
        <v>Large User</v>
      </c>
      <c r="F306" s="379" t="str">
        <f>H291</f>
        <v>Street Lighting</v>
      </c>
      <c r="G306" s="379" t="str">
        <f>J291</f>
        <v>Total</v>
      </c>
      <c r="H306" s="75"/>
      <c r="I306" s="75"/>
    </row>
    <row r="307" spans="1:12" ht="15" customHeight="1" x14ac:dyDescent="0.2">
      <c r="A307" s="629" t="s">
        <v>107</v>
      </c>
      <c r="B307" s="629"/>
      <c r="C307" s="629"/>
      <c r="D307" s="629"/>
      <c r="E307" s="629"/>
      <c r="F307" s="629"/>
      <c r="G307" s="629"/>
      <c r="H307" s="121"/>
      <c r="I307" s="121"/>
    </row>
    <row r="308" spans="1:12" ht="15" customHeight="1" x14ac:dyDescent="0.2">
      <c r="A308" s="628">
        <f t="shared" ref="A308:A320" si="85">A223</f>
        <v>2000</v>
      </c>
      <c r="B308" s="628"/>
      <c r="C308" s="414"/>
      <c r="D308" s="449">
        <f>'Rate Class Load Model'!B3</f>
        <v>1702404</v>
      </c>
      <c r="E308" s="449">
        <f>'Rate Class Load Model'!C3</f>
        <v>339080</v>
      </c>
      <c r="F308" s="449">
        <f>'Rate Class Load Model'!D3</f>
        <v>39194</v>
      </c>
      <c r="G308" s="449">
        <f>SUM(D308:F308)</f>
        <v>2080678</v>
      </c>
      <c r="H308" s="438"/>
      <c r="I308" s="438"/>
      <c r="K308" s="99"/>
      <c r="L308" s="99"/>
    </row>
    <row r="309" spans="1:12" ht="15" customHeight="1" x14ac:dyDescent="0.2">
      <c r="A309" s="628">
        <f t="shared" si="85"/>
        <v>2001</v>
      </c>
      <c r="B309" s="628"/>
      <c r="C309" s="414"/>
      <c r="D309" s="449">
        <f>'Rate Class Load Model'!B4</f>
        <v>2097765</v>
      </c>
      <c r="E309" s="449">
        <f>'Rate Class Load Model'!C4</f>
        <v>423831</v>
      </c>
      <c r="F309" s="449">
        <f>'Rate Class Load Model'!D4</f>
        <v>39703</v>
      </c>
      <c r="G309" s="449">
        <f t="shared" ref="G309:G319" si="86">SUM(D309:F309)</f>
        <v>2561299</v>
      </c>
      <c r="H309" s="438"/>
      <c r="I309" s="438"/>
      <c r="K309" s="99"/>
      <c r="L309" s="99"/>
    </row>
    <row r="310" spans="1:12" ht="15" customHeight="1" x14ac:dyDescent="0.2">
      <c r="A310" s="628">
        <f t="shared" si="85"/>
        <v>2002</v>
      </c>
      <c r="B310" s="628"/>
      <c r="C310" s="414"/>
      <c r="D310" s="449">
        <f>'Rate Class Load Model'!B5</f>
        <v>2249449</v>
      </c>
      <c r="E310" s="449">
        <f>'Rate Class Load Model'!C5</f>
        <v>475022</v>
      </c>
      <c r="F310" s="449">
        <f>'Rate Class Load Model'!D5</f>
        <v>36995</v>
      </c>
      <c r="G310" s="449">
        <f t="shared" si="86"/>
        <v>2761466</v>
      </c>
      <c r="H310" s="438"/>
      <c r="I310" s="438"/>
      <c r="K310" s="99"/>
      <c r="L310" s="99"/>
    </row>
    <row r="311" spans="1:12" ht="15" customHeight="1" x14ac:dyDescent="0.2">
      <c r="A311" s="628">
        <f t="shared" si="85"/>
        <v>2003</v>
      </c>
      <c r="B311" s="628"/>
      <c r="C311" s="414"/>
      <c r="D311" s="449">
        <f>'Rate Class Load Model'!B6</f>
        <v>2243396</v>
      </c>
      <c r="E311" s="449">
        <f>'Rate Class Load Model'!C6</f>
        <v>474685</v>
      </c>
      <c r="F311" s="449">
        <f>'Rate Class Load Model'!D6</f>
        <v>41407</v>
      </c>
      <c r="G311" s="449">
        <f t="shared" si="86"/>
        <v>2759488</v>
      </c>
      <c r="H311" s="438"/>
      <c r="I311" s="438"/>
      <c r="K311" s="99"/>
      <c r="L311" s="99"/>
    </row>
    <row r="312" spans="1:12" ht="15" customHeight="1" x14ac:dyDescent="0.2">
      <c r="A312" s="628">
        <f t="shared" si="85"/>
        <v>2004</v>
      </c>
      <c r="B312" s="628"/>
      <c r="C312" s="415"/>
      <c r="D312" s="449">
        <f>'Rate Class Load Model'!B7</f>
        <v>2273819</v>
      </c>
      <c r="E312" s="449">
        <f>'Rate Class Load Model'!C7</f>
        <v>460426</v>
      </c>
      <c r="F312" s="449">
        <f>'Rate Class Load Model'!D7</f>
        <v>41732</v>
      </c>
      <c r="G312" s="449">
        <f t="shared" si="86"/>
        <v>2775977</v>
      </c>
      <c r="H312" s="438"/>
      <c r="I312" s="438"/>
      <c r="K312" s="99"/>
      <c r="L312" s="99"/>
    </row>
    <row r="313" spans="1:12" ht="15" customHeight="1" x14ac:dyDescent="0.2">
      <c r="A313" s="628">
        <f t="shared" si="85"/>
        <v>2005</v>
      </c>
      <c r="B313" s="628"/>
      <c r="C313" s="415"/>
      <c r="D313" s="449">
        <f>'Rate Class Load Model'!B8</f>
        <v>2343889</v>
      </c>
      <c r="E313" s="449">
        <f>'Rate Class Load Model'!C8</f>
        <v>445748</v>
      </c>
      <c r="F313" s="449">
        <f>'Rate Class Load Model'!D8</f>
        <v>42148</v>
      </c>
      <c r="G313" s="449">
        <f t="shared" si="86"/>
        <v>2831785</v>
      </c>
      <c r="H313" s="438"/>
      <c r="I313" s="438"/>
      <c r="K313" s="99"/>
      <c r="L313" s="99"/>
    </row>
    <row r="314" spans="1:12" ht="15" customHeight="1" x14ac:dyDescent="0.2">
      <c r="A314" s="628">
        <f t="shared" si="85"/>
        <v>2006</v>
      </c>
      <c r="B314" s="628"/>
      <c r="C314" s="415"/>
      <c r="D314" s="449">
        <f>'Rate Class Load Model'!B9</f>
        <v>2306337</v>
      </c>
      <c r="E314" s="449">
        <f>'Rate Class Load Model'!C9</f>
        <v>381847</v>
      </c>
      <c r="F314" s="449">
        <f>'Rate Class Load Model'!D9</f>
        <v>42692</v>
      </c>
      <c r="G314" s="449">
        <f t="shared" si="86"/>
        <v>2730876</v>
      </c>
      <c r="H314" s="438"/>
      <c r="I314" s="438"/>
      <c r="K314" s="99"/>
      <c r="L314" s="99"/>
    </row>
    <row r="315" spans="1:12" ht="15" customHeight="1" x14ac:dyDescent="0.2">
      <c r="A315" s="628">
        <f t="shared" si="85"/>
        <v>2007</v>
      </c>
      <c r="B315" s="628"/>
      <c r="C315" s="415"/>
      <c r="D315" s="449">
        <f>'Rate Class Load Model'!B10</f>
        <v>2286676</v>
      </c>
      <c r="E315" s="449">
        <f>'Rate Class Load Model'!C10</f>
        <v>330481</v>
      </c>
      <c r="F315" s="449">
        <f>'Rate Class Load Model'!D10</f>
        <v>43371</v>
      </c>
      <c r="G315" s="449">
        <f t="shared" si="86"/>
        <v>2660528</v>
      </c>
      <c r="H315" s="438"/>
      <c r="I315" s="438"/>
      <c r="K315" s="99"/>
      <c r="L315" s="99"/>
    </row>
    <row r="316" spans="1:12" ht="15" customHeight="1" x14ac:dyDescent="0.2">
      <c r="A316" s="628">
        <f t="shared" si="85"/>
        <v>2008</v>
      </c>
      <c r="B316" s="628"/>
      <c r="C316" s="415"/>
      <c r="D316" s="449">
        <f>'Rate Class Load Model'!B11</f>
        <v>2227288</v>
      </c>
      <c r="E316" s="449">
        <f>'Rate Class Load Model'!C11</f>
        <v>329862</v>
      </c>
      <c r="F316" s="449">
        <f>'Rate Class Load Model'!D11</f>
        <v>45893</v>
      </c>
      <c r="G316" s="449">
        <f t="shared" si="86"/>
        <v>2603043</v>
      </c>
      <c r="H316" s="438"/>
      <c r="I316" s="438"/>
      <c r="K316" s="99"/>
      <c r="L316" s="99"/>
    </row>
    <row r="317" spans="1:12" ht="15" customHeight="1" x14ac:dyDescent="0.2">
      <c r="A317" s="628">
        <f t="shared" si="85"/>
        <v>2009</v>
      </c>
      <c r="B317" s="628"/>
      <c r="C317" s="415"/>
      <c r="D317" s="449">
        <f>'Rate Class Load Model'!B12</f>
        <v>2169096</v>
      </c>
      <c r="E317" s="449">
        <f>'Rate Class Load Model'!C12</f>
        <v>171311</v>
      </c>
      <c r="F317" s="449">
        <f>'Rate Class Load Model'!D12</f>
        <v>44226</v>
      </c>
      <c r="G317" s="449">
        <f t="shared" si="86"/>
        <v>2384633</v>
      </c>
      <c r="H317" s="438"/>
      <c r="I317" s="438"/>
      <c r="K317" s="99"/>
      <c r="L317" s="99"/>
    </row>
    <row r="318" spans="1:12" ht="15" customHeight="1" x14ac:dyDescent="0.2">
      <c r="A318" s="628">
        <f t="shared" si="85"/>
        <v>2010</v>
      </c>
      <c r="B318" s="628"/>
      <c r="C318" s="415"/>
      <c r="D318" s="449">
        <f>'Rate Class Load Model'!B13</f>
        <v>2260312</v>
      </c>
      <c r="E318" s="449">
        <f>'Rate Class Load Model'!C13</f>
        <v>95621</v>
      </c>
      <c r="F318" s="449">
        <f>'Rate Class Load Model'!D13</f>
        <v>44895</v>
      </c>
      <c r="G318" s="449">
        <f t="shared" si="86"/>
        <v>2400828</v>
      </c>
      <c r="H318" s="438"/>
      <c r="I318" s="438"/>
      <c r="K318" s="99"/>
      <c r="L318" s="99"/>
    </row>
    <row r="319" spans="1:12" ht="15" customHeight="1" x14ac:dyDescent="0.2">
      <c r="A319" s="628">
        <f t="shared" si="85"/>
        <v>2011</v>
      </c>
      <c r="B319" s="628"/>
      <c r="C319" s="415"/>
      <c r="D319" s="449">
        <f>'Rate Class Load Model'!B14</f>
        <v>2244883</v>
      </c>
      <c r="E319" s="449">
        <f>'Rate Class Load Model'!C14</f>
        <v>105771</v>
      </c>
      <c r="F319" s="449">
        <f>'Rate Class Load Model'!D14</f>
        <v>44252</v>
      </c>
      <c r="G319" s="449">
        <f t="shared" si="86"/>
        <v>2394906</v>
      </c>
      <c r="H319" s="438"/>
      <c r="I319" s="438"/>
      <c r="K319" s="99"/>
      <c r="L319" s="99"/>
    </row>
    <row r="320" spans="1:12" ht="15" customHeight="1" x14ac:dyDescent="0.2">
      <c r="A320" s="628">
        <f t="shared" si="85"/>
        <v>2012</v>
      </c>
      <c r="B320" s="628"/>
      <c r="C320" s="415"/>
      <c r="D320" s="449">
        <f>'Rate Class Load Model'!B15</f>
        <v>2227931</v>
      </c>
      <c r="E320" s="449">
        <f>'Rate Class Load Model'!C15</f>
        <v>136790</v>
      </c>
      <c r="F320" s="449">
        <f>'Rate Class Load Model'!D15</f>
        <v>44229</v>
      </c>
      <c r="G320" s="449">
        <f t="shared" ref="G320" si="87">SUM(D320:F320)</f>
        <v>2408950</v>
      </c>
      <c r="H320" s="438"/>
      <c r="I320" s="438"/>
      <c r="K320" s="99"/>
      <c r="L320" s="99"/>
    </row>
    <row r="322" spans="1:8" ht="15" customHeight="1" x14ac:dyDescent="0.2">
      <c r="A322" s="630" t="s">
        <v>280</v>
      </c>
      <c r="B322" s="630"/>
      <c r="C322" s="630"/>
      <c r="D322" s="630"/>
      <c r="E322" s="630"/>
      <c r="F322" s="630"/>
      <c r="G322" s="253"/>
      <c r="H322" s="253"/>
    </row>
    <row r="323" spans="1:8" ht="30" x14ac:dyDescent="0.2">
      <c r="A323" s="668" t="s">
        <v>83</v>
      </c>
      <c r="B323" s="668"/>
      <c r="C323" s="428"/>
      <c r="D323" s="379" t="str">
        <f>D306</f>
        <v>GS&gt;50</v>
      </c>
      <c r="E323" s="379" t="str">
        <f>E306</f>
        <v>Large User</v>
      </c>
      <c r="F323" s="379" t="str">
        <f>F306</f>
        <v>Street Lighting</v>
      </c>
      <c r="G323" s="75"/>
    </row>
    <row r="324" spans="1:8" ht="15" customHeight="1" x14ac:dyDescent="0.2">
      <c r="A324" s="630" t="s">
        <v>108</v>
      </c>
      <c r="B324" s="630"/>
      <c r="C324" s="630"/>
      <c r="D324" s="630"/>
      <c r="E324" s="630"/>
      <c r="F324" s="630"/>
      <c r="G324" s="253"/>
    </row>
    <row r="325" spans="1:8" ht="15" customHeight="1" x14ac:dyDescent="0.2">
      <c r="A325" s="628">
        <f t="shared" ref="A325:A337" si="88">A308</f>
        <v>2000</v>
      </c>
      <c r="B325" s="628"/>
      <c r="C325" s="93"/>
      <c r="D325" s="130">
        <f>'Rate Class Load Model'!B20</f>
        <v>2.0218305764707727E-3</v>
      </c>
      <c r="E325" s="130">
        <f>'Rate Class Load Model'!C20</f>
        <v>1.802784048742585E-3</v>
      </c>
      <c r="F325" s="130">
        <f>'Rate Class Load Model'!D20</f>
        <v>2.8607286997274959E-3</v>
      </c>
      <c r="G325" s="439"/>
    </row>
    <row r="326" spans="1:8" ht="15" customHeight="1" x14ac:dyDescent="0.2">
      <c r="A326" s="628">
        <f t="shared" si="88"/>
        <v>2001</v>
      </c>
      <c r="B326" s="628"/>
      <c r="C326" s="93"/>
      <c r="D326" s="130">
        <f>'Rate Class Load Model'!B21</f>
        <v>2.3763879809171797E-3</v>
      </c>
      <c r="E326" s="130">
        <f>'Rate Class Load Model'!C21</f>
        <v>1.8502086276321718E-3</v>
      </c>
      <c r="F326" s="130">
        <f>'Rate Class Load Model'!D21</f>
        <v>2.860835413226898E-3</v>
      </c>
      <c r="G326" s="439"/>
    </row>
    <row r="327" spans="1:8" ht="15" customHeight="1" x14ac:dyDescent="0.2">
      <c r="A327" s="628">
        <f t="shared" si="88"/>
        <v>2002</v>
      </c>
      <c r="B327" s="628"/>
      <c r="C327" s="93"/>
      <c r="D327" s="130">
        <f>'Rate Class Load Model'!B22</f>
        <v>2.604481765546653E-3</v>
      </c>
      <c r="E327" s="130">
        <f>'Rate Class Load Model'!C22</f>
        <v>1.8457549257012362E-3</v>
      </c>
      <c r="F327" s="130">
        <f>'Rate Class Load Model'!D22</f>
        <v>2.9622510962410919E-3</v>
      </c>
      <c r="G327" s="440"/>
    </row>
    <row r="328" spans="1:8" ht="15" customHeight="1" x14ac:dyDescent="0.2">
      <c r="A328" s="628">
        <f t="shared" si="88"/>
        <v>2003</v>
      </c>
      <c r="B328" s="628"/>
      <c r="C328" s="93"/>
      <c r="D328" s="130">
        <f>'Rate Class Load Model'!B23</f>
        <v>2.602020174764717E-3</v>
      </c>
      <c r="E328" s="130">
        <f>'Rate Class Load Model'!C23</f>
        <v>1.8756875968603262E-3</v>
      </c>
      <c r="F328" s="130">
        <f>'Rate Class Load Model'!D23</f>
        <v>2.7927548222688456E-3</v>
      </c>
      <c r="G328" s="440"/>
    </row>
    <row r="329" spans="1:8" ht="15" customHeight="1" x14ac:dyDescent="0.2">
      <c r="A329" s="628">
        <f t="shared" si="88"/>
        <v>2004</v>
      </c>
      <c r="B329" s="628"/>
      <c r="C329" s="415"/>
      <c r="D329" s="130">
        <f>'Rate Class Load Model'!B24</f>
        <v>2.5794653514986726E-3</v>
      </c>
      <c r="E329" s="130">
        <f>'Rate Class Load Model'!C24</f>
        <v>1.9614466876838326E-3</v>
      </c>
      <c r="F329" s="130">
        <f>'Rate Class Load Model'!D24</f>
        <v>2.7791385336494727E-3</v>
      </c>
      <c r="G329" s="440"/>
    </row>
    <row r="330" spans="1:8" ht="15" customHeight="1" x14ac:dyDescent="0.2">
      <c r="A330" s="628">
        <f t="shared" si="88"/>
        <v>2005</v>
      </c>
      <c r="B330" s="628"/>
      <c r="C330" s="415"/>
      <c r="D330" s="130">
        <f>'Rate Class Load Model'!B25</f>
        <v>2.5506085485221389E-3</v>
      </c>
      <c r="E330" s="130">
        <f>'Rate Class Load Model'!C25</f>
        <v>1.9208440302812735E-3</v>
      </c>
      <c r="F330" s="130">
        <f>'Rate Class Load Model'!D25</f>
        <v>2.7915185733875052E-3</v>
      </c>
      <c r="G330" s="440"/>
    </row>
    <row r="331" spans="1:8" ht="15" customHeight="1" x14ac:dyDescent="0.2">
      <c r="A331" s="628">
        <f t="shared" si="88"/>
        <v>2006</v>
      </c>
      <c r="B331" s="628"/>
      <c r="C331" s="415"/>
      <c r="D331" s="130">
        <f>'Rate Class Load Model'!B26</f>
        <v>2.6805055255852668E-3</v>
      </c>
      <c r="E331" s="130">
        <f>'Rate Class Load Model'!C26</f>
        <v>2.0983394610620725E-3</v>
      </c>
      <c r="F331" s="130">
        <f>'Rate Class Load Model'!D26</f>
        <v>2.7920198928474403E-3</v>
      </c>
      <c r="G331" s="440"/>
    </row>
    <row r="332" spans="1:8" ht="15" customHeight="1" x14ac:dyDescent="0.2">
      <c r="A332" s="628">
        <f t="shared" si="88"/>
        <v>2007</v>
      </c>
      <c r="B332" s="628"/>
      <c r="C332" s="415"/>
      <c r="D332" s="130">
        <f>'Rate Class Load Model'!B27</f>
        <v>2.6380840852090327E-3</v>
      </c>
      <c r="E332" s="130">
        <f>'Rate Class Load Model'!C27</f>
        <v>2.0958864250142551E-3</v>
      </c>
      <c r="F332" s="130">
        <f>'Rate Class Load Model'!D27</f>
        <v>2.7906588885197696E-3</v>
      </c>
      <c r="G332" s="440"/>
    </row>
    <row r="333" spans="1:8" ht="15" customHeight="1" x14ac:dyDescent="0.2">
      <c r="A333" s="628">
        <f t="shared" si="88"/>
        <v>2008</v>
      </c>
      <c r="B333" s="628"/>
      <c r="C333" s="415"/>
      <c r="D333" s="130">
        <f>'Rate Class Load Model'!B28</f>
        <v>2.657818063715971E-3</v>
      </c>
      <c r="E333" s="130">
        <f>'Rate Class Load Model'!C28</f>
        <v>2.2450469318205787E-3</v>
      </c>
      <c r="F333" s="130">
        <f>'Rate Class Load Model'!D28</f>
        <v>2.6161183628102924E-3</v>
      </c>
      <c r="G333" s="440"/>
    </row>
    <row r="334" spans="1:8" ht="15" customHeight="1" x14ac:dyDescent="0.2">
      <c r="A334" s="628">
        <f t="shared" si="88"/>
        <v>2009</v>
      </c>
      <c r="B334" s="628"/>
      <c r="C334" s="415"/>
      <c r="D334" s="130">
        <f>'Rate Class Load Model'!B29</f>
        <v>2.642274511612796E-3</v>
      </c>
      <c r="E334" s="130">
        <f>'Rate Class Load Model'!C29</f>
        <v>2.1461523606441978E-3</v>
      </c>
      <c r="F334" s="130">
        <f>'Rate Class Load Model'!D29</f>
        <v>2.7778555929640725E-3</v>
      </c>
      <c r="G334" s="440"/>
    </row>
    <row r="335" spans="1:8" ht="15" customHeight="1" x14ac:dyDescent="0.2">
      <c r="A335" s="628">
        <f t="shared" si="88"/>
        <v>2010</v>
      </c>
      <c r="B335" s="628"/>
      <c r="C335" s="415"/>
      <c r="D335" s="130">
        <f>'Rate Class Load Model'!B30</f>
        <v>2.5776612434298585E-3</v>
      </c>
      <c r="E335" s="130">
        <f>'Rate Class Load Model'!C30</f>
        <v>2.0535557089132192E-3</v>
      </c>
      <c r="F335" s="130">
        <f>'Rate Class Load Model'!D30</f>
        <v>2.7997924804664663E-3</v>
      </c>
      <c r="G335" s="440"/>
    </row>
    <row r="336" spans="1:8" ht="15" customHeight="1" x14ac:dyDescent="0.2">
      <c r="A336" s="628">
        <f t="shared" si="88"/>
        <v>2011</v>
      </c>
      <c r="B336" s="628"/>
      <c r="C336" s="415"/>
      <c r="D336" s="130">
        <f>'Rate Class Load Model'!B31</f>
        <v>2.576611271021607E-3</v>
      </c>
      <c r="E336" s="130">
        <f>'Rate Class Load Model'!C31</f>
        <v>1.8882530047298353E-3</v>
      </c>
      <c r="F336" s="130">
        <f>'Rate Class Load Model'!D31</f>
        <v>2.7906006475918867E-3</v>
      </c>
      <c r="G336" s="440"/>
    </row>
    <row r="337" spans="1:19" ht="15" customHeight="1" x14ac:dyDescent="0.2">
      <c r="A337" s="628">
        <f t="shared" si="88"/>
        <v>2012</v>
      </c>
      <c r="B337" s="628"/>
      <c r="C337" s="415"/>
      <c r="D337" s="130">
        <f>'Rate Class Load Model'!B32</f>
        <v>2.6186661485402361E-3</v>
      </c>
      <c r="E337" s="130">
        <f>'Rate Class Load Model'!C32</f>
        <v>1.9722772135614469E-3</v>
      </c>
      <c r="F337" s="130">
        <f>'Rate Class Load Model'!D32</f>
        <v>2.7741083968947596E-3</v>
      </c>
      <c r="G337" s="440"/>
    </row>
    <row r="338" spans="1:19" ht="15" customHeight="1" x14ac:dyDescent="0.2">
      <c r="A338" s="629" t="s">
        <v>198</v>
      </c>
      <c r="B338" s="629"/>
      <c r="C338" s="414"/>
      <c r="D338" s="131">
        <f>AVERAGE(D325:D337)</f>
        <v>2.5481857882180691E-3</v>
      </c>
      <c r="E338" s="131">
        <f>AVERAGE(E325:E337)</f>
        <v>1.9812490017420792E-3</v>
      </c>
      <c r="F338" s="131">
        <f>AVERAGE(F325:F337)</f>
        <v>2.7991062615843076E-3</v>
      </c>
      <c r="G338" s="441"/>
    </row>
    <row r="339" spans="1:19" x14ac:dyDescent="0.2">
      <c r="K339" s="159"/>
      <c r="L339" s="159"/>
      <c r="M339" s="159"/>
      <c r="N339" s="159"/>
      <c r="O339" s="159"/>
    </row>
    <row r="340" spans="1:19" ht="15" x14ac:dyDescent="0.2">
      <c r="A340" s="629" t="s">
        <v>226</v>
      </c>
      <c r="B340" s="629"/>
      <c r="C340" s="629"/>
      <c r="D340" s="629"/>
      <c r="E340" s="629"/>
      <c r="F340" s="629"/>
      <c r="G340" s="629"/>
      <c r="H340" s="121"/>
      <c r="I340" s="121"/>
    </row>
    <row r="341" spans="1:19" ht="30" x14ac:dyDescent="0.2">
      <c r="A341" s="668" t="s">
        <v>83</v>
      </c>
      <c r="B341" s="668"/>
      <c r="C341" s="428"/>
      <c r="D341" s="379" t="str">
        <f t="shared" ref="D341:E341" si="89">D306</f>
        <v>GS&gt;50</v>
      </c>
      <c r="E341" s="379" t="str">
        <f t="shared" si="89"/>
        <v>Large User</v>
      </c>
      <c r="F341" s="379" t="str">
        <f>F306</f>
        <v>Street Lighting</v>
      </c>
      <c r="G341" s="379" t="str">
        <f>G306</f>
        <v>Total</v>
      </c>
      <c r="H341" s="75"/>
      <c r="I341" s="75"/>
    </row>
    <row r="342" spans="1:19" ht="15" x14ac:dyDescent="0.2">
      <c r="A342" s="634" t="s">
        <v>109</v>
      </c>
      <c r="B342" s="635"/>
      <c r="C342" s="635"/>
      <c r="D342" s="635"/>
      <c r="E342" s="635"/>
      <c r="F342" s="635"/>
      <c r="G342" s="636"/>
      <c r="H342" s="121"/>
      <c r="I342" s="121"/>
    </row>
    <row r="343" spans="1:19" x14ac:dyDescent="0.2">
      <c r="A343" s="431" t="s">
        <v>164</v>
      </c>
      <c r="B343" s="431"/>
      <c r="C343" s="431"/>
      <c r="D343" s="460">
        <f>+'Rate Class Load Model'!B16</f>
        <v>2179952.4585973085</v>
      </c>
      <c r="E343" s="460">
        <f>+'Rate Class Load Model'!C16</f>
        <v>130795.77587097054</v>
      </c>
      <c r="F343" s="460">
        <f>+'Rate Class Load Model'!D16</f>
        <v>44502.095867100063</v>
      </c>
      <c r="G343" s="460">
        <f>SUM(D343:F343)</f>
        <v>2355250.3303353791</v>
      </c>
      <c r="H343" s="442"/>
      <c r="I343" s="442"/>
      <c r="J343" s="99"/>
      <c r="K343" s="99"/>
      <c r="M343" s="99"/>
      <c r="N343" s="99"/>
      <c r="O343" s="99"/>
      <c r="P343" s="99"/>
      <c r="Q343" s="99"/>
      <c r="R343" s="99"/>
      <c r="S343" s="99"/>
    </row>
    <row r="344" spans="1:19" x14ac:dyDescent="0.2">
      <c r="A344" s="431" t="s">
        <v>165</v>
      </c>
      <c r="B344" s="431"/>
      <c r="C344" s="431"/>
      <c r="D344" s="460">
        <f>+'Rate Class Load Model'!B17</f>
        <v>2183247.9865150913</v>
      </c>
      <c r="E344" s="460">
        <f>+'Rate Class Load Model'!C17</f>
        <v>63001.717773348704</v>
      </c>
      <c r="F344" s="460">
        <f>+'Rate Class Load Model'!D17</f>
        <v>45145.286564759699</v>
      </c>
      <c r="G344" s="460">
        <f>SUM(D344:F344)</f>
        <v>2291394.9908531997</v>
      </c>
      <c r="H344" s="442"/>
      <c r="I344" s="442"/>
      <c r="J344" s="99"/>
      <c r="K344" s="99"/>
      <c r="M344" s="99"/>
      <c r="N344" s="99"/>
      <c r="O344" s="99"/>
      <c r="P344" s="99"/>
      <c r="Q344" s="99"/>
      <c r="R344" s="99"/>
      <c r="S344" s="99"/>
    </row>
    <row r="345" spans="1:19" ht="15" x14ac:dyDescent="0.2">
      <c r="A345" s="74"/>
      <c r="B345" s="132"/>
      <c r="C345" s="132"/>
      <c r="D345" s="133"/>
      <c r="E345" s="133"/>
      <c r="F345" s="133"/>
      <c r="G345" s="133"/>
    </row>
    <row r="346" spans="1:19" ht="15" x14ac:dyDescent="0.2">
      <c r="A346" s="629" t="s">
        <v>227</v>
      </c>
      <c r="B346" s="629"/>
      <c r="C346" s="629"/>
      <c r="D346" s="629"/>
      <c r="E346" s="629"/>
      <c r="F346" s="629"/>
      <c r="G346" s="629"/>
      <c r="H346" s="629"/>
      <c r="I346" s="629"/>
      <c r="J346" s="74"/>
    </row>
    <row r="347" spans="1:19" ht="60" x14ac:dyDescent="0.2">
      <c r="A347" s="668"/>
      <c r="B347" s="668"/>
      <c r="C347" s="428"/>
      <c r="D347" s="429" t="s">
        <v>159</v>
      </c>
      <c r="E347" s="429" t="s">
        <v>166</v>
      </c>
      <c r="F347" s="429" t="s">
        <v>110</v>
      </c>
      <c r="G347" s="429" t="s">
        <v>167</v>
      </c>
      <c r="H347" s="430" t="s">
        <v>168</v>
      </c>
      <c r="I347" s="430" t="s">
        <v>169</v>
      </c>
    </row>
    <row r="348" spans="1:19" x14ac:dyDescent="0.2">
      <c r="A348" s="673"/>
      <c r="B348" s="673"/>
      <c r="C348" s="95"/>
      <c r="D348" s="98"/>
      <c r="E348" s="98"/>
      <c r="F348" s="98"/>
      <c r="G348" s="98"/>
      <c r="H348" s="98"/>
      <c r="I348" s="94"/>
      <c r="J348" s="119"/>
    </row>
    <row r="349" spans="1:19" ht="15" x14ac:dyDescent="0.2">
      <c r="A349" s="629" t="s">
        <v>111</v>
      </c>
      <c r="B349" s="629"/>
      <c r="C349" s="629"/>
      <c r="D349" s="629"/>
      <c r="E349" s="629"/>
      <c r="F349" s="629"/>
      <c r="G349" s="629"/>
      <c r="H349" s="629"/>
      <c r="I349" s="629"/>
      <c r="J349" s="74"/>
    </row>
    <row r="350" spans="1:19" x14ac:dyDescent="0.2">
      <c r="A350" s="95" t="s">
        <v>38</v>
      </c>
      <c r="B350" s="95"/>
      <c r="C350" s="95"/>
      <c r="D350" s="98"/>
      <c r="E350" s="98">
        <f>Summary!L4</f>
        <v>1892633519.4493544</v>
      </c>
      <c r="F350" s="98">
        <f>Summary!M4</f>
        <v>1895197232.5334651</v>
      </c>
      <c r="G350" s="98">
        <f>Summary!N4</f>
        <v>1885738118.3156619</v>
      </c>
      <c r="H350" s="98"/>
      <c r="I350" s="94"/>
      <c r="J350" s="134"/>
    </row>
    <row r="351" spans="1:19" x14ac:dyDescent="0.2">
      <c r="A351" s="95" t="s">
        <v>39</v>
      </c>
      <c r="B351" s="95"/>
      <c r="C351" s="95"/>
      <c r="D351" s="98"/>
      <c r="E351" s="98">
        <f>Summary!L5</f>
        <v>1889691855.1705751</v>
      </c>
      <c r="F351" s="98">
        <f>Summary!M5</f>
        <v>1882841042.2231548</v>
      </c>
      <c r="G351" s="98">
        <f>Summary!N5</f>
        <v>1867918901.7622917</v>
      </c>
      <c r="H351" s="98">
        <f>Summary!O5</f>
        <v>1899410964.9256573</v>
      </c>
      <c r="I351" s="98">
        <f>Summary!P5</f>
        <v>1871814743.2166193</v>
      </c>
      <c r="J351" s="134"/>
    </row>
    <row r="352" spans="1:19" ht="15" x14ac:dyDescent="0.2">
      <c r="A352" s="135" t="s">
        <v>112</v>
      </c>
      <c r="B352" s="135"/>
      <c r="C352" s="101"/>
      <c r="D352" s="136"/>
      <c r="E352" s="137">
        <f>E351/E350-1</f>
        <v>-1.5542704113341577E-3</v>
      </c>
      <c r="F352" s="137">
        <f>F351/F350-1</f>
        <v>-6.5197384727039287E-3</v>
      </c>
      <c r="G352" s="137">
        <f>G351/G350-1</f>
        <v>-9.4494651088065096E-3</v>
      </c>
      <c r="H352" s="94"/>
      <c r="I352" s="94"/>
      <c r="J352" s="119"/>
    </row>
    <row r="353" spans="1:11" ht="12.75" customHeight="1" x14ac:dyDescent="0.2">
      <c r="A353" s="673"/>
      <c r="B353" s="673"/>
      <c r="C353" s="95"/>
      <c r="D353" s="111"/>
      <c r="E353" s="137"/>
      <c r="F353" s="100"/>
      <c r="G353" s="100"/>
      <c r="H353" s="100"/>
      <c r="I353" s="94"/>
      <c r="J353" s="119"/>
    </row>
    <row r="354" spans="1:11" ht="15" x14ac:dyDescent="0.2">
      <c r="A354" s="629" t="s">
        <v>113</v>
      </c>
      <c r="B354" s="629"/>
      <c r="C354" s="629"/>
      <c r="D354" s="629"/>
      <c r="E354" s="629"/>
      <c r="F354" s="629"/>
      <c r="G354" s="629"/>
      <c r="H354" s="629"/>
      <c r="I354" s="629"/>
      <c r="J354" s="74"/>
    </row>
    <row r="355" spans="1:11" x14ac:dyDescent="0.2">
      <c r="A355" s="138" t="s">
        <v>114</v>
      </c>
      <c r="B355" s="95"/>
      <c r="C355" s="95"/>
      <c r="D355" s="98"/>
      <c r="E355" s="98"/>
      <c r="F355" s="139"/>
      <c r="G355" s="139"/>
      <c r="H355" s="139"/>
      <c r="I355" s="94"/>
      <c r="J355" s="119"/>
    </row>
    <row r="356" spans="1:11" x14ac:dyDescent="0.2">
      <c r="A356" s="95" t="s">
        <v>25</v>
      </c>
      <c r="B356" s="95"/>
      <c r="C356" s="95"/>
      <c r="D356" s="98">
        <f>D48</f>
        <v>78139</v>
      </c>
      <c r="E356" s="98">
        <f>Summary!L12</f>
        <v>77505.916666666672</v>
      </c>
      <c r="F356" s="98">
        <f>Summary!M12</f>
        <v>78761</v>
      </c>
      <c r="G356" s="98">
        <f>Summary!N12</f>
        <v>79997</v>
      </c>
      <c r="H356" s="98">
        <f>Summary!O12</f>
        <v>81276.952000000005</v>
      </c>
      <c r="I356" s="98">
        <f>Summary!P12</f>
        <v>82577.383232000007</v>
      </c>
      <c r="J356" s="134"/>
      <c r="K356" s="72">
        <f>H356*12</f>
        <v>975323.42400000012</v>
      </c>
    </row>
    <row r="357" spans="1:11" x14ac:dyDescent="0.2">
      <c r="A357" s="655" t="s">
        <v>26</v>
      </c>
      <c r="B357" s="655"/>
      <c r="C357" s="95"/>
      <c r="D357" s="98">
        <f>D28*1000000</f>
        <v>650038341</v>
      </c>
      <c r="E357" s="98">
        <f>Summary!L13</f>
        <v>650651967</v>
      </c>
      <c r="F357" s="98">
        <f>Summary!M13</f>
        <v>647280211</v>
      </c>
      <c r="G357" s="98">
        <f>Summary!N13</f>
        <v>644467300</v>
      </c>
      <c r="H357" s="98">
        <f>Summary!O13</f>
        <v>649842566.90578818</v>
      </c>
      <c r="I357" s="98">
        <f>Summary!P13</f>
        <v>651926619.65833819</v>
      </c>
      <c r="J357" s="134"/>
    </row>
    <row r="358" spans="1:11" x14ac:dyDescent="0.2">
      <c r="A358" s="673"/>
      <c r="B358" s="673"/>
      <c r="C358" s="95"/>
      <c r="D358" s="98"/>
      <c r="E358" s="98"/>
      <c r="F358" s="139"/>
      <c r="G358" s="139"/>
      <c r="H358" s="139"/>
      <c r="I358" s="94"/>
      <c r="J358" s="119"/>
    </row>
    <row r="359" spans="1:11" x14ac:dyDescent="0.2">
      <c r="A359" s="674" t="str">
        <f>E291</f>
        <v>GS&lt;50</v>
      </c>
      <c r="B359" s="674"/>
      <c r="C359" s="95"/>
      <c r="D359" s="98"/>
      <c r="E359" s="98"/>
      <c r="F359" s="139"/>
      <c r="G359" s="139"/>
      <c r="H359" s="139"/>
      <c r="I359" s="94"/>
      <c r="J359" s="119"/>
    </row>
    <row r="360" spans="1:11" x14ac:dyDescent="0.2">
      <c r="A360" s="95" t="s">
        <v>25</v>
      </c>
      <c r="B360" s="95"/>
      <c r="C360" s="95"/>
      <c r="D360" s="98">
        <f>E48</f>
        <v>7484</v>
      </c>
      <c r="E360" s="98">
        <f>Summary!L16</f>
        <v>7447.583333333333</v>
      </c>
      <c r="F360" s="98">
        <f>Summary!M16</f>
        <v>7538</v>
      </c>
      <c r="G360" s="98">
        <f>Summary!N16</f>
        <v>7645.333333333333</v>
      </c>
      <c r="H360" s="98">
        <f>Summary!O16</f>
        <v>7736.9966057773026</v>
      </c>
      <c r="I360" s="98">
        <f>Summary!P16</f>
        <v>7829.7588696123348</v>
      </c>
      <c r="J360" s="134"/>
      <c r="K360" s="72">
        <f>H360*12</f>
        <v>92843.959269327635</v>
      </c>
    </row>
    <row r="361" spans="1:11" x14ac:dyDescent="0.2">
      <c r="A361" s="655" t="s">
        <v>26</v>
      </c>
      <c r="B361" s="655"/>
      <c r="C361" s="95"/>
      <c r="D361" s="98">
        <f>E28*1000000</f>
        <v>235461608</v>
      </c>
      <c r="E361" s="98">
        <f>Summary!L17</f>
        <v>236095929</v>
      </c>
      <c r="F361" s="98">
        <f>Summary!M17</f>
        <v>240155523</v>
      </c>
      <c r="G361" s="98">
        <f>Summary!N17</f>
        <v>240981970</v>
      </c>
      <c r="H361" s="98">
        <f>Summary!O17</f>
        <v>241914173.25771466</v>
      </c>
      <c r="I361" s="98">
        <f>Summary!P17</f>
        <v>241614911.5490337</v>
      </c>
      <c r="J361" s="134"/>
    </row>
    <row r="362" spans="1:11" x14ac:dyDescent="0.2">
      <c r="A362" s="673"/>
      <c r="B362" s="673"/>
      <c r="C362" s="95"/>
      <c r="D362" s="98"/>
      <c r="E362" s="98"/>
      <c r="F362" s="139"/>
      <c r="G362" s="139"/>
      <c r="H362" s="139"/>
      <c r="I362" s="94"/>
      <c r="J362" s="119"/>
    </row>
    <row r="363" spans="1:11" x14ac:dyDescent="0.2">
      <c r="A363" s="674" t="s">
        <v>116</v>
      </c>
      <c r="B363" s="674"/>
      <c r="C363" s="95"/>
      <c r="D363" s="98"/>
      <c r="E363" s="98"/>
      <c r="F363" s="139"/>
      <c r="G363" s="139"/>
      <c r="H363" s="139"/>
      <c r="I363" s="94"/>
      <c r="J363" s="119"/>
    </row>
    <row r="364" spans="1:11" x14ac:dyDescent="0.2">
      <c r="A364" s="95" t="s">
        <v>25</v>
      </c>
      <c r="B364" s="95"/>
      <c r="C364" s="95"/>
      <c r="D364" s="98">
        <f>F48</f>
        <v>1003</v>
      </c>
      <c r="E364" s="98">
        <f>Summary!L20</f>
        <v>988.91666666666663</v>
      </c>
      <c r="F364" s="98">
        <f>Summary!M20</f>
        <v>975</v>
      </c>
      <c r="G364" s="98">
        <f>Summary!N20</f>
        <v>952.33333333333337</v>
      </c>
      <c r="H364" s="98">
        <f>Summary!O20</f>
        <v>948.47089081750107</v>
      </c>
      <c r="I364" s="98">
        <f>Summary!P20</f>
        <v>944.62411347022476</v>
      </c>
      <c r="J364" s="134"/>
      <c r="K364" s="72">
        <f>H364*12</f>
        <v>11381.650689810012</v>
      </c>
    </row>
    <row r="365" spans="1:11" x14ac:dyDescent="0.2">
      <c r="A365" s="655" t="s">
        <v>26</v>
      </c>
      <c r="B365" s="655"/>
      <c r="C365" s="95"/>
      <c r="D365" s="98">
        <f>F28*1000000</f>
        <v>884051506</v>
      </c>
      <c r="E365" s="98">
        <f>Summary!L21</f>
        <v>876884814</v>
      </c>
      <c r="F365" s="98">
        <f>Summary!M21</f>
        <v>871254048</v>
      </c>
      <c r="G365" s="98">
        <f>Summary!N21</f>
        <v>850788483</v>
      </c>
      <c r="H365" s="98">
        <f>Summary!O21</f>
        <v>849542539.05960453</v>
      </c>
      <c r="I365" s="98">
        <f>Summary!P21</f>
        <v>844886400.47818482</v>
      </c>
      <c r="J365" s="134"/>
    </row>
    <row r="366" spans="1:11" x14ac:dyDescent="0.2">
      <c r="A366" s="655" t="s">
        <v>27</v>
      </c>
      <c r="B366" s="655"/>
      <c r="C366" s="95"/>
      <c r="D366" s="98">
        <v>2231346</v>
      </c>
      <c r="E366" s="98">
        <f>Summary!L22</f>
        <v>2260312</v>
      </c>
      <c r="F366" s="98">
        <f>Summary!M22</f>
        <v>2244883</v>
      </c>
      <c r="G366" s="98">
        <f>Summary!N22</f>
        <v>2227931</v>
      </c>
      <c r="H366" s="98">
        <f>Summary!O22</f>
        <v>2179952.4585973085</v>
      </c>
      <c r="I366" s="98">
        <f>Summary!P22</f>
        <v>2183247.9865150913</v>
      </c>
      <c r="J366" s="134"/>
    </row>
    <row r="367" spans="1:11" x14ac:dyDescent="0.2">
      <c r="A367" s="673"/>
      <c r="B367" s="673"/>
      <c r="C367" s="95"/>
      <c r="D367" s="98"/>
      <c r="E367" s="98"/>
      <c r="F367" s="98"/>
      <c r="G367" s="98"/>
      <c r="H367" s="98"/>
      <c r="I367" s="94"/>
      <c r="J367" s="119"/>
    </row>
    <row r="368" spans="1:11" x14ac:dyDescent="0.2">
      <c r="A368" s="674" t="str">
        <f>Summary!A24</f>
        <v>Large User</v>
      </c>
      <c r="B368" s="674"/>
      <c r="C368" s="95"/>
      <c r="D368" s="98"/>
      <c r="E368" s="98"/>
      <c r="F368" s="98"/>
      <c r="G368" s="98"/>
      <c r="H368" s="98"/>
      <c r="I368" s="94"/>
      <c r="J368" s="119"/>
    </row>
    <row r="369" spans="1:11" x14ac:dyDescent="0.2">
      <c r="A369" s="95" t="str">
        <f>Summary!A25</f>
        <v xml:space="preserve">  Customers</v>
      </c>
      <c r="B369" s="95"/>
      <c r="C369" s="95"/>
      <c r="D369" s="98">
        <f>G48</f>
        <v>2</v>
      </c>
      <c r="E369" s="98">
        <f>Summary!L25</f>
        <v>1.3333333333333333</v>
      </c>
      <c r="F369" s="98">
        <f>Summary!M25</f>
        <v>2</v>
      </c>
      <c r="G369" s="98">
        <f>Summary!N25</f>
        <v>2</v>
      </c>
      <c r="H369" s="98">
        <f>Summary!O25</f>
        <v>2</v>
      </c>
      <c r="I369" s="98">
        <f>Summary!P25</f>
        <v>1</v>
      </c>
      <c r="J369" s="119"/>
      <c r="K369" s="72">
        <f>H369*12</f>
        <v>24</v>
      </c>
    </row>
    <row r="370" spans="1:11" x14ac:dyDescent="0.2">
      <c r="A370" s="655" t="s">
        <v>26</v>
      </c>
      <c r="B370" s="655"/>
      <c r="C370" s="95"/>
      <c r="D370" s="98">
        <f>G28*1000000</f>
        <v>71682604</v>
      </c>
      <c r="E370" s="98">
        <f>Summary!L26</f>
        <v>46563626</v>
      </c>
      <c r="F370" s="98">
        <f>Summary!M26</f>
        <v>56015269</v>
      </c>
      <c r="G370" s="98">
        <f>Summary!N26</f>
        <v>69356376</v>
      </c>
      <c r="H370" s="98">
        <f>Summary!O26</f>
        <v>66016828.655037299</v>
      </c>
      <c r="I370" s="98">
        <f>Summary!P26</f>
        <v>31798990.292463161</v>
      </c>
      <c r="J370" s="119"/>
    </row>
    <row r="371" spans="1:11" x14ac:dyDescent="0.2">
      <c r="A371" s="655" t="s">
        <v>27</v>
      </c>
      <c r="B371" s="655"/>
      <c r="C371" s="95"/>
      <c r="D371" s="98">
        <v>140928</v>
      </c>
      <c r="E371" s="98">
        <f>Summary!L27</f>
        <v>95621</v>
      </c>
      <c r="F371" s="98">
        <f>Summary!M27</f>
        <v>105771</v>
      </c>
      <c r="G371" s="98">
        <f>Summary!N27</f>
        <v>136790</v>
      </c>
      <c r="H371" s="98">
        <f>Summary!O27</f>
        <v>130795.77587097054</v>
      </c>
      <c r="I371" s="98">
        <f>Summary!P27</f>
        <v>63001.717773348704</v>
      </c>
      <c r="J371" s="119"/>
    </row>
    <row r="372" spans="1:11" x14ac:dyDescent="0.2">
      <c r="A372" s="676"/>
      <c r="B372" s="677"/>
      <c r="C372" s="95"/>
      <c r="D372" s="98"/>
      <c r="E372" s="98"/>
      <c r="F372" s="98"/>
      <c r="G372" s="98"/>
      <c r="H372" s="98"/>
      <c r="I372" s="94"/>
      <c r="J372" s="119"/>
    </row>
    <row r="373" spans="1:11" x14ac:dyDescent="0.2">
      <c r="A373" s="138" t="s">
        <v>90</v>
      </c>
      <c r="B373" s="95"/>
      <c r="C373" s="95"/>
      <c r="D373" s="98"/>
      <c r="E373" s="98"/>
      <c r="F373" s="139"/>
      <c r="G373" s="139"/>
      <c r="H373" s="139"/>
      <c r="I373" s="94"/>
      <c r="J373" s="119"/>
    </row>
    <row r="374" spans="1:11" x14ac:dyDescent="0.2">
      <c r="A374" s="639" t="s">
        <v>170</v>
      </c>
      <c r="B374" s="672"/>
      <c r="C374" s="95"/>
      <c r="D374" s="98">
        <f>H48</f>
        <v>1585</v>
      </c>
      <c r="E374" s="98">
        <f>Summary!L30</f>
        <v>1574.2465237166991</v>
      </c>
      <c r="F374" s="98">
        <f>Summary!M30</f>
        <v>1567.6666666666667</v>
      </c>
      <c r="G374" s="98">
        <f>Summary!N30</f>
        <v>1573.4242424242425</v>
      </c>
      <c r="H374" s="98">
        <f>Summary!O30</f>
        <v>1569</v>
      </c>
      <c r="I374" s="98">
        <f>Summary!P30</f>
        <v>1591.6757998109217</v>
      </c>
      <c r="J374" s="119"/>
      <c r="K374" s="72">
        <f>H374*12</f>
        <v>18828</v>
      </c>
    </row>
    <row r="375" spans="1:11" x14ac:dyDescent="0.2">
      <c r="A375" s="671" t="s">
        <v>106</v>
      </c>
      <c r="B375" s="672"/>
      <c r="C375" s="95"/>
      <c r="D375" s="98">
        <f>H28*1000000</f>
        <v>16689726</v>
      </c>
      <c r="E375" s="98">
        <f>Summary!L31</f>
        <v>16035117</v>
      </c>
      <c r="F375" s="98">
        <f>Summary!M31</f>
        <v>15857518</v>
      </c>
      <c r="G375" s="98">
        <f>Summary!N31</f>
        <v>15943501</v>
      </c>
      <c r="H375" s="98">
        <f>Summary!O31</f>
        <v>15898680.403048243</v>
      </c>
      <c r="I375" s="98">
        <f>Summary!P31</f>
        <v>16128464.711878158</v>
      </c>
      <c r="J375" s="119"/>
    </row>
    <row r="376" spans="1:11" x14ac:dyDescent="0.2">
      <c r="A376" s="671" t="s">
        <v>135</v>
      </c>
      <c r="B376" s="672"/>
      <c r="C376" s="95"/>
      <c r="D376" s="98">
        <v>46815</v>
      </c>
      <c r="E376" s="98">
        <f>Summary!L32</f>
        <v>44895</v>
      </c>
      <c r="F376" s="98">
        <f>Summary!M32</f>
        <v>44252</v>
      </c>
      <c r="G376" s="98">
        <f>Summary!N32</f>
        <v>44229</v>
      </c>
      <c r="H376" s="98">
        <f>Summary!O32</f>
        <v>44502.095867100063</v>
      </c>
      <c r="I376" s="98">
        <f>Summary!P32</f>
        <v>45145.286564759699</v>
      </c>
      <c r="J376" s="119"/>
    </row>
    <row r="377" spans="1:11" x14ac:dyDescent="0.2">
      <c r="A377" s="676"/>
      <c r="B377" s="677"/>
      <c r="C377" s="95"/>
      <c r="D377" s="98"/>
      <c r="E377" s="98"/>
      <c r="F377" s="98"/>
      <c r="G377" s="98"/>
      <c r="H377" s="98"/>
      <c r="I377" s="98"/>
      <c r="J377" s="119"/>
    </row>
    <row r="378" spans="1:11" x14ac:dyDescent="0.2">
      <c r="A378" s="674" t="s">
        <v>117</v>
      </c>
      <c r="B378" s="674"/>
      <c r="C378" s="95"/>
      <c r="D378" s="98"/>
      <c r="E378" s="98"/>
      <c r="F378" s="98"/>
      <c r="G378" s="98"/>
      <c r="H378" s="98"/>
      <c r="I378" s="94"/>
      <c r="J378" s="119"/>
    </row>
    <row r="379" spans="1:11" x14ac:dyDescent="0.2">
      <c r="A379" s="639" t="s">
        <v>170</v>
      </c>
      <c r="B379" s="672"/>
      <c r="C379" s="95"/>
      <c r="D379" s="98">
        <f>I48</f>
        <v>820</v>
      </c>
      <c r="E379" s="98">
        <f>Summary!L35</f>
        <v>811</v>
      </c>
      <c r="F379" s="98">
        <f>Summary!M35</f>
        <v>841</v>
      </c>
      <c r="G379" s="98">
        <f>Summary!N35</f>
        <v>868.75</v>
      </c>
      <c r="H379" s="98">
        <f>Summary!O35</f>
        <v>879.45633264592357</v>
      </c>
      <c r="I379" s="98">
        <f>Summary!P35</f>
        <v>890.29460838102727</v>
      </c>
      <c r="J379" s="134"/>
      <c r="K379" s="72">
        <f>H379*12</f>
        <v>10553.475991751082</v>
      </c>
    </row>
    <row r="380" spans="1:11" x14ac:dyDescent="0.2">
      <c r="A380" s="671" t="s">
        <v>106</v>
      </c>
      <c r="B380" s="672"/>
      <c r="C380" s="95"/>
      <c r="D380" s="98">
        <f>I28*1000000</f>
        <v>3287380</v>
      </c>
      <c r="E380" s="98">
        <f>Summary!L36</f>
        <v>3269039</v>
      </c>
      <c r="F380" s="98">
        <f>Summary!M36</f>
        <v>3318783</v>
      </c>
      <c r="G380" s="98">
        <f>Summary!N36</f>
        <v>3696460</v>
      </c>
      <c r="H380" s="98">
        <f>Summary!O36</f>
        <v>3612242.357049867</v>
      </c>
      <c r="I380" s="98">
        <f>Summary!P36</f>
        <v>3417188.4429939534</v>
      </c>
      <c r="J380" s="134"/>
    </row>
    <row r="381" spans="1:11" x14ac:dyDescent="0.2">
      <c r="A381" s="673"/>
      <c r="B381" s="673"/>
      <c r="C381" s="95"/>
      <c r="D381" s="98"/>
      <c r="E381" s="98"/>
      <c r="F381" s="98"/>
      <c r="G381" s="98"/>
      <c r="H381" s="98"/>
      <c r="I381" s="98"/>
      <c r="J381" s="134"/>
    </row>
    <row r="382" spans="1:11" x14ac:dyDescent="0.2">
      <c r="A382" s="674" t="s">
        <v>47</v>
      </c>
      <c r="B382" s="674"/>
      <c r="C382" s="95"/>
      <c r="D382" s="98"/>
      <c r="E382" s="98"/>
      <c r="F382" s="98"/>
      <c r="G382" s="98"/>
      <c r="H382" s="98"/>
      <c r="I382" s="98"/>
      <c r="J382" s="134"/>
    </row>
    <row r="383" spans="1:11" x14ac:dyDescent="0.2">
      <c r="A383" s="135" t="s">
        <v>37</v>
      </c>
      <c r="B383" s="95"/>
      <c r="C383" s="95"/>
      <c r="D383" s="140">
        <f>D356+D360+D364+D374+D379+D369</f>
        <v>89033</v>
      </c>
      <c r="E383" s="140">
        <f t="shared" ref="E383:I383" si="90">E356+E360+E364+E374+E379+E369</f>
        <v>88328.996523716705</v>
      </c>
      <c r="F383" s="140">
        <f t="shared" si="90"/>
        <v>89684.666666666672</v>
      </c>
      <c r="G383" s="140">
        <f t="shared" si="90"/>
        <v>91038.840909090897</v>
      </c>
      <c r="H383" s="140">
        <f t="shared" si="90"/>
        <v>92412.875829240715</v>
      </c>
      <c r="I383" s="140">
        <f t="shared" si="90"/>
        <v>93834.736623274526</v>
      </c>
      <c r="J383" s="141"/>
    </row>
    <row r="384" spans="1:11" x14ac:dyDescent="0.2">
      <c r="A384" s="675" t="s">
        <v>26</v>
      </c>
      <c r="B384" s="675"/>
      <c r="C384" s="95"/>
      <c r="D384" s="140">
        <f>D357+D361+D365+D375+D380+D370</f>
        <v>1861211165</v>
      </c>
      <c r="E384" s="140">
        <f t="shared" ref="E384:I384" si="91">E357+E361+E365+E375+E380+E370</f>
        <v>1829500492</v>
      </c>
      <c r="F384" s="140">
        <f t="shared" si="91"/>
        <v>1833881352</v>
      </c>
      <c r="G384" s="140">
        <f t="shared" si="91"/>
        <v>1825234090</v>
      </c>
      <c r="H384" s="140">
        <f>H357+H361+H365+H375+H380+H370</f>
        <v>1826827030.638243</v>
      </c>
      <c r="I384" s="140">
        <f t="shared" si="91"/>
        <v>1789772575.1328919</v>
      </c>
      <c r="J384" s="141"/>
    </row>
    <row r="385" spans="1:10" x14ac:dyDescent="0.2">
      <c r="A385" s="675" t="s">
        <v>36</v>
      </c>
      <c r="B385" s="675"/>
      <c r="C385" s="95"/>
      <c r="D385" s="140">
        <f>D358+D362+D366+D376+D381+D371</f>
        <v>2419089</v>
      </c>
      <c r="E385" s="140">
        <f t="shared" ref="E385:I385" si="92">E358+E362+E366+E376+E381+E371</f>
        <v>2400828</v>
      </c>
      <c r="F385" s="140">
        <f t="shared" si="92"/>
        <v>2394906</v>
      </c>
      <c r="G385" s="140">
        <f t="shared" si="92"/>
        <v>2408950</v>
      </c>
      <c r="H385" s="140">
        <f t="shared" si="92"/>
        <v>2355250.3303353791</v>
      </c>
      <c r="I385" s="140">
        <f t="shared" si="92"/>
        <v>2291394.9908531997</v>
      </c>
      <c r="J385" s="141"/>
    </row>
    <row r="386" spans="1:10" x14ac:dyDescent="0.2">
      <c r="A386" s="626"/>
      <c r="B386" s="627"/>
      <c r="C386" s="77"/>
      <c r="D386" s="98"/>
      <c r="E386" s="98"/>
      <c r="F386" s="98"/>
      <c r="G386" s="98"/>
      <c r="H386" s="98"/>
      <c r="I386" s="94"/>
      <c r="J386" s="119"/>
    </row>
    <row r="387" spans="1:10" customFormat="1" ht="12.75" x14ac:dyDescent="0.2">
      <c r="E387" s="64"/>
      <c r="F387" s="64"/>
      <c r="G387" s="64"/>
      <c r="H387" s="64"/>
      <c r="I387" s="64"/>
      <c r="J387" s="64"/>
    </row>
    <row r="388" spans="1:10" customFormat="1" ht="12.75" x14ac:dyDescent="0.2">
      <c r="D388" s="154"/>
      <c r="E388" s="64">
        <f>+Summary!L59-Summary!L39</f>
        <v>88328.996523716705</v>
      </c>
      <c r="F388" s="64">
        <f>Summary!M49-Summary!M39</f>
        <v>89684.666666666672</v>
      </c>
      <c r="G388" s="64">
        <f>Summary!N49-Summary!N39</f>
        <v>91038.840909090897</v>
      </c>
      <c r="H388" s="64">
        <f>Summary!O49-Summary!O39</f>
        <v>92412.875829240715</v>
      </c>
      <c r="I388" s="64">
        <f>Summary!P49-Summary!P39</f>
        <v>93834.736623274526</v>
      </c>
      <c r="J388" s="64"/>
    </row>
    <row r="389" spans="1:10" customFormat="1" ht="12.75" x14ac:dyDescent="0.2">
      <c r="D389" s="64"/>
      <c r="E389" s="64">
        <f>Summary!L50-ED!C14</f>
        <v>1829500492</v>
      </c>
      <c r="F389" s="64">
        <f>Summary!M50-Summary!M40</f>
        <v>1833881352</v>
      </c>
      <c r="G389" s="64">
        <f>Summary!N50-Summary!N40</f>
        <v>1825234090</v>
      </c>
      <c r="H389" s="64">
        <f>Summary!O50-Summary!O40</f>
        <v>1826827030.638243</v>
      </c>
      <c r="I389" s="64">
        <f>Summary!P50-Summary!P40</f>
        <v>1789772575.1328919</v>
      </c>
      <c r="J389" s="64"/>
    </row>
    <row r="390" spans="1:10" customFormat="1" ht="12.75" x14ac:dyDescent="0.2">
      <c r="D390" s="64"/>
      <c r="E390" s="64">
        <f>Summary!L51-ED!B14</f>
        <v>2400828</v>
      </c>
      <c r="F390" s="64">
        <f>Summary!M51-Summary!M41</f>
        <v>2394906</v>
      </c>
      <c r="G390" s="64">
        <f>Summary!N51-Summary!N41</f>
        <v>2408950</v>
      </c>
      <c r="H390" s="64">
        <f>Summary!O51-Summary!O41</f>
        <v>2355250.3303353791</v>
      </c>
      <c r="I390" s="64">
        <f>Summary!P51-Summary!P41</f>
        <v>2291394.9908531997</v>
      </c>
    </row>
    <row r="391" spans="1:10" customFormat="1" ht="12.75" x14ac:dyDescent="0.2">
      <c r="E391" s="64"/>
      <c r="F391" s="64"/>
      <c r="G391" s="64"/>
      <c r="H391" s="64"/>
      <c r="I391" s="64"/>
      <c r="J391" s="64"/>
    </row>
    <row r="392" spans="1:10" customFormat="1" ht="12.75" x14ac:dyDescent="0.2">
      <c r="D392" s="64"/>
      <c r="E392" s="64">
        <f t="shared" ref="E392:I392" si="93">E383-E388</f>
        <v>0</v>
      </c>
      <c r="F392" s="64">
        <f t="shared" si="93"/>
        <v>0</v>
      </c>
      <c r="G392" s="64">
        <f t="shared" si="93"/>
        <v>0</v>
      </c>
      <c r="H392" s="64">
        <f t="shared" si="93"/>
        <v>0</v>
      </c>
      <c r="I392" s="64">
        <f t="shared" si="93"/>
        <v>0</v>
      </c>
      <c r="J392" s="64"/>
    </row>
    <row r="393" spans="1:10" customFormat="1" ht="12.75" x14ac:dyDescent="0.2">
      <c r="D393" s="64"/>
      <c r="E393" s="64">
        <f t="shared" ref="E393:I394" si="94">E384-E389</f>
        <v>0</v>
      </c>
      <c r="F393" s="64">
        <f t="shared" si="94"/>
        <v>0</v>
      </c>
      <c r="G393" s="64">
        <f t="shared" si="94"/>
        <v>0</v>
      </c>
      <c r="H393" s="64">
        <f t="shared" si="94"/>
        <v>0</v>
      </c>
      <c r="I393" s="64">
        <f t="shared" si="94"/>
        <v>0</v>
      </c>
      <c r="J393" s="64"/>
    </row>
    <row r="394" spans="1:10" customFormat="1" ht="12.75" x14ac:dyDescent="0.2">
      <c r="D394" s="64"/>
      <c r="E394" s="64">
        <f t="shared" si="94"/>
        <v>0</v>
      </c>
      <c r="F394" s="64">
        <f t="shared" si="94"/>
        <v>0</v>
      </c>
      <c r="G394" s="64">
        <f t="shared" si="94"/>
        <v>0</v>
      </c>
      <c r="H394" s="64">
        <f t="shared" si="94"/>
        <v>0</v>
      </c>
      <c r="I394" s="64">
        <f t="shared" si="94"/>
        <v>0</v>
      </c>
    </row>
    <row r="395" spans="1:10" customFormat="1" ht="12.75" x14ac:dyDescent="0.2"/>
    <row r="396" spans="1:10" customFormat="1" ht="12.75" x14ac:dyDescent="0.2"/>
    <row r="397" spans="1:10" customFormat="1" ht="12.75" x14ac:dyDescent="0.2"/>
    <row r="398" spans="1:10" customFormat="1" ht="12.75" x14ac:dyDescent="0.2"/>
    <row r="399" spans="1:10" customFormat="1" ht="12.75" x14ac:dyDescent="0.2"/>
    <row r="400" spans="1:1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</sheetData>
  <mergeCells count="209">
    <mergeCell ref="A197:J197"/>
    <mergeCell ref="A220:I220"/>
    <mergeCell ref="A238:I238"/>
    <mergeCell ref="A244:J244"/>
    <mergeCell ref="D251:I251"/>
    <mergeCell ref="A285:J285"/>
    <mergeCell ref="A290:J290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B271:H271"/>
    <mergeCell ref="B278:H278"/>
    <mergeCell ref="A229:B229"/>
    <mergeCell ref="A230:B230"/>
    <mergeCell ref="A231:B231"/>
    <mergeCell ref="A232:B232"/>
    <mergeCell ref="A215:B215"/>
    <mergeCell ref="A216:B216"/>
    <mergeCell ref="A217:B217"/>
    <mergeCell ref="A354:I354"/>
    <mergeCell ref="A363:B363"/>
    <mergeCell ref="A365:B365"/>
    <mergeCell ref="A366:B366"/>
    <mergeCell ref="A367:B367"/>
    <mergeCell ref="A368:B368"/>
    <mergeCell ref="A370:B370"/>
    <mergeCell ref="A357:B357"/>
    <mergeCell ref="A358:B358"/>
    <mergeCell ref="A359:B359"/>
    <mergeCell ref="A361:B361"/>
    <mergeCell ref="A362:B362"/>
    <mergeCell ref="A341:B341"/>
    <mergeCell ref="A346:I346"/>
    <mergeCell ref="A347:B347"/>
    <mergeCell ref="A348:B348"/>
    <mergeCell ref="A349:I349"/>
    <mergeCell ref="A331:B331"/>
    <mergeCell ref="A332:B332"/>
    <mergeCell ref="A353:B353"/>
    <mergeCell ref="A333:B333"/>
    <mergeCell ref="A334:B334"/>
    <mergeCell ref="A335:B335"/>
    <mergeCell ref="A336:B336"/>
    <mergeCell ref="A338:B338"/>
    <mergeCell ref="A340:G340"/>
    <mergeCell ref="A342:G342"/>
    <mergeCell ref="A380:B380"/>
    <mergeCell ref="A381:B381"/>
    <mergeCell ref="A382:B382"/>
    <mergeCell ref="A384:B384"/>
    <mergeCell ref="A385:B385"/>
    <mergeCell ref="A375:B375"/>
    <mergeCell ref="A376:B376"/>
    <mergeCell ref="A378:B378"/>
    <mergeCell ref="A371:B371"/>
    <mergeCell ref="A372:B372"/>
    <mergeCell ref="A374:B374"/>
    <mergeCell ref="A379:B379"/>
    <mergeCell ref="A377:B377"/>
    <mergeCell ref="A299:B299"/>
    <mergeCell ref="A300:B300"/>
    <mergeCell ref="A306:B306"/>
    <mergeCell ref="A310:B310"/>
    <mergeCell ref="A311:B311"/>
    <mergeCell ref="A312:B312"/>
    <mergeCell ref="A313:B313"/>
    <mergeCell ref="A314:B314"/>
    <mergeCell ref="A315:B315"/>
    <mergeCell ref="A309:B309"/>
    <mergeCell ref="A316:B316"/>
    <mergeCell ref="A317:B317"/>
    <mergeCell ref="A318:B318"/>
    <mergeCell ref="A319:B319"/>
    <mergeCell ref="A323:B323"/>
    <mergeCell ref="A327:B327"/>
    <mergeCell ref="A328:B328"/>
    <mergeCell ref="A329:B329"/>
    <mergeCell ref="A330:B330"/>
    <mergeCell ref="A325:B325"/>
    <mergeCell ref="A326:B326"/>
    <mergeCell ref="A291:B291"/>
    <mergeCell ref="A296:B296"/>
    <mergeCell ref="A297:B297"/>
    <mergeCell ref="A245:B245"/>
    <mergeCell ref="D256:H256"/>
    <mergeCell ref="B270:H270"/>
    <mergeCell ref="A236:B236"/>
    <mergeCell ref="A239:B239"/>
    <mergeCell ref="A241:B241"/>
    <mergeCell ref="A242:B242"/>
    <mergeCell ref="A233:B233"/>
    <mergeCell ref="A234:B234"/>
    <mergeCell ref="A221:B221"/>
    <mergeCell ref="A225:B225"/>
    <mergeCell ref="A226:B226"/>
    <mergeCell ref="A227:B227"/>
    <mergeCell ref="A228:B228"/>
    <mergeCell ref="A223:B223"/>
    <mergeCell ref="A224:B224"/>
    <mergeCell ref="A208:B208"/>
    <mergeCell ref="A209:B209"/>
    <mergeCell ref="A210:B210"/>
    <mergeCell ref="A211:B211"/>
    <mergeCell ref="A212:B212"/>
    <mergeCell ref="A206:B206"/>
    <mergeCell ref="A207:B207"/>
    <mergeCell ref="A213:B213"/>
    <mergeCell ref="A214:B214"/>
    <mergeCell ref="A191:B191"/>
    <mergeCell ref="A162:B162"/>
    <mergeCell ref="A165:B165"/>
    <mergeCell ref="A164:B164"/>
    <mergeCell ref="A308:B308"/>
    <mergeCell ref="A169:B169"/>
    <mergeCell ref="A170:B170"/>
    <mergeCell ref="A171:B171"/>
    <mergeCell ref="A172:B172"/>
    <mergeCell ref="A173:B173"/>
    <mergeCell ref="A174:B174"/>
    <mergeCell ref="A175:B175"/>
    <mergeCell ref="A180:B180"/>
    <mergeCell ref="A184:B184"/>
    <mergeCell ref="A192:B192"/>
    <mergeCell ref="A193:B193"/>
    <mergeCell ref="A195:B195"/>
    <mergeCell ref="A198:B198"/>
    <mergeCell ref="A200:B200"/>
    <mergeCell ref="A201:B201"/>
    <mergeCell ref="A204:B204"/>
    <mergeCell ref="A185:B185"/>
    <mergeCell ref="A186:B186"/>
    <mergeCell ref="A187:B187"/>
    <mergeCell ref="A167:B167"/>
    <mergeCell ref="A168:B168"/>
    <mergeCell ref="A182:B182"/>
    <mergeCell ref="A183:B183"/>
    <mergeCell ref="A189:B189"/>
    <mergeCell ref="A190:B190"/>
    <mergeCell ref="A188:B188"/>
    <mergeCell ref="A179:I179"/>
    <mergeCell ref="A161:J161"/>
    <mergeCell ref="A176:B176"/>
    <mergeCell ref="A177:B177"/>
    <mergeCell ref="A143:B143"/>
    <mergeCell ref="A148:B148"/>
    <mergeCell ref="A149:B149"/>
    <mergeCell ref="A150:B150"/>
    <mergeCell ref="A151:B151"/>
    <mergeCell ref="A152:B152"/>
    <mergeCell ref="A153:B153"/>
    <mergeCell ref="A166:B166"/>
    <mergeCell ref="A157:D157"/>
    <mergeCell ref="A156:D156"/>
    <mergeCell ref="A158:D158"/>
    <mergeCell ref="A159:D159"/>
    <mergeCell ref="A154:B154"/>
    <mergeCell ref="A155:B155"/>
    <mergeCell ref="A68:I68"/>
    <mergeCell ref="D109:H109"/>
    <mergeCell ref="A120:E120"/>
    <mergeCell ref="A121:D121"/>
    <mergeCell ref="A122:D122"/>
    <mergeCell ref="A123:D123"/>
    <mergeCell ref="A124:D124"/>
    <mergeCell ref="A125:D125"/>
    <mergeCell ref="A126:D126"/>
    <mergeCell ref="D114:H114"/>
    <mergeCell ref="A2:I2"/>
    <mergeCell ref="A29:B29"/>
    <mergeCell ref="A49:B49"/>
    <mergeCell ref="A4:I4"/>
    <mergeCell ref="A5:B5"/>
    <mergeCell ref="A7:B7"/>
    <mergeCell ref="A25:B25"/>
    <mergeCell ref="A27:B27"/>
    <mergeCell ref="A67:B67"/>
    <mergeCell ref="A24:J24"/>
    <mergeCell ref="A46:J46"/>
    <mergeCell ref="A3:B3"/>
    <mergeCell ref="A66:I66"/>
    <mergeCell ref="A386:B386"/>
    <mergeCell ref="A194:B194"/>
    <mergeCell ref="A218:B218"/>
    <mergeCell ref="A235:B235"/>
    <mergeCell ref="A305:G305"/>
    <mergeCell ref="A320:B320"/>
    <mergeCell ref="A322:F322"/>
    <mergeCell ref="A337:B337"/>
    <mergeCell ref="D108:H108"/>
    <mergeCell ref="A137:F137"/>
    <mergeCell ref="A138:B138"/>
    <mergeCell ref="A139:F139"/>
    <mergeCell ref="A146:B146"/>
    <mergeCell ref="A147:B147"/>
    <mergeCell ref="A144:B144"/>
    <mergeCell ref="A145:B145"/>
    <mergeCell ref="A307:G307"/>
    <mergeCell ref="A324:F324"/>
    <mergeCell ref="A203:J203"/>
    <mergeCell ref="A205:J205"/>
    <mergeCell ref="A140:B140"/>
    <mergeCell ref="A141:B141"/>
    <mergeCell ref="A127:D127"/>
    <mergeCell ref="A142:B142"/>
  </mergeCells>
  <pageMargins left="0.7" right="0.7" top="0.75" bottom="0.75" header="0.3" footer="0.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3" sqref="B13"/>
    </sheetView>
  </sheetViews>
  <sheetFormatPr defaultRowHeight="12.75" x14ac:dyDescent="0.2"/>
  <cols>
    <col min="1" max="1" width="20.42578125" customWidth="1"/>
    <col min="2" max="2" width="11.5703125" customWidth="1"/>
    <col min="3" max="3" width="13.85546875" customWidth="1"/>
  </cols>
  <sheetData>
    <row r="1" spans="1:10" x14ac:dyDescent="0.2">
      <c r="A1" s="680" t="s">
        <v>204</v>
      </c>
      <c r="B1" s="680"/>
      <c r="C1" s="680"/>
    </row>
    <row r="2" spans="1:10" x14ac:dyDescent="0.2">
      <c r="A2" s="680" t="s">
        <v>205</v>
      </c>
      <c r="B2" s="680"/>
      <c r="C2" s="680"/>
    </row>
    <row r="4" spans="1:10" x14ac:dyDescent="0.2">
      <c r="A4" s="259"/>
      <c r="B4" s="681"/>
      <c r="C4" s="681"/>
    </row>
    <row r="5" spans="1:10" x14ac:dyDescent="0.2">
      <c r="A5" s="268" t="s">
        <v>83</v>
      </c>
      <c r="B5" s="258" t="s">
        <v>135</v>
      </c>
      <c r="C5" s="258" t="s">
        <v>106</v>
      </c>
    </row>
    <row r="6" spans="1:10" x14ac:dyDescent="0.2">
      <c r="A6" s="176">
        <v>2002</v>
      </c>
      <c r="B6" s="261">
        <v>29356.799999999999</v>
      </c>
      <c r="C6" s="270">
        <v>15328897</v>
      </c>
    </row>
    <row r="7" spans="1:10" x14ac:dyDescent="0.2">
      <c r="A7" s="172">
        <v>2003</v>
      </c>
      <c r="B7" s="262">
        <v>43881.599999999999</v>
      </c>
      <c r="C7" s="271">
        <v>20418900.809999999</v>
      </c>
    </row>
    <row r="8" spans="1:10" x14ac:dyDescent="0.2">
      <c r="A8" s="172">
        <v>2004</v>
      </c>
      <c r="B8" s="262">
        <v>40502.400000000001</v>
      </c>
      <c r="C8" s="271">
        <v>19486435.960000001</v>
      </c>
    </row>
    <row r="9" spans="1:10" x14ac:dyDescent="0.2">
      <c r="A9" s="172">
        <v>2005</v>
      </c>
      <c r="B9" s="262">
        <v>43934.369999999995</v>
      </c>
      <c r="C9" s="271">
        <v>16865800.48</v>
      </c>
    </row>
    <row r="10" spans="1:10" x14ac:dyDescent="0.2">
      <c r="A10" s="172">
        <v>2006</v>
      </c>
      <c r="B10" s="262">
        <v>45564.29</v>
      </c>
      <c r="C10" s="271">
        <v>21112323.120000001</v>
      </c>
      <c r="E10" s="580" t="s">
        <v>230</v>
      </c>
      <c r="F10" s="580"/>
      <c r="G10" s="580"/>
      <c r="H10" s="580"/>
      <c r="I10" s="580"/>
    </row>
    <row r="11" spans="1:10" x14ac:dyDescent="0.2">
      <c r="A11" s="172">
        <v>2007</v>
      </c>
      <c r="B11" s="262">
        <v>49751.514999999999</v>
      </c>
      <c r="C11" s="271">
        <v>22263925.140000001</v>
      </c>
      <c r="E11">
        <f>C11/B11</f>
        <v>447.50245575436247</v>
      </c>
      <c r="F11">
        <v>4088.56</v>
      </c>
      <c r="G11">
        <f>E11*F11</f>
        <v>1829640.6404990563</v>
      </c>
      <c r="H11">
        <v>12</v>
      </c>
      <c r="I11">
        <f>G11*H11</f>
        <v>21955687.685988676</v>
      </c>
      <c r="J11" s="163"/>
    </row>
    <row r="12" spans="1:10" x14ac:dyDescent="0.2">
      <c r="A12" s="172">
        <v>2008</v>
      </c>
      <c r="B12" s="262">
        <v>48352.995000000003</v>
      </c>
      <c r="C12" s="271">
        <v>22427621.300000001</v>
      </c>
      <c r="I12">
        <f>+I11/E11</f>
        <v>49062.720000000001</v>
      </c>
    </row>
    <row r="13" spans="1:10" x14ac:dyDescent="0.2">
      <c r="A13" s="172">
        <v>2009</v>
      </c>
      <c r="B13" s="262">
        <v>49918.169999999991</v>
      </c>
      <c r="C13" s="271">
        <v>22622441.550000001</v>
      </c>
    </row>
    <row r="14" spans="1:10" x14ac:dyDescent="0.2">
      <c r="A14" s="172">
        <v>2010</v>
      </c>
      <c r="B14" s="262">
        <v>53143.520000000004</v>
      </c>
      <c r="C14" s="271">
        <v>24190281.48</v>
      </c>
    </row>
    <row r="15" spans="1:10" x14ac:dyDescent="0.2">
      <c r="A15" s="172">
        <v>2011</v>
      </c>
      <c r="B15" s="262">
        <v>49138.899999999994</v>
      </c>
      <c r="C15" s="271">
        <v>21309995.489999998</v>
      </c>
    </row>
    <row r="16" spans="1:10" x14ac:dyDescent="0.2">
      <c r="A16" s="172">
        <v>2012</v>
      </c>
      <c r="B16" s="263">
        <v>37866.879999999997</v>
      </c>
      <c r="C16" s="272">
        <v>17590423.550000001</v>
      </c>
    </row>
    <row r="17" spans="1:3" x14ac:dyDescent="0.2">
      <c r="A17" s="172"/>
      <c r="B17" s="260"/>
      <c r="C17" s="260"/>
    </row>
    <row r="18" spans="1:3" x14ac:dyDescent="0.2">
      <c r="A18" s="264" t="s">
        <v>10</v>
      </c>
      <c r="B18" s="265">
        <f>SUM(B6:B17)</f>
        <v>491411.43999999994</v>
      </c>
      <c r="C18" s="273">
        <f>SUM(C6:C17)</f>
        <v>223617045.88000003</v>
      </c>
    </row>
    <row r="19" spans="1:3" x14ac:dyDescent="0.2">
      <c r="A19" s="172"/>
      <c r="B19" s="260"/>
      <c r="C19" s="260"/>
    </row>
    <row r="20" spans="1:3" x14ac:dyDescent="0.2">
      <c r="A20" s="269" t="s">
        <v>206</v>
      </c>
      <c r="B20" s="262">
        <f>AVERAGE(B6:B$16)</f>
        <v>44673.767272727266</v>
      </c>
      <c r="C20" s="271">
        <f>AVERAGE(C6:C$16)</f>
        <v>20328822.352727275</v>
      </c>
    </row>
    <row r="21" spans="1:3" x14ac:dyDescent="0.2">
      <c r="A21" s="266"/>
      <c r="B21" s="267"/>
      <c r="C21" s="267"/>
    </row>
  </sheetData>
  <mergeCells count="4">
    <mergeCell ref="A1:C1"/>
    <mergeCell ref="A2:C2"/>
    <mergeCell ref="B4:C4"/>
    <mergeCell ref="E10:I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7" sqref="X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8"/>
  <sheetViews>
    <sheetView topLeftCell="K51" workbookViewId="0">
      <selection activeCell="AB23" sqref="AB23"/>
    </sheetView>
  </sheetViews>
  <sheetFormatPr defaultRowHeight="12.75" x14ac:dyDescent="0.2"/>
  <cols>
    <col min="1" max="1" width="38.140625" style="163" customWidth="1"/>
    <col min="2" max="2" width="17.5703125" style="163" bestFit="1" customWidth="1"/>
    <col min="3" max="3" width="15.5703125" style="163" bestFit="1" customWidth="1"/>
    <col min="4" max="4" width="15" style="163" customWidth="1"/>
    <col min="5" max="5" width="16.7109375" style="163" bestFit="1" customWidth="1"/>
    <col min="6" max="10" width="16.28515625" style="163" customWidth="1"/>
    <col min="11" max="11" width="22.28515625" style="163" bestFit="1" customWidth="1"/>
    <col min="12" max="12" width="11.85546875" style="163" customWidth="1"/>
    <col min="13" max="13" width="15.140625" style="163" customWidth="1"/>
    <col min="14" max="14" width="11.85546875" style="163" customWidth="1"/>
    <col min="15" max="15" width="12.28515625" style="163" bestFit="1" customWidth="1"/>
    <col min="16" max="16" width="11.28515625" style="163" customWidth="1"/>
    <col min="17" max="20" width="11.28515625" style="163" bestFit="1" customWidth="1"/>
    <col min="21" max="34" width="10.28515625" style="163" bestFit="1" customWidth="1"/>
    <col min="35" max="35" width="12.28515625" style="163" bestFit="1" customWidth="1"/>
    <col min="36" max="36" width="10.85546875" style="163" bestFit="1" customWidth="1"/>
    <col min="37" max="16384" width="9.140625" style="163"/>
  </cols>
  <sheetData>
    <row r="1" spans="1:36" x14ac:dyDescent="0.2">
      <c r="A1" s="682" t="s">
        <v>318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Q1" s="163">
        <v>1</v>
      </c>
      <c r="R1" s="163">
        <v>2</v>
      </c>
      <c r="S1" s="163">
        <v>3</v>
      </c>
      <c r="T1" s="163">
        <v>4</v>
      </c>
      <c r="U1" s="163">
        <v>5</v>
      </c>
      <c r="V1" s="163">
        <v>6</v>
      </c>
      <c r="W1" s="163">
        <v>7</v>
      </c>
      <c r="X1" s="163">
        <v>8</v>
      </c>
      <c r="Y1" s="163">
        <v>9</v>
      </c>
      <c r="Z1" s="163">
        <v>10</v>
      </c>
      <c r="AA1" s="163">
        <v>11</v>
      </c>
      <c r="AB1" s="163">
        <v>12</v>
      </c>
      <c r="AC1" s="163">
        <v>13</v>
      </c>
      <c r="AD1" s="163">
        <v>14</v>
      </c>
      <c r="AE1" s="163">
        <v>15</v>
      </c>
      <c r="AF1" s="163">
        <v>16</v>
      </c>
      <c r="AG1" s="163">
        <v>17</v>
      </c>
      <c r="AH1" s="163">
        <v>18</v>
      </c>
    </row>
    <row r="2" spans="1:36" ht="39" thickBot="1" x14ac:dyDescent="0.25">
      <c r="A2" s="493"/>
      <c r="B2" s="494" t="s">
        <v>319</v>
      </c>
      <c r="C2" s="494" t="s">
        <v>320</v>
      </c>
      <c r="D2" s="518" t="s">
        <v>321</v>
      </c>
      <c r="E2" s="519" t="s">
        <v>322</v>
      </c>
      <c r="F2" s="520" t="s">
        <v>323</v>
      </c>
      <c r="G2" s="520" t="s">
        <v>324</v>
      </c>
      <c r="H2" s="520" t="s">
        <v>325</v>
      </c>
      <c r="I2" s="520" t="s">
        <v>326</v>
      </c>
      <c r="J2" s="520" t="s">
        <v>327</v>
      </c>
      <c r="K2" s="520" t="s">
        <v>328</v>
      </c>
      <c r="L2" s="520" t="s">
        <v>329</v>
      </c>
      <c r="M2" s="494" t="s">
        <v>330</v>
      </c>
      <c r="N2" s="520" t="s">
        <v>331</v>
      </c>
      <c r="O2" s="521" t="s">
        <v>332</v>
      </c>
      <c r="P2" s="495" t="s">
        <v>333</v>
      </c>
      <c r="Q2" s="163">
        <v>2009</v>
      </c>
      <c r="R2" s="163">
        <v>2010</v>
      </c>
      <c r="S2" s="163">
        <v>2011</v>
      </c>
      <c r="T2" s="163">
        <v>2012</v>
      </c>
      <c r="U2" s="163">
        <v>2013</v>
      </c>
      <c r="V2" s="163">
        <v>2014</v>
      </c>
      <c r="W2" s="163">
        <v>2015</v>
      </c>
      <c r="X2" s="163">
        <v>2016</v>
      </c>
      <c r="Y2" s="163">
        <v>2017</v>
      </c>
      <c r="Z2" s="163">
        <v>2018</v>
      </c>
      <c r="AA2" s="163">
        <v>2019</v>
      </c>
      <c r="AB2" s="163">
        <v>2020</v>
      </c>
      <c r="AC2" s="163">
        <v>2021</v>
      </c>
      <c r="AD2" s="163">
        <v>2022</v>
      </c>
      <c r="AE2" s="163">
        <v>2023</v>
      </c>
      <c r="AF2" s="163">
        <v>2024</v>
      </c>
      <c r="AG2" s="163">
        <v>2025</v>
      </c>
      <c r="AH2" s="163">
        <v>2026</v>
      </c>
      <c r="AI2" s="580" t="s">
        <v>334</v>
      </c>
      <c r="AJ2" s="580"/>
    </row>
    <row r="3" spans="1:36" ht="14.25" thickTop="1" thickBot="1" x14ac:dyDescent="0.25">
      <c r="A3" s="493" t="s">
        <v>335</v>
      </c>
      <c r="B3" s="497">
        <v>1802814.53</v>
      </c>
      <c r="C3" s="497">
        <v>392400</v>
      </c>
      <c r="D3" s="522">
        <f>B3-C3</f>
        <v>1410414.53</v>
      </c>
      <c r="E3" s="523">
        <f>B3/C3</f>
        <v>4.5943285677879713</v>
      </c>
      <c r="F3" s="510">
        <v>0</v>
      </c>
      <c r="G3" s="510">
        <v>471980</v>
      </c>
      <c r="H3" s="510">
        <v>1105336</v>
      </c>
      <c r="I3" s="510">
        <v>1212920</v>
      </c>
      <c r="J3" s="505">
        <f t="shared" ref="J3:J8" si="0">SUM(F3:I3)</f>
        <v>2790236</v>
      </c>
      <c r="K3" s="505">
        <v>21832560</v>
      </c>
      <c r="L3" s="524">
        <v>82.47</v>
      </c>
      <c r="M3" s="496">
        <v>90200</v>
      </c>
      <c r="N3" s="510">
        <v>231</v>
      </c>
      <c r="O3" s="525">
        <f>+K3-J3</f>
        <v>19042324</v>
      </c>
      <c r="P3" s="525">
        <f>18-3</f>
        <v>15</v>
      </c>
      <c r="Q3" s="525">
        <f>+$O3/$P3</f>
        <v>1269488.2666666666</v>
      </c>
      <c r="R3" s="525">
        <f t="shared" ref="R3:AE4" si="1">+$O3/$P3</f>
        <v>1269488.2666666666</v>
      </c>
      <c r="S3" s="525">
        <f t="shared" si="1"/>
        <v>1269488.2666666666</v>
      </c>
      <c r="T3" s="525">
        <f t="shared" si="1"/>
        <v>1269488.2666666666</v>
      </c>
      <c r="U3" s="525">
        <f t="shared" si="1"/>
        <v>1269488.2666666666</v>
      </c>
      <c r="V3" s="525">
        <f t="shared" si="1"/>
        <v>1269488.2666666666</v>
      </c>
      <c r="W3" s="525">
        <f t="shared" si="1"/>
        <v>1269488.2666666666</v>
      </c>
      <c r="X3" s="525">
        <f t="shared" si="1"/>
        <v>1269488.2666666666</v>
      </c>
      <c r="Y3" s="525">
        <f t="shared" si="1"/>
        <v>1269488.2666666666</v>
      </c>
      <c r="Z3" s="525">
        <f t="shared" si="1"/>
        <v>1269488.2666666666</v>
      </c>
      <c r="AA3" s="525">
        <f t="shared" si="1"/>
        <v>1269488.2666666666</v>
      </c>
      <c r="AB3" s="525">
        <f t="shared" si="1"/>
        <v>1269488.2666666666</v>
      </c>
      <c r="AC3" s="525">
        <f t="shared" si="1"/>
        <v>1269488.2666666666</v>
      </c>
      <c r="AD3" s="525">
        <f t="shared" si="1"/>
        <v>1269488.2666666666</v>
      </c>
      <c r="AE3" s="525">
        <f t="shared" si="1"/>
        <v>1269488.2666666666</v>
      </c>
      <c r="AI3" s="525">
        <f>SUM(Q3:AH3)+J3</f>
        <v>21832559.999999993</v>
      </c>
      <c r="AJ3" s="525">
        <f>+AI3-K3</f>
        <v>0</v>
      </c>
    </row>
    <row r="4" spans="1:36" ht="14.25" thickTop="1" thickBot="1" x14ac:dyDescent="0.25">
      <c r="A4" s="493" t="s">
        <v>336</v>
      </c>
      <c r="B4" s="497">
        <v>233414</v>
      </c>
      <c r="C4" s="497">
        <v>41955</v>
      </c>
      <c r="D4" s="522">
        <f t="shared" ref="D4:D9" si="2">B4-C4</f>
        <v>191459</v>
      </c>
      <c r="E4" s="523">
        <f>B4/C4</f>
        <v>5.5634370158503161</v>
      </c>
      <c r="F4" s="501">
        <f>488797-366598</f>
        <v>122199</v>
      </c>
      <c r="G4" s="501">
        <v>488797</v>
      </c>
      <c r="H4" s="501">
        <v>488797</v>
      </c>
      <c r="I4" s="501">
        <v>488797</v>
      </c>
      <c r="J4" s="505">
        <f t="shared" si="0"/>
        <v>1588590</v>
      </c>
      <c r="K4" s="506">
        <v>5245513</v>
      </c>
      <c r="L4" s="526">
        <v>30.7</v>
      </c>
      <c r="M4" s="497">
        <v>35110.519999999997</v>
      </c>
      <c r="N4" s="501">
        <v>244</v>
      </c>
      <c r="O4" s="525">
        <f t="shared" ref="O4:O8" si="3">+K4-J4</f>
        <v>3656923</v>
      </c>
      <c r="P4" s="525">
        <f>17-4</f>
        <v>13</v>
      </c>
      <c r="Q4" s="525">
        <f>+$O4/$P4</f>
        <v>281301.76923076925</v>
      </c>
      <c r="R4" s="525">
        <f t="shared" si="1"/>
        <v>281301.76923076925</v>
      </c>
      <c r="S4" s="525">
        <f t="shared" si="1"/>
        <v>281301.76923076925</v>
      </c>
      <c r="T4" s="525">
        <f t="shared" si="1"/>
        <v>281301.76923076925</v>
      </c>
      <c r="U4" s="525">
        <f t="shared" si="1"/>
        <v>281301.76923076925</v>
      </c>
      <c r="V4" s="525">
        <f t="shared" si="1"/>
        <v>281301.76923076925</v>
      </c>
      <c r="W4" s="525">
        <f t="shared" si="1"/>
        <v>281301.76923076925</v>
      </c>
      <c r="X4" s="525">
        <f t="shared" si="1"/>
        <v>281301.76923076925</v>
      </c>
      <c r="Y4" s="525">
        <f t="shared" si="1"/>
        <v>281301.76923076925</v>
      </c>
      <c r="Z4" s="525">
        <f t="shared" si="1"/>
        <v>281301.76923076925</v>
      </c>
      <c r="AA4" s="525">
        <f t="shared" si="1"/>
        <v>281301.76923076925</v>
      </c>
      <c r="AB4" s="525">
        <f t="shared" si="1"/>
        <v>281301.76923076925</v>
      </c>
      <c r="AC4" s="525">
        <f t="shared" si="1"/>
        <v>281301.76923076925</v>
      </c>
      <c r="AD4" s="525"/>
      <c r="AI4" s="525">
        <f>SUM(Q4:AH4)+J4</f>
        <v>5245512.9999999991</v>
      </c>
      <c r="AJ4" s="525">
        <f>+AI4-K4</f>
        <v>0</v>
      </c>
    </row>
    <row r="5" spans="1:36" ht="14.25" thickTop="1" thickBot="1" x14ac:dyDescent="0.25">
      <c r="A5" s="498" t="s">
        <v>337</v>
      </c>
      <c r="B5" s="497">
        <v>0</v>
      </c>
      <c r="C5" s="497">
        <v>0</v>
      </c>
      <c r="D5" s="522">
        <f t="shared" si="2"/>
        <v>0</v>
      </c>
      <c r="E5" s="523">
        <v>0</v>
      </c>
      <c r="F5" s="501">
        <v>0</v>
      </c>
      <c r="G5" s="501">
        <v>0</v>
      </c>
      <c r="H5" s="501">
        <v>0</v>
      </c>
      <c r="I5" s="501">
        <v>0</v>
      </c>
      <c r="J5" s="505">
        <f t="shared" si="0"/>
        <v>0</v>
      </c>
      <c r="K5" s="506">
        <v>0</v>
      </c>
      <c r="L5" s="526">
        <v>0</v>
      </c>
      <c r="M5" s="497">
        <v>74569</v>
      </c>
      <c r="N5" s="501">
        <v>0</v>
      </c>
      <c r="O5" s="525">
        <f t="shared" si="3"/>
        <v>0</v>
      </c>
      <c r="P5" s="525">
        <v>0</v>
      </c>
    </row>
    <row r="6" spans="1:36" ht="14.25" thickTop="1" thickBot="1" x14ac:dyDescent="0.25">
      <c r="A6" s="498" t="s">
        <v>338</v>
      </c>
      <c r="B6" s="497">
        <v>827827.67</v>
      </c>
      <c r="C6" s="497">
        <v>15396.99</v>
      </c>
      <c r="D6" s="522">
        <v>812430.68</v>
      </c>
      <c r="E6" s="523">
        <f>B6/C6</f>
        <v>53.76555222806536</v>
      </c>
      <c r="F6" s="501">
        <v>18456</v>
      </c>
      <c r="G6" s="501">
        <v>1328800</v>
      </c>
      <c r="H6" s="501">
        <v>1328800</v>
      </c>
      <c r="I6" s="501">
        <v>1328800</v>
      </c>
      <c r="J6" s="505">
        <f t="shared" si="0"/>
        <v>4004856</v>
      </c>
      <c r="K6" s="506">
        <v>15945600</v>
      </c>
      <c r="L6" s="526">
        <v>71.5</v>
      </c>
      <c r="M6" s="497">
        <v>15396.99</v>
      </c>
      <c r="N6" s="501">
        <v>1100</v>
      </c>
      <c r="O6" s="525">
        <f t="shared" si="3"/>
        <v>11940744</v>
      </c>
      <c r="P6" s="525">
        <f>13-4</f>
        <v>9</v>
      </c>
      <c r="Q6" s="525">
        <f>+$O6/$P6</f>
        <v>1326749.3333333333</v>
      </c>
      <c r="R6" s="525">
        <f t="shared" ref="R6:Y6" si="4">+$O6/$P6</f>
        <v>1326749.3333333333</v>
      </c>
      <c r="S6" s="525">
        <f t="shared" si="4"/>
        <v>1326749.3333333333</v>
      </c>
      <c r="T6" s="525">
        <f t="shared" si="4"/>
        <v>1326749.3333333333</v>
      </c>
      <c r="U6" s="525">
        <f t="shared" si="4"/>
        <v>1326749.3333333333</v>
      </c>
      <c r="V6" s="525">
        <f t="shared" si="4"/>
        <v>1326749.3333333333</v>
      </c>
      <c r="W6" s="525">
        <f t="shared" si="4"/>
        <v>1326749.3333333333</v>
      </c>
      <c r="X6" s="525">
        <f t="shared" si="4"/>
        <v>1326749.3333333333</v>
      </c>
      <c r="Y6" s="525">
        <f t="shared" si="4"/>
        <v>1326749.3333333333</v>
      </c>
      <c r="AI6" s="525">
        <f>SUM(Q6:AH6)+J6</f>
        <v>15945600</v>
      </c>
      <c r="AJ6" s="525">
        <f>+AI6-K6</f>
        <v>0</v>
      </c>
    </row>
    <row r="7" spans="1:36" ht="14.25" thickTop="1" thickBot="1" x14ac:dyDescent="0.25">
      <c r="A7" s="493" t="s">
        <v>339</v>
      </c>
      <c r="B7" s="497">
        <v>0</v>
      </c>
      <c r="C7" s="497">
        <v>0</v>
      </c>
      <c r="D7" s="522">
        <f t="shared" si="2"/>
        <v>0</v>
      </c>
      <c r="E7" s="523">
        <v>0</v>
      </c>
      <c r="F7" s="501">
        <v>0</v>
      </c>
      <c r="G7" s="501">
        <v>0</v>
      </c>
      <c r="H7" s="526">
        <v>0</v>
      </c>
      <c r="I7" s="501">
        <v>0</v>
      </c>
      <c r="J7" s="505">
        <f t="shared" si="0"/>
        <v>0</v>
      </c>
      <c r="K7" s="506">
        <v>0</v>
      </c>
      <c r="L7" s="526">
        <v>0</v>
      </c>
      <c r="M7" s="497">
        <v>0</v>
      </c>
      <c r="N7" s="501">
        <v>0</v>
      </c>
      <c r="O7" s="525">
        <f t="shared" si="3"/>
        <v>0</v>
      </c>
      <c r="P7" s="525"/>
    </row>
    <row r="8" spans="1:36" ht="14.25" thickTop="1" thickBot="1" x14ac:dyDescent="0.25">
      <c r="A8" s="493" t="s">
        <v>340</v>
      </c>
      <c r="B8" s="497">
        <v>0</v>
      </c>
      <c r="C8" s="497">
        <v>0</v>
      </c>
      <c r="D8" s="522">
        <f t="shared" si="2"/>
        <v>0</v>
      </c>
      <c r="E8" s="523">
        <v>0</v>
      </c>
      <c r="F8" s="501">
        <v>0</v>
      </c>
      <c r="G8" s="501">
        <v>0</v>
      </c>
      <c r="H8" s="526">
        <v>0</v>
      </c>
      <c r="I8" s="501">
        <v>0</v>
      </c>
      <c r="J8" s="505">
        <f t="shared" si="0"/>
        <v>0</v>
      </c>
      <c r="K8" s="506">
        <v>0</v>
      </c>
      <c r="L8" s="526">
        <v>0</v>
      </c>
      <c r="M8" s="497">
        <v>32472.15</v>
      </c>
      <c r="N8" s="501">
        <v>0</v>
      </c>
      <c r="O8" s="525">
        <f t="shared" si="3"/>
        <v>0</v>
      </c>
      <c r="P8" s="525"/>
    </row>
    <row r="9" spans="1:36" ht="14.25" thickTop="1" thickBot="1" x14ac:dyDescent="0.25">
      <c r="A9" s="18"/>
      <c r="B9" s="527"/>
      <c r="C9" s="528"/>
      <c r="D9" s="529">
        <f t="shared" si="2"/>
        <v>0</v>
      </c>
      <c r="E9" s="530">
        <v>0</v>
      </c>
      <c r="F9" s="502"/>
      <c r="G9" s="502"/>
      <c r="H9" s="502"/>
      <c r="I9" s="508"/>
      <c r="J9" s="508"/>
      <c r="K9" s="508"/>
      <c r="L9" s="502"/>
      <c r="M9" s="528"/>
      <c r="N9" s="502"/>
    </row>
    <row r="10" spans="1:36" x14ac:dyDescent="0.2">
      <c r="A10" s="531" t="s">
        <v>341</v>
      </c>
      <c r="B10" s="532">
        <f>SUM(B3:B9)</f>
        <v>2864056.2</v>
      </c>
      <c r="C10" s="532">
        <f>SUM(C3:C9)</f>
        <v>449751.99</v>
      </c>
      <c r="D10" s="514">
        <f>SUM(D3:D9)</f>
        <v>2414304.21</v>
      </c>
      <c r="E10" s="533">
        <f>B10/C10</f>
        <v>6.3680789939361917</v>
      </c>
      <c r="F10" s="514">
        <f t="shared" ref="F10:N10" si="5">SUM(F3:F8)</f>
        <v>140655</v>
      </c>
      <c r="G10" s="504">
        <f t="shared" si="5"/>
        <v>2289577</v>
      </c>
      <c r="H10" s="504">
        <f t="shared" si="5"/>
        <v>2922933</v>
      </c>
      <c r="I10" s="504">
        <f t="shared" si="5"/>
        <v>3030517</v>
      </c>
      <c r="J10" s="504">
        <f t="shared" si="5"/>
        <v>8383682</v>
      </c>
      <c r="K10" s="504">
        <f t="shared" si="5"/>
        <v>43023673</v>
      </c>
      <c r="L10" s="514">
        <f t="shared" si="5"/>
        <v>184.67000000000002</v>
      </c>
      <c r="M10" s="514">
        <f t="shared" si="5"/>
        <v>247748.65999999997</v>
      </c>
      <c r="N10" s="504">
        <f t="shared" si="5"/>
        <v>1575</v>
      </c>
      <c r="O10" s="525">
        <f>SUM(O3:O8)</f>
        <v>34639991</v>
      </c>
      <c r="P10" s="525"/>
      <c r="Q10" s="525">
        <f t="shared" ref="Q10:AH10" si="6">SUM(Q3:Q8)</f>
        <v>2877539.3692307691</v>
      </c>
      <c r="R10" s="525">
        <f t="shared" si="6"/>
        <v>2877539.3692307691</v>
      </c>
      <c r="S10" s="525">
        <f t="shared" si="6"/>
        <v>2877539.3692307691</v>
      </c>
      <c r="T10" s="525">
        <f t="shared" si="6"/>
        <v>2877539.3692307691</v>
      </c>
      <c r="U10" s="525">
        <f t="shared" si="6"/>
        <v>2877539.3692307691</v>
      </c>
      <c r="V10" s="525">
        <f t="shared" si="6"/>
        <v>2877539.3692307691</v>
      </c>
      <c r="W10" s="525">
        <f t="shared" si="6"/>
        <v>2877539.3692307691</v>
      </c>
      <c r="X10" s="525">
        <f t="shared" si="6"/>
        <v>2877539.3692307691</v>
      </c>
      <c r="Y10" s="525">
        <f t="shared" si="6"/>
        <v>2877539.3692307691</v>
      </c>
      <c r="Z10" s="525">
        <f t="shared" si="6"/>
        <v>1550790.0358974359</v>
      </c>
      <c r="AA10" s="525">
        <f t="shared" si="6"/>
        <v>1550790.0358974359</v>
      </c>
      <c r="AB10" s="525">
        <f t="shared" si="6"/>
        <v>1550790.0358974359</v>
      </c>
      <c r="AC10" s="525">
        <f t="shared" si="6"/>
        <v>1550790.0358974359</v>
      </c>
      <c r="AD10" s="525">
        <f t="shared" si="6"/>
        <v>1269488.2666666666</v>
      </c>
      <c r="AE10" s="525">
        <f t="shared" si="6"/>
        <v>1269488.2666666666</v>
      </c>
      <c r="AF10" s="525">
        <f t="shared" si="6"/>
        <v>0</v>
      </c>
      <c r="AG10" s="525">
        <f t="shared" si="6"/>
        <v>0</v>
      </c>
      <c r="AH10" s="525">
        <f t="shared" si="6"/>
        <v>0</v>
      </c>
      <c r="AI10" s="525">
        <f>SUM(Q10:AH10)+J10</f>
        <v>43023673.000000007</v>
      </c>
      <c r="AJ10" s="525">
        <f>+AI10-K10</f>
        <v>0</v>
      </c>
    </row>
    <row r="11" spans="1:36" ht="20.25" x14ac:dyDescent="0.3">
      <c r="A11" s="499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500"/>
      <c r="N11" s="18"/>
    </row>
    <row r="12" spans="1:36" x14ac:dyDescent="0.2">
      <c r="A12" s="682" t="s">
        <v>342</v>
      </c>
      <c r="B12" s="682"/>
      <c r="C12" s="682"/>
      <c r="D12" s="682"/>
      <c r="E12" s="682"/>
      <c r="F12" s="682"/>
      <c r="G12" s="682"/>
      <c r="H12" s="682"/>
      <c r="I12" s="682"/>
      <c r="J12" s="682"/>
      <c r="K12" s="682"/>
      <c r="L12" s="682"/>
      <c r="M12" s="682"/>
    </row>
    <row r="13" spans="1:36" ht="39" thickBot="1" x14ac:dyDescent="0.25">
      <c r="A13" s="493"/>
      <c r="B13" s="494" t="s">
        <v>319</v>
      </c>
      <c r="C13" s="494" t="s">
        <v>320</v>
      </c>
      <c r="D13" s="518" t="s">
        <v>321</v>
      </c>
      <c r="E13" s="519" t="s">
        <v>322</v>
      </c>
      <c r="F13" s="520" t="s">
        <v>323</v>
      </c>
      <c r="G13" s="520" t="s">
        <v>324</v>
      </c>
      <c r="H13" s="520" t="s">
        <v>325</v>
      </c>
      <c r="I13" s="520" t="s">
        <v>326</v>
      </c>
      <c r="J13" s="520" t="s">
        <v>327</v>
      </c>
      <c r="K13" s="520" t="s">
        <v>328</v>
      </c>
      <c r="L13" s="520" t="s">
        <v>329</v>
      </c>
      <c r="M13" s="494" t="s">
        <v>330</v>
      </c>
      <c r="N13" s="520" t="s">
        <v>331</v>
      </c>
    </row>
    <row r="14" spans="1:36" ht="14.25" thickTop="1" thickBot="1" x14ac:dyDescent="0.25">
      <c r="A14" s="493" t="s">
        <v>343</v>
      </c>
      <c r="B14" s="497">
        <v>23209.99</v>
      </c>
      <c r="C14" s="497">
        <v>10260</v>
      </c>
      <c r="D14" s="522">
        <f>B14-C14</f>
        <v>12949.990000000002</v>
      </c>
      <c r="E14" s="523">
        <f>B14/C14</f>
        <v>2.2621822612085771</v>
      </c>
      <c r="F14" s="501">
        <v>0</v>
      </c>
      <c r="G14" s="501">
        <v>46219.5</v>
      </c>
      <c r="H14" s="501">
        <v>92439</v>
      </c>
      <c r="I14" s="501">
        <v>92439</v>
      </c>
      <c r="J14" s="505">
        <f>SUM(F14:I14)</f>
        <v>231097.5</v>
      </c>
      <c r="K14" s="506">
        <v>369756</v>
      </c>
      <c r="L14" s="534">
        <v>24.72</v>
      </c>
      <c r="M14" s="497">
        <v>9750</v>
      </c>
      <c r="N14" s="501">
        <v>1</v>
      </c>
      <c r="O14" s="525">
        <f t="shared" ref="O14:O17" si="7">+K14-J14</f>
        <v>138658.5</v>
      </c>
      <c r="P14" s="525">
        <f>4-3</f>
        <v>1</v>
      </c>
      <c r="Q14" s="525">
        <f>+$O14/$P14</f>
        <v>138658.5</v>
      </c>
      <c r="AI14" s="525">
        <f>SUM(Q14:AH14)+J14</f>
        <v>369756</v>
      </c>
      <c r="AJ14" s="525">
        <f>+AI14-K14</f>
        <v>0</v>
      </c>
    </row>
    <row r="15" spans="1:36" ht="14.25" thickTop="1" thickBot="1" x14ac:dyDescent="0.25">
      <c r="A15" s="493" t="s">
        <v>344</v>
      </c>
      <c r="B15" s="497">
        <v>19181.93</v>
      </c>
      <c r="C15" s="497">
        <v>18900</v>
      </c>
      <c r="D15" s="522">
        <f>B15-C15</f>
        <v>281.93000000000029</v>
      </c>
      <c r="E15" s="523">
        <f>B15/C15</f>
        <v>1.0149169312169313</v>
      </c>
      <c r="F15" s="501">
        <v>0</v>
      </c>
      <c r="G15" s="501">
        <v>0</v>
      </c>
      <c r="H15" s="501">
        <v>16650</v>
      </c>
      <c r="I15" s="501">
        <v>22200</v>
      </c>
      <c r="J15" s="505">
        <f>SUM(F15:I15)</f>
        <v>38850</v>
      </c>
      <c r="K15" s="506">
        <v>421800</v>
      </c>
      <c r="L15" s="534">
        <v>5.0999999999999996</v>
      </c>
      <c r="M15" s="497">
        <v>165000</v>
      </c>
      <c r="N15" s="501">
        <v>300</v>
      </c>
      <c r="O15" s="525">
        <f t="shared" si="7"/>
        <v>382950</v>
      </c>
      <c r="P15" s="525">
        <f>19-2</f>
        <v>17</v>
      </c>
      <c r="Q15" s="525">
        <f>+$O15/$P15</f>
        <v>22526.470588235294</v>
      </c>
      <c r="R15" s="525">
        <f t="shared" ref="R15:AG16" si="8">+$O15/$P15</f>
        <v>22526.470588235294</v>
      </c>
      <c r="S15" s="525">
        <f t="shared" si="8"/>
        <v>22526.470588235294</v>
      </c>
      <c r="T15" s="525">
        <f t="shared" si="8"/>
        <v>22526.470588235294</v>
      </c>
      <c r="U15" s="525">
        <f t="shared" si="8"/>
        <v>22526.470588235294</v>
      </c>
      <c r="V15" s="525">
        <f t="shared" si="8"/>
        <v>22526.470588235294</v>
      </c>
      <c r="W15" s="525">
        <f t="shared" si="8"/>
        <v>22526.470588235294</v>
      </c>
      <c r="X15" s="525">
        <f t="shared" si="8"/>
        <v>22526.470588235294</v>
      </c>
      <c r="Y15" s="525">
        <f t="shared" si="8"/>
        <v>22526.470588235294</v>
      </c>
      <c r="Z15" s="525">
        <f t="shared" si="8"/>
        <v>22526.470588235294</v>
      </c>
      <c r="AA15" s="525">
        <f t="shared" si="8"/>
        <v>22526.470588235294</v>
      </c>
      <c r="AB15" s="525">
        <f t="shared" si="8"/>
        <v>22526.470588235294</v>
      </c>
      <c r="AC15" s="525">
        <f t="shared" si="8"/>
        <v>22526.470588235294</v>
      </c>
      <c r="AD15" s="525">
        <f t="shared" si="8"/>
        <v>22526.470588235294</v>
      </c>
      <c r="AE15" s="525">
        <f t="shared" si="8"/>
        <v>22526.470588235294</v>
      </c>
      <c r="AF15" s="525">
        <f t="shared" si="8"/>
        <v>22526.470588235294</v>
      </c>
      <c r="AG15" s="525">
        <f t="shared" si="8"/>
        <v>22526.470588235294</v>
      </c>
      <c r="AI15" s="525">
        <f>SUM(Q15:AH15)+J15</f>
        <v>421800.00000000006</v>
      </c>
      <c r="AJ15" s="525">
        <f>+AI15-K15</f>
        <v>0</v>
      </c>
    </row>
    <row r="16" spans="1:36" ht="14.25" thickTop="1" thickBot="1" x14ac:dyDescent="0.25">
      <c r="A16" s="493" t="s">
        <v>345</v>
      </c>
      <c r="B16" s="497">
        <v>136840</v>
      </c>
      <c r="C16" s="497">
        <v>120570</v>
      </c>
      <c r="D16" s="522">
        <v>14643</v>
      </c>
      <c r="E16" s="523">
        <f>B16/C16</f>
        <v>1.1349423571369328</v>
      </c>
      <c r="F16" s="501">
        <v>57194</v>
      </c>
      <c r="G16" s="501">
        <v>343161</v>
      </c>
      <c r="H16" s="501">
        <v>343161</v>
      </c>
      <c r="I16" s="501">
        <v>343161</v>
      </c>
      <c r="J16" s="505">
        <f>SUM(F16:I16)</f>
        <v>1086677</v>
      </c>
      <c r="K16" s="506">
        <v>2402127</v>
      </c>
      <c r="L16" s="534">
        <v>18.2</v>
      </c>
      <c r="M16" s="497">
        <v>4450</v>
      </c>
      <c r="N16" s="501">
        <v>91</v>
      </c>
      <c r="O16" s="525">
        <f t="shared" si="7"/>
        <v>1315450</v>
      </c>
      <c r="P16" s="525">
        <f>10-4</f>
        <v>6</v>
      </c>
      <c r="Q16" s="525">
        <f>+$O16/$P16</f>
        <v>219241.66666666666</v>
      </c>
      <c r="R16" s="525">
        <f t="shared" si="8"/>
        <v>219241.66666666666</v>
      </c>
      <c r="S16" s="525">
        <f t="shared" si="8"/>
        <v>219241.66666666666</v>
      </c>
      <c r="T16" s="525">
        <f t="shared" si="8"/>
        <v>219241.66666666666</v>
      </c>
      <c r="U16" s="525">
        <f t="shared" si="8"/>
        <v>219241.66666666666</v>
      </c>
      <c r="V16" s="525">
        <f t="shared" si="8"/>
        <v>219241.66666666666</v>
      </c>
    </row>
    <row r="17" spans="1:36" ht="14.25" thickTop="1" thickBot="1" x14ac:dyDescent="0.25">
      <c r="A17" s="493" t="s">
        <v>346</v>
      </c>
      <c r="B17" s="497">
        <v>0</v>
      </c>
      <c r="C17" s="497">
        <v>0</v>
      </c>
      <c r="D17" s="522">
        <v>0</v>
      </c>
      <c r="E17" s="523">
        <v>0</v>
      </c>
      <c r="F17" s="501">
        <v>0</v>
      </c>
      <c r="G17" s="501">
        <v>0</v>
      </c>
      <c r="H17" s="501">
        <v>0</v>
      </c>
      <c r="I17" s="501">
        <v>0</v>
      </c>
      <c r="J17" s="505">
        <f>SUM(F17:I17)</f>
        <v>0</v>
      </c>
      <c r="K17" s="506">
        <v>0</v>
      </c>
      <c r="L17" s="534">
        <v>0</v>
      </c>
      <c r="M17" s="497">
        <v>3000</v>
      </c>
      <c r="N17" s="501">
        <v>0</v>
      </c>
      <c r="O17" s="525">
        <f t="shared" si="7"/>
        <v>0</v>
      </c>
      <c r="P17" s="525"/>
    </row>
    <row r="18" spans="1:36" ht="14.25" thickTop="1" thickBot="1" x14ac:dyDescent="0.25">
      <c r="A18" s="18"/>
      <c r="B18" s="527"/>
      <c r="C18" s="528"/>
      <c r="D18" s="529">
        <f>B18-C18</f>
        <v>0</v>
      </c>
      <c r="E18" s="530">
        <v>0</v>
      </c>
      <c r="F18" s="502"/>
      <c r="G18" s="502"/>
      <c r="H18" s="502"/>
      <c r="I18" s="502"/>
      <c r="J18" s="508"/>
      <c r="K18" s="508"/>
      <c r="L18" s="502"/>
      <c r="M18" s="528"/>
      <c r="N18" s="502"/>
    </row>
    <row r="19" spans="1:36" x14ac:dyDescent="0.2">
      <c r="A19" s="531" t="s">
        <v>341</v>
      </c>
      <c r="B19" s="532">
        <f>SUM(B14:B18)</f>
        <v>179231.91999999998</v>
      </c>
      <c r="C19" s="532">
        <f>SUM(C14:C18)</f>
        <v>149730</v>
      </c>
      <c r="D19" s="514">
        <f>SUM(D14:D18)</f>
        <v>27874.920000000002</v>
      </c>
      <c r="E19" s="533">
        <f>B19/C19</f>
        <v>1.1970341280972416</v>
      </c>
      <c r="F19" s="514">
        <f t="shared" ref="F19:N19" si="9">SUM(F14:F17)</f>
        <v>57194</v>
      </c>
      <c r="G19" s="504">
        <f t="shared" si="9"/>
        <v>389380.5</v>
      </c>
      <c r="H19" s="503">
        <f t="shared" si="9"/>
        <v>452250</v>
      </c>
      <c r="I19" s="504">
        <f t="shared" si="9"/>
        <v>457800</v>
      </c>
      <c r="J19" s="504">
        <f t="shared" si="9"/>
        <v>1356624.5</v>
      </c>
      <c r="K19" s="504">
        <f t="shared" si="9"/>
        <v>3193683</v>
      </c>
      <c r="L19" s="514">
        <f t="shared" si="9"/>
        <v>48.019999999999996</v>
      </c>
      <c r="M19" s="514">
        <f t="shared" si="9"/>
        <v>182200</v>
      </c>
      <c r="N19" s="504">
        <f t="shared" si="9"/>
        <v>392</v>
      </c>
      <c r="O19" s="525">
        <f>SUM(O14:O17)</f>
        <v>1837058.5</v>
      </c>
      <c r="P19" s="525"/>
      <c r="Q19" s="525">
        <f t="shared" ref="Q19:AH19" si="10">SUM(Q14:Q17)</f>
        <v>380426.63725490193</v>
      </c>
      <c r="R19" s="525">
        <f t="shared" si="10"/>
        <v>241768.13725490196</v>
      </c>
      <c r="S19" s="525">
        <f t="shared" si="10"/>
        <v>241768.13725490196</v>
      </c>
      <c r="T19" s="525">
        <f t="shared" si="10"/>
        <v>241768.13725490196</v>
      </c>
      <c r="U19" s="525">
        <f t="shared" si="10"/>
        <v>241768.13725490196</v>
      </c>
      <c r="V19" s="525">
        <f t="shared" si="10"/>
        <v>241768.13725490196</v>
      </c>
      <c r="W19" s="525">
        <f t="shared" si="10"/>
        <v>22526.470588235294</v>
      </c>
      <c r="X19" s="525">
        <f t="shared" si="10"/>
        <v>22526.470588235294</v>
      </c>
      <c r="Y19" s="525">
        <f t="shared" si="10"/>
        <v>22526.470588235294</v>
      </c>
      <c r="Z19" s="525">
        <f t="shared" si="10"/>
        <v>22526.470588235294</v>
      </c>
      <c r="AA19" s="525">
        <f t="shared" si="10"/>
        <v>22526.470588235294</v>
      </c>
      <c r="AB19" s="525">
        <f t="shared" si="10"/>
        <v>22526.470588235294</v>
      </c>
      <c r="AC19" s="525">
        <f t="shared" si="10"/>
        <v>22526.470588235294</v>
      </c>
      <c r="AD19" s="525">
        <f t="shared" si="10"/>
        <v>22526.470588235294</v>
      </c>
      <c r="AE19" s="525">
        <f t="shared" si="10"/>
        <v>22526.470588235294</v>
      </c>
      <c r="AF19" s="525">
        <f t="shared" si="10"/>
        <v>22526.470588235294</v>
      </c>
      <c r="AG19" s="525">
        <f t="shared" si="10"/>
        <v>22526.470588235294</v>
      </c>
      <c r="AH19" s="525">
        <f t="shared" si="10"/>
        <v>0</v>
      </c>
      <c r="AI19" s="525">
        <f>SUM(Q19:AH19)+J19</f>
        <v>3193682.9999999986</v>
      </c>
      <c r="AJ19" s="525">
        <f>+AI19-K19</f>
        <v>0</v>
      </c>
    </row>
    <row r="20" spans="1:36" x14ac:dyDescent="0.2">
      <c r="A20" s="531"/>
      <c r="B20" s="532"/>
      <c r="C20" s="532"/>
      <c r="D20" s="514"/>
      <c r="E20" s="533"/>
      <c r="F20" s="514"/>
      <c r="G20" s="514"/>
      <c r="H20" s="503"/>
      <c r="I20" s="514"/>
      <c r="J20" s="514"/>
      <c r="K20" s="514"/>
      <c r="L20" s="514"/>
      <c r="M20" s="514"/>
      <c r="N20" s="514"/>
    </row>
    <row r="21" spans="1:36" x14ac:dyDescent="0.2">
      <c r="A21" s="682" t="s">
        <v>347</v>
      </c>
      <c r="B21" s="682"/>
      <c r="C21" s="682"/>
      <c r="D21" s="682"/>
      <c r="E21" s="682"/>
      <c r="F21" s="682"/>
      <c r="G21" s="682"/>
      <c r="H21" s="682"/>
      <c r="I21" s="682"/>
      <c r="J21" s="682"/>
      <c r="K21" s="682"/>
      <c r="L21" s="682"/>
      <c r="M21" s="682"/>
    </row>
    <row r="22" spans="1:36" ht="39" thickBot="1" x14ac:dyDescent="0.25">
      <c r="A22" s="493"/>
      <c r="B22" s="494" t="s">
        <v>319</v>
      </c>
      <c r="C22" s="494" t="s">
        <v>320</v>
      </c>
      <c r="D22" s="518" t="s">
        <v>321</v>
      </c>
      <c r="E22" s="519" t="s">
        <v>322</v>
      </c>
      <c r="F22" s="520" t="s">
        <v>323</v>
      </c>
      <c r="G22" s="520" t="s">
        <v>324</v>
      </c>
      <c r="H22" s="520" t="s">
        <v>325</v>
      </c>
      <c r="I22" s="520" t="s">
        <v>326</v>
      </c>
      <c r="J22" s="520" t="s">
        <v>327</v>
      </c>
      <c r="K22" s="520" t="s">
        <v>328</v>
      </c>
      <c r="L22" s="520" t="s">
        <v>329</v>
      </c>
      <c r="M22" s="494" t="s">
        <v>330</v>
      </c>
      <c r="N22" s="520" t="s">
        <v>331</v>
      </c>
    </row>
    <row r="23" spans="1:36" ht="14.25" thickTop="1" thickBot="1" x14ac:dyDescent="0.25">
      <c r="A23" s="493" t="s">
        <v>348</v>
      </c>
      <c r="B23" s="496">
        <v>0</v>
      </c>
      <c r="C23" s="496">
        <v>0</v>
      </c>
      <c r="D23" s="522">
        <f>B23-C23</f>
        <v>0</v>
      </c>
      <c r="E23" s="523">
        <v>0</v>
      </c>
      <c r="F23" s="510">
        <v>0</v>
      </c>
      <c r="G23" s="510">
        <v>0</v>
      </c>
      <c r="H23" s="510">
        <v>0</v>
      </c>
      <c r="I23" s="510">
        <v>0</v>
      </c>
      <c r="J23" s="510">
        <f>SUM(F23:I23)</f>
        <v>0</v>
      </c>
      <c r="K23" s="510">
        <v>0</v>
      </c>
      <c r="L23" s="510">
        <v>0</v>
      </c>
      <c r="M23" s="496">
        <v>6661</v>
      </c>
      <c r="N23" s="510">
        <v>0</v>
      </c>
      <c r="O23" s="525">
        <f t="shared" ref="O23:O27" si="11">+K23-J23</f>
        <v>0</v>
      </c>
      <c r="P23" s="525"/>
    </row>
    <row r="24" spans="1:36" ht="14.25" thickTop="1" thickBot="1" x14ac:dyDescent="0.25">
      <c r="A24" s="493" t="s">
        <v>349</v>
      </c>
      <c r="B24" s="496">
        <v>0</v>
      </c>
      <c r="C24" s="496">
        <v>0</v>
      </c>
      <c r="D24" s="522">
        <f>B24-C24</f>
        <v>0</v>
      </c>
      <c r="E24" s="523">
        <v>0</v>
      </c>
      <c r="F24" s="510">
        <v>0</v>
      </c>
      <c r="G24" s="510">
        <v>0</v>
      </c>
      <c r="H24" s="510">
        <v>0</v>
      </c>
      <c r="I24" s="510">
        <v>0</v>
      </c>
      <c r="J24" s="510">
        <f>SUM(F24:I24)</f>
        <v>0</v>
      </c>
      <c r="K24" s="510">
        <v>0</v>
      </c>
      <c r="L24" s="510">
        <v>0</v>
      </c>
      <c r="M24" s="496">
        <v>10643.35</v>
      </c>
      <c r="N24" s="510">
        <v>0</v>
      </c>
      <c r="O24" s="525">
        <f t="shared" si="11"/>
        <v>0</v>
      </c>
      <c r="P24" s="525"/>
    </row>
    <row r="25" spans="1:36" ht="14.25" thickTop="1" thickBot="1" x14ac:dyDescent="0.25">
      <c r="A25" s="493" t="s">
        <v>350</v>
      </c>
      <c r="B25" s="496">
        <v>344616.46</v>
      </c>
      <c r="C25" s="496">
        <v>120285.99</v>
      </c>
      <c r="D25" s="522">
        <f>B25-C25</f>
        <v>224330.47000000003</v>
      </c>
      <c r="E25" s="523">
        <f>B25/C25</f>
        <v>2.8649758795683522</v>
      </c>
      <c r="F25" s="510">
        <v>0</v>
      </c>
      <c r="G25" s="510">
        <v>405506.72</v>
      </c>
      <c r="H25" s="510">
        <v>811013.43</v>
      </c>
      <c r="I25" s="510">
        <v>811013.43</v>
      </c>
      <c r="J25" s="510">
        <f>SUM(F25:I25)</f>
        <v>2027533.58</v>
      </c>
      <c r="K25" s="510">
        <v>5677094</v>
      </c>
      <c r="L25" s="510">
        <v>219.08</v>
      </c>
      <c r="M25" s="496">
        <v>79859.649999999994</v>
      </c>
      <c r="N25" s="510">
        <v>2977</v>
      </c>
      <c r="O25" s="525">
        <f t="shared" si="11"/>
        <v>3649560.42</v>
      </c>
      <c r="P25" s="525">
        <f>11-3</f>
        <v>8</v>
      </c>
      <c r="Q25" s="525">
        <f t="shared" ref="Q25:X26" si="12">+$O25/$P25</f>
        <v>456195.05249999999</v>
      </c>
      <c r="R25" s="525">
        <f t="shared" si="12"/>
        <v>456195.05249999999</v>
      </c>
      <c r="S25" s="525">
        <f t="shared" si="12"/>
        <v>456195.05249999999</v>
      </c>
      <c r="T25" s="525">
        <f t="shared" si="12"/>
        <v>456195.05249999999</v>
      </c>
      <c r="U25" s="525">
        <f t="shared" si="12"/>
        <v>456195.05249999999</v>
      </c>
      <c r="V25" s="525">
        <f t="shared" si="12"/>
        <v>456195.05249999999</v>
      </c>
      <c r="W25" s="525">
        <f t="shared" si="12"/>
        <v>456195.05249999999</v>
      </c>
      <c r="X25" s="525">
        <f t="shared" si="12"/>
        <v>456195.05249999999</v>
      </c>
      <c r="AI25" s="525">
        <f>SUM(Q25:AH25)+J25</f>
        <v>5677094.0000000009</v>
      </c>
      <c r="AJ25" s="525">
        <f>+AI25-K25</f>
        <v>0</v>
      </c>
    </row>
    <row r="26" spans="1:36" ht="14.25" thickTop="1" thickBot="1" x14ac:dyDescent="0.25">
      <c r="A26" s="493" t="s">
        <v>351</v>
      </c>
      <c r="B26" s="497">
        <v>2380441.27</v>
      </c>
      <c r="C26" s="497">
        <v>1284682.6599999999</v>
      </c>
      <c r="D26" s="522">
        <f>B26-C26</f>
        <v>1095758.6100000001</v>
      </c>
      <c r="E26" s="523">
        <f>B26/C26</f>
        <v>1.8529410757361668</v>
      </c>
      <c r="F26" s="501">
        <v>0</v>
      </c>
      <c r="G26" s="501">
        <v>278704.92</v>
      </c>
      <c r="H26" s="501">
        <v>2995180.06</v>
      </c>
      <c r="I26" s="501">
        <v>3877147</v>
      </c>
      <c r="J26" s="510">
        <f>SUM(F26:I26)</f>
        <v>7151031.9800000004</v>
      </c>
      <c r="K26" s="501">
        <v>27140030</v>
      </c>
      <c r="L26" s="501">
        <v>727.86</v>
      </c>
      <c r="M26" s="497">
        <v>401963.04</v>
      </c>
      <c r="N26" s="501">
        <v>22</v>
      </c>
      <c r="O26" s="525">
        <f t="shared" si="11"/>
        <v>19988998.02</v>
      </c>
      <c r="P26" s="525">
        <f>7-3</f>
        <v>4</v>
      </c>
      <c r="Q26" s="525">
        <f t="shared" si="12"/>
        <v>4997249.5049999999</v>
      </c>
      <c r="R26" s="525">
        <f t="shared" si="12"/>
        <v>4997249.5049999999</v>
      </c>
      <c r="S26" s="525">
        <f t="shared" si="12"/>
        <v>4997249.5049999999</v>
      </c>
      <c r="T26" s="525">
        <f t="shared" si="12"/>
        <v>4997249.5049999999</v>
      </c>
      <c r="AI26" s="525">
        <f>SUM(Q26:AH26)+J26</f>
        <v>27140030</v>
      </c>
      <c r="AJ26" s="525">
        <f>+AI26-K26</f>
        <v>0</v>
      </c>
    </row>
    <row r="27" spans="1:36" ht="14.25" thickTop="1" thickBot="1" x14ac:dyDescent="0.25">
      <c r="A27" s="493" t="s">
        <v>352</v>
      </c>
      <c r="B27" s="497">
        <v>221695.31</v>
      </c>
      <c r="C27" s="497">
        <v>80156.160000000003</v>
      </c>
      <c r="D27" s="522">
        <f>B27-C27</f>
        <v>141539.15</v>
      </c>
      <c r="E27" s="523">
        <f>B27/C27</f>
        <v>2.7657925479464085</v>
      </c>
      <c r="F27" s="501">
        <v>0</v>
      </c>
      <c r="G27" s="501">
        <v>0</v>
      </c>
      <c r="H27" s="501">
        <v>0</v>
      </c>
      <c r="I27" s="501">
        <v>0</v>
      </c>
      <c r="J27" s="510">
        <f>SUM(F27:I27)</f>
        <v>0</v>
      </c>
      <c r="K27" s="501">
        <v>0</v>
      </c>
      <c r="L27" s="501">
        <v>322.33999999999997</v>
      </c>
      <c r="M27" s="497">
        <v>35334</v>
      </c>
      <c r="N27" s="501">
        <v>6</v>
      </c>
      <c r="O27" s="525">
        <f t="shared" si="11"/>
        <v>0</v>
      </c>
      <c r="P27" s="525"/>
    </row>
    <row r="28" spans="1:36" ht="13.5" thickTop="1" x14ac:dyDescent="0.2">
      <c r="A28" s="493"/>
      <c r="B28" s="535"/>
      <c r="C28" s="535"/>
      <c r="D28" s="529"/>
      <c r="E28" s="536"/>
      <c r="F28" s="537"/>
      <c r="G28" s="537"/>
      <c r="H28" s="537"/>
      <c r="I28" s="537"/>
      <c r="J28" s="537"/>
      <c r="K28" s="537"/>
      <c r="L28" s="537"/>
      <c r="M28" s="535"/>
      <c r="N28" s="537"/>
    </row>
    <row r="29" spans="1:36" ht="13.5" thickBot="1" x14ac:dyDescent="0.25">
      <c r="A29" s="18" t="s">
        <v>353</v>
      </c>
      <c r="B29" s="527"/>
      <c r="C29" s="528"/>
      <c r="D29" s="538">
        <v>0</v>
      </c>
      <c r="E29" s="530">
        <v>0</v>
      </c>
      <c r="F29" s="502"/>
      <c r="G29" s="502"/>
      <c r="H29" s="502"/>
      <c r="I29" s="502"/>
      <c r="J29" s="502"/>
      <c r="K29" s="502"/>
      <c r="L29" s="502"/>
      <c r="M29" s="528"/>
      <c r="N29" s="502"/>
    </row>
    <row r="30" spans="1:36" x14ac:dyDescent="0.2">
      <c r="A30" s="531" t="s">
        <v>354</v>
      </c>
      <c r="B30" s="532">
        <f>SUM(B22:B29)</f>
        <v>2946753.04</v>
      </c>
      <c r="C30" s="532">
        <f>SUM(C22:C29)</f>
        <v>1485124.8099999998</v>
      </c>
      <c r="D30" s="514">
        <f>SUM(D22:D29)</f>
        <v>1461628.23</v>
      </c>
      <c r="E30" s="533">
        <f>B30/C30</f>
        <v>1.9841787169389489</v>
      </c>
      <c r="F30" s="514">
        <f t="shared" ref="F30:L30" si="13">SUM(F22:F28)</f>
        <v>0</v>
      </c>
      <c r="G30" s="504">
        <f t="shared" si="13"/>
        <v>684211.6399999999</v>
      </c>
      <c r="H30" s="504">
        <f t="shared" si="13"/>
        <v>3806193.49</v>
      </c>
      <c r="I30" s="504">
        <f t="shared" si="13"/>
        <v>4688160.43</v>
      </c>
      <c r="J30" s="503">
        <f t="shared" si="13"/>
        <v>9178565.5600000005</v>
      </c>
      <c r="K30" s="504">
        <f t="shared" si="13"/>
        <v>32817124</v>
      </c>
      <c r="L30" s="514">
        <f t="shared" si="13"/>
        <v>1269.28</v>
      </c>
      <c r="M30" s="514">
        <f>SUM(M23:M28)</f>
        <v>534461.04</v>
      </c>
      <c r="N30" s="504">
        <f>SUM(N22:N28)</f>
        <v>3005</v>
      </c>
      <c r="O30" s="525">
        <f>SUM(O23:O27)</f>
        <v>23638558.439999998</v>
      </c>
      <c r="P30" s="525"/>
      <c r="Q30" s="525">
        <f t="shared" ref="Q30:AH30" si="14">SUM(Q23:Q27)</f>
        <v>5453444.5575000001</v>
      </c>
      <c r="R30" s="525">
        <f t="shared" si="14"/>
        <v>5453444.5575000001</v>
      </c>
      <c r="S30" s="525">
        <f t="shared" si="14"/>
        <v>5453444.5575000001</v>
      </c>
      <c r="T30" s="525">
        <f t="shared" si="14"/>
        <v>5453444.5575000001</v>
      </c>
      <c r="U30" s="525">
        <f t="shared" si="14"/>
        <v>456195.05249999999</v>
      </c>
      <c r="V30" s="525">
        <f t="shared" si="14"/>
        <v>456195.05249999999</v>
      </c>
      <c r="W30" s="525">
        <f t="shared" si="14"/>
        <v>456195.05249999999</v>
      </c>
      <c r="X30" s="525">
        <f t="shared" si="14"/>
        <v>456195.05249999999</v>
      </c>
      <c r="Y30" s="525">
        <f t="shared" si="14"/>
        <v>0</v>
      </c>
      <c r="Z30" s="525">
        <f t="shared" si="14"/>
        <v>0</v>
      </c>
      <c r="AA30" s="525">
        <f t="shared" si="14"/>
        <v>0</v>
      </c>
      <c r="AB30" s="525">
        <f t="shared" si="14"/>
        <v>0</v>
      </c>
      <c r="AC30" s="525">
        <f t="shared" si="14"/>
        <v>0</v>
      </c>
      <c r="AD30" s="525">
        <f t="shared" si="14"/>
        <v>0</v>
      </c>
      <c r="AE30" s="525">
        <f t="shared" si="14"/>
        <v>0</v>
      </c>
      <c r="AF30" s="525">
        <f t="shared" si="14"/>
        <v>0</v>
      </c>
      <c r="AG30" s="525">
        <f t="shared" si="14"/>
        <v>0</v>
      </c>
      <c r="AH30" s="525">
        <f t="shared" si="14"/>
        <v>0</v>
      </c>
      <c r="AI30" s="525">
        <f>SUM(Q30:AH30)+J30</f>
        <v>32817123.999999993</v>
      </c>
      <c r="AJ30" s="525">
        <f>+AI30-K30</f>
        <v>0</v>
      </c>
    </row>
    <row r="31" spans="1:36" ht="20.25" x14ac:dyDescent="0.3">
      <c r="A31" s="49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36" x14ac:dyDescent="0.2">
      <c r="A32" s="682" t="s">
        <v>355</v>
      </c>
      <c r="B32" s="682"/>
      <c r="C32" s="682"/>
      <c r="D32" s="682"/>
      <c r="E32" s="682"/>
      <c r="F32" s="682"/>
      <c r="G32" s="682"/>
      <c r="H32" s="682"/>
      <c r="I32" s="682"/>
      <c r="J32" s="682"/>
      <c r="K32" s="682"/>
      <c r="L32" s="682"/>
      <c r="M32" s="682"/>
    </row>
    <row r="33" spans="1:36" ht="39" thickBot="1" x14ac:dyDescent="0.25">
      <c r="A33" s="493"/>
      <c r="B33" s="494" t="s">
        <v>319</v>
      </c>
      <c r="C33" s="494" t="s">
        <v>320</v>
      </c>
      <c r="D33" s="518" t="s">
        <v>321</v>
      </c>
      <c r="E33" s="519" t="s">
        <v>322</v>
      </c>
      <c r="F33" s="520" t="s">
        <v>323</v>
      </c>
      <c r="G33" s="520" t="s">
        <v>324</v>
      </c>
      <c r="H33" s="520" t="s">
        <v>325</v>
      </c>
      <c r="I33" s="520" t="s">
        <v>326</v>
      </c>
      <c r="J33" s="520" t="s">
        <v>327</v>
      </c>
      <c r="K33" s="520" t="s">
        <v>328</v>
      </c>
      <c r="L33" s="520" t="s">
        <v>329</v>
      </c>
      <c r="M33" s="494" t="s">
        <v>330</v>
      </c>
      <c r="N33" s="520" t="s">
        <v>331</v>
      </c>
    </row>
    <row r="34" spans="1:36" ht="14.25" thickTop="1" thickBot="1" x14ac:dyDescent="0.25">
      <c r="A34" s="493" t="s">
        <v>356</v>
      </c>
      <c r="B34" s="497">
        <v>1344045.63</v>
      </c>
      <c r="C34" s="497">
        <v>561600</v>
      </c>
      <c r="D34" s="522">
        <f>B34-C34</f>
        <v>782445.62999999989</v>
      </c>
      <c r="E34" s="523">
        <f>B34/C34</f>
        <v>2.3932436431623931</v>
      </c>
      <c r="F34" s="510">
        <v>0</v>
      </c>
      <c r="G34" s="505">
        <v>71220.929999999993</v>
      </c>
      <c r="H34" s="505">
        <v>952325.58</v>
      </c>
      <c r="I34" s="510">
        <v>1587209.3</v>
      </c>
      <c r="J34" s="510">
        <f>SUM(F34:I34)</f>
        <v>2610755.81</v>
      </c>
      <c r="K34" s="510">
        <v>31744186</v>
      </c>
      <c r="L34" s="510">
        <v>0</v>
      </c>
      <c r="M34" s="496">
        <v>170000</v>
      </c>
      <c r="N34" s="510">
        <v>156</v>
      </c>
      <c r="O34" s="525">
        <f t="shared" ref="O34:O37" si="15">+K34-J34</f>
        <v>29133430.190000001</v>
      </c>
      <c r="P34" s="525">
        <f>20-3</f>
        <v>17</v>
      </c>
      <c r="Q34" s="525">
        <f t="shared" ref="Q34:AF35" si="16">+$O34/$P34</f>
        <v>1713731.1876470589</v>
      </c>
      <c r="R34" s="525">
        <f t="shared" si="16"/>
        <v>1713731.1876470589</v>
      </c>
      <c r="S34" s="525">
        <f t="shared" si="16"/>
        <v>1713731.1876470589</v>
      </c>
      <c r="T34" s="525">
        <f t="shared" si="16"/>
        <v>1713731.1876470589</v>
      </c>
      <c r="U34" s="525">
        <f t="shared" si="16"/>
        <v>1713731.1876470589</v>
      </c>
      <c r="V34" s="525">
        <f t="shared" si="16"/>
        <v>1713731.1876470589</v>
      </c>
      <c r="W34" s="525">
        <f t="shared" si="16"/>
        <v>1713731.1876470589</v>
      </c>
      <c r="X34" s="525">
        <f t="shared" si="16"/>
        <v>1713731.1876470589</v>
      </c>
      <c r="Y34" s="525">
        <f t="shared" si="16"/>
        <v>1713731.1876470589</v>
      </c>
      <c r="Z34" s="525">
        <f t="shared" si="16"/>
        <v>1713731.1876470589</v>
      </c>
      <c r="AA34" s="525">
        <f t="shared" si="16"/>
        <v>1713731.1876470589</v>
      </c>
      <c r="AB34" s="525">
        <f t="shared" si="16"/>
        <v>1713731.1876470589</v>
      </c>
      <c r="AC34" s="525">
        <f t="shared" si="16"/>
        <v>1713731.1876470589</v>
      </c>
      <c r="AD34" s="525">
        <f t="shared" si="16"/>
        <v>1713731.1876470589</v>
      </c>
      <c r="AE34" s="525">
        <f t="shared" si="16"/>
        <v>1713731.1876470589</v>
      </c>
      <c r="AF34" s="525">
        <f t="shared" si="16"/>
        <v>1713731.1876470589</v>
      </c>
      <c r="AG34" s="525">
        <f t="shared" ref="AG34" si="17">+$O34/$P34</f>
        <v>1713731.1876470589</v>
      </c>
      <c r="AI34" s="525">
        <f>SUM(Q34:AH34)+J34</f>
        <v>31744186.000000007</v>
      </c>
      <c r="AJ34" s="525">
        <f>+AI34-K34</f>
        <v>0</v>
      </c>
    </row>
    <row r="35" spans="1:36" ht="14.25" thickTop="1" thickBot="1" x14ac:dyDescent="0.25">
      <c r="A35" s="493" t="s">
        <v>357</v>
      </c>
      <c r="B35" s="497">
        <v>121519.05</v>
      </c>
      <c r="C35" s="497">
        <v>52848</v>
      </c>
      <c r="D35" s="522">
        <v>34335.519999999997</v>
      </c>
      <c r="E35" s="523">
        <f>B35/C35</f>
        <v>2.2994067892824703</v>
      </c>
      <c r="F35" s="501">
        <f>284202-189468</f>
        <v>94734</v>
      </c>
      <c r="G35" s="506">
        <v>284202</v>
      </c>
      <c r="H35" s="506">
        <v>284202</v>
      </c>
      <c r="I35" s="501">
        <v>284202</v>
      </c>
      <c r="J35" s="510">
        <f>SUM(F35:I35)</f>
        <v>947340</v>
      </c>
      <c r="K35" s="501">
        <v>1989414</v>
      </c>
      <c r="L35" s="526">
        <v>39.14</v>
      </c>
      <c r="M35" s="497">
        <v>52848</v>
      </c>
      <c r="N35" s="501">
        <v>859</v>
      </c>
      <c r="O35" s="525">
        <f t="shared" si="15"/>
        <v>1042074</v>
      </c>
      <c r="P35" s="525">
        <f>7-4</f>
        <v>3</v>
      </c>
      <c r="Q35" s="525">
        <f t="shared" si="16"/>
        <v>347358</v>
      </c>
      <c r="R35" s="525">
        <f t="shared" si="16"/>
        <v>347358</v>
      </c>
      <c r="S35" s="525">
        <f t="shared" si="16"/>
        <v>347358</v>
      </c>
    </row>
    <row r="36" spans="1:36" ht="14.25" thickTop="1" thickBot="1" x14ac:dyDescent="0.25">
      <c r="A36" s="493" t="s">
        <v>358</v>
      </c>
      <c r="B36" s="497">
        <v>0</v>
      </c>
      <c r="C36" s="497">
        <v>0</v>
      </c>
      <c r="D36" s="522">
        <f>B36-C36</f>
        <v>0</v>
      </c>
      <c r="E36" s="523">
        <v>0</v>
      </c>
      <c r="F36" s="501">
        <v>0</v>
      </c>
      <c r="G36" s="506">
        <v>0</v>
      </c>
      <c r="H36" s="506">
        <v>0</v>
      </c>
      <c r="I36" s="501">
        <v>0</v>
      </c>
      <c r="J36" s="510">
        <f>SUM(F36:I36)</f>
        <v>0</v>
      </c>
      <c r="K36" s="501">
        <v>0</v>
      </c>
      <c r="L36" s="501">
        <v>0</v>
      </c>
      <c r="M36" s="497">
        <v>17575</v>
      </c>
      <c r="N36" s="501">
        <v>0</v>
      </c>
      <c r="O36" s="525">
        <f t="shared" si="15"/>
        <v>0</v>
      </c>
      <c r="P36" s="525"/>
    </row>
    <row r="37" spans="1:36" ht="13.5" thickTop="1" x14ac:dyDescent="0.2">
      <c r="A37" s="493"/>
      <c r="B37" s="535"/>
      <c r="C37" s="535"/>
      <c r="D37" s="529">
        <f>B37-C37</f>
        <v>0</v>
      </c>
      <c r="E37" s="536"/>
      <c r="F37" s="537"/>
      <c r="G37" s="507"/>
      <c r="H37" s="507"/>
      <c r="I37" s="537"/>
      <c r="J37" s="537"/>
      <c r="K37" s="537"/>
      <c r="L37" s="537"/>
      <c r="M37" s="535"/>
      <c r="N37" s="537"/>
      <c r="O37" s="525">
        <f t="shared" si="15"/>
        <v>0</v>
      </c>
      <c r="P37" s="525"/>
    </row>
    <row r="38" spans="1:36" ht="13.5" thickBot="1" x14ac:dyDescent="0.25">
      <c r="A38" s="18" t="s">
        <v>353</v>
      </c>
      <c r="B38" s="527"/>
      <c r="C38" s="528"/>
      <c r="D38" s="538">
        <v>0</v>
      </c>
      <c r="E38" s="530">
        <v>0</v>
      </c>
      <c r="F38" s="502"/>
      <c r="G38" s="508"/>
      <c r="H38" s="508"/>
      <c r="I38" s="502"/>
      <c r="J38" s="502"/>
      <c r="K38" s="502"/>
      <c r="L38" s="502"/>
      <c r="M38" s="528"/>
      <c r="N38" s="508"/>
    </row>
    <row r="39" spans="1:36" x14ac:dyDescent="0.2">
      <c r="A39" s="531" t="s">
        <v>359</v>
      </c>
      <c r="B39" s="532">
        <f>SUM(B33:B38)</f>
        <v>1465564.68</v>
      </c>
      <c r="C39" s="532">
        <f>SUM(C33:C38)</f>
        <v>614448</v>
      </c>
      <c r="D39" s="514">
        <f>SUM(D33:D38)</f>
        <v>816781.14999999991</v>
      </c>
      <c r="E39" s="533">
        <f>B39/C39</f>
        <v>2.3851728380595265</v>
      </c>
      <c r="F39" s="514">
        <f t="shared" ref="F39:L39" si="18">SUM(F33:F37)</f>
        <v>94734</v>
      </c>
      <c r="G39" s="504">
        <f t="shared" si="18"/>
        <v>355422.93</v>
      </c>
      <c r="H39" s="504">
        <f t="shared" si="18"/>
        <v>1236527.58</v>
      </c>
      <c r="I39" s="504">
        <f t="shared" si="18"/>
        <v>1871411.3</v>
      </c>
      <c r="J39" s="504">
        <f t="shared" si="18"/>
        <v>3558095.81</v>
      </c>
      <c r="K39" s="504">
        <f t="shared" si="18"/>
        <v>33733600</v>
      </c>
      <c r="L39" s="514">
        <f t="shared" si="18"/>
        <v>39.14</v>
      </c>
      <c r="M39" s="509">
        <f>SUM(M34:M37)</f>
        <v>240423</v>
      </c>
      <c r="N39" s="504">
        <f>SUM(N33:N37)</f>
        <v>1015</v>
      </c>
      <c r="O39" s="525">
        <f>SUM(O34:O37)</f>
        <v>30175504.190000001</v>
      </c>
      <c r="P39" s="525"/>
      <c r="Q39" s="525">
        <f t="shared" ref="Q39:AH39" si="19">SUM(Q34:Q37)</f>
        <v>2061089.1876470589</v>
      </c>
      <c r="R39" s="525">
        <f t="shared" si="19"/>
        <v>2061089.1876470589</v>
      </c>
      <c r="S39" s="525">
        <f t="shared" si="19"/>
        <v>2061089.1876470589</v>
      </c>
      <c r="T39" s="525">
        <f t="shared" si="19"/>
        <v>1713731.1876470589</v>
      </c>
      <c r="U39" s="525">
        <f t="shared" si="19"/>
        <v>1713731.1876470589</v>
      </c>
      <c r="V39" s="525">
        <f t="shared" si="19"/>
        <v>1713731.1876470589</v>
      </c>
      <c r="W39" s="525">
        <f t="shared" si="19"/>
        <v>1713731.1876470589</v>
      </c>
      <c r="X39" s="525">
        <f t="shared" si="19"/>
        <v>1713731.1876470589</v>
      </c>
      <c r="Y39" s="525">
        <f t="shared" si="19"/>
        <v>1713731.1876470589</v>
      </c>
      <c r="Z39" s="525">
        <f t="shared" si="19"/>
        <v>1713731.1876470589</v>
      </c>
      <c r="AA39" s="525">
        <f t="shared" si="19"/>
        <v>1713731.1876470589</v>
      </c>
      <c r="AB39" s="525">
        <f t="shared" si="19"/>
        <v>1713731.1876470589</v>
      </c>
      <c r="AC39" s="525">
        <f t="shared" si="19"/>
        <v>1713731.1876470589</v>
      </c>
      <c r="AD39" s="525">
        <f t="shared" si="19"/>
        <v>1713731.1876470589</v>
      </c>
      <c r="AE39" s="525">
        <f t="shared" si="19"/>
        <v>1713731.1876470589</v>
      </c>
      <c r="AF39" s="525">
        <f t="shared" si="19"/>
        <v>1713731.1876470589</v>
      </c>
      <c r="AG39" s="525">
        <f t="shared" si="19"/>
        <v>1713731.1876470589</v>
      </c>
      <c r="AH39" s="525">
        <f t="shared" si="19"/>
        <v>0</v>
      </c>
      <c r="AI39" s="525">
        <f>SUM(Q39:AH39)+J39</f>
        <v>33733600.000000007</v>
      </c>
      <c r="AJ39" s="525">
        <f>+AI39-K39</f>
        <v>0</v>
      </c>
    </row>
    <row r="40" spans="1:36" ht="20.25" x14ac:dyDescent="0.3">
      <c r="A40" s="49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36" x14ac:dyDescent="0.2">
      <c r="A41" s="682" t="s">
        <v>360</v>
      </c>
      <c r="B41" s="682"/>
      <c r="C41" s="682"/>
      <c r="D41" s="682"/>
      <c r="E41" s="682"/>
      <c r="F41" s="682"/>
      <c r="G41" s="682"/>
      <c r="H41" s="682"/>
      <c r="I41" s="682"/>
      <c r="J41" s="682"/>
      <c r="K41" s="682"/>
      <c r="L41" s="682"/>
      <c r="M41" s="682"/>
    </row>
    <row r="42" spans="1:36" ht="39" thickBot="1" x14ac:dyDescent="0.25">
      <c r="A42" s="493"/>
      <c r="B42" s="494" t="s">
        <v>319</v>
      </c>
      <c r="C42" s="494" t="s">
        <v>320</v>
      </c>
      <c r="D42" s="518" t="s">
        <v>321</v>
      </c>
      <c r="E42" s="519" t="s">
        <v>322</v>
      </c>
      <c r="F42" s="520" t="s">
        <v>323</v>
      </c>
      <c r="G42" s="520" t="s">
        <v>324</v>
      </c>
      <c r="H42" s="520" t="s">
        <v>325</v>
      </c>
      <c r="I42" s="520" t="s">
        <v>326</v>
      </c>
      <c r="J42" s="520" t="s">
        <v>327</v>
      </c>
      <c r="K42" s="520" t="s">
        <v>328</v>
      </c>
      <c r="L42" s="520" t="s">
        <v>329</v>
      </c>
      <c r="M42" s="494" t="s">
        <v>330</v>
      </c>
      <c r="N42" s="520" t="s">
        <v>331</v>
      </c>
    </row>
    <row r="43" spans="1:36" ht="14.25" thickTop="1" thickBot="1" x14ac:dyDescent="0.25">
      <c r="A43" s="493" t="s">
        <v>361</v>
      </c>
      <c r="B43" s="496">
        <v>1724274.95</v>
      </c>
      <c r="C43" s="496">
        <v>509448</v>
      </c>
      <c r="D43" s="522">
        <f t="shared" ref="D43:D49" si="20">B43-C43</f>
        <v>1214826.95</v>
      </c>
      <c r="E43" s="523">
        <f t="shared" ref="E43:E48" si="21">B43/C43</f>
        <v>3.3845946004302694</v>
      </c>
      <c r="F43" s="510">
        <v>0</v>
      </c>
      <c r="G43" s="510">
        <v>857700</v>
      </c>
      <c r="H43" s="510">
        <v>1715400.05</v>
      </c>
      <c r="I43" s="510">
        <v>1715400.05</v>
      </c>
      <c r="J43" s="510">
        <f t="shared" ref="J43:J49" si="22">SUM(F43:I43)</f>
        <v>4288500.0999999996</v>
      </c>
      <c r="K43" s="510">
        <v>34308001</v>
      </c>
      <c r="L43" s="510">
        <v>425</v>
      </c>
      <c r="M43" s="496">
        <v>509447.84</v>
      </c>
      <c r="N43" s="510">
        <v>65</v>
      </c>
      <c r="O43" s="525">
        <f t="shared" ref="O43:O49" si="23">+K43-J43</f>
        <v>30019500.899999999</v>
      </c>
      <c r="P43" s="525">
        <f>20-3</f>
        <v>17</v>
      </c>
      <c r="Q43" s="525">
        <f t="shared" ref="Q43:AF49" si="24">+$O43/$P43</f>
        <v>1765852.9941176469</v>
      </c>
      <c r="R43" s="525">
        <f t="shared" si="24"/>
        <v>1765852.9941176469</v>
      </c>
      <c r="S43" s="525">
        <f t="shared" si="24"/>
        <v>1765852.9941176469</v>
      </c>
      <c r="T43" s="525">
        <f t="shared" si="24"/>
        <v>1765852.9941176469</v>
      </c>
      <c r="U43" s="525">
        <f t="shared" si="24"/>
        <v>1765852.9941176469</v>
      </c>
      <c r="V43" s="525">
        <f t="shared" si="24"/>
        <v>1765852.9941176469</v>
      </c>
      <c r="W43" s="525">
        <f t="shared" si="24"/>
        <v>1765852.9941176469</v>
      </c>
      <c r="X43" s="525">
        <f t="shared" si="24"/>
        <v>1765852.9941176469</v>
      </c>
      <c r="Y43" s="525">
        <f t="shared" si="24"/>
        <v>1765852.9941176469</v>
      </c>
      <c r="Z43" s="525">
        <f t="shared" si="24"/>
        <v>1765852.9941176469</v>
      </c>
      <c r="AA43" s="525">
        <f t="shared" si="24"/>
        <v>1765852.9941176469</v>
      </c>
      <c r="AB43" s="525">
        <f t="shared" si="24"/>
        <v>1765852.9941176469</v>
      </c>
      <c r="AC43" s="525">
        <f t="shared" si="24"/>
        <v>1765852.9941176469</v>
      </c>
      <c r="AD43" s="525">
        <f t="shared" si="24"/>
        <v>1765852.9941176469</v>
      </c>
      <c r="AE43" s="525">
        <f t="shared" si="24"/>
        <v>1765852.9941176469</v>
      </c>
      <c r="AF43" s="525">
        <f t="shared" si="24"/>
        <v>1765852.9941176469</v>
      </c>
      <c r="AG43" s="525">
        <f t="shared" ref="AG43:AH44" si="25">+$O43/$P43</f>
        <v>1765852.9941176469</v>
      </c>
      <c r="AI43" s="525">
        <f t="shared" ref="AI43:AI49" si="26">SUM(Q43:AH43)+J43</f>
        <v>34308001</v>
      </c>
      <c r="AJ43" s="525">
        <f t="shared" ref="AJ43:AJ49" si="27">+AI43-K43</f>
        <v>0</v>
      </c>
    </row>
    <row r="44" spans="1:36" ht="14.25" thickTop="1" thickBot="1" x14ac:dyDescent="0.25">
      <c r="A44" s="493" t="s">
        <v>362</v>
      </c>
      <c r="B44" s="496">
        <v>447852</v>
      </c>
      <c r="C44" s="496">
        <v>288644</v>
      </c>
      <c r="D44" s="522">
        <f t="shared" si="20"/>
        <v>159208</v>
      </c>
      <c r="E44" s="523">
        <f t="shared" si="21"/>
        <v>1.5515721788777872</v>
      </c>
      <c r="F44" s="510">
        <v>0</v>
      </c>
      <c r="G44" s="510">
        <v>0</v>
      </c>
      <c r="H44" s="510">
        <v>213000</v>
      </c>
      <c r="I44" s="510">
        <v>426000</v>
      </c>
      <c r="J44" s="510">
        <f t="shared" si="22"/>
        <v>639000</v>
      </c>
      <c r="K44" s="510">
        <v>8520000</v>
      </c>
      <c r="L44" s="510">
        <v>140</v>
      </c>
      <c r="M44" s="496">
        <v>138054.43</v>
      </c>
      <c r="N44" s="510">
        <v>12</v>
      </c>
      <c r="O44" s="525">
        <f t="shared" si="23"/>
        <v>7881000</v>
      </c>
      <c r="P44" s="525">
        <f>20-2</f>
        <v>18</v>
      </c>
      <c r="Q44" s="525">
        <f t="shared" si="24"/>
        <v>437833.33333333331</v>
      </c>
      <c r="R44" s="525">
        <f t="shared" si="24"/>
        <v>437833.33333333331</v>
      </c>
      <c r="S44" s="525">
        <f t="shared" si="24"/>
        <v>437833.33333333331</v>
      </c>
      <c r="T44" s="525">
        <f t="shared" si="24"/>
        <v>437833.33333333331</v>
      </c>
      <c r="U44" s="525">
        <f t="shared" si="24"/>
        <v>437833.33333333331</v>
      </c>
      <c r="V44" s="525">
        <f t="shared" si="24"/>
        <v>437833.33333333331</v>
      </c>
      <c r="W44" s="525">
        <f t="shared" si="24"/>
        <v>437833.33333333331</v>
      </c>
      <c r="X44" s="525">
        <f t="shared" si="24"/>
        <v>437833.33333333331</v>
      </c>
      <c r="Y44" s="525">
        <f t="shared" si="24"/>
        <v>437833.33333333331</v>
      </c>
      <c r="Z44" s="525">
        <f t="shared" si="24"/>
        <v>437833.33333333331</v>
      </c>
      <c r="AA44" s="525">
        <f t="shared" si="24"/>
        <v>437833.33333333331</v>
      </c>
      <c r="AB44" s="525">
        <f t="shared" si="24"/>
        <v>437833.33333333331</v>
      </c>
      <c r="AC44" s="525">
        <f t="shared" si="24"/>
        <v>437833.33333333331</v>
      </c>
      <c r="AD44" s="525">
        <f t="shared" si="24"/>
        <v>437833.33333333331</v>
      </c>
      <c r="AE44" s="525">
        <f t="shared" si="24"/>
        <v>437833.33333333331</v>
      </c>
      <c r="AF44" s="525">
        <f t="shared" si="24"/>
        <v>437833.33333333331</v>
      </c>
      <c r="AG44" s="525">
        <f t="shared" si="25"/>
        <v>437833.33333333331</v>
      </c>
      <c r="AH44" s="525">
        <f t="shared" si="25"/>
        <v>437833.33333333331</v>
      </c>
      <c r="AI44" s="525">
        <f t="shared" si="26"/>
        <v>8519999.9999999981</v>
      </c>
      <c r="AJ44" s="525">
        <f t="shared" si="27"/>
        <v>0</v>
      </c>
    </row>
    <row r="45" spans="1:36" ht="14.25" thickTop="1" thickBot="1" x14ac:dyDescent="0.25">
      <c r="A45" s="493" t="s">
        <v>363</v>
      </c>
      <c r="B45" s="496">
        <v>0</v>
      </c>
      <c r="C45" s="496">
        <v>0</v>
      </c>
      <c r="D45" s="522">
        <f t="shared" si="20"/>
        <v>0</v>
      </c>
      <c r="E45" s="523">
        <v>0</v>
      </c>
      <c r="F45" s="501">
        <v>0</v>
      </c>
      <c r="G45" s="501">
        <v>0</v>
      </c>
      <c r="H45" s="501">
        <v>0</v>
      </c>
      <c r="I45" s="501">
        <v>0</v>
      </c>
      <c r="J45" s="510">
        <f t="shared" si="22"/>
        <v>0</v>
      </c>
      <c r="K45" s="501">
        <v>0</v>
      </c>
      <c r="L45" s="501">
        <v>0</v>
      </c>
      <c r="M45" s="497">
        <v>18442.97</v>
      </c>
      <c r="N45" s="501">
        <v>0</v>
      </c>
      <c r="O45" s="525">
        <f t="shared" si="23"/>
        <v>0</v>
      </c>
      <c r="P45" s="525">
        <v>0</v>
      </c>
      <c r="Q45" s="525"/>
      <c r="AI45" s="525">
        <f t="shared" si="26"/>
        <v>0</v>
      </c>
      <c r="AJ45" s="525">
        <f t="shared" si="27"/>
        <v>0</v>
      </c>
    </row>
    <row r="46" spans="1:36" ht="14.25" thickTop="1" thickBot="1" x14ac:dyDescent="0.25">
      <c r="A46" s="498" t="s">
        <v>364</v>
      </c>
      <c r="B46" s="496">
        <v>148821.96</v>
      </c>
      <c r="C46" s="496">
        <v>41725</v>
      </c>
      <c r="D46" s="522">
        <f t="shared" si="20"/>
        <v>107096.95999999999</v>
      </c>
      <c r="E46" s="523">
        <f t="shared" si="21"/>
        <v>3.566733612941881</v>
      </c>
      <c r="F46" s="501">
        <v>0</v>
      </c>
      <c r="G46" s="501">
        <v>29166.67</v>
      </c>
      <c r="H46" s="501">
        <v>175000</v>
      </c>
      <c r="I46" s="501">
        <v>175000</v>
      </c>
      <c r="J46" s="510">
        <f t="shared" si="22"/>
        <v>379166.67</v>
      </c>
      <c r="K46" s="501">
        <v>3500000</v>
      </c>
      <c r="L46" s="501">
        <v>0</v>
      </c>
      <c r="M46" s="497">
        <v>41725</v>
      </c>
      <c r="N46" s="501">
        <v>1</v>
      </c>
      <c r="O46" s="525">
        <f t="shared" si="23"/>
        <v>3120833.33</v>
      </c>
      <c r="P46" s="525">
        <f>20-3</f>
        <v>17</v>
      </c>
      <c r="Q46" s="525">
        <f t="shared" si="24"/>
        <v>183578.43117647059</v>
      </c>
      <c r="R46" s="525">
        <f t="shared" si="24"/>
        <v>183578.43117647059</v>
      </c>
      <c r="S46" s="525">
        <f t="shared" si="24"/>
        <v>183578.43117647059</v>
      </c>
      <c r="T46" s="525">
        <f t="shared" si="24"/>
        <v>183578.43117647059</v>
      </c>
      <c r="U46" s="525">
        <f t="shared" si="24"/>
        <v>183578.43117647059</v>
      </c>
      <c r="V46" s="525">
        <f t="shared" si="24"/>
        <v>183578.43117647059</v>
      </c>
      <c r="W46" s="525">
        <f t="shared" si="24"/>
        <v>183578.43117647059</v>
      </c>
      <c r="X46" s="525">
        <f t="shared" si="24"/>
        <v>183578.43117647059</v>
      </c>
      <c r="Y46" s="525">
        <f t="shared" si="24"/>
        <v>183578.43117647059</v>
      </c>
      <c r="Z46" s="525">
        <f t="shared" si="24"/>
        <v>183578.43117647059</v>
      </c>
      <c r="AA46" s="525">
        <f t="shared" si="24"/>
        <v>183578.43117647059</v>
      </c>
      <c r="AB46" s="525">
        <f t="shared" si="24"/>
        <v>183578.43117647059</v>
      </c>
      <c r="AC46" s="525">
        <f t="shared" si="24"/>
        <v>183578.43117647059</v>
      </c>
      <c r="AD46" s="525">
        <f t="shared" si="24"/>
        <v>183578.43117647059</v>
      </c>
      <c r="AE46" s="525">
        <f t="shared" si="24"/>
        <v>183578.43117647059</v>
      </c>
      <c r="AF46" s="525">
        <f t="shared" si="24"/>
        <v>183578.43117647059</v>
      </c>
      <c r="AG46" s="525">
        <f t="shared" ref="AG46" si="28">+$O46/$P46</f>
        <v>183578.43117647059</v>
      </c>
      <c r="AI46" s="525">
        <f t="shared" si="26"/>
        <v>3500000</v>
      </c>
      <c r="AJ46" s="525">
        <f t="shared" si="27"/>
        <v>0</v>
      </c>
    </row>
    <row r="47" spans="1:36" ht="14.25" thickTop="1" thickBot="1" x14ac:dyDescent="0.25">
      <c r="A47" s="493" t="s">
        <v>365</v>
      </c>
      <c r="B47" s="497">
        <v>55691.94</v>
      </c>
      <c r="C47" s="497">
        <v>53748</v>
      </c>
      <c r="D47" s="522">
        <f t="shared" si="20"/>
        <v>1943.9400000000023</v>
      </c>
      <c r="E47" s="523">
        <f t="shared" si="21"/>
        <v>1.0361676713552133</v>
      </c>
      <c r="F47" s="501">
        <v>0</v>
      </c>
      <c r="G47" s="501">
        <v>0</v>
      </c>
      <c r="H47" s="501">
        <v>78675.350000000006</v>
      </c>
      <c r="I47" s="501">
        <v>157350</v>
      </c>
      <c r="J47" s="510">
        <f t="shared" si="22"/>
        <v>236025.35</v>
      </c>
      <c r="K47" s="501">
        <v>944104.2</v>
      </c>
      <c r="L47" s="501">
        <v>33</v>
      </c>
      <c r="M47" s="497">
        <v>59720.22</v>
      </c>
      <c r="N47" s="501">
        <v>1833</v>
      </c>
      <c r="O47" s="525">
        <f t="shared" si="23"/>
        <v>708078.85</v>
      </c>
      <c r="P47" s="525">
        <f>6-2</f>
        <v>4</v>
      </c>
      <c r="Q47" s="525">
        <f t="shared" si="24"/>
        <v>177019.71249999999</v>
      </c>
      <c r="R47" s="525">
        <f t="shared" si="24"/>
        <v>177019.71249999999</v>
      </c>
      <c r="S47" s="525">
        <f t="shared" si="24"/>
        <v>177019.71249999999</v>
      </c>
      <c r="T47" s="525">
        <f t="shared" si="24"/>
        <v>177019.71249999999</v>
      </c>
      <c r="AI47" s="525">
        <f t="shared" si="26"/>
        <v>944104.2</v>
      </c>
      <c r="AJ47" s="525">
        <f t="shared" si="27"/>
        <v>0</v>
      </c>
    </row>
    <row r="48" spans="1:36" ht="14.25" thickTop="1" thickBot="1" x14ac:dyDescent="0.25">
      <c r="A48" s="493" t="s">
        <v>366</v>
      </c>
      <c r="B48" s="497">
        <v>1018352.84</v>
      </c>
      <c r="C48" s="497">
        <v>130866.79</v>
      </c>
      <c r="D48" s="522">
        <f t="shared" si="20"/>
        <v>887486.04999999993</v>
      </c>
      <c r="E48" s="523">
        <f t="shared" si="21"/>
        <v>7.7815986775560093</v>
      </c>
      <c r="F48" s="501">
        <v>0</v>
      </c>
      <c r="G48" s="501">
        <v>0</v>
      </c>
      <c r="H48" s="501">
        <v>440000</v>
      </c>
      <c r="I48" s="501">
        <v>880000</v>
      </c>
      <c r="J48" s="510">
        <f t="shared" si="22"/>
        <v>1320000</v>
      </c>
      <c r="K48" s="501">
        <v>17600000</v>
      </c>
      <c r="L48" s="501">
        <v>439</v>
      </c>
      <c r="M48" s="497">
        <v>130866.79</v>
      </c>
      <c r="N48" s="501">
        <v>1</v>
      </c>
      <c r="O48" s="525">
        <f t="shared" si="23"/>
        <v>16280000</v>
      </c>
      <c r="P48" s="525">
        <f>20-2</f>
        <v>18</v>
      </c>
      <c r="Q48" s="525">
        <f t="shared" si="24"/>
        <v>904444.4444444445</v>
      </c>
      <c r="R48" s="525">
        <f t="shared" si="24"/>
        <v>904444.4444444445</v>
      </c>
      <c r="S48" s="525">
        <f t="shared" si="24"/>
        <v>904444.4444444445</v>
      </c>
      <c r="T48" s="525">
        <f t="shared" si="24"/>
        <v>904444.4444444445</v>
      </c>
      <c r="U48" s="525">
        <f t="shared" si="24"/>
        <v>904444.4444444445</v>
      </c>
      <c r="V48" s="525">
        <f t="shared" si="24"/>
        <v>904444.4444444445</v>
      </c>
      <c r="W48" s="525">
        <f t="shared" si="24"/>
        <v>904444.4444444445</v>
      </c>
      <c r="X48" s="525">
        <f t="shared" si="24"/>
        <v>904444.4444444445</v>
      </c>
      <c r="Y48" s="525">
        <f t="shared" si="24"/>
        <v>904444.4444444445</v>
      </c>
      <c r="Z48" s="525">
        <f t="shared" si="24"/>
        <v>904444.4444444445</v>
      </c>
      <c r="AA48" s="525">
        <f t="shared" si="24"/>
        <v>904444.4444444445</v>
      </c>
      <c r="AB48" s="525">
        <f t="shared" si="24"/>
        <v>904444.4444444445</v>
      </c>
      <c r="AC48" s="525">
        <f t="shared" si="24"/>
        <v>904444.4444444445</v>
      </c>
      <c r="AD48" s="525">
        <f t="shared" si="24"/>
        <v>904444.4444444445</v>
      </c>
      <c r="AE48" s="525">
        <f t="shared" si="24"/>
        <v>904444.4444444445</v>
      </c>
      <c r="AF48" s="525">
        <f t="shared" si="24"/>
        <v>904444.4444444445</v>
      </c>
      <c r="AG48" s="525">
        <f t="shared" ref="AG48:AH48" si="29">+$O48/$P48</f>
        <v>904444.4444444445</v>
      </c>
      <c r="AH48" s="525">
        <f t="shared" si="29"/>
        <v>904444.4444444445</v>
      </c>
      <c r="AI48" s="525">
        <f t="shared" si="26"/>
        <v>17599999.999999993</v>
      </c>
      <c r="AJ48" s="525">
        <f t="shared" si="27"/>
        <v>0</v>
      </c>
    </row>
    <row r="49" spans="1:36" ht="14.25" thickTop="1" thickBot="1" x14ac:dyDescent="0.25">
      <c r="A49" s="493" t="s">
        <v>367</v>
      </c>
      <c r="B49" s="512">
        <v>575756</v>
      </c>
      <c r="C49" s="512">
        <v>137640</v>
      </c>
      <c r="D49" s="529">
        <f t="shared" si="20"/>
        <v>438116</v>
      </c>
      <c r="E49" s="536">
        <f>B49/C49</f>
        <v>4.1830572507991866</v>
      </c>
      <c r="F49" s="511">
        <v>0</v>
      </c>
      <c r="G49" s="511">
        <v>83333.33</v>
      </c>
      <c r="H49" s="511">
        <v>500000</v>
      </c>
      <c r="I49" s="511">
        <v>500000</v>
      </c>
      <c r="J49" s="510">
        <f t="shared" si="22"/>
        <v>1083333.33</v>
      </c>
      <c r="K49" s="511">
        <v>9000000</v>
      </c>
      <c r="L49" s="511">
        <v>300</v>
      </c>
      <c r="M49" s="512">
        <v>137640</v>
      </c>
      <c r="N49" s="511">
        <v>1</v>
      </c>
      <c r="O49" s="525">
        <f t="shared" si="23"/>
        <v>7916666.6699999999</v>
      </c>
      <c r="P49" s="525">
        <f>18-3</f>
        <v>15</v>
      </c>
      <c r="Q49" s="525">
        <f t="shared" si="24"/>
        <v>527777.77800000005</v>
      </c>
      <c r="R49" s="525">
        <f t="shared" si="24"/>
        <v>527777.77800000005</v>
      </c>
      <c r="S49" s="525">
        <f t="shared" si="24"/>
        <v>527777.77800000005</v>
      </c>
      <c r="T49" s="525">
        <f t="shared" si="24"/>
        <v>527777.77800000005</v>
      </c>
      <c r="U49" s="525">
        <f t="shared" si="24"/>
        <v>527777.77800000005</v>
      </c>
      <c r="V49" s="525">
        <f t="shared" si="24"/>
        <v>527777.77800000005</v>
      </c>
      <c r="W49" s="525">
        <f t="shared" si="24"/>
        <v>527777.77800000005</v>
      </c>
      <c r="X49" s="525">
        <f t="shared" si="24"/>
        <v>527777.77800000005</v>
      </c>
      <c r="Y49" s="525">
        <f t="shared" si="24"/>
        <v>527777.77800000005</v>
      </c>
      <c r="Z49" s="525">
        <f t="shared" si="24"/>
        <v>527777.77800000005</v>
      </c>
      <c r="AA49" s="525">
        <f t="shared" si="24"/>
        <v>527777.77800000005</v>
      </c>
      <c r="AB49" s="525">
        <f t="shared" si="24"/>
        <v>527777.77800000005</v>
      </c>
      <c r="AC49" s="525">
        <f t="shared" si="24"/>
        <v>527777.77800000005</v>
      </c>
      <c r="AD49" s="525">
        <f t="shared" si="24"/>
        <v>527777.77800000005</v>
      </c>
      <c r="AE49" s="525">
        <f t="shared" si="24"/>
        <v>527777.77800000005</v>
      </c>
      <c r="AI49" s="525">
        <f t="shared" si="26"/>
        <v>9000000</v>
      </c>
      <c r="AJ49" s="525">
        <f t="shared" si="27"/>
        <v>0</v>
      </c>
    </row>
    <row r="50" spans="1:36" ht="14.25" thickTop="1" thickBot="1" x14ac:dyDescent="0.25">
      <c r="A50" s="18" t="s">
        <v>368</v>
      </c>
      <c r="B50" s="513"/>
      <c r="C50" s="513"/>
      <c r="D50" s="538">
        <v>0</v>
      </c>
      <c r="E50" s="539">
        <v>0</v>
      </c>
      <c r="F50" s="513"/>
      <c r="G50" s="513"/>
      <c r="H50" s="513"/>
      <c r="I50" s="513"/>
      <c r="J50" s="540"/>
      <c r="K50" s="513"/>
      <c r="L50" s="513"/>
      <c r="M50" s="513"/>
      <c r="N50" s="513"/>
      <c r="AI50" s="525"/>
      <c r="AJ50" s="525"/>
    </row>
    <row r="51" spans="1:36" x14ac:dyDescent="0.2">
      <c r="A51" s="531" t="s">
        <v>369</v>
      </c>
      <c r="B51" s="532">
        <f>SUM(B41:B50)</f>
        <v>3970749.69</v>
      </c>
      <c r="C51" s="532">
        <f>SUM(C41:C50)</f>
        <v>1162071.79</v>
      </c>
      <c r="D51" s="514">
        <f>SUM(D41:D50)</f>
        <v>2808677.9</v>
      </c>
      <c r="E51" s="533">
        <f>B51/C51</f>
        <v>3.4169573034726191</v>
      </c>
      <c r="F51" s="514">
        <f t="shared" ref="F51:L51" si="30">SUM(F41:F49)</f>
        <v>0</v>
      </c>
      <c r="G51" s="503">
        <f t="shared" si="30"/>
        <v>970200</v>
      </c>
      <c r="H51" s="503">
        <f t="shared" si="30"/>
        <v>3122075.4</v>
      </c>
      <c r="I51" s="504">
        <f t="shared" si="30"/>
        <v>3853750.05</v>
      </c>
      <c r="J51" s="504">
        <f t="shared" si="30"/>
        <v>7946025.4499999993</v>
      </c>
      <c r="K51" s="504">
        <f t="shared" si="30"/>
        <v>73872105.200000003</v>
      </c>
      <c r="L51" s="514">
        <f t="shared" si="30"/>
        <v>1337</v>
      </c>
      <c r="M51" s="514">
        <f>SUM(M43:M50)</f>
        <v>1035897.25</v>
      </c>
      <c r="N51" s="504">
        <f>SUM(N41:N49)</f>
        <v>1913</v>
      </c>
      <c r="O51" s="525">
        <f>SUM(O43:O49)</f>
        <v>65926079.75</v>
      </c>
      <c r="P51" s="525"/>
      <c r="Q51" s="525">
        <f t="shared" ref="Q51:AH51" si="31">SUM(Q43:Q49)</f>
        <v>3996506.6935718954</v>
      </c>
      <c r="R51" s="525">
        <f t="shared" si="31"/>
        <v>3996506.6935718954</v>
      </c>
      <c r="S51" s="525">
        <f t="shared" si="31"/>
        <v>3996506.6935718954</v>
      </c>
      <c r="T51" s="525">
        <f t="shared" si="31"/>
        <v>3996506.6935718954</v>
      </c>
      <c r="U51" s="525">
        <f t="shared" si="31"/>
        <v>3819486.9810718955</v>
      </c>
      <c r="V51" s="525">
        <f t="shared" si="31"/>
        <v>3819486.9810718955</v>
      </c>
      <c r="W51" s="525">
        <f t="shared" si="31"/>
        <v>3819486.9810718955</v>
      </c>
      <c r="X51" s="525">
        <f t="shared" si="31"/>
        <v>3819486.9810718955</v>
      </c>
      <c r="Y51" s="525">
        <f t="shared" si="31"/>
        <v>3819486.9810718955</v>
      </c>
      <c r="Z51" s="525">
        <f t="shared" si="31"/>
        <v>3819486.9810718955</v>
      </c>
      <c r="AA51" s="525">
        <f t="shared" si="31"/>
        <v>3819486.9810718955</v>
      </c>
      <c r="AB51" s="525">
        <f t="shared" si="31"/>
        <v>3819486.9810718955</v>
      </c>
      <c r="AC51" s="525">
        <f t="shared" si="31"/>
        <v>3819486.9810718955</v>
      </c>
      <c r="AD51" s="525">
        <f t="shared" si="31"/>
        <v>3819486.9810718955</v>
      </c>
      <c r="AE51" s="525">
        <f t="shared" si="31"/>
        <v>3819486.9810718955</v>
      </c>
      <c r="AF51" s="525">
        <f t="shared" si="31"/>
        <v>3291709.2030718955</v>
      </c>
      <c r="AG51" s="525">
        <f t="shared" si="31"/>
        <v>3291709.2030718955</v>
      </c>
      <c r="AH51" s="525">
        <f t="shared" si="31"/>
        <v>1342277.7777777778</v>
      </c>
      <c r="AI51" s="525">
        <f>SUM(Q51:AH51)+J51</f>
        <v>73872105.200000003</v>
      </c>
      <c r="AJ51" s="525">
        <f>+AI51-K51</f>
        <v>0</v>
      </c>
    </row>
    <row r="52" spans="1:36" ht="13.5" thickBot="1" x14ac:dyDescent="0.25">
      <c r="A52" s="515"/>
      <c r="B52" s="516"/>
      <c r="C52" s="516"/>
      <c r="D52" s="516"/>
      <c r="E52" s="516"/>
      <c r="F52" s="516"/>
      <c r="G52" s="517"/>
      <c r="H52" s="517"/>
      <c r="I52" s="516"/>
      <c r="J52" s="516"/>
      <c r="K52" s="516"/>
      <c r="L52" s="516"/>
      <c r="M52" s="516"/>
      <c r="N52" s="516"/>
    </row>
    <row r="53" spans="1:36" ht="13.5" thickBot="1" x14ac:dyDescent="0.25">
      <c r="A53" s="493"/>
      <c r="B53" s="496"/>
      <c r="C53" s="496"/>
      <c r="D53" s="522"/>
      <c r="E53" s="523"/>
      <c r="F53" s="510"/>
      <c r="G53" s="510"/>
      <c r="H53" s="510"/>
      <c r="I53" s="510"/>
      <c r="J53" s="510"/>
      <c r="K53" s="510"/>
      <c r="L53" s="510"/>
      <c r="M53" s="496"/>
      <c r="N53" s="510"/>
    </row>
    <row r="54" spans="1:36" ht="14.25" thickTop="1" thickBot="1" x14ac:dyDescent="0.25">
      <c r="A54" s="493" t="s">
        <v>370</v>
      </c>
      <c r="B54" s="497"/>
      <c r="C54" s="497"/>
      <c r="D54" s="522"/>
      <c r="E54" s="523"/>
      <c r="F54" s="510"/>
      <c r="G54" s="510"/>
      <c r="H54" s="510"/>
      <c r="I54" s="510"/>
      <c r="J54" s="510"/>
      <c r="K54" s="510"/>
      <c r="L54" s="510"/>
      <c r="M54" s="496"/>
      <c r="N54" s="510"/>
    </row>
    <row r="55" spans="1:36" ht="14.25" thickTop="1" thickBot="1" x14ac:dyDescent="0.25">
      <c r="A55" s="493"/>
      <c r="B55" s="497"/>
      <c r="C55" s="497"/>
      <c r="D55" s="522"/>
      <c r="E55" s="523"/>
      <c r="F55" s="501"/>
      <c r="G55" s="501"/>
      <c r="H55" s="501"/>
      <c r="I55" s="501"/>
      <c r="J55" s="501"/>
      <c r="K55" s="501"/>
      <c r="L55" s="501"/>
      <c r="M55" s="497"/>
      <c r="N55" s="501"/>
    </row>
    <row r="56" spans="1:36" ht="39.75" thickTop="1" thickBot="1" x14ac:dyDescent="0.25">
      <c r="A56" s="498"/>
      <c r="B56" s="494" t="s">
        <v>319</v>
      </c>
      <c r="C56" s="494" t="s">
        <v>320</v>
      </c>
      <c r="D56" s="518" t="s">
        <v>321</v>
      </c>
      <c r="E56" s="519" t="s">
        <v>322</v>
      </c>
      <c r="F56" s="520" t="s">
        <v>323</v>
      </c>
      <c r="G56" s="520" t="s">
        <v>324</v>
      </c>
      <c r="H56" s="520" t="s">
        <v>325</v>
      </c>
      <c r="I56" s="520" t="s">
        <v>326</v>
      </c>
      <c r="J56" s="520" t="s">
        <v>327</v>
      </c>
      <c r="K56" s="520" t="s">
        <v>328</v>
      </c>
      <c r="L56" s="520" t="s">
        <v>329</v>
      </c>
      <c r="M56" s="494" t="s">
        <v>330</v>
      </c>
      <c r="N56" s="520" t="s">
        <v>331</v>
      </c>
    </row>
    <row r="57" spans="1:36" ht="14.25" thickTop="1" thickBot="1" x14ac:dyDescent="0.25">
      <c r="A57" s="498" t="s">
        <v>371</v>
      </c>
      <c r="B57" s="497">
        <f>B10+B19+B30+B39+B51</f>
        <v>11426355.529999999</v>
      </c>
      <c r="C57" s="497">
        <f>C10+C19+C30+C39+C51</f>
        <v>3861126.59</v>
      </c>
      <c r="D57" s="522">
        <f>B57-C57</f>
        <v>7565228.9399999995</v>
      </c>
      <c r="E57" s="523">
        <f>B57/C57</f>
        <v>2.9593320145455269</v>
      </c>
      <c r="F57" s="501">
        <f t="shared" ref="F57:M57" si="32">F10+F19+F30+F39+F51</f>
        <v>292583</v>
      </c>
      <c r="G57" s="501">
        <f t="shared" si="32"/>
        <v>4688792.07</v>
      </c>
      <c r="H57" s="501">
        <f t="shared" si="32"/>
        <v>11539979.470000001</v>
      </c>
      <c r="I57" s="501">
        <f t="shared" si="32"/>
        <v>13901638.780000001</v>
      </c>
      <c r="J57" s="526">
        <f t="shared" si="32"/>
        <v>30422993.32</v>
      </c>
      <c r="K57" s="501">
        <f t="shared" si="32"/>
        <v>186640185.19999999</v>
      </c>
      <c r="L57" s="526">
        <f t="shared" si="32"/>
        <v>2878.11</v>
      </c>
      <c r="M57" s="501">
        <f t="shared" si="32"/>
        <v>2240729.9500000002</v>
      </c>
      <c r="N57" s="501">
        <v>0</v>
      </c>
      <c r="O57" s="525">
        <f>+O51+O39+O30+O19+O10</f>
        <v>156217191.88</v>
      </c>
      <c r="Q57" s="525">
        <f t="shared" ref="Q57:AH57" si="33">+Q51+Q39+Q30+Q19+Q10</f>
        <v>14769006.445204625</v>
      </c>
      <c r="R57" s="525">
        <f t="shared" si="33"/>
        <v>14630347.945204625</v>
      </c>
      <c r="S57" s="525">
        <f t="shared" si="33"/>
        <v>14630347.945204625</v>
      </c>
      <c r="T57" s="525">
        <f t="shared" si="33"/>
        <v>14282989.945204625</v>
      </c>
      <c r="U57" s="525">
        <f t="shared" si="33"/>
        <v>9108720.7277046256</v>
      </c>
      <c r="V57" s="525">
        <f t="shared" si="33"/>
        <v>9108720.7277046256</v>
      </c>
      <c r="W57" s="525">
        <f t="shared" si="33"/>
        <v>8889479.0610379595</v>
      </c>
      <c r="X57" s="525">
        <f t="shared" si="33"/>
        <v>8889479.0610379595</v>
      </c>
      <c r="Y57" s="525">
        <f t="shared" si="33"/>
        <v>8433284.0085379593</v>
      </c>
      <c r="Z57" s="525">
        <f t="shared" si="33"/>
        <v>7106534.6752046254</v>
      </c>
      <c r="AA57" s="525">
        <f t="shared" si="33"/>
        <v>7106534.6752046254</v>
      </c>
      <c r="AB57" s="525">
        <f t="shared" si="33"/>
        <v>7106534.6752046254</v>
      </c>
      <c r="AC57" s="525">
        <f t="shared" si="33"/>
        <v>7106534.6752046254</v>
      </c>
      <c r="AD57" s="525">
        <f t="shared" si="33"/>
        <v>6825232.9059738563</v>
      </c>
      <c r="AE57" s="525">
        <f t="shared" si="33"/>
        <v>6825232.9059738563</v>
      </c>
      <c r="AF57" s="525">
        <f t="shared" si="33"/>
        <v>5027966.8613071898</v>
      </c>
      <c r="AG57" s="525">
        <f t="shared" si="33"/>
        <v>5027966.8613071898</v>
      </c>
      <c r="AH57" s="525">
        <f t="shared" si="33"/>
        <v>1342277.7777777778</v>
      </c>
      <c r="AI57" s="525">
        <f>SUM(Q57:AH57)+J57</f>
        <v>186640185.20000002</v>
      </c>
      <c r="AJ57" s="525">
        <f>+AI57-K57</f>
        <v>0</v>
      </c>
    </row>
    <row r="58" spans="1:36" ht="14.25" thickTop="1" thickBot="1" x14ac:dyDescent="0.25">
      <c r="A58" s="493" t="s">
        <v>372</v>
      </c>
      <c r="B58" s="497"/>
      <c r="C58" s="497"/>
      <c r="D58" s="522"/>
      <c r="E58" s="523"/>
      <c r="F58" s="501"/>
      <c r="G58" s="501"/>
      <c r="H58" s="501"/>
      <c r="I58" s="501"/>
      <c r="J58" s="501"/>
      <c r="K58" s="501"/>
      <c r="L58" s="501"/>
      <c r="M58" s="497"/>
      <c r="N58" s="501"/>
      <c r="Q58" s="492">
        <v>2009</v>
      </c>
      <c r="R58" s="492">
        <v>2010</v>
      </c>
      <c r="S58" s="492">
        <v>2011</v>
      </c>
      <c r="T58" s="492">
        <v>2012</v>
      </c>
      <c r="U58" s="492">
        <v>2013</v>
      </c>
      <c r="V58" s="492">
        <v>2014</v>
      </c>
      <c r="W58" s="492">
        <v>2015</v>
      </c>
      <c r="X58" s="492">
        <v>2016</v>
      </c>
      <c r="Y58" s="492">
        <v>2017</v>
      </c>
      <c r="Z58" s="492">
        <v>2018</v>
      </c>
      <c r="AA58" s="492">
        <v>2019</v>
      </c>
      <c r="AB58" s="492">
        <v>2020</v>
      </c>
      <c r="AC58" s="492">
        <v>2021</v>
      </c>
      <c r="AD58" s="492">
        <v>2022</v>
      </c>
      <c r="AE58" s="492">
        <v>2023</v>
      </c>
      <c r="AF58" s="492">
        <v>2024</v>
      </c>
      <c r="AG58" s="492">
        <v>2025</v>
      </c>
      <c r="AH58" s="492">
        <v>2026</v>
      </c>
    </row>
    <row r="59" spans="1:36" ht="14.25" thickTop="1" thickBot="1" x14ac:dyDescent="0.25">
      <c r="A59" s="493" t="s">
        <v>373</v>
      </c>
      <c r="B59" s="497"/>
      <c r="C59" s="497"/>
      <c r="D59" s="522"/>
      <c r="E59" s="523"/>
      <c r="F59" s="501"/>
      <c r="G59" s="501"/>
      <c r="H59" s="501"/>
      <c r="I59" s="501"/>
      <c r="J59" s="501"/>
      <c r="K59" s="501"/>
      <c r="L59" s="501"/>
      <c r="M59" s="497"/>
      <c r="N59" s="501"/>
    </row>
    <row r="60" spans="1:36" ht="14.25" thickTop="1" thickBot="1" x14ac:dyDescent="0.25">
      <c r="A60" s="493" t="s">
        <v>374</v>
      </c>
      <c r="B60" s="497">
        <f>SUM(B57:B59)</f>
        <v>11426355.529999999</v>
      </c>
      <c r="C60" s="497">
        <f>SUM(C57:C59)</f>
        <v>3861126.59</v>
      </c>
      <c r="D60" s="522">
        <f>SUM(D57:D59)</f>
        <v>7565228.9399999995</v>
      </c>
      <c r="E60" s="523">
        <f>B60/C60</f>
        <v>2.9593320145455269</v>
      </c>
      <c r="F60" s="501"/>
      <c r="G60" s="501"/>
      <c r="H60" s="501"/>
      <c r="I60" s="501"/>
      <c r="J60" s="501"/>
      <c r="K60" s="501"/>
      <c r="L60" s="501"/>
      <c r="M60" s="497"/>
      <c r="N60" s="501"/>
    </row>
    <row r="61" spans="1:36" ht="14.25" thickTop="1" thickBot="1" x14ac:dyDescent="0.25">
      <c r="A61" s="493"/>
      <c r="B61" s="497"/>
      <c r="C61" s="497"/>
      <c r="D61" s="522"/>
      <c r="E61" s="523"/>
      <c r="F61" s="501"/>
      <c r="G61" s="501"/>
      <c r="H61" s="501"/>
      <c r="I61" s="501"/>
      <c r="J61" s="501"/>
      <c r="K61" s="501"/>
      <c r="L61" s="501"/>
      <c r="M61" s="497"/>
      <c r="N61" s="501"/>
    </row>
    <row r="62" spans="1:36" ht="14.25" thickTop="1" thickBot="1" x14ac:dyDescent="0.25">
      <c r="A62" s="493"/>
      <c r="B62" s="497"/>
      <c r="C62" s="497"/>
      <c r="D62" s="522"/>
      <c r="E62" s="523"/>
      <c r="F62" s="501"/>
      <c r="G62" s="501"/>
      <c r="H62" s="501"/>
      <c r="I62" s="501"/>
      <c r="J62" s="501"/>
      <c r="K62" s="501"/>
      <c r="L62" s="501"/>
      <c r="M62" s="497"/>
      <c r="N62" s="501"/>
    </row>
    <row r="63" spans="1:36" ht="14.25" thickTop="1" thickBot="1" x14ac:dyDescent="0.25">
      <c r="A63" s="18" t="s">
        <v>375</v>
      </c>
      <c r="B63" s="527"/>
      <c r="C63" s="528"/>
      <c r="D63" s="528"/>
      <c r="E63" s="530"/>
      <c r="F63" s="502"/>
      <c r="G63" s="502"/>
      <c r="H63" s="502"/>
      <c r="I63" s="502"/>
      <c r="J63" s="502"/>
      <c r="K63" s="502"/>
      <c r="L63" s="502"/>
      <c r="M63" s="528">
        <f>2340264-M57</f>
        <v>99534.049999999814</v>
      </c>
      <c r="N63" s="502"/>
    </row>
    <row r="65" spans="6:11" x14ac:dyDescent="0.2">
      <c r="F65" s="541"/>
      <c r="K65" s="541">
        <f>+K57-J57</f>
        <v>156217191.88</v>
      </c>
    </row>
    <row r="66" spans="6:11" x14ac:dyDescent="0.2">
      <c r="F66" s="541"/>
    </row>
    <row r="67" spans="6:11" x14ac:dyDescent="0.2">
      <c r="F67" s="541"/>
    </row>
    <row r="68" spans="6:11" x14ac:dyDescent="0.2">
      <c r="F68" s="541"/>
      <c r="G68" s="542"/>
    </row>
    <row r="88" spans="5:5" x14ac:dyDescent="0.2">
      <c r="E88" s="163">
        <v>2028</v>
      </c>
    </row>
  </sheetData>
  <mergeCells count="6">
    <mergeCell ref="A41:M41"/>
    <mergeCell ref="A1:M1"/>
    <mergeCell ref="AI2:AJ2"/>
    <mergeCell ref="A12:M12"/>
    <mergeCell ref="A21:M21"/>
    <mergeCell ref="A32:M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2"/>
  <sheetViews>
    <sheetView topLeftCell="A75" zoomScaleNormal="100" zoomScalePageLayoutView="55" workbookViewId="0">
      <selection activeCell="E235" sqref="E235"/>
    </sheetView>
  </sheetViews>
  <sheetFormatPr defaultRowHeight="12.75" x14ac:dyDescent="0.2"/>
  <cols>
    <col min="1" max="1" width="11.7109375" bestFit="1" customWidth="1"/>
    <col min="2" max="2" width="13.7109375" customWidth="1"/>
    <col min="3" max="3" width="13.7109375" bestFit="1" customWidth="1"/>
    <col min="4" max="4" width="12.5703125" bestFit="1" customWidth="1"/>
    <col min="5" max="5" width="15" style="26" bestFit="1" customWidth="1"/>
    <col min="6" max="6" width="12.5703125" style="1" bestFit="1" customWidth="1"/>
    <col min="7" max="7" width="14.5703125" style="1" bestFit="1" customWidth="1"/>
    <col min="8" max="8" width="12.5703125" style="34" bestFit="1" customWidth="1"/>
    <col min="9" max="9" width="12.5703125" style="1" bestFit="1" customWidth="1"/>
    <col min="10" max="10" width="9.140625" style="1" customWidth="1"/>
    <col min="11" max="11" width="13.85546875" style="22" bestFit="1" customWidth="1"/>
    <col min="12" max="12" width="12.5703125" style="1" customWidth="1"/>
    <col min="13" max="13" width="12.42578125" style="257" customWidth="1"/>
    <col min="14" max="14" width="14.7109375" style="257" customWidth="1"/>
    <col min="15" max="15" width="13.85546875" style="1" bestFit="1" customWidth="1"/>
    <col min="16" max="16" width="17" style="1" customWidth="1"/>
    <col min="17" max="17" width="12.42578125" style="1" customWidth="1"/>
    <col min="18" max="18" width="25.85546875" bestFit="1" customWidth="1"/>
    <col min="19" max="21" width="18" customWidth="1"/>
    <col min="22" max="22" width="17.140625" customWidth="1"/>
    <col min="23" max="23" width="17" customWidth="1"/>
    <col min="24" max="24" width="15.7109375" customWidth="1"/>
    <col min="25" max="25" width="5.7109375" customWidth="1"/>
    <col min="26" max="26" width="20" customWidth="1"/>
    <col min="27" max="27" width="19.28515625" bestFit="1" customWidth="1"/>
    <col min="28" max="28" width="19.140625" bestFit="1" customWidth="1"/>
    <col min="29" max="29" width="26.140625" bestFit="1" customWidth="1"/>
    <col min="30" max="30" width="23" bestFit="1" customWidth="1"/>
    <col min="31" max="31" width="14.7109375" bestFit="1" customWidth="1"/>
    <col min="32" max="32" width="20.140625" bestFit="1" customWidth="1"/>
    <col min="33" max="33" width="12.140625" bestFit="1" customWidth="1"/>
    <col min="34" max="34" width="21" bestFit="1" customWidth="1"/>
    <col min="35" max="35" width="13.140625" bestFit="1" customWidth="1"/>
  </cols>
  <sheetData>
    <row r="1" spans="1:15" x14ac:dyDescent="0.2">
      <c r="K1" s="32"/>
      <c r="L1"/>
      <c r="M1"/>
      <c r="N1"/>
    </row>
    <row r="2" spans="1:15" ht="51" x14ac:dyDescent="0.2">
      <c r="B2" s="213" t="s">
        <v>200</v>
      </c>
      <c r="C2" s="213" t="s">
        <v>199</v>
      </c>
      <c r="D2" s="255" t="s">
        <v>201</v>
      </c>
      <c r="E2" s="213" t="s">
        <v>0</v>
      </c>
      <c r="F2" s="214" t="s">
        <v>3</v>
      </c>
      <c r="G2" s="214" t="s">
        <v>4</v>
      </c>
      <c r="H2" s="215" t="s">
        <v>6</v>
      </c>
      <c r="I2" s="216" t="s">
        <v>5</v>
      </c>
      <c r="J2" s="216" t="s">
        <v>17</v>
      </c>
      <c r="K2" s="214" t="s">
        <v>290</v>
      </c>
      <c r="L2" s="216" t="s">
        <v>54</v>
      </c>
      <c r="M2" s="216" t="s">
        <v>202</v>
      </c>
      <c r="N2" s="216" t="s">
        <v>203</v>
      </c>
      <c r="O2" s="216" t="s">
        <v>11</v>
      </c>
    </row>
    <row r="3" spans="1:15" x14ac:dyDescent="0.2">
      <c r="A3" s="2">
        <v>35431</v>
      </c>
      <c r="B3" s="15">
        <v>178379084</v>
      </c>
      <c r="C3" s="15"/>
      <c r="D3" s="2"/>
      <c r="E3" s="15">
        <f t="shared" ref="E3:E34" si="0">SUM(B3:D3)</f>
        <v>178379084</v>
      </c>
      <c r="F3" s="211">
        <v>777.9</v>
      </c>
      <c r="G3" s="211">
        <v>0</v>
      </c>
      <c r="H3" s="33">
        <v>94.715305091666934</v>
      </c>
      <c r="I3" s="7">
        <v>31</v>
      </c>
      <c r="J3" s="7">
        <v>0</v>
      </c>
      <c r="K3" s="15">
        <v>0</v>
      </c>
      <c r="L3" s="210">
        <v>352</v>
      </c>
      <c r="M3" s="210">
        <v>475</v>
      </c>
      <c r="N3" s="210">
        <v>39.069264069264023</v>
      </c>
      <c r="O3" s="7">
        <f t="shared" ref="O3:O66" si="1">$B$261+F3*$B$262+G3*$B$263+H3*$B$264+I3*$B$265+J3*$B$266+K3*$B$267+L3*$B$268+M3*$B$269+N3*$B$270</f>
        <v>170372285.09527564</v>
      </c>
    </row>
    <row r="4" spans="1:15" x14ac:dyDescent="0.2">
      <c r="A4" s="2">
        <v>35462</v>
      </c>
      <c r="B4" s="15">
        <v>154547898</v>
      </c>
      <c r="C4" s="15"/>
      <c r="D4" s="2"/>
      <c r="E4" s="15">
        <f t="shared" si="0"/>
        <v>154547898</v>
      </c>
      <c r="F4" s="211">
        <v>615</v>
      </c>
      <c r="G4" s="211">
        <v>0</v>
      </c>
      <c r="H4" s="33">
        <v>94.800748405985075</v>
      </c>
      <c r="I4" s="7">
        <v>29</v>
      </c>
      <c r="J4" s="7">
        <v>0</v>
      </c>
      <c r="K4" s="15">
        <v>0</v>
      </c>
      <c r="L4" s="210">
        <v>320</v>
      </c>
      <c r="M4" s="210">
        <v>477.9</v>
      </c>
      <c r="N4" s="210">
        <v>39.307792207792204</v>
      </c>
      <c r="O4" s="7">
        <f t="shared" si="1"/>
        <v>154108997.55603078</v>
      </c>
    </row>
    <row r="5" spans="1:15" x14ac:dyDescent="0.2">
      <c r="A5" s="2">
        <v>35490</v>
      </c>
      <c r="B5" s="15">
        <v>161647356</v>
      </c>
      <c r="C5" s="15"/>
      <c r="D5" s="2"/>
      <c r="E5" s="15">
        <f t="shared" si="0"/>
        <v>161647356</v>
      </c>
      <c r="F5" s="211">
        <v>619.1</v>
      </c>
      <c r="G5" s="211">
        <v>0</v>
      </c>
      <c r="H5" s="33">
        <v>94.886268799292239</v>
      </c>
      <c r="I5" s="7">
        <v>31</v>
      </c>
      <c r="J5" s="7">
        <v>1</v>
      </c>
      <c r="K5" s="15">
        <v>0</v>
      </c>
      <c r="L5" s="210">
        <v>304</v>
      </c>
      <c r="M5" s="210">
        <v>477.4</v>
      </c>
      <c r="N5" s="210">
        <v>39.266666666666652</v>
      </c>
      <c r="O5" s="7">
        <f t="shared" si="1"/>
        <v>155657710.43287793</v>
      </c>
    </row>
    <row r="6" spans="1:15" x14ac:dyDescent="0.2">
      <c r="A6" s="2">
        <v>35521</v>
      </c>
      <c r="B6" s="15">
        <v>145784872</v>
      </c>
      <c r="C6" s="15"/>
      <c r="D6" s="2"/>
      <c r="E6" s="15">
        <f t="shared" si="0"/>
        <v>145784872</v>
      </c>
      <c r="F6" s="211">
        <v>391.9</v>
      </c>
      <c r="G6" s="211">
        <v>0</v>
      </c>
      <c r="H6" s="33">
        <v>94.971866341121896</v>
      </c>
      <c r="I6" s="7">
        <v>30</v>
      </c>
      <c r="J6" s="7">
        <v>1</v>
      </c>
      <c r="K6" s="15">
        <v>0</v>
      </c>
      <c r="L6" s="210">
        <v>352</v>
      </c>
      <c r="M6" s="210">
        <v>480.4</v>
      </c>
      <c r="N6" s="210">
        <v>39.513419913419852</v>
      </c>
      <c r="O6" s="7">
        <f t="shared" si="1"/>
        <v>146438289.47203517</v>
      </c>
    </row>
    <row r="7" spans="1:15" x14ac:dyDescent="0.2">
      <c r="A7" s="2">
        <v>35551</v>
      </c>
      <c r="B7" s="15">
        <v>141630070</v>
      </c>
      <c r="C7" s="15"/>
      <c r="D7" s="2"/>
      <c r="E7" s="15">
        <f t="shared" si="0"/>
        <v>141630070</v>
      </c>
      <c r="F7" s="211">
        <v>289</v>
      </c>
      <c r="G7" s="211">
        <v>0</v>
      </c>
      <c r="H7" s="33">
        <v>95.057541101070257</v>
      </c>
      <c r="I7" s="7">
        <v>31</v>
      </c>
      <c r="J7" s="7">
        <v>1</v>
      </c>
      <c r="K7" s="15">
        <v>0</v>
      </c>
      <c r="L7" s="210">
        <v>336</v>
      </c>
      <c r="M7" s="210">
        <v>483.9</v>
      </c>
      <c r="N7" s="210">
        <v>39.80129870129872</v>
      </c>
      <c r="O7" s="7">
        <f t="shared" si="1"/>
        <v>144749947.23837548</v>
      </c>
    </row>
    <row r="8" spans="1:15" x14ac:dyDescent="0.2">
      <c r="A8" s="2">
        <v>35582</v>
      </c>
      <c r="B8" s="15">
        <v>147352701</v>
      </c>
      <c r="C8" s="15"/>
      <c r="D8" s="2"/>
      <c r="E8" s="15">
        <f t="shared" si="0"/>
        <v>147352701</v>
      </c>
      <c r="F8" s="211">
        <v>30.4</v>
      </c>
      <c r="G8" s="211">
        <v>50.4</v>
      </c>
      <c r="H8" s="33">
        <v>95.143293148796303</v>
      </c>
      <c r="I8" s="7">
        <v>30</v>
      </c>
      <c r="J8" s="7">
        <v>0</v>
      </c>
      <c r="K8" s="15">
        <v>0</v>
      </c>
      <c r="L8" s="210">
        <v>336</v>
      </c>
      <c r="M8" s="210">
        <v>492.2</v>
      </c>
      <c r="N8" s="210">
        <v>40.483982683982674</v>
      </c>
      <c r="O8" s="7">
        <f t="shared" si="1"/>
        <v>150419895.78579521</v>
      </c>
    </row>
    <row r="9" spans="1:15" x14ac:dyDescent="0.2">
      <c r="A9" s="2">
        <v>35612</v>
      </c>
      <c r="B9" s="15">
        <v>152141811</v>
      </c>
      <c r="C9" s="15"/>
      <c r="D9" s="2"/>
      <c r="E9" s="15">
        <f t="shared" si="0"/>
        <v>152141811</v>
      </c>
      <c r="F9" s="211">
        <v>22.1</v>
      </c>
      <c r="G9" s="211">
        <v>59.8</v>
      </c>
      <c r="H9" s="33">
        <v>95.22912255402187</v>
      </c>
      <c r="I9" s="7">
        <v>31</v>
      </c>
      <c r="J9" s="7">
        <v>0</v>
      </c>
      <c r="K9" s="15">
        <v>0</v>
      </c>
      <c r="L9" s="210">
        <v>352</v>
      </c>
      <c r="M9" s="210">
        <v>497.1</v>
      </c>
      <c r="N9" s="210">
        <v>40.887012987013009</v>
      </c>
      <c r="O9" s="7">
        <f t="shared" si="1"/>
        <v>158012508.45176095</v>
      </c>
    </row>
    <row r="10" spans="1:15" x14ac:dyDescent="0.2">
      <c r="A10" s="2">
        <v>35643</v>
      </c>
      <c r="B10" s="15">
        <v>145107825</v>
      </c>
      <c r="C10" s="15"/>
      <c r="D10" s="2"/>
      <c r="E10" s="15">
        <f t="shared" si="0"/>
        <v>145107825</v>
      </c>
      <c r="F10" s="211">
        <v>49.4</v>
      </c>
      <c r="G10" s="211">
        <v>21.9</v>
      </c>
      <c r="H10" s="33">
        <v>95.315029386531663</v>
      </c>
      <c r="I10" s="7">
        <v>31</v>
      </c>
      <c r="J10" s="7">
        <v>0</v>
      </c>
      <c r="K10" s="15">
        <v>0</v>
      </c>
      <c r="L10" s="210">
        <v>320</v>
      </c>
      <c r="M10" s="210">
        <v>500.9</v>
      </c>
      <c r="N10" s="210">
        <v>41.199567099567048</v>
      </c>
      <c r="O10" s="7">
        <f t="shared" si="1"/>
        <v>145710837.81030899</v>
      </c>
    </row>
    <row r="11" spans="1:15" x14ac:dyDescent="0.2">
      <c r="A11" s="2">
        <v>35674</v>
      </c>
      <c r="B11" s="15">
        <v>139600641</v>
      </c>
      <c r="C11" s="15"/>
      <c r="D11" s="2"/>
      <c r="E11" s="15">
        <f t="shared" si="0"/>
        <v>139600641</v>
      </c>
      <c r="F11" s="211">
        <v>115.2</v>
      </c>
      <c r="G11" s="211">
        <v>5.4</v>
      </c>
      <c r="H11" s="33">
        <v>95.401013716173367</v>
      </c>
      <c r="I11" s="7">
        <v>30</v>
      </c>
      <c r="J11" s="7">
        <v>1</v>
      </c>
      <c r="K11" s="15">
        <v>0</v>
      </c>
      <c r="L11" s="210">
        <v>336</v>
      </c>
      <c r="M11" s="210">
        <v>502.3</v>
      </c>
      <c r="N11" s="210">
        <v>41.314718614718629</v>
      </c>
      <c r="O11" s="7">
        <f t="shared" si="1"/>
        <v>136706142.64723015</v>
      </c>
    </row>
    <row r="12" spans="1:15" x14ac:dyDescent="0.2">
      <c r="A12" s="2">
        <v>35704</v>
      </c>
      <c r="B12" s="15">
        <v>148289546</v>
      </c>
      <c r="C12" s="15"/>
      <c r="D12" s="2"/>
      <c r="E12" s="15">
        <f t="shared" si="0"/>
        <v>148289546</v>
      </c>
      <c r="F12" s="211">
        <v>288.89999999999998</v>
      </c>
      <c r="G12" s="211">
        <v>1.6</v>
      </c>
      <c r="H12" s="33">
        <v>95.487075612857652</v>
      </c>
      <c r="I12" s="7">
        <v>31</v>
      </c>
      <c r="J12" s="7">
        <v>1</v>
      </c>
      <c r="K12" s="15">
        <v>0</v>
      </c>
      <c r="L12" s="210">
        <v>352</v>
      </c>
      <c r="M12" s="210">
        <v>506.9</v>
      </c>
      <c r="N12" s="210">
        <v>41.693073593073564</v>
      </c>
      <c r="O12" s="7">
        <f t="shared" si="1"/>
        <v>147968699.11620501</v>
      </c>
    </row>
    <row r="13" spans="1:15" x14ac:dyDescent="0.2">
      <c r="A13" s="2">
        <v>35735</v>
      </c>
      <c r="B13" s="15">
        <v>155059094</v>
      </c>
      <c r="C13" s="15"/>
      <c r="D13" s="2"/>
      <c r="E13" s="15">
        <f t="shared" si="0"/>
        <v>155059094</v>
      </c>
      <c r="F13" s="211">
        <v>471.4</v>
      </c>
      <c r="G13" s="211">
        <v>0</v>
      </c>
      <c r="H13" s="33">
        <v>95.573215146558283</v>
      </c>
      <c r="I13" s="7">
        <v>30</v>
      </c>
      <c r="J13" s="7">
        <v>1</v>
      </c>
      <c r="K13" s="15">
        <v>0</v>
      </c>
      <c r="L13" s="210">
        <v>304</v>
      </c>
      <c r="M13" s="210">
        <v>508.4</v>
      </c>
      <c r="N13" s="210">
        <v>41.816450216450221</v>
      </c>
      <c r="O13" s="7">
        <f t="shared" si="1"/>
        <v>147954201.60918471</v>
      </c>
    </row>
    <row r="14" spans="1:15" x14ac:dyDescent="0.2">
      <c r="A14" s="2">
        <v>35765</v>
      </c>
      <c r="B14" s="15">
        <v>165554412</v>
      </c>
      <c r="C14" s="15"/>
      <c r="D14" s="2"/>
      <c r="E14" s="15">
        <f t="shared" si="0"/>
        <v>165554412</v>
      </c>
      <c r="F14" s="211">
        <v>630.70000000000005</v>
      </c>
      <c r="G14" s="211">
        <v>0</v>
      </c>
      <c r="H14" s="33">
        <v>95.659432387312208</v>
      </c>
      <c r="I14" s="7">
        <v>31</v>
      </c>
      <c r="J14" s="7">
        <v>0</v>
      </c>
      <c r="K14" s="15">
        <v>0</v>
      </c>
      <c r="L14" s="210">
        <v>336</v>
      </c>
      <c r="M14" s="210">
        <v>507.5</v>
      </c>
      <c r="N14" s="210">
        <v>41.742424242424249</v>
      </c>
      <c r="O14" s="7">
        <f t="shared" si="1"/>
        <v>165202989.90624389</v>
      </c>
    </row>
    <row r="15" spans="1:15" x14ac:dyDescent="0.2">
      <c r="A15" s="2">
        <v>35796</v>
      </c>
      <c r="B15" s="15">
        <v>169014862</v>
      </c>
      <c r="C15" s="15"/>
      <c r="D15" s="2"/>
      <c r="E15" s="15">
        <f t="shared" si="0"/>
        <v>169014862</v>
      </c>
      <c r="F15" s="211">
        <v>652.79999999999995</v>
      </c>
      <c r="G15" s="211">
        <v>0</v>
      </c>
      <c r="H15" s="33">
        <v>96.013834907485574</v>
      </c>
      <c r="I15" s="7">
        <v>31</v>
      </c>
      <c r="J15" s="7">
        <v>0</v>
      </c>
      <c r="K15" s="15">
        <v>0</v>
      </c>
      <c r="L15" s="210">
        <v>336.28800000000001</v>
      </c>
      <c r="M15" s="210">
        <v>501.4</v>
      </c>
      <c r="N15" s="210">
        <v>34.856684491978626</v>
      </c>
      <c r="O15" s="7">
        <f t="shared" si="1"/>
        <v>166734898.35565493</v>
      </c>
    </row>
    <row r="16" spans="1:15" x14ac:dyDescent="0.2">
      <c r="A16" s="2">
        <v>35827</v>
      </c>
      <c r="B16" s="15">
        <v>149446860</v>
      </c>
      <c r="C16" s="15"/>
      <c r="D16" s="2"/>
      <c r="E16" s="15">
        <f t="shared" si="0"/>
        <v>149446860</v>
      </c>
      <c r="F16" s="211">
        <v>547.1</v>
      </c>
      <c r="G16" s="211">
        <v>0</v>
      </c>
      <c r="H16" s="33">
        <v>96.369550430916135</v>
      </c>
      <c r="I16" s="7">
        <v>28</v>
      </c>
      <c r="J16" s="7">
        <v>0</v>
      </c>
      <c r="K16" s="15">
        <v>0</v>
      </c>
      <c r="L16" s="210">
        <v>319.87200000000001</v>
      </c>
      <c r="M16" s="210">
        <v>498.5</v>
      </c>
      <c r="N16" s="210">
        <v>34.655080213903716</v>
      </c>
      <c r="O16" s="7">
        <f t="shared" si="1"/>
        <v>150124955.77265158</v>
      </c>
    </row>
    <row r="17" spans="1:15" x14ac:dyDescent="0.2">
      <c r="A17" s="2">
        <v>35855</v>
      </c>
      <c r="B17" s="15">
        <v>161538633</v>
      </c>
      <c r="C17" s="15"/>
      <c r="D17" s="2"/>
      <c r="E17" s="15">
        <f t="shared" si="0"/>
        <v>161538633</v>
      </c>
      <c r="F17" s="211">
        <v>505.1</v>
      </c>
      <c r="G17" s="211">
        <v>0</v>
      </c>
      <c r="H17" s="33">
        <v>96.726583822065777</v>
      </c>
      <c r="I17" s="7">
        <v>31</v>
      </c>
      <c r="J17" s="7">
        <v>1</v>
      </c>
      <c r="K17" s="15">
        <v>0</v>
      </c>
      <c r="L17" s="210">
        <v>351.91199999999998</v>
      </c>
      <c r="M17" s="210">
        <v>495.8</v>
      </c>
      <c r="N17" s="210">
        <v>34.467379679144358</v>
      </c>
      <c r="O17" s="7">
        <f t="shared" si="1"/>
        <v>156925412.89971635</v>
      </c>
    </row>
    <row r="18" spans="1:15" x14ac:dyDescent="0.2">
      <c r="A18" s="2">
        <v>35886</v>
      </c>
      <c r="B18" s="15">
        <v>139888239</v>
      </c>
      <c r="C18" s="15"/>
      <c r="D18" s="2"/>
      <c r="E18" s="15">
        <f t="shared" si="0"/>
        <v>139888239</v>
      </c>
      <c r="F18" s="211">
        <v>312</v>
      </c>
      <c r="G18" s="211">
        <v>0</v>
      </c>
      <c r="H18" s="33">
        <v>97.084939963418421</v>
      </c>
      <c r="I18" s="7">
        <v>30</v>
      </c>
      <c r="J18" s="7">
        <v>1</v>
      </c>
      <c r="K18" s="15">
        <v>0</v>
      </c>
      <c r="L18" s="210">
        <v>336.24</v>
      </c>
      <c r="M18" s="210">
        <v>499.1</v>
      </c>
      <c r="N18" s="210">
        <v>34.696791443850202</v>
      </c>
      <c r="O18" s="7">
        <f t="shared" si="1"/>
        <v>144326699.09738436</v>
      </c>
    </row>
    <row r="19" spans="1:15" x14ac:dyDescent="0.2">
      <c r="A19" s="2">
        <v>35916</v>
      </c>
      <c r="B19" s="15">
        <v>146043180</v>
      </c>
      <c r="C19" s="15"/>
      <c r="D19" s="2"/>
      <c r="E19" s="15">
        <f t="shared" si="0"/>
        <v>146043180</v>
      </c>
      <c r="F19" s="211">
        <v>77.099999999999994</v>
      </c>
      <c r="G19" s="211">
        <v>16.8</v>
      </c>
      <c r="H19" s="33">
        <v>97.444623755546786</v>
      </c>
      <c r="I19" s="7">
        <v>31</v>
      </c>
      <c r="J19" s="7">
        <v>1</v>
      </c>
      <c r="K19" s="15">
        <v>0</v>
      </c>
      <c r="L19" s="210">
        <v>319.92</v>
      </c>
      <c r="M19" s="210">
        <v>502.9</v>
      </c>
      <c r="N19" s="210">
        <v>34.960962566844842</v>
      </c>
      <c r="O19" s="7">
        <f t="shared" si="1"/>
        <v>142153091.20552963</v>
      </c>
    </row>
    <row r="20" spans="1:15" x14ac:dyDescent="0.2">
      <c r="A20" s="2">
        <v>35947</v>
      </c>
      <c r="B20" s="15">
        <v>152205116</v>
      </c>
      <c r="C20" s="15"/>
      <c r="D20" s="2"/>
      <c r="E20" s="15">
        <f t="shared" si="0"/>
        <v>152205116</v>
      </c>
      <c r="F20" s="211">
        <v>66.7</v>
      </c>
      <c r="G20" s="211">
        <v>63.7</v>
      </c>
      <c r="H20" s="33">
        <v>97.805640117179436</v>
      </c>
      <c r="I20" s="7">
        <v>30</v>
      </c>
      <c r="J20" s="7">
        <v>0</v>
      </c>
      <c r="K20" s="15">
        <v>0</v>
      </c>
      <c r="L20" s="210">
        <v>352.08</v>
      </c>
      <c r="M20" s="210">
        <v>511.2</v>
      </c>
      <c r="N20" s="210">
        <v>35.537967914438525</v>
      </c>
      <c r="O20" s="7">
        <f t="shared" si="1"/>
        <v>159678278.97913694</v>
      </c>
    </row>
    <row r="21" spans="1:15" x14ac:dyDescent="0.2">
      <c r="A21" s="2">
        <v>35977</v>
      </c>
      <c r="B21" s="15">
        <v>153589755</v>
      </c>
      <c r="C21" s="15"/>
      <c r="D21" s="2"/>
      <c r="E21" s="15">
        <f t="shared" si="0"/>
        <v>153589755</v>
      </c>
      <c r="F21" s="211">
        <v>6.9</v>
      </c>
      <c r="G21" s="211">
        <v>64.8</v>
      </c>
      <c r="H21" s="33">
        <v>98.167993985267998</v>
      </c>
      <c r="I21" s="7">
        <v>31</v>
      </c>
      <c r="J21" s="7">
        <v>0</v>
      </c>
      <c r="K21" s="15">
        <v>0</v>
      </c>
      <c r="L21" s="210">
        <v>351.91199999999998</v>
      </c>
      <c r="M21" s="210">
        <v>518.1</v>
      </c>
      <c r="N21" s="210">
        <v>36.017647058823513</v>
      </c>
      <c r="O21" s="7">
        <f t="shared" si="1"/>
        <v>161601606.69697741</v>
      </c>
    </row>
    <row r="22" spans="1:15" x14ac:dyDescent="0.2">
      <c r="A22" s="2">
        <v>36008</v>
      </c>
      <c r="B22" s="15">
        <v>160175410</v>
      </c>
      <c r="C22" s="15"/>
      <c r="D22" s="2"/>
      <c r="E22" s="15">
        <f t="shared" si="0"/>
        <v>160175410</v>
      </c>
      <c r="F22" s="211">
        <v>12.1</v>
      </c>
      <c r="G22" s="211">
        <v>83.1</v>
      </c>
      <c r="H22" s="33">
        <v>98.531690315054689</v>
      </c>
      <c r="I22" s="7">
        <v>31</v>
      </c>
      <c r="J22" s="7">
        <v>0</v>
      </c>
      <c r="K22" s="15">
        <v>0</v>
      </c>
      <c r="L22" s="210">
        <v>319.92</v>
      </c>
      <c r="M22" s="210">
        <v>523.9</v>
      </c>
      <c r="N22" s="210">
        <v>36.42085561497322</v>
      </c>
      <c r="O22" s="7">
        <f t="shared" si="1"/>
        <v>165237084.65530786</v>
      </c>
    </row>
    <row r="23" spans="1:15" x14ac:dyDescent="0.2">
      <c r="A23" s="2">
        <v>36039</v>
      </c>
      <c r="B23" s="15">
        <v>145106275</v>
      </c>
      <c r="C23" s="15"/>
      <c r="D23" s="2"/>
      <c r="E23" s="15">
        <f t="shared" si="0"/>
        <v>145106275</v>
      </c>
      <c r="F23" s="211">
        <v>63</v>
      </c>
      <c r="G23" s="211">
        <v>26</v>
      </c>
      <c r="H23" s="33">
        <v>98.896734080140092</v>
      </c>
      <c r="I23" s="7">
        <v>30</v>
      </c>
      <c r="J23" s="7">
        <v>1</v>
      </c>
      <c r="K23" s="15">
        <v>0</v>
      </c>
      <c r="L23" s="210">
        <v>336.24</v>
      </c>
      <c r="M23" s="210">
        <v>522.5</v>
      </c>
      <c r="N23" s="210">
        <v>36.323529411764639</v>
      </c>
      <c r="O23" s="7">
        <f t="shared" si="1"/>
        <v>143450920.2158294</v>
      </c>
    </row>
    <row r="24" spans="1:15" x14ac:dyDescent="0.2">
      <c r="A24" s="2">
        <v>36069</v>
      </c>
      <c r="B24" s="15">
        <v>143393838</v>
      </c>
      <c r="C24" s="15"/>
      <c r="D24" s="2"/>
      <c r="E24" s="15">
        <f t="shared" si="0"/>
        <v>143393838</v>
      </c>
      <c r="F24" s="211">
        <v>257.60000000000002</v>
      </c>
      <c r="G24" s="211">
        <v>0</v>
      </c>
      <c r="H24" s="33">
        <v>99.26313027255118</v>
      </c>
      <c r="I24" s="7">
        <v>31</v>
      </c>
      <c r="J24" s="7">
        <v>1</v>
      </c>
      <c r="K24" s="15">
        <v>0</v>
      </c>
      <c r="L24" s="210">
        <v>336.28800000000001</v>
      </c>
      <c r="M24" s="210">
        <v>521.5</v>
      </c>
      <c r="N24" s="210">
        <v>36.254010695187162</v>
      </c>
      <c r="O24" s="7">
        <f t="shared" si="1"/>
        <v>147467133.38620052</v>
      </c>
    </row>
    <row r="25" spans="1:15" x14ac:dyDescent="0.2">
      <c r="A25" s="2">
        <v>36100</v>
      </c>
      <c r="B25" s="15">
        <v>152187498</v>
      </c>
      <c r="C25" s="15"/>
      <c r="D25" s="2"/>
      <c r="E25" s="15">
        <f t="shared" si="0"/>
        <v>152187498</v>
      </c>
      <c r="F25" s="211">
        <v>440.1</v>
      </c>
      <c r="G25" s="211">
        <v>0</v>
      </c>
      <c r="H25" s="33">
        <v>99.630883902809558</v>
      </c>
      <c r="I25" s="7">
        <v>30</v>
      </c>
      <c r="J25" s="7">
        <v>1</v>
      </c>
      <c r="K25" s="15">
        <v>0</v>
      </c>
      <c r="L25" s="210">
        <v>336.24</v>
      </c>
      <c r="M25" s="210">
        <v>522.20000000000005</v>
      </c>
      <c r="N25" s="210">
        <v>36.302673796791396</v>
      </c>
      <c r="O25" s="7">
        <f t="shared" si="1"/>
        <v>151593838.26159039</v>
      </c>
    </row>
    <row r="26" spans="1:15" x14ac:dyDescent="0.2">
      <c r="A26" s="2">
        <v>36130</v>
      </c>
      <c r="B26" s="15">
        <v>162755458</v>
      </c>
      <c r="C26" s="15"/>
      <c r="D26" s="2"/>
      <c r="E26" s="15">
        <f t="shared" si="0"/>
        <v>162755458</v>
      </c>
      <c r="F26" s="211">
        <v>572.1</v>
      </c>
      <c r="G26" s="211">
        <v>0</v>
      </c>
      <c r="H26" s="33">
        <v>100</v>
      </c>
      <c r="I26" s="7">
        <v>31</v>
      </c>
      <c r="J26" s="7">
        <v>0</v>
      </c>
      <c r="K26" s="15">
        <v>0</v>
      </c>
      <c r="L26" s="210">
        <v>336.28800000000001</v>
      </c>
      <c r="M26" s="210">
        <v>528.4</v>
      </c>
      <c r="N26" s="210">
        <v>36.733689839572207</v>
      </c>
      <c r="O26" s="7">
        <f t="shared" si="1"/>
        <v>165761968.86299294</v>
      </c>
    </row>
    <row r="27" spans="1:15" x14ac:dyDescent="0.2">
      <c r="A27" s="2">
        <v>36161</v>
      </c>
      <c r="B27" s="15">
        <v>176550323</v>
      </c>
      <c r="C27" s="15"/>
      <c r="D27" s="2"/>
      <c r="E27" s="15">
        <f t="shared" si="0"/>
        <v>176550323</v>
      </c>
      <c r="F27" s="211">
        <v>789.6</v>
      </c>
      <c r="G27" s="211">
        <v>0</v>
      </c>
      <c r="H27" s="34">
        <v>100.39254461560812</v>
      </c>
      <c r="I27" s="7">
        <v>31</v>
      </c>
      <c r="J27" s="7">
        <v>0</v>
      </c>
      <c r="K27" s="15">
        <v>0</v>
      </c>
      <c r="L27" s="210">
        <v>319.92</v>
      </c>
      <c r="M27" s="210">
        <v>528.4</v>
      </c>
      <c r="N27" s="210">
        <v>30.753439153439217</v>
      </c>
      <c r="O27" s="7">
        <f t="shared" si="1"/>
        <v>174519211.96811303</v>
      </c>
    </row>
    <row r="28" spans="1:15" x14ac:dyDescent="0.2">
      <c r="A28" s="2">
        <v>36192</v>
      </c>
      <c r="B28" s="15">
        <v>153314486</v>
      </c>
      <c r="C28" s="15"/>
      <c r="D28" s="2"/>
      <c r="E28" s="15">
        <f t="shared" si="0"/>
        <v>153314486</v>
      </c>
      <c r="F28" s="211">
        <v>578.4</v>
      </c>
      <c r="G28" s="211">
        <v>0</v>
      </c>
      <c r="H28" s="34">
        <v>100.78663014396867</v>
      </c>
      <c r="I28" s="7">
        <v>28</v>
      </c>
      <c r="J28" s="7">
        <v>0</v>
      </c>
      <c r="K28" s="15">
        <v>0</v>
      </c>
      <c r="L28" s="210">
        <v>319.87200000000001</v>
      </c>
      <c r="M28" s="210">
        <v>528.1</v>
      </c>
      <c r="N28" s="210">
        <v>30.735978835978813</v>
      </c>
      <c r="O28" s="7">
        <f t="shared" si="1"/>
        <v>154927815.59416059</v>
      </c>
    </row>
    <row r="29" spans="1:15" x14ac:dyDescent="0.2">
      <c r="A29" s="2">
        <v>36220</v>
      </c>
      <c r="B29" s="15">
        <v>165000091</v>
      </c>
      <c r="C29" s="15"/>
      <c r="D29" s="2"/>
      <c r="E29" s="15">
        <f t="shared" si="0"/>
        <v>165000091</v>
      </c>
      <c r="F29" s="211">
        <v>592.5</v>
      </c>
      <c r="G29" s="211">
        <v>0</v>
      </c>
      <c r="H29" s="34">
        <v>101.18226263385168</v>
      </c>
      <c r="I29" s="7">
        <v>31</v>
      </c>
      <c r="J29" s="7">
        <v>1</v>
      </c>
      <c r="K29" s="15">
        <v>0</v>
      </c>
      <c r="L29" s="210">
        <v>368.28</v>
      </c>
      <c r="M29" s="210">
        <v>525.5</v>
      </c>
      <c r="N29" s="210">
        <v>30.584656084656103</v>
      </c>
      <c r="O29" s="7">
        <f t="shared" si="1"/>
        <v>165334135.92643356</v>
      </c>
    </row>
    <row r="30" spans="1:15" x14ac:dyDescent="0.2">
      <c r="A30" s="2">
        <v>36251</v>
      </c>
      <c r="B30" s="15">
        <v>143094038</v>
      </c>
      <c r="C30" s="15"/>
      <c r="D30" s="2"/>
      <c r="E30" s="15">
        <f t="shared" si="0"/>
        <v>143094038</v>
      </c>
      <c r="F30" s="211">
        <v>332.6</v>
      </c>
      <c r="G30" s="211">
        <v>0</v>
      </c>
      <c r="H30" s="34">
        <v>101.57944815777132</v>
      </c>
      <c r="I30" s="7">
        <v>30</v>
      </c>
      <c r="J30" s="7">
        <v>1</v>
      </c>
      <c r="K30" s="15">
        <v>0</v>
      </c>
      <c r="L30" s="210">
        <v>336.24</v>
      </c>
      <c r="M30" s="210">
        <v>528.79999999999995</v>
      </c>
      <c r="N30" s="210">
        <v>30.776719576719643</v>
      </c>
      <c r="O30" s="7">
        <f t="shared" si="1"/>
        <v>148702519.52406019</v>
      </c>
    </row>
    <row r="31" spans="1:15" x14ac:dyDescent="0.2">
      <c r="A31" s="2">
        <v>36281</v>
      </c>
      <c r="B31" s="15">
        <v>145495902</v>
      </c>
      <c r="C31" s="15"/>
      <c r="D31" s="2"/>
      <c r="E31" s="15">
        <f t="shared" si="0"/>
        <v>145495902</v>
      </c>
      <c r="F31" s="211">
        <v>126.7</v>
      </c>
      <c r="G31" s="211">
        <v>10.5</v>
      </c>
      <c r="H31" s="34">
        <v>101.97819281207909</v>
      </c>
      <c r="I31" s="7">
        <v>31</v>
      </c>
      <c r="J31" s="7">
        <v>1</v>
      </c>
      <c r="K31" s="15">
        <v>0</v>
      </c>
      <c r="L31" s="210">
        <v>319.92</v>
      </c>
      <c r="M31" s="210">
        <v>532.5</v>
      </c>
      <c r="N31" s="210">
        <v>30.992063492063494</v>
      </c>
      <c r="O31" s="7">
        <f t="shared" si="1"/>
        <v>145877058.18743575</v>
      </c>
    </row>
    <row r="32" spans="1:15" x14ac:dyDescent="0.2">
      <c r="A32" s="2">
        <v>36312</v>
      </c>
      <c r="B32" s="15">
        <v>162933501</v>
      </c>
      <c r="C32" s="15"/>
      <c r="D32" s="2"/>
      <c r="E32" s="15">
        <f t="shared" si="0"/>
        <v>162933501</v>
      </c>
      <c r="F32" s="211">
        <v>44.4</v>
      </c>
      <c r="G32" s="211">
        <v>76.5</v>
      </c>
      <c r="H32" s="34">
        <v>102.37850271705736</v>
      </c>
      <c r="I32" s="7">
        <v>30</v>
      </c>
      <c r="J32" s="7">
        <v>0</v>
      </c>
      <c r="K32" s="15">
        <v>0</v>
      </c>
      <c r="L32" s="210">
        <v>352.08</v>
      </c>
      <c r="M32" s="210">
        <v>540.1</v>
      </c>
      <c r="N32" s="210">
        <v>31.43439153439158</v>
      </c>
      <c r="O32" s="7">
        <f t="shared" si="1"/>
        <v>166038756.28722426</v>
      </c>
    </row>
    <row r="33" spans="1:15" x14ac:dyDescent="0.2">
      <c r="A33" s="2">
        <v>36342</v>
      </c>
      <c r="B33" s="15">
        <v>171126555</v>
      </c>
      <c r="C33" s="15"/>
      <c r="D33" s="2"/>
      <c r="E33" s="15">
        <f t="shared" si="0"/>
        <v>171126555</v>
      </c>
      <c r="F33" s="211">
        <v>3.2</v>
      </c>
      <c r="G33" s="211">
        <v>138.9</v>
      </c>
      <c r="H33" s="34">
        <v>102.78038401701338</v>
      </c>
      <c r="I33" s="7">
        <v>31</v>
      </c>
      <c r="J33" s="7">
        <v>0</v>
      </c>
      <c r="K33" s="15">
        <v>0</v>
      </c>
      <c r="L33" s="210">
        <v>336.28800000000001</v>
      </c>
      <c r="M33" s="210">
        <v>548.1</v>
      </c>
      <c r="N33" s="210">
        <v>31.899999999999977</v>
      </c>
      <c r="O33" s="7">
        <f t="shared" si="1"/>
        <v>185826260.64893723</v>
      </c>
    </row>
    <row r="34" spans="1:15" x14ac:dyDescent="0.2">
      <c r="A34" s="2">
        <v>36373</v>
      </c>
      <c r="B34" s="15">
        <v>156668949</v>
      </c>
      <c r="C34" s="15"/>
      <c r="D34" s="2"/>
      <c r="E34" s="15">
        <f t="shared" si="0"/>
        <v>156668949</v>
      </c>
      <c r="F34" s="211">
        <v>28.8</v>
      </c>
      <c r="G34" s="211">
        <v>30.9</v>
      </c>
      <c r="H34" s="34">
        <v>103.1838428803735</v>
      </c>
      <c r="I34" s="7">
        <v>31</v>
      </c>
      <c r="J34" s="7">
        <v>0</v>
      </c>
      <c r="K34" s="15">
        <v>0</v>
      </c>
      <c r="L34" s="210">
        <v>336.28800000000001</v>
      </c>
      <c r="M34" s="210">
        <v>553.20000000000005</v>
      </c>
      <c r="N34" s="210">
        <v>32.196825396825375</v>
      </c>
      <c r="O34" s="7">
        <f t="shared" si="1"/>
        <v>155250495.23286304</v>
      </c>
    </row>
    <row r="35" spans="1:15" x14ac:dyDescent="0.2">
      <c r="A35" s="2">
        <v>36404</v>
      </c>
      <c r="B35" s="15">
        <v>149477238</v>
      </c>
      <c r="C35" s="15"/>
      <c r="D35" s="2"/>
      <c r="E35" s="15">
        <f t="shared" ref="E35:E66" si="2">SUM(B35:D35)</f>
        <v>149477238</v>
      </c>
      <c r="F35" s="211">
        <v>88.9</v>
      </c>
      <c r="G35" s="211">
        <v>27.7</v>
      </c>
      <c r="H35" s="34">
        <v>103.58888549977794</v>
      </c>
      <c r="I35" s="7">
        <v>30</v>
      </c>
      <c r="J35" s="7">
        <v>1</v>
      </c>
      <c r="K35" s="15">
        <v>0</v>
      </c>
      <c r="L35" s="210">
        <v>336.24</v>
      </c>
      <c r="M35" s="210">
        <v>554.9</v>
      </c>
      <c r="N35" s="210">
        <v>32.295767195767212</v>
      </c>
      <c r="O35" s="7">
        <f t="shared" si="1"/>
        <v>148802598.0871166</v>
      </c>
    </row>
    <row r="36" spans="1:15" x14ac:dyDescent="0.2">
      <c r="A36" s="2">
        <v>36434</v>
      </c>
      <c r="B36" s="15">
        <v>149731148</v>
      </c>
      <c r="C36" s="15"/>
      <c r="D36" s="2"/>
      <c r="E36" s="15">
        <f t="shared" si="2"/>
        <v>149731148</v>
      </c>
      <c r="F36" s="211">
        <v>319</v>
      </c>
      <c r="G36" s="211">
        <v>0</v>
      </c>
      <c r="H36" s="34">
        <v>103.99551809217577</v>
      </c>
      <c r="I36" s="7">
        <v>31</v>
      </c>
      <c r="J36" s="7">
        <v>1</v>
      </c>
      <c r="K36" s="15">
        <v>0</v>
      </c>
      <c r="L36" s="210">
        <v>319.92</v>
      </c>
      <c r="M36" s="210">
        <v>552.6</v>
      </c>
      <c r="N36" s="210">
        <v>32.161904761904793</v>
      </c>
      <c r="O36" s="7">
        <f t="shared" si="1"/>
        <v>152463337.69349182</v>
      </c>
    </row>
    <row r="37" spans="1:15" x14ac:dyDescent="0.2">
      <c r="A37" s="2">
        <v>36465</v>
      </c>
      <c r="B37" s="15">
        <v>155962063</v>
      </c>
      <c r="C37" s="15"/>
      <c r="D37" s="2"/>
      <c r="E37" s="15">
        <f t="shared" si="2"/>
        <v>155962063</v>
      </c>
      <c r="F37" s="211">
        <v>405.1</v>
      </c>
      <c r="G37" s="211">
        <v>0</v>
      </c>
      <c r="H37" s="34">
        <v>104.40374689892037</v>
      </c>
      <c r="I37" s="7">
        <v>30</v>
      </c>
      <c r="J37" s="7">
        <v>1</v>
      </c>
      <c r="K37" s="15">
        <v>0</v>
      </c>
      <c r="L37" s="210">
        <v>352.08</v>
      </c>
      <c r="M37" s="210">
        <v>549.6</v>
      </c>
      <c r="N37" s="210">
        <v>31.987301587301658</v>
      </c>
      <c r="O37" s="7">
        <f t="shared" si="1"/>
        <v>154787444.03115454</v>
      </c>
    </row>
    <row r="38" spans="1:15" x14ac:dyDescent="0.2">
      <c r="A38" s="2">
        <v>36495</v>
      </c>
      <c r="B38" s="15">
        <v>170494981</v>
      </c>
      <c r="C38" s="15"/>
      <c r="D38" s="2"/>
      <c r="E38" s="15">
        <f t="shared" si="2"/>
        <v>170494981</v>
      </c>
      <c r="F38" s="211">
        <v>623.70000000000005</v>
      </c>
      <c r="G38" s="211">
        <v>0</v>
      </c>
      <c r="H38" s="34">
        <v>104.81357818586534</v>
      </c>
      <c r="I38" s="7">
        <v>31</v>
      </c>
      <c r="J38" s="7">
        <v>0</v>
      </c>
      <c r="K38" s="15">
        <v>0</v>
      </c>
      <c r="L38" s="210">
        <v>336.28800000000001</v>
      </c>
      <c r="M38" s="210">
        <v>548.1</v>
      </c>
      <c r="N38" s="210">
        <v>31.899999999999977</v>
      </c>
      <c r="O38" s="7">
        <f t="shared" si="1"/>
        <v>170865669.97842795</v>
      </c>
    </row>
    <row r="39" spans="1:15" x14ac:dyDescent="0.2">
      <c r="A39" s="2">
        <v>36526</v>
      </c>
      <c r="B39" s="15">
        <v>178748867</v>
      </c>
      <c r="C39" s="15"/>
      <c r="D39" s="2"/>
      <c r="E39" s="15">
        <f t="shared" si="2"/>
        <v>178748867</v>
      </c>
      <c r="F39" s="211">
        <v>773</v>
      </c>
      <c r="G39" s="211">
        <v>0</v>
      </c>
      <c r="H39" s="34">
        <v>105.44819844915847</v>
      </c>
      <c r="I39" s="7">
        <v>31</v>
      </c>
      <c r="J39" s="7">
        <v>0</v>
      </c>
      <c r="K39" s="15">
        <v>0</v>
      </c>
      <c r="L39" s="210">
        <v>319.92</v>
      </c>
      <c r="M39" s="210">
        <v>542.79999999999995</v>
      </c>
      <c r="N39" s="210">
        <v>30.984355179704039</v>
      </c>
      <c r="O39" s="7">
        <f t="shared" si="1"/>
        <v>175688541.17898694</v>
      </c>
    </row>
    <row r="40" spans="1:15" x14ac:dyDescent="0.2">
      <c r="A40" s="2">
        <v>36557</v>
      </c>
      <c r="B40" s="15">
        <v>162866687</v>
      </c>
      <c r="C40" s="15"/>
      <c r="D40" s="2"/>
      <c r="E40" s="15">
        <f t="shared" si="2"/>
        <v>162866687</v>
      </c>
      <c r="F40" s="211">
        <v>643.79999999999995</v>
      </c>
      <c r="G40" s="211">
        <v>0</v>
      </c>
      <c r="H40" s="34">
        <v>106.08666118100913</v>
      </c>
      <c r="I40" s="7">
        <v>28</v>
      </c>
      <c r="J40" s="7">
        <v>0</v>
      </c>
      <c r="K40" s="15">
        <v>0</v>
      </c>
      <c r="L40" s="210">
        <v>336.16799999999995</v>
      </c>
      <c r="M40" s="210">
        <v>537.20000000000005</v>
      </c>
      <c r="N40" s="210">
        <v>30.664693446088791</v>
      </c>
      <c r="O40" s="7">
        <f t="shared" si="1"/>
        <v>160456597.53417867</v>
      </c>
    </row>
    <row r="41" spans="1:15" x14ac:dyDescent="0.2">
      <c r="A41" s="2">
        <v>36586</v>
      </c>
      <c r="B41" s="15">
        <v>161127993</v>
      </c>
      <c r="C41" s="15"/>
      <c r="D41" s="2"/>
      <c r="E41" s="15">
        <f t="shared" si="2"/>
        <v>161127993</v>
      </c>
      <c r="F41" s="211">
        <v>446.9</v>
      </c>
      <c r="G41" s="211">
        <v>0</v>
      </c>
      <c r="H41" s="34">
        <v>106.72898964661303</v>
      </c>
      <c r="I41" s="7">
        <v>31</v>
      </c>
      <c r="J41" s="7">
        <v>1</v>
      </c>
      <c r="K41" s="15">
        <v>0</v>
      </c>
      <c r="L41" s="210">
        <v>368.28</v>
      </c>
      <c r="M41" s="210">
        <v>534.70000000000005</v>
      </c>
      <c r="N41" s="210">
        <v>30.52198731501062</v>
      </c>
      <c r="O41" s="7">
        <f t="shared" si="1"/>
        <v>160843549.17347744</v>
      </c>
    </row>
    <row r="42" spans="1:15" x14ac:dyDescent="0.2">
      <c r="A42" s="2">
        <v>36617</v>
      </c>
      <c r="B42" s="15">
        <v>146022967</v>
      </c>
      <c r="C42" s="15"/>
      <c r="D42" s="2"/>
      <c r="E42" s="15">
        <f t="shared" si="2"/>
        <v>146022967</v>
      </c>
      <c r="F42" s="211">
        <v>358.3</v>
      </c>
      <c r="G42" s="211">
        <v>0</v>
      </c>
      <c r="H42" s="34">
        <v>107.37520725203085</v>
      </c>
      <c r="I42" s="7">
        <v>30</v>
      </c>
      <c r="J42" s="7">
        <v>1</v>
      </c>
      <c r="K42" s="15">
        <v>0</v>
      </c>
      <c r="L42" s="210">
        <v>303.83999999999997</v>
      </c>
      <c r="M42" s="210">
        <v>538.6</v>
      </c>
      <c r="N42" s="210">
        <v>30.744608879492603</v>
      </c>
      <c r="O42" s="7">
        <f t="shared" si="1"/>
        <v>148971890.87374681</v>
      </c>
    </row>
    <row r="43" spans="1:15" x14ac:dyDescent="0.2">
      <c r="A43" s="2">
        <v>36647</v>
      </c>
      <c r="B43" s="15">
        <v>149955206</v>
      </c>
      <c r="C43" s="15"/>
      <c r="D43" s="2"/>
      <c r="E43" s="15">
        <f t="shared" si="2"/>
        <v>149955206</v>
      </c>
      <c r="F43" s="211">
        <v>152.4</v>
      </c>
      <c r="G43" s="211">
        <v>18.7</v>
      </c>
      <c r="H43" s="34">
        <v>108.02533754504118</v>
      </c>
      <c r="I43" s="7">
        <v>31</v>
      </c>
      <c r="J43" s="7">
        <v>1</v>
      </c>
      <c r="K43" s="15">
        <v>0</v>
      </c>
      <c r="L43" s="210">
        <v>351.91199999999998</v>
      </c>
      <c r="M43" s="210">
        <v>548.29999999999995</v>
      </c>
      <c r="N43" s="210">
        <v>31.298308668076174</v>
      </c>
      <c r="O43" s="7">
        <f t="shared" si="1"/>
        <v>153950594.21774158</v>
      </c>
    </row>
    <row r="44" spans="1:15" x14ac:dyDescent="0.2">
      <c r="A44" s="2">
        <v>36678</v>
      </c>
      <c r="B44" s="15">
        <v>155366404</v>
      </c>
      <c r="C44" s="15"/>
      <c r="D44" s="2"/>
      <c r="E44" s="15">
        <f t="shared" si="2"/>
        <v>155366404</v>
      </c>
      <c r="F44" s="211">
        <v>41.1</v>
      </c>
      <c r="G44" s="211">
        <v>35.4</v>
      </c>
      <c r="H44" s="34">
        <v>108.6794042159986</v>
      </c>
      <c r="I44" s="7">
        <v>30</v>
      </c>
      <c r="J44" s="7">
        <v>0</v>
      </c>
      <c r="K44" s="15">
        <v>0</v>
      </c>
      <c r="L44" s="210">
        <v>352.08</v>
      </c>
      <c r="M44" s="210">
        <v>554.1</v>
      </c>
      <c r="N44" s="210">
        <v>31.629386892177649</v>
      </c>
      <c r="O44" s="7">
        <f t="shared" si="1"/>
        <v>155742959.56689864</v>
      </c>
    </row>
    <row r="45" spans="1:15" x14ac:dyDescent="0.2">
      <c r="A45" s="2">
        <v>36708</v>
      </c>
      <c r="B45" s="15">
        <v>155720648</v>
      </c>
      <c r="C45" s="15"/>
      <c r="D45" s="2"/>
      <c r="E45" s="15">
        <f t="shared" si="2"/>
        <v>155720648</v>
      </c>
      <c r="F45" s="211">
        <v>18.600000000000001</v>
      </c>
      <c r="G45" s="211">
        <v>44.8</v>
      </c>
      <c r="H45" s="34">
        <v>109.33743109869688</v>
      </c>
      <c r="I45" s="7">
        <v>31</v>
      </c>
      <c r="J45" s="7">
        <v>0</v>
      </c>
      <c r="K45" s="15">
        <v>0</v>
      </c>
      <c r="L45" s="210">
        <v>319.92</v>
      </c>
      <c r="M45" s="210">
        <v>557.4</v>
      </c>
      <c r="N45" s="210">
        <v>31.81775898520084</v>
      </c>
      <c r="O45" s="7">
        <f t="shared" si="1"/>
        <v>159059082.42609751</v>
      </c>
    </row>
    <row r="46" spans="1:15" x14ac:dyDescent="0.2">
      <c r="A46" s="2">
        <v>36739</v>
      </c>
      <c r="B46" s="15">
        <v>163322317</v>
      </c>
      <c r="C46" s="15"/>
      <c r="D46" s="2"/>
      <c r="E46" s="15">
        <f t="shared" si="2"/>
        <v>163322317</v>
      </c>
      <c r="F46" s="211">
        <v>29.7</v>
      </c>
      <c r="G46" s="211">
        <v>46.3</v>
      </c>
      <c r="H46" s="34">
        <v>109.99944217123755</v>
      </c>
      <c r="I46" s="7">
        <v>31</v>
      </c>
      <c r="J46" s="7">
        <v>0</v>
      </c>
      <c r="K46" s="15">
        <v>0</v>
      </c>
      <c r="L46" s="210">
        <v>351.91199999999998</v>
      </c>
      <c r="M46" s="210">
        <v>556.6</v>
      </c>
      <c r="N46" s="210">
        <v>31.77209302325582</v>
      </c>
      <c r="O46" s="7">
        <f t="shared" si="1"/>
        <v>162470170.50664473</v>
      </c>
    </row>
    <row r="47" spans="1:15" x14ac:dyDescent="0.2">
      <c r="A47" s="2">
        <v>36770</v>
      </c>
      <c r="B47" s="15">
        <v>149740084</v>
      </c>
      <c r="C47" s="15"/>
      <c r="D47" s="2"/>
      <c r="E47" s="15">
        <f t="shared" si="2"/>
        <v>149740084</v>
      </c>
      <c r="F47" s="211">
        <v>134</v>
      </c>
      <c r="G47" s="211">
        <v>23.8</v>
      </c>
      <c r="H47" s="34">
        <v>110.66546155690358</v>
      </c>
      <c r="I47" s="7">
        <v>30</v>
      </c>
      <c r="J47" s="7">
        <v>1</v>
      </c>
      <c r="K47" s="15">
        <v>0</v>
      </c>
      <c r="L47" s="210">
        <v>319.68</v>
      </c>
      <c r="M47" s="210">
        <v>553.6</v>
      </c>
      <c r="N47" s="210">
        <v>31.60084566596197</v>
      </c>
      <c r="O47" s="7">
        <f t="shared" si="1"/>
        <v>149406847.76892984</v>
      </c>
    </row>
    <row r="48" spans="1:15" x14ac:dyDescent="0.2">
      <c r="A48" s="2">
        <v>36800</v>
      </c>
      <c r="B48" s="15">
        <v>151587385</v>
      </c>
      <c r="C48" s="15"/>
      <c r="D48" s="2"/>
      <c r="E48" s="15">
        <f t="shared" si="2"/>
        <v>151587385</v>
      </c>
      <c r="F48" s="211">
        <v>251.6</v>
      </c>
      <c r="G48" s="211">
        <v>0</v>
      </c>
      <c r="H48" s="34">
        <v>111.33551352503846</v>
      </c>
      <c r="I48" s="7">
        <v>31</v>
      </c>
      <c r="J48" s="7">
        <v>1</v>
      </c>
      <c r="K48" s="15">
        <v>0</v>
      </c>
      <c r="L48" s="210">
        <v>336.28800000000001</v>
      </c>
      <c r="M48" s="210">
        <v>552.9</v>
      </c>
      <c r="N48" s="210">
        <v>31.560887949260064</v>
      </c>
      <c r="O48" s="7">
        <f t="shared" si="1"/>
        <v>152192717.9337638</v>
      </c>
    </row>
    <row r="49" spans="1:15" x14ac:dyDescent="0.2">
      <c r="A49" s="2">
        <v>36831</v>
      </c>
      <c r="B49" s="15">
        <v>161969851</v>
      </c>
      <c r="C49" s="15"/>
      <c r="D49" s="2"/>
      <c r="E49" s="15">
        <f t="shared" si="2"/>
        <v>161969851</v>
      </c>
      <c r="F49" s="211">
        <v>470.9</v>
      </c>
      <c r="G49" s="211">
        <v>0</v>
      </c>
      <c r="H49" s="34">
        <v>112.00962249193054</v>
      </c>
      <c r="I49" s="7">
        <v>30</v>
      </c>
      <c r="J49" s="7">
        <v>1</v>
      </c>
      <c r="K49" s="15">
        <v>0</v>
      </c>
      <c r="L49" s="210">
        <v>352.08</v>
      </c>
      <c r="M49" s="210">
        <v>556.9</v>
      </c>
      <c r="N49" s="210">
        <v>31.789217758985274</v>
      </c>
      <c r="O49" s="7">
        <f t="shared" si="1"/>
        <v>159340998.42767981</v>
      </c>
    </row>
    <row r="50" spans="1:15" x14ac:dyDescent="0.2">
      <c r="A50" s="2">
        <v>36861</v>
      </c>
      <c r="B50" s="15">
        <v>180858897</v>
      </c>
      <c r="C50" s="15"/>
      <c r="D50" s="2"/>
      <c r="E50" s="15">
        <f t="shared" si="2"/>
        <v>180858897</v>
      </c>
      <c r="F50" s="211">
        <v>826.5</v>
      </c>
      <c r="G50" s="211">
        <v>0</v>
      </c>
      <c r="H50" s="34">
        <v>112.68781302170287</v>
      </c>
      <c r="I50" s="7">
        <v>31</v>
      </c>
      <c r="J50" s="7">
        <v>0</v>
      </c>
      <c r="K50" s="15">
        <v>0</v>
      </c>
      <c r="L50" s="210">
        <v>304.29599999999999</v>
      </c>
      <c r="M50" s="210">
        <v>561.29999999999995</v>
      </c>
      <c r="N50" s="210">
        <v>32.040380549682936</v>
      </c>
      <c r="O50" s="7">
        <f t="shared" si="1"/>
        <v>179133483.91841337</v>
      </c>
    </row>
    <row r="51" spans="1:15" x14ac:dyDescent="0.2">
      <c r="A51" s="2">
        <v>36892</v>
      </c>
      <c r="B51" s="15">
        <v>182274650</v>
      </c>
      <c r="C51" s="15"/>
      <c r="D51" s="2"/>
      <c r="E51" s="15">
        <f t="shared" si="2"/>
        <v>182274650</v>
      </c>
      <c r="F51" s="211">
        <v>715</v>
      </c>
      <c r="G51" s="211">
        <v>0</v>
      </c>
      <c r="H51" s="34">
        <v>113.20550742744629</v>
      </c>
      <c r="I51" s="7">
        <v>31</v>
      </c>
      <c r="J51" s="7">
        <v>0</v>
      </c>
      <c r="K51" s="15">
        <v>0</v>
      </c>
      <c r="L51" s="210">
        <v>351.91199999999998</v>
      </c>
      <c r="M51" s="210">
        <v>560.70000000000005</v>
      </c>
      <c r="N51" s="210">
        <v>32.633333333333326</v>
      </c>
      <c r="O51" s="7">
        <f t="shared" si="1"/>
        <v>178071748.72386086</v>
      </c>
    </row>
    <row r="52" spans="1:15" x14ac:dyDescent="0.2">
      <c r="A52" s="2">
        <v>36925</v>
      </c>
      <c r="B52" s="15">
        <v>162106075</v>
      </c>
      <c r="C52" s="15"/>
      <c r="D52" s="2"/>
      <c r="E52" s="15">
        <f t="shared" si="2"/>
        <v>162106075</v>
      </c>
      <c r="F52" s="211">
        <v>620.20000000000005</v>
      </c>
      <c r="G52" s="211">
        <v>0</v>
      </c>
      <c r="H52" s="34">
        <v>113.72558015157706</v>
      </c>
      <c r="I52" s="7">
        <v>29</v>
      </c>
      <c r="J52" s="7">
        <v>0</v>
      </c>
      <c r="K52" s="15">
        <v>0</v>
      </c>
      <c r="L52" s="210">
        <v>319.87200000000001</v>
      </c>
      <c r="M52" s="210">
        <v>555.6</v>
      </c>
      <c r="N52" s="210">
        <v>32.336507936507928</v>
      </c>
      <c r="O52" s="7">
        <f t="shared" si="1"/>
        <v>164198244.52264148</v>
      </c>
    </row>
    <row r="53" spans="1:15" x14ac:dyDescent="0.2">
      <c r="A53" s="2">
        <v>36958</v>
      </c>
      <c r="B53" s="15">
        <v>171156935</v>
      </c>
      <c r="C53" s="15"/>
      <c r="D53" s="2"/>
      <c r="E53" s="15">
        <f t="shared" si="2"/>
        <v>171156935</v>
      </c>
      <c r="F53" s="211">
        <v>618.70000000000005</v>
      </c>
      <c r="G53" s="211">
        <v>0</v>
      </c>
      <c r="H53" s="34">
        <v>114.24804212022897</v>
      </c>
      <c r="I53" s="7">
        <v>31</v>
      </c>
      <c r="J53" s="7">
        <v>1</v>
      </c>
      <c r="K53" s="15">
        <v>0</v>
      </c>
      <c r="L53" s="210">
        <v>351.91199999999998</v>
      </c>
      <c r="M53" s="210">
        <v>552.20000000000005</v>
      </c>
      <c r="N53" s="210">
        <v>32.138624338624368</v>
      </c>
      <c r="O53" s="7">
        <f t="shared" si="1"/>
        <v>169065341.26529893</v>
      </c>
    </row>
    <row r="54" spans="1:15" x14ac:dyDescent="0.2">
      <c r="A54" s="2">
        <v>36991</v>
      </c>
      <c r="B54" s="15">
        <v>148249402</v>
      </c>
      <c r="C54" s="15"/>
      <c r="D54" s="2"/>
      <c r="E54" s="15">
        <f t="shared" si="2"/>
        <v>148249402</v>
      </c>
      <c r="F54" s="211">
        <v>324.60000000000002</v>
      </c>
      <c r="G54" s="211">
        <v>0</v>
      </c>
      <c r="H54" s="34">
        <v>114.77290430973115</v>
      </c>
      <c r="I54" s="7">
        <v>30</v>
      </c>
      <c r="J54" s="7">
        <v>1</v>
      </c>
      <c r="K54" s="15">
        <v>0</v>
      </c>
      <c r="L54" s="210">
        <v>319.68</v>
      </c>
      <c r="M54" s="210">
        <v>556.20000000000005</v>
      </c>
      <c r="N54" s="210">
        <v>32.371428571428623</v>
      </c>
      <c r="O54" s="7">
        <f t="shared" si="1"/>
        <v>151057011.11367846</v>
      </c>
    </row>
    <row r="55" spans="1:15" x14ac:dyDescent="0.2">
      <c r="A55" s="2">
        <v>37024</v>
      </c>
      <c r="B55" s="15">
        <v>152023283</v>
      </c>
      <c r="C55" s="15"/>
      <c r="D55" s="2"/>
      <c r="E55" s="15">
        <f t="shared" si="2"/>
        <v>152023283</v>
      </c>
      <c r="F55" s="211">
        <v>140.30000000000001</v>
      </c>
      <c r="G55" s="211">
        <v>7.7</v>
      </c>
      <c r="H55" s="34">
        <v>115.30017774683859</v>
      </c>
      <c r="I55" s="7">
        <v>31</v>
      </c>
      <c r="J55" s="7">
        <v>1</v>
      </c>
      <c r="K55" s="15">
        <v>0</v>
      </c>
      <c r="L55" s="210">
        <v>351.91199999999998</v>
      </c>
      <c r="M55" s="210">
        <v>562</v>
      </c>
      <c r="N55" s="210">
        <v>32.708994708994737</v>
      </c>
      <c r="O55" s="7">
        <f t="shared" si="1"/>
        <v>152180213.82634136</v>
      </c>
    </row>
    <row r="56" spans="1:15" x14ac:dyDescent="0.2">
      <c r="A56" s="2">
        <v>37057</v>
      </c>
      <c r="B56" s="15">
        <v>164607865</v>
      </c>
      <c r="C56" s="15"/>
      <c r="D56" s="2"/>
      <c r="E56" s="15">
        <f t="shared" si="2"/>
        <v>164607865</v>
      </c>
      <c r="F56" s="211">
        <v>47</v>
      </c>
      <c r="G56" s="211">
        <v>62.4</v>
      </c>
      <c r="H56" s="34">
        <v>115.82987350896386</v>
      </c>
      <c r="I56" s="7">
        <v>30</v>
      </c>
      <c r="J56" s="7">
        <v>0</v>
      </c>
      <c r="K56" s="15">
        <v>0</v>
      </c>
      <c r="L56" s="210">
        <v>336.24</v>
      </c>
      <c r="M56" s="210">
        <v>566.29999999999995</v>
      </c>
      <c r="N56" s="210">
        <v>32.959259259259284</v>
      </c>
      <c r="O56" s="7">
        <f t="shared" si="1"/>
        <v>164668573.44062462</v>
      </c>
    </row>
    <row r="57" spans="1:15" x14ac:dyDescent="0.2">
      <c r="A57" s="2">
        <v>37090</v>
      </c>
      <c r="B57" s="15">
        <v>165667707</v>
      </c>
      <c r="C57" s="15"/>
      <c r="D57" s="2"/>
      <c r="E57" s="15">
        <f t="shared" si="2"/>
        <v>165667707</v>
      </c>
      <c r="F57" s="211">
        <v>22.3</v>
      </c>
      <c r="G57" s="211">
        <v>65.7</v>
      </c>
      <c r="H57" s="34">
        <v>116.36200272440982</v>
      </c>
      <c r="I57" s="7">
        <v>31</v>
      </c>
      <c r="J57" s="7">
        <v>0</v>
      </c>
      <c r="K57" s="15">
        <v>0</v>
      </c>
      <c r="L57" s="210">
        <v>336.28800000000001</v>
      </c>
      <c r="M57" s="210">
        <v>565.79999999999995</v>
      </c>
      <c r="N57" s="210">
        <v>32.930158730158723</v>
      </c>
      <c r="O57" s="7">
        <f t="shared" si="1"/>
        <v>168273467.37698585</v>
      </c>
    </row>
    <row r="58" spans="1:15" x14ac:dyDescent="0.2">
      <c r="A58" s="2">
        <v>37123</v>
      </c>
      <c r="B58" s="15">
        <v>179800173</v>
      </c>
      <c r="C58" s="15"/>
      <c r="D58" s="2"/>
      <c r="E58" s="15">
        <f t="shared" si="2"/>
        <v>179800173</v>
      </c>
      <c r="F58" s="211">
        <v>2.2999999999999998</v>
      </c>
      <c r="G58" s="211">
        <v>94.2</v>
      </c>
      <c r="H58" s="34">
        <v>116.89657657260338</v>
      </c>
      <c r="I58" s="7">
        <v>31</v>
      </c>
      <c r="J58" s="7">
        <v>0</v>
      </c>
      <c r="K58" s="15">
        <v>0</v>
      </c>
      <c r="L58" s="210">
        <v>351.91199999999998</v>
      </c>
      <c r="M58" s="210">
        <v>562.5</v>
      </c>
      <c r="N58" s="210">
        <v>32.738095238095298</v>
      </c>
      <c r="O58" s="7">
        <f t="shared" si="1"/>
        <v>176957598.54211473</v>
      </c>
    </row>
    <row r="59" spans="1:15" x14ac:dyDescent="0.2">
      <c r="A59" s="2">
        <v>37156</v>
      </c>
      <c r="B59" s="15">
        <v>152599967</v>
      </c>
      <c r="C59" s="15"/>
      <c r="D59" s="15">
        <v>-420695</v>
      </c>
      <c r="E59" s="15">
        <f t="shared" si="2"/>
        <v>152179272</v>
      </c>
      <c r="F59" s="211">
        <v>118.8</v>
      </c>
      <c r="G59" s="211">
        <v>19.2</v>
      </c>
      <c r="H59" s="34">
        <v>117.43360628433041</v>
      </c>
      <c r="I59" s="7">
        <v>30</v>
      </c>
      <c r="J59" s="7">
        <v>1</v>
      </c>
      <c r="K59" s="15">
        <v>0</v>
      </c>
      <c r="L59" s="210">
        <v>303.83999999999997</v>
      </c>
      <c r="M59" s="210">
        <v>559.70000000000005</v>
      </c>
      <c r="N59" s="210">
        <v>32.575132275132319</v>
      </c>
      <c r="O59" s="7">
        <f t="shared" si="1"/>
        <v>147604507.5443247</v>
      </c>
    </row>
    <row r="60" spans="1:15" x14ac:dyDescent="0.2">
      <c r="A60" s="2">
        <v>37189</v>
      </c>
      <c r="B60" s="15">
        <v>157618136</v>
      </c>
      <c r="C60" s="15"/>
      <c r="D60" s="15">
        <v>58552</v>
      </c>
      <c r="E60" s="15">
        <f t="shared" si="2"/>
        <v>157676688</v>
      </c>
      <c r="F60" s="211">
        <v>276.7</v>
      </c>
      <c r="G60" s="211">
        <v>0</v>
      </c>
      <c r="H60" s="34">
        <v>117.97310314197166</v>
      </c>
      <c r="I60" s="7">
        <v>31</v>
      </c>
      <c r="J60" s="7">
        <v>1</v>
      </c>
      <c r="K60" s="15">
        <v>0</v>
      </c>
      <c r="L60" s="210">
        <v>351.91199999999998</v>
      </c>
      <c r="M60" s="210">
        <v>560</v>
      </c>
      <c r="N60" s="210">
        <v>32.592592592592609</v>
      </c>
      <c r="O60" s="7">
        <f t="shared" si="1"/>
        <v>155893678.99181753</v>
      </c>
    </row>
    <row r="61" spans="1:15" x14ac:dyDescent="0.2">
      <c r="A61" s="2">
        <v>37222</v>
      </c>
      <c r="B61" s="15">
        <v>158548740</v>
      </c>
      <c r="C61" s="15"/>
      <c r="D61" s="15"/>
      <c r="E61" s="15">
        <f t="shared" si="2"/>
        <v>158548740</v>
      </c>
      <c r="F61" s="211">
        <v>370.8</v>
      </c>
      <c r="G61" s="211">
        <v>0</v>
      </c>
      <c r="H61" s="34">
        <v>118.51507847973981</v>
      </c>
      <c r="I61" s="7">
        <v>30</v>
      </c>
      <c r="J61" s="7">
        <v>1</v>
      </c>
      <c r="K61" s="15">
        <v>0</v>
      </c>
      <c r="L61" s="210">
        <v>352.08</v>
      </c>
      <c r="M61" s="210">
        <v>561.1</v>
      </c>
      <c r="N61" s="210">
        <v>32.656613756613751</v>
      </c>
      <c r="O61" s="7">
        <f t="shared" si="1"/>
        <v>156398404.92468533</v>
      </c>
    </row>
    <row r="62" spans="1:15" x14ac:dyDescent="0.2">
      <c r="A62" s="2">
        <v>37255</v>
      </c>
      <c r="B62" s="15">
        <v>169751554</v>
      </c>
      <c r="C62" s="15"/>
      <c r="D62" s="15">
        <v>-175833</v>
      </c>
      <c r="E62" s="15">
        <f t="shared" si="2"/>
        <v>169575721</v>
      </c>
      <c r="F62" s="211">
        <v>563.29999999999995</v>
      </c>
      <c r="G62" s="211">
        <v>0</v>
      </c>
      <c r="H62" s="34">
        <v>119.05954368391765</v>
      </c>
      <c r="I62" s="7">
        <v>31</v>
      </c>
      <c r="J62" s="7">
        <v>0</v>
      </c>
      <c r="K62" s="15">
        <v>0</v>
      </c>
      <c r="L62" s="210">
        <v>304.29599999999999</v>
      </c>
      <c r="M62" s="210">
        <v>564.29999999999995</v>
      </c>
      <c r="N62" s="210">
        <v>32.842857142857156</v>
      </c>
      <c r="O62" s="7">
        <f t="shared" si="1"/>
        <v>169272279.28429011</v>
      </c>
    </row>
    <row r="63" spans="1:15" x14ac:dyDescent="0.2">
      <c r="A63" s="10">
        <v>37275</v>
      </c>
      <c r="B63" s="15">
        <v>178220353</v>
      </c>
      <c r="C63" s="15"/>
      <c r="D63" s="15">
        <v>-702628</v>
      </c>
      <c r="E63" s="15">
        <f t="shared" si="2"/>
        <v>177517725</v>
      </c>
      <c r="F63" s="211">
        <v>625.70000000000005</v>
      </c>
      <c r="G63" s="211">
        <v>0</v>
      </c>
      <c r="H63" s="34">
        <v>119.23206305749976</v>
      </c>
      <c r="I63" s="7">
        <v>31</v>
      </c>
      <c r="J63" s="7">
        <v>0</v>
      </c>
      <c r="K63" s="15">
        <v>0</v>
      </c>
      <c r="L63" s="210">
        <v>351.91199999999998</v>
      </c>
      <c r="M63" s="210">
        <v>564.9</v>
      </c>
      <c r="N63" s="210">
        <v>34.145599151643751</v>
      </c>
      <c r="O63" s="7">
        <f t="shared" si="1"/>
        <v>175410813.05427879</v>
      </c>
    </row>
    <row r="64" spans="1:15" x14ac:dyDescent="0.2">
      <c r="A64" s="2">
        <v>37308</v>
      </c>
      <c r="B64" s="15">
        <v>161211185</v>
      </c>
      <c r="C64" s="15"/>
      <c r="D64" s="15"/>
      <c r="E64" s="15">
        <f t="shared" si="2"/>
        <v>161211185</v>
      </c>
      <c r="F64" s="211">
        <v>592</v>
      </c>
      <c r="G64" s="211">
        <v>0</v>
      </c>
      <c r="H64" s="34">
        <v>119.40483241468957</v>
      </c>
      <c r="I64" s="7">
        <v>28</v>
      </c>
      <c r="J64" s="7">
        <v>0</v>
      </c>
      <c r="K64" s="15">
        <v>0</v>
      </c>
      <c r="L64" s="210">
        <v>319.87200000000001</v>
      </c>
      <c r="M64" s="210">
        <v>567.20000000000005</v>
      </c>
      <c r="N64" s="210">
        <v>34.28462354188764</v>
      </c>
      <c r="O64" s="7">
        <f t="shared" si="1"/>
        <v>160925769.32157785</v>
      </c>
    </row>
    <row r="65" spans="1:45" x14ac:dyDescent="0.2">
      <c r="A65" s="2">
        <v>37341</v>
      </c>
      <c r="B65" s="15">
        <v>170041740</v>
      </c>
      <c r="C65" s="15"/>
      <c r="D65" s="15"/>
      <c r="E65" s="15">
        <f t="shared" si="2"/>
        <v>170041740</v>
      </c>
      <c r="F65" s="211">
        <v>581.20000000000005</v>
      </c>
      <c r="G65" s="211">
        <v>0</v>
      </c>
      <c r="H65" s="34">
        <v>119.57785211771773</v>
      </c>
      <c r="I65" s="7">
        <v>31</v>
      </c>
      <c r="J65" s="7">
        <v>1</v>
      </c>
      <c r="K65" s="15">
        <v>0</v>
      </c>
      <c r="L65" s="210">
        <v>319.92</v>
      </c>
      <c r="M65" s="210">
        <v>568.9</v>
      </c>
      <c r="N65" s="210">
        <v>34.387380699894038</v>
      </c>
      <c r="O65" s="7">
        <f t="shared" si="1"/>
        <v>166840212.00422674</v>
      </c>
    </row>
    <row r="66" spans="1:45" x14ac:dyDescent="0.2">
      <c r="A66" s="2">
        <v>37374</v>
      </c>
      <c r="B66" s="15">
        <v>156884064</v>
      </c>
      <c r="C66" s="15"/>
      <c r="D66" s="15">
        <v>702628</v>
      </c>
      <c r="E66" s="15">
        <f t="shared" si="2"/>
        <v>157586692</v>
      </c>
      <c r="F66" s="211">
        <v>356.2</v>
      </c>
      <c r="G66" s="211">
        <v>6.6</v>
      </c>
      <c r="H66" s="34">
        <v>119.75112252933975</v>
      </c>
      <c r="I66" s="7">
        <v>30</v>
      </c>
      <c r="J66" s="7">
        <v>1</v>
      </c>
      <c r="K66" s="15">
        <v>0</v>
      </c>
      <c r="L66" s="210">
        <v>352.08</v>
      </c>
      <c r="M66" s="210">
        <v>572.6</v>
      </c>
      <c r="N66" s="210">
        <v>34.611028632025523</v>
      </c>
      <c r="O66" s="7">
        <f t="shared" si="1"/>
        <v>158528975.53573033</v>
      </c>
    </row>
    <row r="67" spans="1:45" x14ac:dyDescent="0.2">
      <c r="A67" s="2">
        <v>37407</v>
      </c>
      <c r="B67" s="15">
        <v>156235950</v>
      </c>
      <c r="C67" s="15">
        <v>1910171</v>
      </c>
      <c r="D67" s="15"/>
      <c r="E67" s="15">
        <f t="shared" ref="E67:E98" si="3">SUM(B67:D67)</f>
        <v>158146121</v>
      </c>
      <c r="F67" s="211">
        <v>266.8</v>
      </c>
      <c r="G67" s="211">
        <v>5.3</v>
      </c>
      <c r="H67" s="34">
        <v>119.92464401283681</v>
      </c>
      <c r="I67" s="7">
        <v>31</v>
      </c>
      <c r="J67" s="7">
        <v>1</v>
      </c>
      <c r="K67" s="15">
        <v>0</v>
      </c>
      <c r="L67" s="210">
        <v>351.91199999999998</v>
      </c>
      <c r="M67" s="210">
        <v>576.70000000000005</v>
      </c>
      <c r="N67" s="210">
        <v>34.858854718982002</v>
      </c>
      <c r="O67" s="7">
        <f t="shared" ref="O67:O130" si="4">$B$261+F67*$B$262+G67*$B$263+H67*$B$264+I67*$B$265+J67*$B$266+K67*$B$267+L67*$B$268+M67*$B$269+N67*$B$270</f>
        <v>158295729.14721578</v>
      </c>
    </row>
    <row r="68" spans="1:45" x14ac:dyDescent="0.2">
      <c r="A68" s="2">
        <v>37408</v>
      </c>
      <c r="B68" s="15">
        <v>163542900</v>
      </c>
      <c r="C68" s="15">
        <v>2159380</v>
      </c>
      <c r="D68" s="15"/>
      <c r="E68" s="15">
        <f t="shared" si="3"/>
        <v>165702280</v>
      </c>
      <c r="F68" s="211">
        <v>53.1</v>
      </c>
      <c r="G68" s="211">
        <v>54.5</v>
      </c>
      <c r="H68" s="34">
        <v>120.09841693201646</v>
      </c>
      <c r="I68" s="7">
        <v>30</v>
      </c>
      <c r="J68" s="7">
        <v>0</v>
      </c>
      <c r="K68" s="15">
        <v>0</v>
      </c>
      <c r="L68" s="210">
        <v>319.68</v>
      </c>
      <c r="M68" s="210">
        <v>581.79999999999995</v>
      </c>
      <c r="N68" s="210">
        <v>35.167126193001081</v>
      </c>
      <c r="O68" s="7">
        <f t="shared" si="4"/>
        <v>162846836.02246577</v>
      </c>
    </row>
    <row r="69" spans="1:45" x14ac:dyDescent="0.2">
      <c r="A69" s="2">
        <v>37440</v>
      </c>
      <c r="B69" s="15">
        <v>186180130</v>
      </c>
      <c r="C69" s="15">
        <v>2443800</v>
      </c>
      <c r="D69" s="15"/>
      <c r="E69" s="15">
        <f t="shared" si="3"/>
        <v>188623930</v>
      </c>
      <c r="F69" s="211">
        <v>4.7</v>
      </c>
      <c r="G69" s="211">
        <v>129</v>
      </c>
      <c r="H69" s="34">
        <v>120.27244165121344</v>
      </c>
      <c r="I69" s="7">
        <v>31</v>
      </c>
      <c r="J69" s="7">
        <v>0</v>
      </c>
      <c r="K69" s="15">
        <v>0</v>
      </c>
      <c r="L69" s="210">
        <v>351.91199999999998</v>
      </c>
      <c r="M69" s="210">
        <v>584.70000000000005</v>
      </c>
      <c r="N69" s="210">
        <v>35.342417815482577</v>
      </c>
      <c r="O69" s="7">
        <f t="shared" si="4"/>
        <v>189222318.22434559</v>
      </c>
      <c r="P69" s="7"/>
      <c r="Q69" s="11"/>
    </row>
    <row r="70" spans="1:45" x14ac:dyDescent="0.2">
      <c r="A70" s="2">
        <v>37473</v>
      </c>
      <c r="B70" s="15">
        <v>179006180</v>
      </c>
      <c r="C70" s="15">
        <v>2421941</v>
      </c>
      <c r="D70" s="15"/>
      <c r="E70" s="15">
        <f t="shared" si="3"/>
        <v>181428121</v>
      </c>
      <c r="F70" s="211">
        <v>11</v>
      </c>
      <c r="G70" s="211">
        <v>72.3</v>
      </c>
      <c r="H70" s="34">
        <v>120.4467185352904</v>
      </c>
      <c r="I70" s="7">
        <v>31</v>
      </c>
      <c r="J70" s="7">
        <v>0</v>
      </c>
      <c r="K70" s="15">
        <v>0</v>
      </c>
      <c r="L70" s="210">
        <v>336.28800000000001</v>
      </c>
      <c r="M70" s="210">
        <v>586.6</v>
      </c>
      <c r="N70" s="210">
        <v>35.457264050901358</v>
      </c>
      <c r="O70" s="7">
        <f t="shared" si="4"/>
        <v>171617285.83908498</v>
      </c>
      <c r="P70" s="7"/>
      <c r="Q70" s="11"/>
    </row>
    <row r="71" spans="1:45" x14ac:dyDescent="0.2">
      <c r="A71" s="2">
        <v>37506</v>
      </c>
      <c r="B71" s="15">
        <v>164159610</v>
      </c>
      <c r="C71" s="15">
        <v>2216662</v>
      </c>
      <c r="D71" s="15"/>
      <c r="E71" s="15">
        <f t="shared" si="3"/>
        <v>166376272</v>
      </c>
      <c r="F71" s="211">
        <v>50.2</v>
      </c>
      <c r="G71" s="211">
        <v>47</v>
      </c>
      <c r="H71" s="34">
        <v>120.62124794963869</v>
      </c>
      <c r="I71" s="7">
        <v>30</v>
      </c>
      <c r="J71" s="7">
        <v>1</v>
      </c>
      <c r="K71" s="15">
        <v>0</v>
      </c>
      <c r="L71" s="210">
        <v>319.68</v>
      </c>
      <c r="M71" s="210">
        <v>583.20000000000005</v>
      </c>
      <c r="N71" s="210">
        <v>35.251749734888676</v>
      </c>
      <c r="O71" s="7">
        <f t="shared" si="4"/>
        <v>156093767.80342761</v>
      </c>
      <c r="P71" s="7"/>
      <c r="Q71" s="11"/>
    </row>
    <row r="72" spans="1:45" x14ac:dyDescent="0.2">
      <c r="A72" s="2">
        <v>37539</v>
      </c>
      <c r="B72" s="15">
        <v>162237780</v>
      </c>
      <c r="C72" s="15">
        <v>2352682</v>
      </c>
      <c r="D72" s="15"/>
      <c r="E72" s="15">
        <f t="shared" si="3"/>
        <v>164590462</v>
      </c>
      <c r="F72" s="211">
        <v>345.6</v>
      </c>
      <c r="G72" s="211">
        <v>6.3</v>
      </c>
      <c r="H72" s="34">
        <v>120.79603026017911</v>
      </c>
      <c r="I72" s="7">
        <v>31</v>
      </c>
      <c r="J72" s="7">
        <v>1</v>
      </c>
      <c r="K72" s="15">
        <v>0</v>
      </c>
      <c r="L72" s="210">
        <v>351.91199999999998</v>
      </c>
      <c r="M72" s="210">
        <v>582.9</v>
      </c>
      <c r="N72" s="210">
        <v>35.233616118769874</v>
      </c>
      <c r="O72" s="7">
        <f t="shared" si="4"/>
        <v>162437734.76883233</v>
      </c>
      <c r="P72" s="7"/>
      <c r="Q72" s="11"/>
    </row>
    <row r="73" spans="1:45" x14ac:dyDescent="0.2">
      <c r="A73" s="2">
        <v>37572</v>
      </c>
      <c r="B73" s="15">
        <v>165302860</v>
      </c>
      <c r="C73" s="15">
        <v>2368364</v>
      </c>
      <c r="D73" s="15"/>
      <c r="E73" s="15">
        <f t="shared" si="3"/>
        <v>167671224</v>
      </c>
      <c r="F73" s="211">
        <v>486.4</v>
      </c>
      <c r="G73" s="211">
        <v>0</v>
      </c>
      <c r="H73" s="34">
        <v>120.9710658333627</v>
      </c>
      <c r="I73" s="7">
        <v>30</v>
      </c>
      <c r="J73" s="7">
        <v>1</v>
      </c>
      <c r="K73" s="15">
        <v>0</v>
      </c>
      <c r="L73" s="210">
        <v>336.24</v>
      </c>
      <c r="M73" s="210">
        <v>583.5</v>
      </c>
      <c r="N73" s="210">
        <v>35.269883351007479</v>
      </c>
      <c r="O73" s="7">
        <f t="shared" si="4"/>
        <v>161719388.46376157</v>
      </c>
      <c r="P73" s="7"/>
      <c r="Q73" s="11"/>
    </row>
    <row r="74" spans="1:45" s="12" customFormat="1" x14ac:dyDescent="0.2">
      <c r="A74" s="31">
        <v>37605</v>
      </c>
      <c r="B74" s="15">
        <v>176377660</v>
      </c>
      <c r="C74" s="15">
        <v>2418399</v>
      </c>
      <c r="D74" s="15">
        <v>-779291</v>
      </c>
      <c r="E74" s="15">
        <f t="shared" si="3"/>
        <v>178016768</v>
      </c>
      <c r="F74" s="211">
        <v>675.6</v>
      </c>
      <c r="G74" s="211">
        <v>0</v>
      </c>
      <c r="H74" s="34">
        <v>121.1463550361714</v>
      </c>
      <c r="I74" s="7">
        <v>31</v>
      </c>
      <c r="J74" s="7">
        <v>0</v>
      </c>
      <c r="K74" s="15">
        <v>0</v>
      </c>
      <c r="L74" s="210">
        <v>319.92</v>
      </c>
      <c r="M74" s="210">
        <v>591.79999999999995</v>
      </c>
      <c r="N74" s="210">
        <v>35.771580063626743</v>
      </c>
      <c r="O74" s="7">
        <f t="shared" si="4"/>
        <v>177141342.791812</v>
      </c>
      <c r="P74" s="7"/>
      <c r="Q74" s="11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2">
      <c r="A75" s="2">
        <v>37622</v>
      </c>
      <c r="B75" s="15">
        <v>188010997</v>
      </c>
      <c r="C75" s="15">
        <v>2385524</v>
      </c>
      <c r="D75" s="15">
        <v>-17740</v>
      </c>
      <c r="E75" s="15">
        <f t="shared" si="3"/>
        <v>190378781</v>
      </c>
      <c r="F75" s="211">
        <v>868.4</v>
      </c>
      <c r="G75" s="211">
        <v>0</v>
      </c>
      <c r="H75" s="34">
        <v>121.50450639216388</v>
      </c>
      <c r="I75" s="7">
        <v>31</v>
      </c>
      <c r="J75" s="7">
        <v>0</v>
      </c>
      <c r="K75" s="15">
        <v>0</v>
      </c>
      <c r="L75" s="210">
        <v>351.91199999999998</v>
      </c>
      <c r="M75" s="210">
        <v>591.29999999999995</v>
      </c>
      <c r="N75" s="210">
        <v>34.414285714285711</v>
      </c>
      <c r="O75" s="7">
        <f t="shared" si="4"/>
        <v>187862323.87215212</v>
      </c>
      <c r="P75" s="7"/>
      <c r="Q75" s="11"/>
    </row>
    <row r="76" spans="1:45" x14ac:dyDescent="0.2">
      <c r="A76" s="2">
        <v>37653</v>
      </c>
      <c r="B76" s="15">
        <v>169413256</v>
      </c>
      <c r="C76" s="15">
        <v>2130053</v>
      </c>
      <c r="D76" s="15"/>
      <c r="E76" s="15">
        <f t="shared" si="3"/>
        <v>171543309</v>
      </c>
      <c r="F76" s="211">
        <v>755.9</v>
      </c>
      <c r="G76" s="211">
        <v>0</v>
      </c>
      <c r="H76" s="34">
        <v>121.86371656989111</v>
      </c>
      <c r="I76" s="7">
        <v>28</v>
      </c>
      <c r="J76" s="7">
        <v>0</v>
      </c>
      <c r="K76" s="15">
        <v>0</v>
      </c>
      <c r="L76" s="210">
        <v>319.87200000000001</v>
      </c>
      <c r="M76" s="210">
        <v>588.4</v>
      </c>
      <c r="N76" s="210">
        <v>34.245502645502711</v>
      </c>
      <c r="O76" s="7">
        <f t="shared" si="4"/>
        <v>169768202.23017526</v>
      </c>
      <c r="P76" s="7"/>
      <c r="Q76" s="11"/>
    </row>
    <row r="77" spans="1:45" x14ac:dyDescent="0.2">
      <c r="A77" s="2">
        <v>37681</v>
      </c>
      <c r="B77" s="15">
        <v>172920468</v>
      </c>
      <c r="C77" s="15">
        <v>2290575</v>
      </c>
      <c r="D77" s="15"/>
      <c r="E77" s="15">
        <f t="shared" si="3"/>
        <v>175211043</v>
      </c>
      <c r="F77" s="211">
        <v>638.70000000000005</v>
      </c>
      <c r="G77" s="211">
        <v>0</v>
      </c>
      <c r="H77" s="34">
        <v>122.22398869960362</v>
      </c>
      <c r="I77" s="7">
        <v>31</v>
      </c>
      <c r="J77" s="7">
        <v>1</v>
      </c>
      <c r="K77" s="15">
        <v>0</v>
      </c>
      <c r="L77" s="210">
        <v>336.28800000000001</v>
      </c>
      <c r="M77" s="210">
        <v>584.5</v>
      </c>
      <c r="N77" s="210">
        <v>34.01851851851859</v>
      </c>
      <c r="O77" s="7">
        <f t="shared" si="4"/>
        <v>172146169.34201384</v>
      </c>
      <c r="P77" s="7"/>
      <c r="Q77" s="11"/>
    </row>
    <row r="78" spans="1:45" x14ac:dyDescent="0.2">
      <c r="A78" s="2">
        <v>37712</v>
      </c>
      <c r="B78" s="15">
        <v>156616058</v>
      </c>
      <c r="C78" s="15">
        <v>2202656</v>
      </c>
      <c r="D78" s="15">
        <v>84082</v>
      </c>
      <c r="E78" s="15">
        <f t="shared" si="3"/>
        <v>158902796</v>
      </c>
      <c r="F78" s="211">
        <v>397.4</v>
      </c>
      <c r="G78" s="211">
        <v>0.7</v>
      </c>
      <c r="H78" s="34">
        <v>122.58532592080604</v>
      </c>
      <c r="I78" s="7">
        <v>30</v>
      </c>
      <c r="J78" s="7">
        <v>1</v>
      </c>
      <c r="K78" s="15">
        <v>0</v>
      </c>
      <c r="L78" s="210">
        <v>336.24</v>
      </c>
      <c r="M78" s="210">
        <v>587.79999999999995</v>
      </c>
      <c r="N78" s="210">
        <v>34.210582010582016</v>
      </c>
      <c r="O78" s="7">
        <f t="shared" si="4"/>
        <v>158942490.73654452</v>
      </c>
      <c r="P78" s="7"/>
      <c r="Q78" s="11"/>
    </row>
    <row r="79" spans="1:45" x14ac:dyDescent="0.2">
      <c r="A79" s="2">
        <v>37742</v>
      </c>
      <c r="B79" s="15">
        <v>151753883</v>
      </c>
      <c r="C79" s="15">
        <v>2108659</v>
      </c>
      <c r="D79" s="15"/>
      <c r="E79" s="15">
        <f t="shared" si="3"/>
        <v>153862542</v>
      </c>
      <c r="F79" s="211">
        <v>217</v>
      </c>
      <c r="G79" s="211">
        <v>0</v>
      </c>
      <c r="H79" s="34">
        <v>122.9477313822845</v>
      </c>
      <c r="I79" s="7">
        <v>31</v>
      </c>
      <c r="J79" s="7">
        <v>1</v>
      </c>
      <c r="K79" s="15">
        <v>0</v>
      </c>
      <c r="L79" s="210">
        <v>336.28800000000001</v>
      </c>
      <c r="M79" s="210">
        <v>596.4</v>
      </c>
      <c r="N79" s="210">
        <v>34.711111111111109</v>
      </c>
      <c r="O79" s="7">
        <f t="shared" si="4"/>
        <v>155432560.17370808</v>
      </c>
      <c r="P79" s="7"/>
      <c r="Q79" s="11"/>
    </row>
    <row r="80" spans="1:45" x14ac:dyDescent="0.2">
      <c r="A80" s="2">
        <v>37773</v>
      </c>
      <c r="B80" s="15">
        <v>157578600</v>
      </c>
      <c r="C80" s="15">
        <v>2058238</v>
      </c>
      <c r="D80" s="15">
        <v>-1205437</v>
      </c>
      <c r="E80" s="15">
        <f t="shared" si="3"/>
        <v>158431401</v>
      </c>
      <c r="F80" s="211">
        <v>65.3</v>
      </c>
      <c r="G80" s="211">
        <v>25.5</v>
      </c>
      <c r="H80" s="34">
        <v>123.31120824213403</v>
      </c>
      <c r="I80" s="7">
        <v>30</v>
      </c>
      <c r="J80" s="7">
        <v>0</v>
      </c>
      <c r="K80" s="15">
        <v>0</v>
      </c>
      <c r="L80" s="210">
        <v>336.24</v>
      </c>
      <c r="M80" s="210">
        <v>601.70000000000005</v>
      </c>
      <c r="N80" s="210">
        <v>35.019576719576776</v>
      </c>
      <c r="O80" s="7">
        <f t="shared" si="4"/>
        <v>158050362.08907247</v>
      </c>
      <c r="P80" s="7"/>
      <c r="Q80" s="11"/>
    </row>
    <row r="81" spans="1:36" x14ac:dyDescent="0.2">
      <c r="A81" s="2">
        <v>37803</v>
      </c>
      <c r="B81" s="15">
        <v>172547931</v>
      </c>
      <c r="C81" s="15">
        <v>2016093</v>
      </c>
      <c r="D81" s="15"/>
      <c r="E81" s="15">
        <f t="shared" si="3"/>
        <v>174564024</v>
      </c>
      <c r="F81" s="211">
        <v>12.5</v>
      </c>
      <c r="G81" s="211">
        <v>50.1</v>
      </c>
      <c r="H81" s="34">
        <v>123.67575966778612</v>
      </c>
      <c r="I81" s="7">
        <v>31</v>
      </c>
      <c r="J81" s="7">
        <v>0</v>
      </c>
      <c r="K81" s="15">
        <v>0</v>
      </c>
      <c r="L81" s="210">
        <v>351.91199999999998</v>
      </c>
      <c r="M81" s="210">
        <v>605.70000000000005</v>
      </c>
      <c r="N81" s="210">
        <v>35.252380952381031</v>
      </c>
      <c r="O81" s="7">
        <f t="shared" si="4"/>
        <v>168270837.01035243</v>
      </c>
      <c r="P81" s="7"/>
      <c r="Q81" s="11"/>
    </row>
    <row r="82" spans="1:36" x14ac:dyDescent="0.2">
      <c r="A82" s="2">
        <v>37834</v>
      </c>
      <c r="B82" s="15">
        <v>167854372</v>
      </c>
      <c r="C82" s="15">
        <v>2044374</v>
      </c>
      <c r="D82" s="15">
        <v>-150206</v>
      </c>
      <c r="E82" s="15">
        <f t="shared" si="3"/>
        <v>169748540</v>
      </c>
      <c r="F82" s="211">
        <v>18.899999999999999</v>
      </c>
      <c r="G82" s="211">
        <v>72.400000000000006</v>
      </c>
      <c r="H82" s="34">
        <v>124.04138883603632</v>
      </c>
      <c r="I82" s="7">
        <v>31</v>
      </c>
      <c r="J82" s="7">
        <v>0</v>
      </c>
      <c r="K82" s="15">
        <v>0</v>
      </c>
      <c r="L82" s="210">
        <v>319.92</v>
      </c>
      <c r="M82" s="210">
        <v>607.6</v>
      </c>
      <c r="N82" s="210">
        <v>35.362962962963024</v>
      </c>
      <c r="O82" s="7">
        <f t="shared" si="4"/>
        <v>172893238.28647593</v>
      </c>
      <c r="P82" s="7"/>
      <c r="Q82" s="11"/>
    </row>
    <row r="83" spans="1:36" x14ac:dyDescent="0.2">
      <c r="A83" s="2">
        <v>37865</v>
      </c>
      <c r="B83" s="15">
        <v>154374124</v>
      </c>
      <c r="C83" s="15">
        <v>1997356</v>
      </c>
      <c r="D83" s="15"/>
      <c r="E83" s="15">
        <f t="shared" si="3"/>
        <v>156371480</v>
      </c>
      <c r="F83" s="211">
        <v>104.1</v>
      </c>
      <c r="G83" s="211">
        <v>6</v>
      </c>
      <c r="H83" s="34">
        <v>124.40809893307186</v>
      </c>
      <c r="I83" s="7">
        <v>30</v>
      </c>
      <c r="J83" s="7">
        <v>1</v>
      </c>
      <c r="K83" s="15">
        <v>0</v>
      </c>
      <c r="L83" s="210">
        <v>336.24</v>
      </c>
      <c r="M83" s="210">
        <v>607.6</v>
      </c>
      <c r="N83" s="210">
        <v>35.362962962963024</v>
      </c>
      <c r="O83" s="7">
        <f t="shared" si="4"/>
        <v>149871955.65010282</v>
      </c>
      <c r="P83" s="7"/>
      <c r="Q83" s="11"/>
    </row>
    <row r="84" spans="1:36" x14ac:dyDescent="0.2">
      <c r="A84" s="2">
        <v>37895</v>
      </c>
      <c r="B84" s="15">
        <v>159835650</v>
      </c>
      <c r="C84" s="15">
        <v>2433090</v>
      </c>
      <c r="D84" s="15"/>
      <c r="E84" s="15">
        <f t="shared" si="3"/>
        <v>162268740</v>
      </c>
      <c r="F84" s="211">
        <v>331.9</v>
      </c>
      <c r="G84" s="211">
        <v>0</v>
      </c>
      <c r="H84" s="34">
        <v>124.7758931544995</v>
      </c>
      <c r="I84" s="7">
        <v>31</v>
      </c>
      <c r="J84" s="7">
        <v>1</v>
      </c>
      <c r="K84" s="15">
        <v>0</v>
      </c>
      <c r="L84" s="210">
        <v>351.91199999999998</v>
      </c>
      <c r="M84" s="210">
        <v>609.5</v>
      </c>
      <c r="N84" s="210">
        <v>35.473544973545017</v>
      </c>
      <c r="O84" s="7">
        <f t="shared" si="4"/>
        <v>162598800.86800593</v>
      </c>
      <c r="P84" s="7"/>
      <c r="Q84" s="11"/>
    </row>
    <row r="85" spans="1:36" s="32" customFormat="1" x14ac:dyDescent="0.2">
      <c r="A85" s="2">
        <v>37926</v>
      </c>
      <c r="B85" s="15">
        <v>161706401</v>
      </c>
      <c r="C85" s="15">
        <v>2724250</v>
      </c>
      <c r="D85" s="15"/>
      <c r="E85" s="15">
        <f t="shared" si="3"/>
        <v>164430651</v>
      </c>
      <c r="F85" s="211">
        <v>434.4</v>
      </c>
      <c r="G85" s="211">
        <v>0</v>
      </c>
      <c r="H85" s="34">
        <v>125.14477470537335</v>
      </c>
      <c r="I85" s="7">
        <v>30</v>
      </c>
      <c r="J85" s="7">
        <v>1</v>
      </c>
      <c r="K85" s="15">
        <v>0</v>
      </c>
      <c r="L85" s="210">
        <v>319.68</v>
      </c>
      <c r="M85" s="210">
        <v>609</v>
      </c>
      <c r="N85" s="210">
        <v>35.444444444444457</v>
      </c>
      <c r="O85" s="7">
        <f t="shared" si="4"/>
        <v>160840091.63320276</v>
      </c>
      <c r="P85" s="7"/>
      <c r="Q85" s="30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">
      <c r="A86" s="2">
        <v>37956</v>
      </c>
      <c r="B86" s="15">
        <v>174880179</v>
      </c>
      <c r="C86" s="15">
        <v>2977959</v>
      </c>
      <c r="D86" s="15">
        <v>-368072</v>
      </c>
      <c r="E86" s="15">
        <f t="shared" si="3"/>
        <v>177490066</v>
      </c>
      <c r="F86" s="211">
        <v>610</v>
      </c>
      <c r="G86" s="211">
        <v>0</v>
      </c>
      <c r="H86" s="35">
        <v>125.51474680022261</v>
      </c>
      <c r="I86" s="15">
        <v>31</v>
      </c>
      <c r="J86" s="15">
        <v>0</v>
      </c>
      <c r="K86" s="15">
        <v>0</v>
      </c>
      <c r="L86" s="210">
        <v>336.28800000000001</v>
      </c>
      <c r="M86" s="210">
        <v>609.20000000000005</v>
      </c>
      <c r="N86" s="210">
        <v>35.456084656084727</v>
      </c>
      <c r="O86" s="7">
        <f t="shared" si="4"/>
        <v>177708034.3308731</v>
      </c>
      <c r="P86" s="7"/>
      <c r="Q86" s="11"/>
    </row>
    <row r="87" spans="1:36" x14ac:dyDescent="0.2">
      <c r="A87" s="2">
        <v>37987</v>
      </c>
      <c r="B87" s="15">
        <v>189562615</v>
      </c>
      <c r="C87" s="15">
        <v>2786343</v>
      </c>
      <c r="D87" s="15"/>
      <c r="E87" s="15">
        <f t="shared" si="3"/>
        <v>192348958</v>
      </c>
      <c r="F87" s="211">
        <v>879.2</v>
      </c>
      <c r="G87" s="211">
        <v>0</v>
      </c>
      <c r="H87" s="34">
        <v>125.66024937363977</v>
      </c>
      <c r="I87" s="7">
        <v>31</v>
      </c>
      <c r="J87" s="7">
        <v>0</v>
      </c>
      <c r="K87" s="15">
        <v>0</v>
      </c>
      <c r="L87" s="210">
        <v>336.28800000000001</v>
      </c>
      <c r="M87" s="210">
        <v>605</v>
      </c>
      <c r="N87" s="210">
        <v>31.842105263157919</v>
      </c>
      <c r="O87" s="7">
        <f t="shared" si="4"/>
        <v>189184779.44150117</v>
      </c>
      <c r="P87" s="7"/>
      <c r="Q87" s="11"/>
    </row>
    <row r="88" spans="1:36" x14ac:dyDescent="0.2">
      <c r="A88" s="2">
        <v>38018</v>
      </c>
      <c r="B88" s="15">
        <v>170642379</v>
      </c>
      <c r="C88" s="15">
        <v>2536722</v>
      </c>
      <c r="D88" s="15">
        <v>-3315660</v>
      </c>
      <c r="E88" s="15">
        <f t="shared" si="3"/>
        <v>169863441</v>
      </c>
      <c r="F88" s="211">
        <v>699.2</v>
      </c>
      <c r="G88" s="211">
        <v>0</v>
      </c>
      <c r="H88" s="34">
        <v>125.80592062045517</v>
      </c>
      <c r="I88" s="7">
        <v>28</v>
      </c>
      <c r="J88" s="7">
        <v>0</v>
      </c>
      <c r="K88" s="15">
        <v>0</v>
      </c>
      <c r="L88" s="210">
        <v>320.16000000000003</v>
      </c>
      <c r="M88" s="210">
        <v>599.4</v>
      </c>
      <c r="N88" s="210">
        <v>31.547368421052624</v>
      </c>
      <c r="O88" s="7">
        <f t="shared" si="4"/>
        <v>169268632.56477711</v>
      </c>
      <c r="P88" s="7"/>
      <c r="Q88" s="11"/>
    </row>
    <row r="89" spans="1:36" x14ac:dyDescent="0.2">
      <c r="A89" s="2">
        <v>38047</v>
      </c>
      <c r="B89" s="15">
        <v>174351621</v>
      </c>
      <c r="C89" s="15">
        <v>2744613</v>
      </c>
      <c r="D89" s="15">
        <v>71211</v>
      </c>
      <c r="E89" s="15">
        <f t="shared" si="3"/>
        <v>177167445</v>
      </c>
      <c r="F89" s="211">
        <v>540.9</v>
      </c>
      <c r="G89" s="211">
        <v>0</v>
      </c>
      <c r="H89" s="34">
        <v>125.9517607362029</v>
      </c>
      <c r="I89" s="7">
        <v>31</v>
      </c>
      <c r="J89" s="7">
        <v>1</v>
      </c>
      <c r="K89" s="15">
        <v>0</v>
      </c>
      <c r="L89" s="210">
        <v>368.28</v>
      </c>
      <c r="M89" s="210">
        <v>595.4</v>
      </c>
      <c r="N89" s="210">
        <v>31.336842105263145</v>
      </c>
      <c r="O89" s="7">
        <f t="shared" si="4"/>
        <v>172311075.06145099</v>
      </c>
      <c r="P89" s="7"/>
      <c r="Q89" s="11"/>
    </row>
    <row r="90" spans="1:36" x14ac:dyDescent="0.2">
      <c r="A90" s="2">
        <v>38078</v>
      </c>
      <c r="B90" s="15">
        <v>154421408</v>
      </c>
      <c r="C90" s="15">
        <v>2589110</v>
      </c>
      <c r="D90" s="15">
        <v>62353</v>
      </c>
      <c r="E90" s="15">
        <f t="shared" si="3"/>
        <v>157072871</v>
      </c>
      <c r="F90" s="211">
        <v>354.1</v>
      </c>
      <c r="G90" s="211">
        <v>0</v>
      </c>
      <c r="H90" s="34">
        <v>126.09776991664374</v>
      </c>
      <c r="I90" s="7">
        <v>30</v>
      </c>
      <c r="J90" s="7">
        <v>1</v>
      </c>
      <c r="K90" s="15">
        <v>0</v>
      </c>
      <c r="L90" s="210">
        <v>336.24</v>
      </c>
      <c r="M90" s="210">
        <v>597.70000000000005</v>
      </c>
      <c r="N90" s="210">
        <v>31.45789473684215</v>
      </c>
      <c r="O90" s="7">
        <f t="shared" si="4"/>
        <v>158629096.0296405</v>
      </c>
      <c r="P90" s="7"/>
      <c r="Q90" s="11"/>
    </row>
    <row r="91" spans="1:36" x14ac:dyDescent="0.2">
      <c r="A91" s="2">
        <v>38108</v>
      </c>
      <c r="B91" s="15">
        <v>155074845</v>
      </c>
      <c r="C91" s="15">
        <v>2711255</v>
      </c>
      <c r="D91" s="15"/>
      <c r="E91" s="15">
        <f t="shared" si="3"/>
        <v>157786100</v>
      </c>
      <c r="F91" s="211">
        <v>196.2</v>
      </c>
      <c r="G91" s="211">
        <v>6.7</v>
      </c>
      <c r="H91" s="34">
        <v>126.2439483577654</v>
      </c>
      <c r="I91" s="7">
        <v>31</v>
      </c>
      <c r="J91" s="7">
        <v>1</v>
      </c>
      <c r="K91" s="15">
        <v>0</v>
      </c>
      <c r="L91" s="210">
        <v>319.92</v>
      </c>
      <c r="M91" s="210">
        <v>605.6</v>
      </c>
      <c r="N91" s="210">
        <v>31.873684210526335</v>
      </c>
      <c r="O91" s="7">
        <f t="shared" si="4"/>
        <v>156927499.18084982</v>
      </c>
      <c r="P91" s="7"/>
      <c r="Q91" s="11"/>
    </row>
    <row r="92" spans="1:36" x14ac:dyDescent="0.2">
      <c r="A92" s="2">
        <v>38139</v>
      </c>
      <c r="B92" s="15">
        <v>151445519</v>
      </c>
      <c r="C92" s="15">
        <v>2607440</v>
      </c>
      <c r="D92" s="15"/>
      <c r="E92" s="15">
        <f t="shared" si="3"/>
        <v>154052959</v>
      </c>
      <c r="F92" s="211">
        <v>92.5</v>
      </c>
      <c r="G92" s="211">
        <v>16.3</v>
      </c>
      <c r="H92" s="34">
        <v>126.3902962557828</v>
      </c>
      <c r="I92" s="7">
        <v>30</v>
      </c>
      <c r="J92" s="7">
        <v>0</v>
      </c>
      <c r="K92" s="15">
        <v>0</v>
      </c>
      <c r="L92" s="210">
        <v>352.08</v>
      </c>
      <c r="M92" s="210">
        <v>615.4</v>
      </c>
      <c r="N92" s="210">
        <v>32.389473684210543</v>
      </c>
      <c r="O92" s="7">
        <f t="shared" si="4"/>
        <v>159570711.74641177</v>
      </c>
      <c r="P92" s="7"/>
      <c r="Q92" s="11"/>
    </row>
    <row r="93" spans="1:36" x14ac:dyDescent="0.2">
      <c r="A93" s="2">
        <v>38169</v>
      </c>
      <c r="B93" s="15">
        <v>161093187</v>
      </c>
      <c r="C93" s="15">
        <v>2540291</v>
      </c>
      <c r="D93" s="15"/>
      <c r="E93" s="15">
        <f t="shared" si="3"/>
        <v>163633478</v>
      </c>
      <c r="F93" s="211">
        <v>21.3</v>
      </c>
      <c r="G93" s="211">
        <v>49.3</v>
      </c>
      <c r="H93" s="34">
        <v>126.5368138071383</v>
      </c>
      <c r="I93" s="7">
        <v>31</v>
      </c>
      <c r="J93" s="7">
        <v>0</v>
      </c>
      <c r="K93" s="15">
        <v>0</v>
      </c>
      <c r="L93" s="210">
        <v>336.28800000000001</v>
      </c>
      <c r="M93" s="210">
        <v>623.79999999999995</v>
      </c>
      <c r="N93" s="210">
        <v>32.831578947368484</v>
      </c>
      <c r="O93" s="7">
        <f t="shared" si="4"/>
        <v>169371664.78884456</v>
      </c>
      <c r="P93" s="7"/>
      <c r="Q93" s="11"/>
    </row>
    <row r="94" spans="1:36" x14ac:dyDescent="0.2">
      <c r="A94" s="2">
        <v>38200</v>
      </c>
      <c r="B94" s="15">
        <v>162034399</v>
      </c>
      <c r="C94" s="15">
        <v>2581462</v>
      </c>
      <c r="D94" s="15">
        <v>-477682</v>
      </c>
      <c r="E94" s="15">
        <f t="shared" si="3"/>
        <v>164138179</v>
      </c>
      <c r="F94" s="211">
        <v>55</v>
      </c>
      <c r="G94" s="211">
        <v>30.6</v>
      </c>
      <c r="H94" s="34">
        <v>126.68350120850199</v>
      </c>
      <c r="I94" s="7">
        <v>31</v>
      </c>
      <c r="J94" s="7">
        <v>0</v>
      </c>
      <c r="K94" s="15">
        <v>0</v>
      </c>
      <c r="L94" s="210">
        <v>336.28800000000001</v>
      </c>
      <c r="M94" s="210">
        <v>625.70000000000005</v>
      </c>
      <c r="N94" s="210">
        <v>32.931578947368507</v>
      </c>
      <c r="O94" s="7">
        <f t="shared" si="4"/>
        <v>165382395.24503526</v>
      </c>
      <c r="P94" s="7"/>
      <c r="Q94" s="11"/>
    </row>
    <row r="95" spans="1:36" x14ac:dyDescent="0.2">
      <c r="A95" s="2">
        <v>38231</v>
      </c>
      <c r="B95" s="15">
        <v>160831449</v>
      </c>
      <c r="C95" s="15">
        <v>2714436</v>
      </c>
      <c r="D95" s="15">
        <v>310453</v>
      </c>
      <c r="E95" s="15">
        <f t="shared" si="3"/>
        <v>163856338</v>
      </c>
      <c r="F95" s="211">
        <v>71.3</v>
      </c>
      <c r="G95" s="211">
        <v>13.7</v>
      </c>
      <c r="H95" s="34">
        <v>126.83035865677196</v>
      </c>
      <c r="I95" s="7">
        <v>30</v>
      </c>
      <c r="J95" s="7">
        <v>1</v>
      </c>
      <c r="K95" s="15">
        <v>0</v>
      </c>
      <c r="L95" s="210">
        <v>336.24</v>
      </c>
      <c r="M95" s="210">
        <v>626.70000000000005</v>
      </c>
      <c r="N95" s="210">
        <v>32.984210526315792</v>
      </c>
      <c r="O95" s="7">
        <f t="shared" si="4"/>
        <v>152950750.94183084</v>
      </c>
      <c r="P95" s="7"/>
      <c r="Q95" s="11"/>
    </row>
    <row r="96" spans="1:36" x14ac:dyDescent="0.2">
      <c r="A96" s="2">
        <v>38261</v>
      </c>
      <c r="B96" s="15">
        <v>158310504</v>
      </c>
      <c r="C96" s="15">
        <v>2720287</v>
      </c>
      <c r="D96" s="15">
        <v>-949360</v>
      </c>
      <c r="E96" s="15">
        <f t="shared" si="3"/>
        <v>160081431</v>
      </c>
      <c r="F96" s="211">
        <v>287.5</v>
      </c>
      <c r="G96" s="211">
        <v>0</v>
      </c>
      <c r="H96" s="34">
        <v>126.97738634907456</v>
      </c>
      <c r="I96" s="7">
        <v>31</v>
      </c>
      <c r="J96" s="7">
        <v>1</v>
      </c>
      <c r="K96" s="15">
        <v>0</v>
      </c>
      <c r="L96" s="210">
        <v>319.92</v>
      </c>
      <c r="M96" s="210">
        <v>625.1</v>
      </c>
      <c r="N96" s="210">
        <v>32.899999999999977</v>
      </c>
      <c r="O96" s="7">
        <f t="shared" si="4"/>
        <v>160188797.94252226</v>
      </c>
      <c r="P96" s="7"/>
      <c r="Q96" s="11"/>
    </row>
    <row r="97" spans="1:17" x14ac:dyDescent="0.2">
      <c r="A97" s="2">
        <v>38292</v>
      </c>
      <c r="B97" s="15">
        <v>163948548</v>
      </c>
      <c r="C97" s="15">
        <v>2299838</v>
      </c>
      <c r="D97" s="15"/>
      <c r="E97" s="15">
        <f t="shared" si="3"/>
        <v>166248386</v>
      </c>
      <c r="F97" s="211">
        <v>432.9</v>
      </c>
      <c r="G97" s="211">
        <v>0</v>
      </c>
      <c r="H97" s="34">
        <v>127.12458448276465</v>
      </c>
      <c r="I97" s="7">
        <v>30</v>
      </c>
      <c r="J97" s="7">
        <v>1</v>
      </c>
      <c r="K97" s="15">
        <v>0</v>
      </c>
      <c r="L97" s="210">
        <v>352.08</v>
      </c>
      <c r="M97" s="210">
        <v>625.20000000000005</v>
      </c>
      <c r="N97" s="210">
        <v>32.905263157894751</v>
      </c>
      <c r="O97" s="7">
        <f t="shared" si="4"/>
        <v>165155806.9850384</v>
      </c>
      <c r="P97" s="7"/>
      <c r="Q97" s="11"/>
    </row>
    <row r="98" spans="1:17" x14ac:dyDescent="0.2">
      <c r="A98" s="2">
        <v>38322</v>
      </c>
      <c r="B98" s="15">
        <v>180723559</v>
      </c>
      <c r="C98" s="15">
        <v>3176884</v>
      </c>
      <c r="D98" s="15">
        <v>-401923</v>
      </c>
      <c r="E98" s="15">
        <f t="shared" si="3"/>
        <v>183498520</v>
      </c>
      <c r="F98" s="211">
        <v>700.1</v>
      </c>
      <c r="G98" s="211">
        <v>0</v>
      </c>
      <c r="H98" s="34">
        <v>127.27195325542573</v>
      </c>
      <c r="I98" s="7">
        <v>31</v>
      </c>
      <c r="J98" s="7">
        <v>0</v>
      </c>
      <c r="K98" s="15">
        <v>0</v>
      </c>
      <c r="L98" s="210">
        <v>336.28800000000001</v>
      </c>
      <c r="M98" s="210">
        <v>628.4</v>
      </c>
      <c r="N98" s="210">
        <v>33.07368421052638</v>
      </c>
      <c r="O98" s="7">
        <f t="shared" si="4"/>
        <v>183538672.27761689</v>
      </c>
      <c r="P98" s="7"/>
      <c r="Q98" s="11"/>
    </row>
    <row r="99" spans="1:17" x14ac:dyDescent="0.2">
      <c r="A99" s="2">
        <v>38353</v>
      </c>
      <c r="B99" s="15">
        <v>188798513</v>
      </c>
      <c r="C99" s="15">
        <v>3146681</v>
      </c>
      <c r="D99" s="15">
        <v>-19582.560000000001</v>
      </c>
      <c r="E99" s="15">
        <f t="shared" ref="E99:E130" si="5">SUM(B99:D99)</f>
        <v>191925611.44</v>
      </c>
      <c r="F99" s="211">
        <v>814.7</v>
      </c>
      <c r="G99" s="211">
        <v>0</v>
      </c>
      <c r="H99" s="34">
        <v>127.53411264087498</v>
      </c>
      <c r="I99" s="7">
        <v>31</v>
      </c>
      <c r="J99" s="7">
        <v>0</v>
      </c>
      <c r="K99" s="15">
        <f>+'CDM Activity'!F41</f>
        <v>3751.0641025641025</v>
      </c>
      <c r="L99" s="210">
        <v>319.92</v>
      </c>
      <c r="M99" s="210">
        <v>629.5</v>
      </c>
      <c r="N99" s="210">
        <v>35.230728616684246</v>
      </c>
      <c r="O99" s="7">
        <f t="shared" si="4"/>
        <v>186876485.70357329</v>
      </c>
      <c r="P99" s="7"/>
      <c r="Q99" s="11"/>
    </row>
    <row r="100" spans="1:17" x14ac:dyDescent="0.2">
      <c r="A100" s="2">
        <v>38384</v>
      </c>
      <c r="B100" s="15">
        <v>165602742</v>
      </c>
      <c r="C100" s="15">
        <v>2849225</v>
      </c>
      <c r="D100" s="15">
        <v>-707168.89350000001</v>
      </c>
      <c r="E100" s="15">
        <f t="shared" si="5"/>
        <v>167744798.1065</v>
      </c>
      <c r="F100" s="211">
        <v>683.5</v>
      </c>
      <c r="G100" s="211">
        <v>0</v>
      </c>
      <c r="H100" s="34">
        <v>127.79681203173486</v>
      </c>
      <c r="I100" s="7">
        <v>29</v>
      </c>
      <c r="J100" s="7">
        <v>0</v>
      </c>
      <c r="K100" s="15">
        <f>+'CDM Activity'!F42</f>
        <v>7502.1282051282051</v>
      </c>
      <c r="L100" s="210">
        <v>319.87200000000001</v>
      </c>
      <c r="M100" s="210">
        <v>630.9</v>
      </c>
      <c r="N100" s="210">
        <v>35.309081309398152</v>
      </c>
      <c r="O100" s="7">
        <f t="shared" si="4"/>
        <v>174308111.10924655</v>
      </c>
      <c r="P100" s="7"/>
      <c r="Q100" s="11"/>
    </row>
    <row r="101" spans="1:17" x14ac:dyDescent="0.2">
      <c r="A101" s="2">
        <v>38412</v>
      </c>
      <c r="B101" s="15">
        <v>174909060</v>
      </c>
      <c r="C101" s="15">
        <v>3161543</v>
      </c>
      <c r="D101" s="15">
        <v>19853</v>
      </c>
      <c r="E101" s="15">
        <f t="shared" si="5"/>
        <v>178090456</v>
      </c>
      <c r="F101" s="211">
        <v>680.5</v>
      </c>
      <c r="G101" s="211">
        <v>0</v>
      </c>
      <c r="H101" s="34">
        <v>128.06005254032812</v>
      </c>
      <c r="I101" s="7">
        <v>31</v>
      </c>
      <c r="J101" s="7">
        <v>1</v>
      </c>
      <c r="K101" s="15">
        <f>+'CDM Activity'!F43</f>
        <v>11253.192307692309</v>
      </c>
      <c r="L101" s="210">
        <v>351.91199999999998</v>
      </c>
      <c r="M101" s="210">
        <v>628.1</v>
      </c>
      <c r="N101" s="210">
        <v>35.152375923970453</v>
      </c>
      <c r="O101" s="7">
        <f t="shared" si="4"/>
        <v>179095242.85575151</v>
      </c>
      <c r="P101" s="7"/>
      <c r="Q101" s="11"/>
    </row>
    <row r="102" spans="1:17" x14ac:dyDescent="0.2">
      <c r="A102" s="2">
        <v>38443</v>
      </c>
      <c r="B102" s="15">
        <v>154079250</v>
      </c>
      <c r="C102" s="15">
        <v>2996257</v>
      </c>
      <c r="D102" s="15"/>
      <c r="E102" s="15">
        <f t="shared" si="5"/>
        <v>157075507</v>
      </c>
      <c r="F102" s="211">
        <v>354.6</v>
      </c>
      <c r="G102" s="211">
        <v>0</v>
      </c>
      <c r="H102" s="34">
        <v>128.32383528126866</v>
      </c>
      <c r="I102" s="7">
        <v>30</v>
      </c>
      <c r="J102" s="7">
        <v>1</v>
      </c>
      <c r="K102" s="15">
        <f>+'CDM Activity'!F44</f>
        <v>15004.25641025641</v>
      </c>
      <c r="L102" s="210">
        <v>336.24</v>
      </c>
      <c r="M102" s="210">
        <v>631.29999999999995</v>
      </c>
      <c r="N102" s="210">
        <v>35.331467793030697</v>
      </c>
      <c r="O102" s="7">
        <f t="shared" si="4"/>
        <v>160916420.39735544</v>
      </c>
      <c r="P102" s="7"/>
      <c r="Q102" s="11"/>
    </row>
    <row r="103" spans="1:17" x14ac:dyDescent="0.2">
      <c r="A103" s="2">
        <v>38473</v>
      </c>
      <c r="B103" s="15">
        <v>153459374</v>
      </c>
      <c r="C103" s="15">
        <v>3142852</v>
      </c>
      <c r="D103" s="15"/>
      <c r="E103" s="15">
        <f t="shared" si="5"/>
        <v>156602226</v>
      </c>
      <c r="F103" s="211">
        <v>244.9</v>
      </c>
      <c r="G103" s="211">
        <v>0</v>
      </c>
      <c r="H103" s="34">
        <v>128.58816137146633</v>
      </c>
      <c r="I103" s="7">
        <v>31</v>
      </c>
      <c r="J103" s="7">
        <v>1</v>
      </c>
      <c r="K103" s="15">
        <f>+'CDM Activity'!F45</f>
        <v>18755.320512820512</v>
      </c>
      <c r="L103" s="210">
        <v>336.28800000000001</v>
      </c>
      <c r="M103" s="210">
        <v>638.6</v>
      </c>
      <c r="N103" s="210">
        <v>35.740021119324183</v>
      </c>
      <c r="O103" s="7">
        <f t="shared" si="4"/>
        <v>160454235.0782423</v>
      </c>
      <c r="P103" s="7"/>
      <c r="Q103" s="11"/>
    </row>
    <row r="104" spans="1:17" x14ac:dyDescent="0.2">
      <c r="A104" s="2">
        <v>38504</v>
      </c>
      <c r="B104" s="15">
        <v>182430580</v>
      </c>
      <c r="C104" s="15">
        <v>3025792</v>
      </c>
      <c r="D104" s="15"/>
      <c r="E104" s="15">
        <f t="shared" si="5"/>
        <v>185456372</v>
      </c>
      <c r="F104" s="211">
        <v>27.3</v>
      </c>
      <c r="G104" s="211">
        <v>104.8</v>
      </c>
      <c r="H104" s="34">
        <v>128.85303193013166</v>
      </c>
      <c r="I104" s="7">
        <v>30</v>
      </c>
      <c r="J104" s="7">
        <v>0</v>
      </c>
      <c r="K104" s="15">
        <f>+'CDM Activity'!F46</f>
        <v>22506.384615384613</v>
      </c>
      <c r="L104" s="210">
        <v>352.08</v>
      </c>
      <c r="M104" s="210">
        <v>648.1</v>
      </c>
      <c r="N104" s="210">
        <v>36.271700105596665</v>
      </c>
      <c r="O104" s="7">
        <f t="shared" si="4"/>
        <v>185316495.19387513</v>
      </c>
      <c r="P104" s="7"/>
      <c r="Q104" s="11"/>
    </row>
    <row r="105" spans="1:17" x14ac:dyDescent="0.2">
      <c r="A105" s="2">
        <v>38534</v>
      </c>
      <c r="B105" s="15">
        <v>179553228</v>
      </c>
      <c r="C105" s="15">
        <v>3123730</v>
      </c>
      <c r="D105" s="15"/>
      <c r="E105" s="15">
        <f t="shared" si="5"/>
        <v>182676958</v>
      </c>
      <c r="F105" s="211">
        <v>6.8</v>
      </c>
      <c r="G105" s="211">
        <v>105.4</v>
      </c>
      <c r="H105" s="34">
        <v>129.11844807878055</v>
      </c>
      <c r="I105" s="7">
        <v>31</v>
      </c>
      <c r="J105" s="7">
        <v>0</v>
      </c>
      <c r="K105" s="15">
        <f>+'CDM Activity'!F47</f>
        <v>26257.448717948715</v>
      </c>
      <c r="L105" s="210">
        <v>319.92</v>
      </c>
      <c r="M105" s="210">
        <v>653.1</v>
      </c>
      <c r="N105" s="210">
        <v>36.551531151003246</v>
      </c>
      <c r="O105" s="7">
        <f t="shared" si="4"/>
        <v>186141155.10156915</v>
      </c>
      <c r="P105" s="7"/>
      <c r="Q105" s="11"/>
    </row>
    <row r="106" spans="1:17" x14ac:dyDescent="0.2">
      <c r="A106" s="2">
        <v>38565</v>
      </c>
      <c r="B106" s="15">
        <v>184426854</v>
      </c>
      <c r="C106" s="15">
        <v>3121647</v>
      </c>
      <c r="D106" s="15">
        <v>-469032.93839999998</v>
      </c>
      <c r="E106" s="15">
        <f t="shared" si="5"/>
        <v>187079468.0616</v>
      </c>
      <c r="F106" s="211">
        <v>11.9</v>
      </c>
      <c r="G106" s="211">
        <v>67.900000000000006</v>
      </c>
      <c r="H106" s="34">
        <v>129.38441094123903</v>
      </c>
      <c r="I106" s="7">
        <v>31</v>
      </c>
      <c r="J106" s="7">
        <v>0</v>
      </c>
      <c r="K106" s="15">
        <f>+'CDM Activity'!F48</f>
        <v>30008.512820512817</v>
      </c>
      <c r="L106" s="210">
        <v>351.91199999999998</v>
      </c>
      <c r="M106" s="210">
        <v>655.6</v>
      </c>
      <c r="N106" s="210">
        <v>36.691446673706423</v>
      </c>
      <c r="O106" s="7">
        <f t="shared" si="4"/>
        <v>177870066.00261351</v>
      </c>
      <c r="P106" s="7"/>
      <c r="Q106" s="11"/>
    </row>
    <row r="107" spans="1:17" x14ac:dyDescent="0.2">
      <c r="A107" s="2">
        <v>38596</v>
      </c>
      <c r="B107" s="15">
        <v>159422370</v>
      </c>
      <c r="C107" s="15">
        <v>3056133</v>
      </c>
      <c r="D107" s="15">
        <v>-1028606</v>
      </c>
      <c r="E107" s="15">
        <f t="shared" si="5"/>
        <v>161449897</v>
      </c>
      <c r="F107" s="211">
        <v>63.4</v>
      </c>
      <c r="G107" s="211">
        <v>13.7</v>
      </c>
      <c r="H107" s="34">
        <v>129.65092164364802</v>
      </c>
      <c r="I107" s="7">
        <v>30</v>
      </c>
      <c r="J107" s="7">
        <v>1</v>
      </c>
      <c r="K107" s="15">
        <f>+'CDM Activity'!F49</f>
        <v>33759.576923076922</v>
      </c>
      <c r="L107" s="210">
        <v>336.24</v>
      </c>
      <c r="M107" s="210">
        <v>652.20000000000005</v>
      </c>
      <c r="N107" s="210">
        <v>36.501161562830021</v>
      </c>
      <c r="O107" s="7">
        <f t="shared" si="4"/>
        <v>154353805.75649181</v>
      </c>
      <c r="P107" s="7"/>
      <c r="Q107" s="11"/>
    </row>
    <row r="108" spans="1:17" x14ac:dyDescent="0.2">
      <c r="A108" s="2">
        <v>38626</v>
      </c>
      <c r="B108" s="15">
        <v>160516274</v>
      </c>
      <c r="C108" s="15">
        <v>2883941</v>
      </c>
      <c r="D108" s="15">
        <v>26941</v>
      </c>
      <c r="E108" s="15">
        <f t="shared" si="5"/>
        <v>163427156</v>
      </c>
      <c r="F108" s="211">
        <v>259.89999999999998</v>
      </c>
      <c r="G108" s="211">
        <v>2.6</v>
      </c>
      <c r="H108" s="34">
        <v>129.91798131446814</v>
      </c>
      <c r="I108" s="7">
        <v>31</v>
      </c>
      <c r="J108" s="7">
        <v>1</v>
      </c>
      <c r="K108" s="15">
        <f>+'CDM Activity'!F50</f>
        <v>37510.641025641024</v>
      </c>
      <c r="L108" s="210">
        <v>319.92</v>
      </c>
      <c r="M108" s="210">
        <v>649.79999999999995</v>
      </c>
      <c r="N108" s="210">
        <v>36.366842661034866</v>
      </c>
      <c r="O108" s="7">
        <f t="shared" si="4"/>
        <v>161492145.25794068</v>
      </c>
      <c r="P108" s="7"/>
      <c r="Q108" s="11"/>
    </row>
    <row r="109" spans="1:17" x14ac:dyDescent="0.2">
      <c r="A109" s="2">
        <v>38657</v>
      </c>
      <c r="B109" s="15">
        <v>166028954</v>
      </c>
      <c r="C109" s="15">
        <v>3104938</v>
      </c>
      <c r="D109" s="15"/>
      <c r="E109" s="15">
        <f t="shared" si="5"/>
        <v>169133892</v>
      </c>
      <c r="F109" s="211">
        <v>433.1</v>
      </c>
      <c r="G109" s="211">
        <v>0</v>
      </c>
      <c r="H109" s="34">
        <v>130.18559108448443</v>
      </c>
      <c r="I109" s="7">
        <v>30</v>
      </c>
      <c r="J109" s="7">
        <v>1</v>
      </c>
      <c r="K109" s="15">
        <f>+'CDM Activity'!F51</f>
        <v>41261.705128205125</v>
      </c>
      <c r="L109" s="210">
        <v>352.08</v>
      </c>
      <c r="M109" s="210">
        <v>643.79999999999995</v>
      </c>
      <c r="N109" s="210">
        <v>36.031045406547037</v>
      </c>
      <c r="O109" s="7">
        <f t="shared" si="4"/>
        <v>166445597.06224477</v>
      </c>
      <c r="P109" s="7"/>
      <c r="Q109" s="11"/>
    </row>
    <row r="110" spans="1:17" x14ac:dyDescent="0.2">
      <c r="A110" s="2">
        <v>38687</v>
      </c>
      <c r="B110" s="15">
        <v>182966259</v>
      </c>
      <c r="C110" s="15">
        <v>3207148</v>
      </c>
      <c r="D110" s="15">
        <v>-471654.03389999998</v>
      </c>
      <c r="E110" s="15">
        <f t="shared" si="5"/>
        <v>185701752.96610001</v>
      </c>
      <c r="F110" s="211">
        <v>721.6</v>
      </c>
      <c r="G110" s="211">
        <v>0</v>
      </c>
      <c r="H110" s="34">
        <v>130.45375208681136</v>
      </c>
      <c r="I110" s="7">
        <v>31</v>
      </c>
      <c r="J110" s="7">
        <v>0</v>
      </c>
      <c r="K110" s="15">
        <f>+'CDM Activity'!F52</f>
        <v>45012.769230769227</v>
      </c>
      <c r="L110" s="210">
        <v>319.92</v>
      </c>
      <c r="M110" s="210">
        <v>644.6</v>
      </c>
      <c r="N110" s="210">
        <v>36.075818373812126</v>
      </c>
      <c r="O110" s="7">
        <f t="shared" si="4"/>
        <v>184308491.96779811</v>
      </c>
      <c r="P110" s="7"/>
      <c r="Q110" s="11"/>
    </row>
    <row r="111" spans="1:17" x14ac:dyDescent="0.2">
      <c r="A111" s="2">
        <v>38718</v>
      </c>
      <c r="B111" s="15">
        <v>178288001</v>
      </c>
      <c r="C111" s="15">
        <v>3127236</v>
      </c>
      <c r="D111" s="15">
        <v>-530840.55449999997</v>
      </c>
      <c r="E111" s="15">
        <f t="shared" si="5"/>
        <v>180884396.44549999</v>
      </c>
      <c r="F111" s="211">
        <v>590.6</v>
      </c>
      <c r="G111" s="211">
        <v>0</v>
      </c>
      <c r="H111" s="34">
        <v>130.74370215685079</v>
      </c>
      <c r="I111" s="7">
        <v>31</v>
      </c>
      <c r="J111" s="7">
        <v>0</v>
      </c>
      <c r="K111" s="15">
        <f>+'CDM Activity'!F53</f>
        <v>175585.5094931614</v>
      </c>
      <c r="L111" s="210">
        <v>336.28800000000001</v>
      </c>
      <c r="M111" s="210">
        <v>643.6</v>
      </c>
      <c r="N111" s="210">
        <v>33.873684210526335</v>
      </c>
      <c r="O111" s="7">
        <f t="shared" si="4"/>
        <v>179867684.5344187</v>
      </c>
      <c r="P111" s="7"/>
      <c r="Q111" s="11"/>
    </row>
    <row r="112" spans="1:17" x14ac:dyDescent="0.2">
      <c r="A112" s="2">
        <v>38749</v>
      </c>
      <c r="B112" s="15">
        <v>164479598</v>
      </c>
      <c r="C112" s="15">
        <v>2883550</v>
      </c>
      <c r="D112" s="15">
        <v>19066</v>
      </c>
      <c r="E112" s="15">
        <f t="shared" si="5"/>
        <v>167382214</v>
      </c>
      <c r="F112" s="211">
        <v>651.20000000000005</v>
      </c>
      <c r="G112" s="211">
        <v>0</v>
      </c>
      <c r="H112" s="34">
        <v>131.0342966778299</v>
      </c>
      <c r="I112" s="7">
        <v>28</v>
      </c>
      <c r="J112" s="7">
        <v>0</v>
      </c>
      <c r="K112" s="15">
        <f>+'CDM Activity'!F54</f>
        <v>306158.24975555355</v>
      </c>
      <c r="L112" s="210">
        <v>319.87200000000001</v>
      </c>
      <c r="M112" s="210">
        <v>642.9</v>
      </c>
      <c r="N112" s="210">
        <v>33.836842105263145</v>
      </c>
      <c r="O112" s="7">
        <f t="shared" si="4"/>
        <v>169832555.95404831</v>
      </c>
      <c r="P112" s="7"/>
      <c r="Q112" s="11"/>
    </row>
    <row r="113" spans="1:17" x14ac:dyDescent="0.2">
      <c r="A113" s="2">
        <v>38777</v>
      </c>
      <c r="B113" s="15">
        <v>172892182</v>
      </c>
      <c r="C113" s="15">
        <v>3232734</v>
      </c>
      <c r="D113" s="15"/>
      <c r="E113" s="15">
        <f t="shared" si="5"/>
        <v>176124916</v>
      </c>
      <c r="F113" s="211">
        <v>562.4</v>
      </c>
      <c r="G113" s="211">
        <v>0</v>
      </c>
      <c r="H113" s="34">
        <v>131.32553708212293</v>
      </c>
      <c r="I113" s="7">
        <v>31</v>
      </c>
      <c r="J113" s="7">
        <v>1</v>
      </c>
      <c r="K113" s="15">
        <f>+'CDM Activity'!F55</f>
        <v>436730.9900179457</v>
      </c>
      <c r="L113" s="210">
        <v>368.28</v>
      </c>
      <c r="M113" s="210">
        <v>641</v>
      </c>
      <c r="N113" s="210">
        <v>33.736842105263236</v>
      </c>
      <c r="O113" s="7">
        <f t="shared" si="4"/>
        <v>175460615.80547762</v>
      </c>
      <c r="P113" s="7"/>
      <c r="Q113" s="11"/>
    </row>
    <row r="114" spans="1:17" x14ac:dyDescent="0.2">
      <c r="A114" s="2">
        <v>38808</v>
      </c>
      <c r="B114" s="15">
        <v>148908687</v>
      </c>
      <c r="C114" s="15">
        <v>3056277</v>
      </c>
      <c r="D114" s="15"/>
      <c r="E114" s="15">
        <f t="shared" si="5"/>
        <v>151964964</v>
      </c>
      <c r="F114" s="211">
        <v>322.5</v>
      </c>
      <c r="G114" s="211">
        <v>0</v>
      </c>
      <c r="H114" s="34">
        <v>131.61742480528775</v>
      </c>
      <c r="I114" s="7">
        <v>30</v>
      </c>
      <c r="J114" s="7">
        <v>1</v>
      </c>
      <c r="K114" s="15">
        <f>+'CDM Activity'!F56</f>
        <v>567303.73028033786</v>
      </c>
      <c r="L114" s="210">
        <v>303.83999999999997</v>
      </c>
      <c r="M114" s="210">
        <v>643.6</v>
      </c>
      <c r="N114" s="210">
        <v>33.873684210526335</v>
      </c>
      <c r="O114" s="7">
        <f t="shared" si="4"/>
        <v>156617235.72674608</v>
      </c>
      <c r="P114" s="7"/>
      <c r="Q114" s="11"/>
    </row>
    <row r="115" spans="1:17" x14ac:dyDescent="0.2">
      <c r="A115" s="2">
        <v>38838</v>
      </c>
      <c r="B115" s="15">
        <v>156565358</v>
      </c>
      <c r="C115" s="15">
        <v>3089254</v>
      </c>
      <c r="D115" s="15"/>
      <c r="E115" s="15">
        <f t="shared" si="5"/>
        <v>159654612</v>
      </c>
      <c r="F115" s="211">
        <v>177.8</v>
      </c>
      <c r="G115" s="211">
        <v>17.7</v>
      </c>
      <c r="H115" s="34">
        <v>131.90996128607298</v>
      </c>
      <c r="I115" s="7">
        <v>31</v>
      </c>
      <c r="J115" s="7">
        <v>1</v>
      </c>
      <c r="K115" s="15">
        <f>+'CDM Activity'!F57</f>
        <v>697876.47054273007</v>
      </c>
      <c r="L115" s="210">
        <v>351.91199999999998</v>
      </c>
      <c r="M115" s="210">
        <v>652.29999999999995</v>
      </c>
      <c r="N115" s="210">
        <v>34.331578947368484</v>
      </c>
      <c r="O115" s="7">
        <f t="shared" si="4"/>
        <v>163231718.40043423</v>
      </c>
      <c r="P115" s="7"/>
      <c r="Q115" s="11"/>
    </row>
    <row r="116" spans="1:17" x14ac:dyDescent="0.2">
      <c r="A116" s="2">
        <v>38869</v>
      </c>
      <c r="B116" s="15">
        <v>163419920</v>
      </c>
      <c r="C116" s="15">
        <v>2996747</v>
      </c>
      <c r="D116" s="15">
        <v>-480406.83250000002</v>
      </c>
      <c r="E116" s="15">
        <f t="shared" si="5"/>
        <v>165936260.16749999</v>
      </c>
      <c r="F116" s="211">
        <v>44.1</v>
      </c>
      <c r="G116" s="211">
        <v>32.200000000000003</v>
      </c>
      <c r="H116" s="34">
        <v>132.20314796642501</v>
      </c>
      <c r="I116" s="7">
        <v>30</v>
      </c>
      <c r="J116" s="7">
        <v>0</v>
      </c>
      <c r="K116" s="15">
        <f>+'CDM Activity'!F58</f>
        <v>828449.21080512227</v>
      </c>
      <c r="L116" s="210">
        <v>352.08</v>
      </c>
      <c r="M116" s="210">
        <v>660</v>
      </c>
      <c r="N116" s="210">
        <v>34.736842105263236</v>
      </c>
      <c r="O116" s="7">
        <f t="shared" si="4"/>
        <v>163002548.31204483</v>
      </c>
      <c r="P116" s="7"/>
      <c r="Q116" s="11"/>
    </row>
    <row r="117" spans="1:17" x14ac:dyDescent="0.2">
      <c r="A117" s="2">
        <v>38899</v>
      </c>
      <c r="B117" s="15">
        <v>177939977</v>
      </c>
      <c r="C117" s="15">
        <v>3157808</v>
      </c>
      <c r="D117" s="15">
        <v>-891711.20449999999</v>
      </c>
      <c r="E117" s="15">
        <f t="shared" si="5"/>
        <v>180206073.79550001</v>
      </c>
      <c r="F117" s="211">
        <v>6.5</v>
      </c>
      <c r="G117" s="211">
        <v>117.2</v>
      </c>
      <c r="H117" s="34">
        <v>132.49698629149512</v>
      </c>
      <c r="I117" s="7">
        <v>31</v>
      </c>
      <c r="J117" s="7">
        <v>0</v>
      </c>
      <c r="K117" s="15">
        <f>+'CDM Activity'!F59</f>
        <v>959021.95106751448</v>
      </c>
      <c r="L117" s="210">
        <v>319.92</v>
      </c>
      <c r="M117" s="210">
        <v>665.1</v>
      </c>
      <c r="N117" s="210">
        <v>35.005263157894774</v>
      </c>
      <c r="O117" s="7">
        <f t="shared" si="4"/>
        <v>187681779.66057566</v>
      </c>
      <c r="P117" s="7"/>
      <c r="Q117" s="11"/>
    </row>
    <row r="118" spans="1:17" x14ac:dyDescent="0.2">
      <c r="A118" s="2">
        <v>38930</v>
      </c>
      <c r="B118" s="15">
        <v>167043152</v>
      </c>
      <c r="C118" s="15">
        <v>3155436</v>
      </c>
      <c r="D118" s="15">
        <v>121285</v>
      </c>
      <c r="E118" s="15">
        <f t="shared" si="5"/>
        <v>170319873</v>
      </c>
      <c r="F118" s="211">
        <v>27.5</v>
      </c>
      <c r="G118" s="211">
        <v>45.5</v>
      </c>
      <c r="H118" s="34">
        <v>132.79147770964664</v>
      </c>
      <c r="I118" s="7">
        <v>31</v>
      </c>
      <c r="J118" s="7">
        <v>0</v>
      </c>
      <c r="K118" s="15">
        <f>+'CDM Activity'!F60</f>
        <v>1089594.6913299067</v>
      </c>
      <c r="L118" s="210">
        <v>351.91199999999998</v>
      </c>
      <c r="M118" s="210">
        <v>667.3</v>
      </c>
      <c r="N118" s="210">
        <v>35.121052631579005</v>
      </c>
      <c r="O118" s="7">
        <f t="shared" si="4"/>
        <v>169419732.60477912</v>
      </c>
      <c r="P118" s="7"/>
      <c r="Q118" s="11"/>
    </row>
    <row r="119" spans="1:17" x14ac:dyDescent="0.2">
      <c r="A119" s="2">
        <v>38961</v>
      </c>
      <c r="B119" s="15">
        <v>143344914</v>
      </c>
      <c r="C119" s="15">
        <v>3068450</v>
      </c>
      <c r="D119" s="15"/>
      <c r="E119" s="15">
        <f t="shared" si="5"/>
        <v>146413364</v>
      </c>
      <c r="F119" s="211">
        <v>130.30000000000001</v>
      </c>
      <c r="G119" s="211">
        <v>2.2999999999999998</v>
      </c>
      <c r="H119" s="34">
        <v>133.08662367246211</v>
      </c>
      <c r="I119" s="7">
        <v>30</v>
      </c>
      <c r="J119" s="7">
        <v>1</v>
      </c>
      <c r="K119" s="15">
        <f>+'CDM Activity'!F61</f>
        <v>1220167.4315922989</v>
      </c>
      <c r="L119" s="210">
        <v>319.68</v>
      </c>
      <c r="M119" s="210">
        <v>664.9</v>
      </c>
      <c r="N119" s="210">
        <v>34.99473684210534</v>
      </c>
      <c r="O119" s="7">
        <f t="shared" si="4"/>
        <v>149623219.20172751</v>
      </c>
      <c r="P119" s="7"/>
      <c r="Q119" s="11"/>
    </row>
    <row r="120" spans="1:17" x14ac:dyDescent="0.2">
      <c r="A120" s="2">
        <v>38991</v>
      </c>
      <c r="B120" s="15">
        <v>153058324</v>
      </c>
      <c r="C120" s="15">
        <v>3145499</v>
      </c>
      <c r="D120" s="15"/>
      <c r="E120" s="15">
        <f t="shared" si="5"/>
        <v>156203823</v>
      </c>
      <c r="F120" s="211">
        <v>335.1</v>
      </c>
      <c r="G120" s="211">
        <v>0</v>
      </c>
      <c r="H120" s="34">
        <v>133.38242563475035</v>
      </c>
      <c r="I120" s="7">
        <v>31</v>
      </c>
      <c r="J120" s="7">
        <v>1</v>
      </c>
      <c r="K120" s="15">
        <f>+'CDM Activity'!F62</f>
        <v>1350740.1718546911</v>
      </c>
      <c r="L120" s="210">
        <v>336.28800000000001</v>
      </c>
      <c r="M120" s="210">
        <v>667</v>
      </c>
      <c r="N120" s="210">
        <v>35.105263157894797</v>
      </c>
      <c r="O120" s="7">
        <f t="shared" si="4"/>
        <v>162055769.69132215</v>
      </c>
      <c r="P120" s="7"/>
      <c r="Q120" s="11"/>
    </row>
    <row r="121" spans="1:17" x14ac:dyDescent="0.2">
      <c r="A121" s="2">
        <v>39022</v>
      </c>
      <c r="B121" s="15">
        <v>156414973</v>
      </c>
      <c r="C121" s="15">
        <v>3028348</v>
      </c>
      <c r="D121" s="15"/>
      <c r="E121" s="15">
        <f t="shared" si="5"/>
        <v>159443321</v>
      </c>
      <c r="F121" s="211">
        <v>415.9</v>
      </c>
      <c r="G121" s="211">
        <v>0</v>
      </c>
      <c r="H121" s="34">
        <v>133.67888505455369</v>
      </c>
      <c r="I121" s="7">
        <v>30</v>
      </c>
      <c r="J121" s="7">
        <v>1</v>
      </c>
      <c r="K121" s="15">
        <f>+'CDM Activity'!F63</f>
        <v>1481312.9121170833</v>
      </c>
      <c r="L121" s="210">
        <v>352.08</v>
      </c>
      <c r="M121" s="210">
        <v>666.2</v>
      </c>
      <c r="N121" s="210">
        <v>35.063157894736833</v>
      </c>
      <c r="O121" s="7">
        <f t="shared" si="4"/>
        <v>162527432.93702021</v>
      </c>
      <c r="P121" s="7"/>
      <c r="Q121" s="11"/>
    </row>
    <row r="122" spans="1:17" x14ac:dyDescent="0.2">
      <c r="A122" s="2">
        <v>39052</v>
      </c>
      <c r="B122" s="15">
        <v>166458241</v>
      </c>
      <c r="C122" s="15">
        <v>3028408</v>
      </c>
      <c r="D122" s="15">
        <v>-374756.09</v>
      </c>
      <c r="E122" s="15">
        <f t="shared" si="5"/>
        <v>169111892.91</v>
      </c>
      <c r="F122" s="211">
        <v>545.20000000000005</v>
      </c>
      <c r="G122" s="211">
        <v>0</v>
      </c>
      <c r="H122" s="34">
        <v>133.97600339315525</v>
      </c>
      <c r="I122" s="7">
        <v>31</v>
      </c>
      <c r="J122" s="7">
        <v>0</v>
      </c>
      <c r="K122" s="15">
        <f>+'CDM Activity'!F64</f>
        <v>1611885.6523794755</v>
      </c>
      <c r="L122" s="210">
        <v>304.29599999999999</v>
      </c>
      <c r="M122" s="210">
        <v>667.7</v>
      </c>
      <c r="N122" s="210">
        <v>35.142105263157873</v>
      </c>
      <c r="O122" s="7">
        <f t="shared" si="4"/>
        <v>172101831.50247192</v>
      </c>
      <c r="P122" s="7"/>
      <c r="Q122" s="11"/>
    </row>
    <row r="123" spans="1:17" x14ac:dyDescent="0.2">
      <c r="A123" s="2">
        <v>39083</v>
      </c>
      <c r="B123" s="15">
        <v>174419227</v>
      </c>
      <c r="C123" s="15">
        <v>3099274</v>
      </c>
      <c r="D123" s="15">
        <v>-761355.75450000004</v>
      </c>
      <c r="E123" s="15">
        <f t="shared" si="5"/>
        <v>176757145.2455</v>
      </c>
      <c r="F123" s="211">
        <v>698.3</v>
      </c>
      <c r="G123" s="211">
        <v>0</v>
      </c>
      <c r="H123" s="34">
        <v>134.25197202423305</v>
      </c>
      <c r="I123" s="7">
        <v>31</v>
      </c>
      <c r="J123" s="7">
        <v>0</v>
      </c>
      <c r="K123" s="15">
        <f>+'CDM Activity'!F65</f>
        <v>1639080.0265202301</v>
      </c>
      <c r="L123" s="210">
        <v>351.91199999999998</v>
      </c>
      <c r="M123" s="210">
        <v>662.2</v>
      </c>
      <c r="N123" s="210">
        <v>37.800000000000068</v>
      </c>
      <c r="O123" s="7">
        <f t="shared" si="4"/>
        <v>181290485.79912761</v>
      </c>
      <c r="P123" s="7"/>
      <c r="Q123" s="11"/>
    </row>
    <row r="124" spans="1:17" x14ac:dyDescent="0.2">
      <c r="A124" s="2">
        <v>39114</v>
      </c>
      <c r="B124" s="15">
        <v>166691262</v>
      </c>
      <c r="C124" s="15">
        <v>2857641</v>
      </c>
      <c r="D124" s="15"/>
      <c r="E124" s="15">
        <f t="shared" si="5"/>
        <v>169548903</v>
      </c>
      <c r="F124" s="211">
        <v>785.1</v>
      </c>
      <c r="G124" s="211">
        <v>0</v>
      </c>
      <c r="H124" s="34">
        <v>134.52850910550649</v>
      </c>
      <c r="I124" s="7">
        <v>28</v>
      </c>
      <c r="J124" s="7">
        <v>0</v>
      </c>
      <c r="K124" s="15">
        <f>+'CDM Activity'!F66</f>
        <v>1666274.4006609847</v>
      </c>
      <c r="L124" s="210">
        <v>319.87200000000001</v>
      </c>
      <c r="M124" s="210">
        <v>656.8</v>
      </c>
      <c r="N124" s="210">
        <v>37.491754756871046</v>
      </c>
      <c r="O124" s="7">
        <f t="shared" si="4"/>
        <v>171239264.60789421</v>
      </c>
      <c r="P124" s="7"/>
      <c r="Q124" s="11"/>
    </row>
    <row r="125" spans="1:17" x14ac:dyDescent="0.2">
      <c r="A125" s="2">
        <v>39142</v>
      </c>
      <c r="B125" s="15">
        <v>166700004</v>
      </c>
      <c r="C125" s="15">
        <v>3085285</v>
      </c>
      <c r="D125" s="15"/>
      <c r="E125" s="15">
        <f t="shared" si="5"/>
        <v>169785289</v>
      </c>
      <c r="F125" s="211">
        <v>582</v>
      </c>
      <c r="G125" s="211">
        <v>0</v>
      </c>
      <c r="H125" s="34">
        <v>134.80561580788986</v>
      </c>
      <c r="I125" s="7">
        <v>31</v>
      </c>
      <c r="J125" s="7">
        <v>1</v>
      </c>
      <c r="K125" s="15">
        <f>+'CDM Activity'!F67</f>
        <v>1693468.7748017393</v>
      </c>
      <c r="L125" s="210">
        <v>351.91199999999998</v>
      </c>
      <c r="M125" s="210">
        <v>652.20000000000005</v>
      </c>
      <c r="N125" s="210">
        <v>37.229175475687157</v>
      </c>
      <c r="O125" s="7">
        <f t="shared" si="4"/>
        <v>171056886.26448581</v>
      </c>
      <c r="P125" s="7"/>
      <c r="Q125" s="11"/>
    </row>
    <row r="126" spans="1:17" x14ac:dyDescent="0.2">
      <c r="A126" s="2">
        <v>39173</v>
      </c>
      <c r="B126" s="15">
        <v>149528054</v>
      </c>
      <c r="C126" s="15">
        <v>3049354</v>
      </c>
      <c r="D126" s="15">
        <v>-215366.85870000001</v>
      </c>
      <c r="E126" s="15">
        <f t="shared" si="5"/>
        <v>152362041.14129999</v>
      </c>
      <c r="F126" s="211">
        <v>403</v>
      </c>
      <c r="G126" s="211">
        <v>0</v>
      </c>
      <c r="H126" s="34">
        <v>135.08329330470943</v>
      </c>
      <c r="I126" s="7">
        <v>30</v>
      </c>
      <c r="J126" s="7">
        <v>1</v>
      </c>
      <c r="K126" s="15">
        <f>+'CDM Activity'!F68</f>
        <v>1720663.1489424938</v>
      </c>
      <c r="L126" s="210">
        <v>319.68</v>
      </c>
      <c r="M126" s="210">
        <v>647.4</v>
      </c>
      <c r="N126" s="210">
        <v>36.955179704016928</v>
      </c>
      <c r="O126" s="7">
        <f t="shared" si="4"/>
        <v>157126072.70498845</v>
      </c>
      <c r="P126" s="7"/>
      <c r="Q126" s="11"/>
    </row>
    <row r="127" spans="1:17" x14ac:dyDescent="0.2">
      <c r="A127" s="2">
        <v>39203</v>
      </c>
      <c r="B127" s="15">
        <v>150384862</v>
      </c>
      <c r="C127" s="15">
        <v>3629223</v>
      </c>
      <c r="D127" s="15"/>
      <c r="E127" s="15">
        <f t="shared" si="5"/>
        <v>154014085</v>
      </c>
      <c r="F127" s="211">
        <v>166.4</v>
      </c>
      <c r="G127" s="211">
        <v>11.2</v>
      </c>
      <c r="H127" s="34">
        <v>135.36154277170829</v>
      </c>
      <c r="I127" s="7">
        <v>31</v>
      </c>
      <c r="J127" s="7">
        <v>1</v>
      </c>
      <c r="K127" s="15">
        <f>+'CDM Activity'!F69</f>
        <v>1747857.5230832484</v>
      </c>
      <c r="L127" s="210">
        <v>351.91199999999998</v>
      </c>
      <c r="M127" s="210">
        <v>646.9</v>
      </c>
      <c r="N127" s="210">
        <v>36.926638477801248</v>
      </c>
      <c r="O127" s="7">
        <f t="shared" si="4"/>
        <v>156536516.34359515</v>
      </c>
      <c r="P127" s="7"/>
      <c r="Q127" s="11"/>
    </row>
    <row r="128" spans="1:17" x14ac:dyDescent="0.2">
      <c r="A128" s="2">
        <v>39234</v>
      </c>
      <c r="B128" s="15">
        <v>166748069</v>
      </c>
      <c r="C128" s="15">
        <v>2751787</v>
      </c>
      <c r="D128" s="15">
        <v>-230977</v>
      </c>
      <c r="E128" s="15">
        <f t="shared" si="5"/>
        <v>169268879</v>
      </c>
      <c r="F128" s="211">
        <v>35.5</v>
      </c>
      <c r="G128" s="211">
        <v>51.2</v>
      </c>
      <c r="H128" s="34">
        <v>135.64036538705133</v>
      </c>
      <c r="I128" s="7">
        <v>30</v>
      </c>
      <c r="J128" s="7">
        <v>0</v>
      </c>
      <c r="K128" s="15">
        <f>+'CDM Activity'!F70</f>
        <v>1775051.897224003</v>
      </c>
      <c r="L128" s="210">
        <v>336.24</v>
      </c>
      <c r="M128" s="210">
        <v>652.29999999999995</v>
      </c>
      <c r="N128" s="210">
        <v>37.23488372093027</v>
      </c>
      <c r="O128" s="7">
        <f t="shared" si="4"/>
        <v>163019313.48170874</v>
      </c>
      <c r="P128" s="7"/>
      <c r="Q128" s="11"/>
    </row>
    <row r="129" spans="1:17" x14ac:dyDescent="0.2">
      <c r="A129" s="2">
        <v>39264</v>
      </c>
      <c r="B129" s="15">
        <v>161680251</v>
      </c>
      <c r="C129" s="15">
        <v>2997159</v>
      </c>
      <c r="D129" s="15">
        <v>-1233112.9438</v>
      </c>
      <c r="E129" s="15">
        <f t="shared" si="5"/>
        <v>163444297.0562</v>
      </c>
      <c r="F129" s="211">
        <v>28</v>
      </c>
      <c r="G129" s="211">
        <v>53.8</v>
      </c>
      <c r="H129" s="34">
        <v>135.9197623313303</v>
      </c>
      <c r="I129" s="7">
        <v>31</v>
      </c>
      <c r="J129" s="7">
        <v>0</v>
      </c>
      <c r="K129" s="15">
        <f>+'CDM Activity'!F71</f>
        <v>1802246.2713647576</v>
      </c>
      <c r="L129" s="210">
        <v>336.28800000000001</v>
      </c>
      <c r="M129" s="210">
        <v>659.9</v>
      </c>
      <c r="N129" s="210">
        <v>37.668710359408124</v>
      </c>
      <c r="O129" s="7">
        <f t="shared" si="4"/>
        <v>167530330.84507784</v>
      </c>
      <c r="P129" s="7"/>
      <c r="Q129" s="11"/>
    </row>
    <row r="130" spans="1:17" x14ac:dyDescent="0.2">
      <c r="A130" s="2">
        <v>39295</v>
      </c>
      <c r="B130" s="15">
        <v>171683657</v>
      </c>
      <c r="C130" s="15">
        <v>3020733</v>
      </c>
      <c r="D130" s="15">
        <v>64199</v>
      </c>
      <c r="E130" s="15">
        <f t="shared" si="5"/>
        <v>174768589</v>
      </c>
      <c r="F130" s="211">
        <v>19.7</v>
      </c>
      <c r="G130" s="211">
        <v>65.099999999999994</v>
      </c>
      <c r="H130" s="34">
        <v>136.19973478756879</v>
      </c>
      <c r="I130" s="7">
        <v>31</v>
      </c>
      <c r="J130" s="7">
        <v>0</v>
      </c>
      <c r="K130" s="15">
        <f>+'CDM Activity'!F72</f>
        <v>1829440.6455055121</v>
      </c>
      <c r="L130" s="210">
        <v>351.91199999999998</v>
      </c>
      <c r="M130" s="210">
        <v>662.1</v>
      </c>
      <c r="N130" s="210">
        <v>37.794291754756955</v>
      </c>
      <c r="O130" s="7">
        <f t="shared" si="4"/>
        <v>171819572.59772125</v>
      </c>
      <c r="P130" s="7"/>
      <c r="Q130" s="11"/>
    </row>
    <row r="131" spans="1:17" x14ac:dyDescent="0.2">
      <c r="A131" s="2">
        <v>39326</v>
      </c>
      <c r="B131" s="15">
        <v>152749372</v>
      </c>
      <c r="C131" s="15">
        <v>2716289</v>
      </c>
      <c r="D131" s="15"/>
      <c r="E131" s="15">
        <f t="shared" ref="E131:E162" si="6">SUM(B131:D131)</f>
        <v>155465661</v>
      </c>
      <c r="F131" s="211">
        <v>74.7</v>
      </c>
      <c r="G131" s="211">
        <v>28</v>
      </c>
      <c r="H131" s="34">
        <v>136.48028394122719</v>
      </c>
      <c r="I131" s="7">
        <v>30</v>
      </c>
      <c r="J131" s="7">
        <v>1</v>
      </c>
      <c r="K131" s="15">
        <f>+'CDM Activity'!F73</f>
        <v>1856635.0196462667</v>
      </c>
      <c r="L131" s="210">
        <v>303.83999999999997</v>
      </c>
      <c r="M131" s="210">
        <v>660.7</v>
      </c>
      <c r="N131" s="210">
        <v>37.714376321353143</v>
      </c>
      <c r="O131" s="7">
        <f t="shared" ref="O131:O194" si="7">$B$261+F131*$B$262+G131*$B$263+H131*$B$264+I131*$B$265+J131*$B$266+K131*$B$267+L131*$B$268+M131*$B$269+N131*$B$270</f>
        <v>151090009.09129763</v>
      </c>
      <c r="P131" s="7"/>
      <c r="Q131" s="11"/>
    </row>
    <row r="132" spans="1:17" x14ac:dyDescent="0.2">
      <c r="A132" s="2">
        <v>39356</v>
      </c>
      <c r="B132" s="15">
        <v>153403455</v>
      </c>
      <c r="C132" s="15">
        <v>2760987</v>
      </c>
      <c r="D132" s="15"/>
      <c r="E132" s="15">
        <f t="shared" si="6"/>
        <v>156164442</v>
      </c>
      <c r="F132" s="211">
        <v>184.7</v>
      </c>
      <c r="G132" s="211">
        <v>10.9</v>
      </c>
      <c r="H132" s="34">
        <v>136.76141098020776</v>
      </c>
      <c r="I132" s="7">
        <v>31</v>
      </c>
      <c r="J132" s="7">
        <v>1</v>
      </c>
      <c r="K132" s="15">
        <f>+'CDM Activity'!F74</f>
        <v>1883829.3937870213</v>
      </c>
      <c r="L132" s="210">
        <v>351.91199999999998</v>
      </c>
      <c r="M132" s="210">
        <v>662.5</v>
      </c>
      <c r="N132" s="210">
        <v>37.817124735729408</v>
      </c>
      <c r="O132" s="7">
        <f t="shared" si="7"/>
        <v>157953716.10908306</v>
      </c>
      <c r="P132" s="7"/>
      <c r="Q132" s="11"/>
    </row>
    <row r="133" spans="1:17" x14ac:dyDescent="0.2">
      <c r="A133" s="2">
        <v>39387</v>
      </c>
      <c r="B133" s="15">
        <v>160155435</v>
      </c>
      <c r="C133" s="15">
        <v>3169286</v>
      </c>
      <c r="D133" s="15"/>
      <c r="E133" s="15">
        <f t="shared" si="6"/>
        <v>163324721</v>
      </c>
      <c r="F133" s="211">
        <v>511.8</v>
      </c>
      <c r="G133" s="211">
        <v>0</v>
      </c>
      <c r="H133" s="34">
        <v>137.04311709485967</v>
      </c>
      <c r="I133" s="7">
        <v>30</v>
      </c>
      <c r="J133" s="7">
        <v>1</v>
      </c>
      <c r="K133" s="15">
        <f>+'CDM Activity'!F75</f>
        <v>1911023.7679277759</v>
      </c>
      <c r="L133" s="210">
        <v>352.08</v>
      </c>
      <c r="M133" s="210">
        <v>666.7</v>
      </c>
      <c r="N133" s="210">
        <v>38.056871035940844</v>
      </c>
      <c r="O133" s="7">
        <f t="shared" si="7"/>
        <v>165021208.02667066</v>
      </c>
      <c r="P133" s="7"/>
      <c r="Q133" s="11"/>
    </row>
    <row r="134" spans="1:17" x14ac:dyDescent="0.2">
      <c r="A134" s="2">
        <v>39417</v>
      </c>
      <c r="B134" s="15">
        <v>171832799</v>
      </c>
      <c r="C134" s="15">
        <v>2432767</v>
      </c>
      <c r="D134" s="15">
        <v>-179442</v>
      </c>
      <c r="E134" s="15">
        <f t="shared" si="6"/>
        <v>174086124</v>
      </c>
      <c r="F134" s="211">
        <v>686.6</v>
      </c>
      <c r="G134" s="211">
        <v>0</v>
      </c>
      <c r="H134" s="34">
        <v>137.32540347798411</v>
      </c>
      <c r="I134" s="7">
        <v>31</v>
      </c>
      <c r="J134" s="7">
        <v>0</v>
      </c>
      <c r="K134" s="15">
        <f>+'CDM Activity'!F76</f>
        <v>1938218.1420685304</v>
      </c>
      <c r="L134" s="210">
        <v>304.29599999999999</v>
      </c>
      <c r="M134" s="210">
        <v>668.5</v>
      </c>
      <c r="N134" s="210">
        <v>38.159619450317109</v>
      </c>
      <c r="O134" s="7">
        <f t="shared" si="7"/>
        <v>176914578.2998341</v>
      </c>
      <c r="P134" s="7"/>
      <c r="Q134" s="11"/>
    </row>
    <row r="135" spans="1:17" x14ac:dyDescent="0.2">
      <c r="A135" s="2">
        <v>39448</v>
      </c>
      <c r="B135" s="15">
        <v>177058679</v>
      </c>
      <c r="C135" s="15">
        <v>2832543</v>
      </c>
      <c r="D135" s="15">
        <v>-773672.75549999997</v>
      </c>
      <c r="E135" s="15">
        <f t="shared" si="6"/>
        <v>179117549.24450001</v>
      </c>
      <c r="F135" s="211">
        <v>676.8</v>
      </c>
      <c r="G135" s="211">
        <v>0</v>
      </c>
      <c r="H135" s="34">
        <v>137.552207546647</v>
      </c>
      <c r="I135" s="7">
        <v>31</v>
      </c>
      <c r="J135" s="7">
        <v>0</v>
      </c>
      <c r="K135" s="15">
        <f>+'CDM Activity'!F77</f>
        <v>1986939.8310076385</v>
      </c>
      <c r="L135" s="22">
        <v>352</v>
      </c>
      <c r="M135" s="210">
        <v>661.4</v>
      </c>
      <c r="N135" s="210">
        <v>39.97857900318138</v>
      </c>
      <c r="O135" s="7">
        <f t="shared" si="7"/>
        <v>179210817.406762</v>
      </c>
      <c r="P135" s="7"/>
      <c r="Q135" s="11"/>
    </row>
    <row r="136" spans="1:17" x14ac:dyDescent="0.2">
      <c r="A136" s="2">
        <v>39479</v>
      </c>
      <c r="B136" s="15">
        <v>166921823</v>
      </c>
      <c r="C136" s="15">
        <v>3033525</v>
      </c>
      <c r="D136" s="15">
        <v>-229052</v>
      </c>
      <c r="E136" s="15">
        <f t="shared" si="6"/>
        <v>169726296</v>
      </c>
      <c r="F136" s="211">
        <v>730.3</v>
      </c>
      <c r="G136" s="211">
        <v>0</v>
      </c>
      <c r="H136" s="34">
        <v>137.77938620066888</v>
      </c>
      <c r="I136" s="7">
        <v>28</v>
      </c>
      <c r="J136" s="7">
        <v>0</v>
      </c>
      <c r="K136" s="15">
        <f>+'CDM Activity'!F78</f>
        <v>2035661.5199467465</v>
      </c>
      <c r="L136" s="22">
        <v>320</v>
      </c>
      <c r="M136" s="210">
        <v>656.3</v>
      </c>
      <c r="N136" s="210">
        <v>39.670307529162301</v>
      </c>
      <c r="O136" s="7">
        <f t="shared" si="7"/>
        <v>167702068.49047625</v>
      </c>
      <c r="P136" s="7"/>
      <c r="Q136" s="11"/>
    </row>
    <row r="137" spans="1:17" x14ac:dyDescent="0.2">
      <c r="A137" s="2">
        <v>39508</v>
      </c>
      <c r="B137" s="15">
        <v>166357193</v>
      </c>
      <c r="C137" s="15">
        <v>2608248</v>
      </c>
      <c r="D137" s="15"/>
      <c r="E137" s="15">
        <f t="shared" si="6"/>
        <v>168965441</v>
      </c>
      <c r="F137" s="211">
        <v>686.1</v>
      </c>
      <c r="G137" s="211">
        <v>0</v>
      </c>
      <c r="H137" s="34">
        <v>138.00694005870795</v>
      </c>
      <c r="I137" s="7">
        <v>31</v>
      </c>
      <c r="J137" s="7">
        <v>1</v>
      </c>
      <c r="K137" s="15">
        <f>+'CDM Activity'!F79</f>
        <v>2084383.2088858546</v>
      </c>
      <c r="L137" s="22">
        <v>304</v>
      </c>
      <c r="M137" s="210">
        <v>647</v>
      </c>
      <c r="N137" s="210">
        <v>39.108165429480437</v>
      </c>
      <c r="O137" s="7">
        <f t="shared" si="7"/>
        <v>170082459.74394858</v>
      </c>
      <c r="P137" s="7"/>
      <c r="Q137" s="11"/>
    </row>
    <row r="138" spans="1:17" x14ac:dyDescent="0.2">
      <c r="A138" s="2">
        <v>39539</v>
      </c>
      <c r="B138" s="15">
        <v>144983805</v>
      </c>
      <c r="C138" s="15">
        <v>2999650</v>
      </c>
      <c r="D138" s="15"/>
      <c r="E138" s="15">
        <f t="shared" si="6"/>
        <v>147983455</v>
      </c>
      <c r="F138" s="211">
        <v>297.89999999999998</v>
      </c>
      <c r="G138" s="211">
        <v>0</v>
      </c>
      <c r="H138" s="34">
        <v>138.23486974044414</v>
      </c>
      <c r="I138" s="7">
        <v>30</v>
      </c>
      <c r="J138" s="7">
        <v>1</v>
      </c>
      <c r="K138" s="15">
        <f>+'CDM Activity'!F80</f>
        <v>2133104.8978249626</v>
      </c>
      <c r="L138" s="22">
        <v>352</v>
      </c>
      <c r="M138" s="210">
        <v>647.20000000000005</v>
      </c>
      <c r="N138" s="210">
        <v>39.120254506892934</v>
      </c>
      <c r="O138" s="7">
        <f t="shared" si="7"/>
        <v>153792198.06494695</v>
      </c>
      <c r="P138" s="7"/>
      <c r="Q138" s="11"/>
    </row>
    <row r="139" spans="1:17" x14ac:dyDescent="0.2">
      <c r="A139" s="2">
        <v>39569</v>
      </c>
      <c r="B139" s="15">
        <v>142166893</v>
      </c>
      <c r="C139" s="15">
        <v>3110003</v>
      </c>
      <c r="D139" s="15"/>
      <c r="E139" s="15">
        <f t="shared" si="6"/>
        <v>145276896</v>
      </c>
      <c r="F139" s="211">
        <v>243.1</v>
      </c>
      <c r="G139" s="211">
        <v>0.7</v>
      </c>
      <c r="H139" s="34">
        <v>138.46317586658083</v>
      </c>
      <c r="I139" s="7">
        <v>31</v>
      </c>
      <c r="J139" s="7">
        <v>1</v>
      </c>
      <c r="K139" s="15">
        <f>+'CDM Activity'!F81</f>
        <v>2181826.5867640707</v>
      </c>
      <c r="L139" s="22">
        <v>336</v>
      </c>
      <c r="M139" s="210">
        <v>648.79999999999995</v>
      </c>
      <c r="N139" s="210">
        <v>39.216967126193026</v>
      </c>
      <c r="O139" s="7">
        <f t="shared" si="7"/>
        <v>154040836.95991302</v>
      </c>
      <c r="P139" s="7"/>
      <c r="Q139" s="11"/>
    </row>
    <row r="140" spans="1:17" x14ac:dyDescent="0.2">
      <c r="A140" s="2">
        <v>39600</v>
      </c>
      <c r="B140" s="15">
        <v>156219057</v>
      </c>
      <c r="C140" s="15">
        <v>3095141</v>
      </c>
      <c r="D140" s="15"/>
      <c r="E140" s="15">
        <f t="shared" si="6"/>
        <v>159314198</v>
      </c>
      <c r="F140" s="211">
        <v>40.6</v>
      </c>
      <c r="G140" s="211">
        <v>53</v>
      </c>
      <c r="H140" s="34">
        <v>138.69185905884657</v>
      </c>
      <c r="I140" s="7">
        <v>30</v>
      </c>
      <c r="J140" s="7">
        <v>0</v>
      </c>
      <c r="K140" s="15">
        <f>+'CDM Activity'!F82</f>
        <v>2230548.2757031787</v>
      </c>
      <c r="L140" s="22">
        <v>336</v>
      </c>
      <c r="M140" s="210">
        <v>656.8</v>
      </c>
      <c r="N140" s="210">
        <v>39.700530222693601</v>
      </c>
      <c r="O140" s="7">
        <f t="shared" si="7"/>
        <v>162459426.51160863</v>
      </c>
      <c r="P140" s="7"/>
      <c r="Q140" s="11"/>
    </row>
    <row r="141" spans="1:17" x14ac:dyDescent="0.2">
      <c r="A141" s="2">
        <v>39630</v>
      </c>
      <c r="B141" s="15">
        <v>169629769</v>
      </c>
      <c r="C141" s="15">
        <v>2782598</v>
      </c>
      <c r="D141" s="15">
        <v>-1203276.9750999999</v>
      </c>
      <c r="E141" s="15">
        <f t="shared" si="6"/>
        <v>171209090.02489999</v>
      </c>
      <c r="F141" s="211">
        <v>7.6</v>
      </c>
      <c r="G141" s="211">
        <v>75.8</v>
      </c>
      <c r="H141" s="34">
        <v>138.92091993999671</v>
      </c>
      <c r="I141" s="7">
        <v>31</v>
      </c>
      <c r="J141" s="7">
        <v>0</v>
      </c>
      <c r="K141" s="15">
        <f>+'CDM Activity'!F83</f>
        <v>2279269.9646422868</v>
      </c>
      <c r="L141" s="22">
        <v>352</v>
      </c>
      <c r="M141" s="210">
        <v>663.6</v>
      </c>
      <c r="N141" s="210">
        <v>40.111558854718965</v>
      </c>
      <c r="O141" s="7">
        <f t="shared" si="7"/>
        <v>172972071.50269645</v>
      </c>
      <c r="P141" s="7"/>
      <c r="Q141" s="11"/>
    </row>
    <row r="142" spans="1:17" x14ac:dyDescent="0.2">
      <c r="A142" s="2">
        <v>39661</v>
      </c>
      <c r="B142" s="15">
        <v>158690251</v>
      </c>
      <c r="C142" s="15">
        <v>3356512</v>
      </c>
      <c r="D142" s="15">
        <v>16174</v>
      </c>
      <c r="E142" s="15">
        <f t="shared" si="6"/>
        <v>162062937</v>
      </c>
      <c r="F142" s="211">
        <v>36.200000000000003</v>
      </c>
      <c r="G142" s="211">
        <v>29.5</v>
      </c>
      <c r="H142" s="34">
        <v>139.15035913381516</v>
      </c>
      <c r="I142" s="7">
        <v>31</v>
      </c>
      <c r="J142" s="7">
        <v>0</v>
      </c>
      <c r="K142" s="15">
        <f>+'CDM Activity'!F84</f>
        <v>2327991.6535813948</v>
      </c>
      <c r="L142" s="22">
        <v>320</v>
      </c>
      <c r="M142" s="210">
        <v>666.6</v>
      </c>
      <c r="N142" s="210">
        <v>40.292895015906765</v>
      </c>
      <c r="O142" s="7">
        <f t="shared" si="7"/>
        <v>158024994.23482341</v>
      </c>
      <c r="P142" s="7"/>
      <c r="Q142" s="11"/>
    </row>
    <row r="143" spans="1:17" x14ac:dyDescent="0.2">
      <c r="A143" s="2">
        <v>39692</v>
      </c>
      <c r="B143" s="15">
        <v>149556677</v>
      </c>
      <c r="C143" s="15">
        <v>2790265</v>
      </c>
      <c r="D143" s="15">
        <v>-23841</v>
      </c>
      <c r="E143" s="15">
        <f t="shared" si="6"/>
        <v>152323101</v>
      </c>
      <c r="F143" s="211">
        <v>93.2</v>
      </c>
      <c r="G143" s="211">
        <v>12</v>
      </c>
      <c r="H143" s="34">
        <v>139.38017726511606</v>
      </c>
      <c r="I143" s="7">
        <v>30</v>
      </c>
      <c r="J143" s="7">
        <v>1</v>
      </c>
      <c r="K143" s="15">
        <f>+'CDM Activity'!F85</f>
        <v>2376713.3425205029</v>
      </c>
      <c r="L143" s="22">
        <v>336</v>
      </c>
      <c r="M143" s="210">
        <v>669.7</v>
      </c>
      <c r="N143" s="210">
        <v>40.480275715800644</v>
      </c>
      <c r="O143" s="7">
        <f t="shared" si="7"/>
        <v>148307282.75946513</v>
      </c>
      <c r="P143" s="7"/>
      <c r="Q143" s="11"/>
    </row>
    <row r="144" spans="1:17" x14ac:dyDescent="0.2">
      <c r="A144" s="2">
        <v>39722</v>
      </c>
      <c r="B144" s="15">
        <v>148160437</v>
      </c>
      <c r="C144" s="15">
        <v>3010161</v>
      </c>
      <c r="D144" s="15"/>
      <c r="E144" s="15">
        <f t="shared" si="6"/>
        <v>151170598</v>
      </c>
      <c r="F144" s="211">
        <v>325.7</v>
      </c>
      <c r="G144" s="211">
        <v>0</v>
      </c>
      <c r="H144" s="34">
        <v>139.61037495974546</v>
      </c>
      <c r="I144" s="7">
        <v>31</v>
      </c>
      <c r="J144" s="7">
        <v>1</v>
      </c>
      <c r="K144" s="15">
        <f>+'CDM Activity'!F86</f>
        <v>2425435.0314596109</v>
      </c>
      <c r="L144" s="22">
        <v>352</v>
      </c>
      <c r="M144" s="210">
        <v>673</v>
      </c>
      <c r="N144" s="210">
        <v>40.679745493107134</v>
      </c>
      <c r="O144" s="7">
        <f t="shared" si="7"/>
        <v>159356263.85164422</v>
      </c>
      <c r="P144" s="7"/>
      <c r="Q144" s="11"/>
    </row>
    <row r="145" spans="1:17" x14ac:dyDescent="0.2">
      <c r="A145" s="2">
        <v>39753</v>
      </c>
      <c r="B145" s="15">
        <v>154931359</v>
      </c>
      <c r="C145" s="15">
        <v>3370793</v>
      </c>
      <c r="D145" s="15"/>
      <c r="E145" s="15">
        <f t="shared" si="6"/>
        <v>158302152</v>
      </c>
      <c r="F145" s="211">
        <v>499.7</v>
      </c>
      <c r="G145" s="211">
        <v>0</v>
      </c>
      <c r="H145" s="34">
        <v>139.84095284458306</v>
      </c>
      <c r="I145" s="7">
        <v>30</v>
      </c>
      <c r="J145" s="7">
        <v>1</v>
      </c>
      <c r="K145" s="15">
        <f>+'CDM Activity'!F87</f>
        <v>2474156.720398719</v>
      </c>
      <c r="L145" s="22">
        <v>304</v>
      </c>
      <c r="M145" s="210">
        <v>676.9</v>
      </c>
      <c r="N145" s="210">
        <v>40.915482502651116</v>
      </c>
      <c r="O145" s="7">
        <f t="shared" si="7"/>
        <v>159459734.20607382</v>
      </c>
      <c r="P145" s="7"/>
    </row>
    <row r="146" spans="1:17" x14ac:dyDescent="0.2">
      <c r="A146" s="2">
        <v>39783</v>
      </c>
      <c r="B146" s="15">
        <v>171778131</v>
      </c>
      <c r="C146" s="15">
        <v>1995994</v>
      </c>
      <c r="D146" s="15">
        <v>-161434</v>
      </c>
      <c r="E146" s="15">
        <f t="shared" si="6"/>
        <v>173612691</v>
      </c>
      <c r="F146" s="211">
        <v>694</v>
      </c>
      <c r="G146" s="211">
        <v>0</v>
      </c>
      <c r="H146" s="34">
        <v>140.07191154754381</v>
      </c>
      <c r="I146" s="7">
        <v>31</v>
      </c>
      <c r="J146" s="7">
        <v>0</v>
      </c>
      <c r="K146" s="15">
        <f>+'CDM Activity'!F88</f>
        <v>2522878.409337827</v>
      </c>
      <c r="L146" s="22">
        <v>336</v>
      </c>
      <c r="M146" s="210">
        <v>673.6</v>
      </c>
      <c r="N146" s="210">
        <v>40.71601272534474</v>
      </c>
      <c r="O146" s="7">
        <f t="shared" si="7"/>
        <v>177843707.88577357</v>
      </c>
      <c r="P146" s="7"/>
    </row>
    <row r="147" spans="1:17" x14ac:dyDescent="0.2">
      <c r="A147" s="2">
        <v>39814</v>
      </c>
      <c r="B147" s="15">
        <v>176131307</v>
      </c>
      <c r="C147" s="15">
        <v>2752174.2780000004</v>
      </c>
      <c r="D147" s="15"/>
      <c r="E147" s="15">
        <f t="shared" si="6"/>
        <v>178883481.278</v>
      </c>
      <c r="F147" s="212">
        <v>891.79999999999984</v>
      </c>
      <c r="G147" s="212">
        <v>0</v>
      </c>
      <c r="H147" s="33">
        <v>139.96642175819056</v>
      </c>
      <c r="I147" s="7">
        <v>31</v>
      </c>
      <c r="J147" s="7">
        <v>0</v>
      </c>
      <c r="K147" s="15">
        <f>+'CDM Activity'!F89</f>
        <v>2604685.7680061241</v>
      </c>
      <c r="L147" s="22">
        <v>336</v>
      </c>
      <c r="M147" s="210">
        <v>662.3</v>
      </c>
      <c r="N147" s="210">
        <v>65.50219780219777</v>
      </c>
      <c r="O147" s="7">
        <f t="shared" si="7"/>
        <v>181377063.15520439</v>
      </c>
      <c r="P147" s="7"/>
    </row>
    <row r="148" spans="1:17" x14ac:dyDescent="0.2">
      <c r="A148" s="2">
        <v>39845</v>
      </c>
      <c r="B148" s="15">
        <v>151717789</v>
      </c>
      <c r="C148" s="15">
        <v>2657507.2090000003</v>
      </c>
      <c r="D148" s="15"/>
      <c r="E148" s="15">
        <f t="shared" si="6"/>
        <v>154375296.20899999</v>
      </c>
      <c r="F148" s="212">
        <v>649.59999999999991</v>
      </c>
      <c r="G148" s="212">
        <v>0</v>
      </c>
      <c r="H148" s="33">
        <v>139.86101141442734</v>
      </c>
      <c r="I148" s="7">
        <v>29</v>
      </c>
      <c r="J148" s="7">
        <v>0</v>
      </c>
      <c r="K148" s="15">
        <f>+'CDM Activity'!F90</f>
        <v>2686493.1266744211</v>
      </c>
      <c r="L148" s="22">
        <v>304</v>
      </c>
      <c r="M148" s="210">
        <v>649.29999999999995</v>
      </c>
      <c r="N148" s="210">
        <v>64.216483516483436</v>
      </c>
      <c r="O148" s="7">
        <f t="shared" si="7"/>
        <v>160477493.04464811</v>
      </c>
      <c r="P148" s="7"/>
    </row>
    <row r="149" spans="1:17" x14ac:dyDescent="0.2">
      <c r="A149" s="2">
        <v>39873</v>
      </c>
      <c r="B149" s="15">
        <v>156553861</v>
      </c>
      <c r="C149" s="15">
        <v>3105511.9549999982</v>
      </c>
      <c r="D149" s="15"/>
      <c r="E149" s="15">
        <f t="shared" si="6"/>
        <v>159659372.95499998</v>
      </c>
      <c r="F149" s="212">
        <v>562.6</v>
      </c>
      <c r="G149" s="212">
        <v>0</v>
      </c>
      <c r="H149" s="33">
        <v>139.75568045642274</v>
      </c>
      <c r="I149" s="7">
        <v>31</v>
      </c>
      <c r="J149" s="7">
        <v>1</v>
      </c>
      <c r="K149" s="15">
        <f>+'CDM Activity'!F91</f>
        <v>2768300.4853427182</v>
      </c>
      <c r="L149" s="22">
        <v>352</v>
      </c>
      <c r="M149" s="210">
        <v>636.29999999999995</v>
      </c>
      <c r="N149" s="210">
        <v>62.930769230769215</v>
      </c>
      <c r="O149" s="7">
        <f t="shared" si="7"/>
        <v>162010262.66670027</v>
      </c>
      <c r="P149" s="7"/>
    </row>
    <row r="150" spans="1:17" x14ac:dyDescent="0.2">
      <c r="A150" s="2">
        <v>39904</v>
      </c>
      <c r="B150" s="15">
        <v>138889187</v>
      </c>
      <c r="C150" s="15">
        <v>3087139.3560000001</v>
      </c>
      <c r="D150" s="15"/>
      <c r="E150" s="15">
        <f t="shared" si="6"/>
        <v>141976326.35600001</v>
      </c>
      <c r="F150" s="212">
        <v>341.50000000000006</v>
      </c>
      <c r="G150" s="212">
        <v>3.2</v>
      </c>
      <c r="H150" s="33">
        <v>139.65042882439042</v>
      </c>
      <c r="I150" s="7">
        <v>30</v>
      </c>
      <c r="J150" s="7">
        <v>1</v>
      </c>
      <c r="K150" s="15">
        <f>+'CDM Activity'!F92</f>
        <v>2850107.8440110153</v>
      </c>
      <c r="L150" s="22">
        <v>320</v>
      </c>
      <c r="M150" s="210">
        <v>632.20000000000005</v>
      </c>
      <c r="N150" s="210">
        <v>62.525274725274699</v>
      </c>
      <c r="O150" s="7">
        <f t="shared" si="7"/>
        <v>147085246.80228019</v>
      </c>
      <c r="P150" s="7"/>
    </row>
    <row r="151" spans="1:17" x14ac:dyDescent="0.2">
      <c r="A151" s="2">
        <v>39934</v>
      </c>
      <c r="B151" s="15">
        <v>134434411</v>
      </c>
      <c r="C151" s="15">
        <v>3608620.7009999976</v>
      </c>
      <c r="D151" s="15"/>
      <c r="E151" s="15">
        <f t="shared" si="6"/>
        <v>138043031.70100001</v>
      </c>
      <c r="F151" s="212">
        <v>192.8</v>
      </c>
      <c r="G151" s="212">
        <v>2.2999999999999998</v>
      </c>
      <c r="H151" s="33">
        <v>139.54525645858905</v>
      </c>
      <c r="I151" s="7">
        <v>31</v>
      </c>
      <c r="J151" s="7">
        <v>1</v>
      </c>
      <c r="K151" s="15">
        <f>+'CDM Activity'!F93</f>
        <v>2931915.2026793123</v>
      </c>
      <c r="L151" s="22">
        <v>320</v>
      </c>
      <c r="M151" s="210">
        <v>631.70000000000005</v>
      </c>
      <c r="N151" s="210">
        <v>62.475824175824187</v>
      </c>
      <c r="O151" s="7">
        <f t="shared" si="7"/>
        <v>143840744.98297822</v>
      </c>
      <c r="P151" s="7"/>
    </row>
    <row r="152" spans="1:17" x14ac:dyDescent="0.2">
      <c r="A152" s="2">
        <v>39965</v>
      </c>
      <c r="B152" s="15">
        <v>142548339</v>
      </c>
      <c r="C152" s="15">
        <v>3449813.9200000013</v>
      </c>
      <c r="D152" s="15">
        <v>-1223655</v>
      </c>
      <c r="E152" s="15">
        <f t="shared" si="6"/>
        <v>144774497.91999999</v>
      </c>
      <c r="F152" s="212">
        <v>75.7</v>
      </c>
      <c r="G152" s="212">
        <v>26.200000000000006</v>
      </c>
      <c r="H152" s="33">
        <v>139.44016329932234</v>
      </c>
      <c r="I152" s="7">
        <v>30</v>
      </c>
      <c r="J152" s="7">
        <v>0</v>
      </c>
      <c r="K152" s="15">
        <f>+'CDM Activity'!F94</f>
        <v>3013722.5613476094</v>
      </c>
      <c r="L152" s="22">
        <v>352</v>
      </c>
      <c r="M152" s="210">
        <v>642.70000000000005</v>
      </c>
      <c r="N152" s="210">
        <v>63.563736263736246</v>
      </c>
      <c r="O152" s="7">
        <f t="shared" si="7"/>
        <v>149805796.13319573</v>
      </c>
      <c r="P152" s="7"/>
    </row>
    <row r="153" spans="1:17" x14ac:dyDescent="0.2">
      <c r="A153" s="2">
        <v>39995</v>
      </c>
      <c r="B153" s="15">
        <v>143270941</v>
      </c>
      <c r="C153" s="15">
        <v>3581027.7439999986</v>
      </c>
      <c r="D153" s="15"/>
      <c r="E153" s="15">
        <f t="shared" si="6"/>
        <v>146851968.74399999</v>
      </c>
      <c r="F153" s="212">
        <v>37.599999999999987</v>
      </c>
      <c r="G153" s="212">
        <v>14.5</v>
      </c>
      <c r="H153" s="33">
        <v>139.3351492869389</v>
      </c>
      <c r="I153" s="7">
        <v>31</v>
      </c>
      <c r="J153" s="7">
        <v>0</v>
      </c>
      <c r="K153" s="15">
        <f>+'CDM Activity'!F95</f>
        <v>3095529.9200159064</v>
      </c>
      <c r="L153" s="22">
        <v>352</v>
      </c>
      <c r="M153" s="210">
        <v>650</v>
      </c>
      <c r="N153" s="210">
        <v>64.285714285714221</v>
      </c>
      <c r="O153" s="7">
        <f t="shared" si="7"/>
        <v>148453000.7609992</v>
      </c>
      <c r="P153" s="7"/>
    </row>
    <row r="154" spans="1:17" x14ac:dyDescent="0.2">
      <c r="A154" s="2">
        <v>40026</v>
      </c>
      <c r="B154" s="15">
        <v>157674451</v>
      </c>
      <c r="C154" s="15">
        <v>3670056.7679999997</v>
      </c>
      <c r="D154" s="15"/>
      <c r="E154" s="15">
        <f t="shared" si="6"/>
        <v>161344507.76800001</v>
      </c>
      <c r="F154" s="212">
        <v>34.4</v>
      </c>
      <c r="G154" s="212">
        <v>57.3</v>
      </c>
      <c r="H154" s="33">
        <v>139.23021436183228</v>
      </c>
      <c r="I154" s="7">
        <v>31</v>
      </c>
      <c r="J154" s="7">
        <v>0</v>
      </c>
      <c r="K154" s="15">
        <f>+'CDM Activity'!F96</f>
        <v>3177337.2786842035</v>
      </c>
      <c r="L154" s="22">
        <v>320</v>
      </c>
      <c r="M154" s="210">
        <v>655.29999999999995</v>
      </c>
      <c r="N154" s="210">
        <v>64.809890109890034</v>
      </c>
      <c r="O154" s="7">
        <f t="shared" si="7"/>
        <v>158560001.93547899</v>
      </c>
      <c r="P154" s="7"/>
    </row>
    <row r="155" spans="1:17" x14ac:dyDescent="0.2">
      <c r="A155" s="2">
        <v>40057</v>
      </c>
      <c r="B155" s="15">
        <v>140458615</v>
      </c>
      <c r="C155" s="15">
        <v>3469951.5199999986</v>
      </c>
      <c r="D155" s="15"/>
      <c r="E155" s="15">
        <f t="shared" si="6"/>
        <v>143928566.52000001</v>
      </c>
      <c r="F155" s="212">
        <v>88.8</v>
      </c>
      <c r="G155" s="212">
        <v>5.5</v>
      </c>
      <c r="H155" s="33">
        <v>139.12535846444095</v>
      </c>
      <c r="I155" s="7">
        <v>30</v>
      </c>
      <c r="J155" s="7">
        <v>1</v>
      </c>
      <c r="K155" s="15">
        <f>+'CDM Activity'!F97</f>
        <v>3259144.6373525006</v>
      </c>
      <c r="L155" s="22">
        <v>336</v>
      </c>
      <c r="M155" s="210">
        <v>654.9</v>
      </c>
      <c r="N155" s="210">
        <v>64.770329670329602</v>
      </c>
      <c r="O155" s="7">
        <f t="shared" si="7"/>
        <v>138142254.89433983</v>
      </c>
      <c r="P155" s="7"/>
    </row>
    <row r="156" spans="1:17" x14ac:dyDescent="0.2">
      <c r="A156" s="2">
        <v>40087</v>
      </c>
      <c r="B156" s="15">
        <v>145285176</v>
      </c>
      <c r="C156" s="15">
        <v>3644537.568</v>
      </c>
      <c r="D156" s="15"/>
      <c r="E156" s="15">
        <f t="shared" si="6"/>
        <v>148929713.56799999</v>
      </c>
      <c r="F156" s="212">
        <v>329.1</v>
      </c>
      <c r="G156" s="212">
        <v>0</v>
      </c>
      <c r="H156" s="33">
        <v>139.02058153524823</v>
      </c>
      <c r="I156" s="7">
        <v>31</v>
      </c>
      <c r="J156" s="7">
        <v>1</v>
      </c>
      <c r="K156" s="15">
        <f>+'CDM Activity'!F98</f>
        <v>3340951.9960207976</v>
      </c>
      <c r="L156" s="22">
        <v>336</v>
      </c>
      <c r="M156" s="210">
        <v>656.6</v>
      </c>
      <c r="N156" s="210">
        <v>64.938461538461524</v>
      </c>
      <c r="O156" s="7">
        <f t="shared" si="7"/>
        <v>149923723.58778989</v>
      </c>
      <c r="P156" s="7"/>
      <c r="Q156" s="22"/>
    </row>
    <row r="157" spans="1:17" x14ac:dyDescent="0.2">
      <c r="A157" s="2">
        <v>40118</v>
      </c>
      <c r="B157" s="15">
        <v>145607812</v>
      </c>
      <c r="C157" s="15">
        <v>3579715.3279999983</v>
      </c>
      <c r="D157" s="15"/>
      <c r="E157" s="15">
        <f t="shared" si="6"/>
        <v>149187527.32800001</v>
      </c>
      <c r="F157" s="212">
        <v>396.49999999999994</v>
      </c>
      <c r="G157" s="212">
        <v>0</v>
      </c>
      <c r="H157" s="33">
        <v>138.91588351478222</v>
      </c>
      <c r="I157" s="7">
        <v>30</v>
      </c>
      <c r="J157" s="7">
        <v>1</v>
      </c>
      <c r="K157" s="15">
        <f>+'CDM Activity'!F99</f>
        <v>3422759.3546890947</v>
      </c>
      <c r="L157" s="22">
        <v>320</v>
      </c>
      <c r="M157" s="210">
        <v>654.79999999999995</v>
      </c>
      <c r="N157" s="210">
        <v>64.760439560439522</v>
      </c>
      <c r="O157" s="7">
        <f t="shared" si="7"/>
        <v>147470770.40952781</v>
      </c>
      <c r="P157" s="7"/>
    </row>
    <row r="158" spans="1:17" x14ac:dyDescent="0.2">
      <c r="A158" s="2">
        <v>40148</v>
      </c>
      <c r="B158" s="15">
        <v>166545329</v>
      </c>
      <c r="C158" s="15">
        <v>3572913.1519999993</v>
      </c>
      <c r="D158" s="15">
        <v>-939411</v>
      </c>
      <c r="E158" s="15">
        <f t="shared" si="6"/>
        <v>169178831.15200001</v>
      </c>
      <c r="F158" s="212">
        <v>669.49999999999977</v>
      </c>
      <c r="G158" s="212">
        <v>0</v>
      </c>
      <c r="H158" s="33">
        <v>138.8112643436159</v>
      </c>
      <c r="I158" s="7">
        <v>31</v>
      </c>
      <c r="J158" s="7">
        <v>0</v>
      </c>
      <c r="K158" s="15">
        <f>+'CDM Activity'!F100</f>
        <v>3504566.7133573918</v>
      </c>
      <c r="L158" s="22">
        <v>352</v>
      </c>
      <c r="M158" s="210">
        <v>652.29999999999995</v>
      </c>
      <c r="N158" s="210">
        <v>64.513186813186735</v>
      </c>
      <c r="O158" s="7">
        <f t="shared" si="7"/>
        <v>169028232.10813761</v>
      </c>
      <c r="P158" s="7"/>
    </row>
    <row r="159" spans="1:17" x14ac:dyDescent="0.2">
      <c r="A159" s="2">
        <v>40179</v>
      </c>
      <c r="B159" s="15">
        <v>171587069</v>
      </c>
      <c r="C159" s="15">
        <v>3440699.0965570002</v>
      </c>
      <c r="D159" s="15"/>
      <c r="E159" s="15">
        <f t="shared" si="6"/>
        <v>175027768.09655699</v>
      </c>
      <c r="F159" s="212">
        <v>751.94999999999982</v>
      </c>
      <c r="G159" s="212">
        <v>0</v>
      </c>
      <c r="H159" s="33">
        <v>138.43555825854429</v>
      </c>
      <c r="I159" s="7">
        <v>31</v>
      </c>
      <c r="J159" s="7">
        <v>0</v>
      </c>
      <c r="K159" s="15">
        <f>+'CDM Activity'!F101</f>
        <v>3473653.8619696586</v>
      </c>
      <c r="L159" s="22">
        <v>320</v>
      </c>
      <c r="M159" s="210">
        <v>646</v>
      </c>
      <c r="N159" s="210">
        <v>57.703703703703695</v>
      </c>
      <c r="O159" s="7">
        <f t="shared" si="7"/>
        <v>170587047.60868302</v>
      </c>
      <c r="P159" s="7"/>
    </row>
    <row r="160" spans="1:17" x14ac:dyDescent="0.2">
      <c r="A160" s="2">
        <v>40210</v>
      </c>
      <c r="B160" s="15">
        <v>152386226</v>
      </c>
      <c r="C160" s="15">
        <v>2736448.8684920003</v>
      </c>
      <c r="D160" s="15"/>
      <c r="E160" s="15">
        <f t="shared" si="6"/>
        <v>155122674.86849201</v>
      </c>
      <c r="F160" s="212">
        <v>644.6999999999997</v>
      </c>
      <c r="G160" s="212">
        <v>0</v>
      </c>
      <c r="H160" s="33">
        <v>138.06086905825526</v>
      </c>
      <c r="I160" s="7">
        <v>28</v>
      </c>
      <c r="J160" s="7">
        <v>0</v>
      </c>
      <c r="K160" s="15">
        <f>+'CDM Activity'!F102</f>
        <v>3442741.0105819255</v>
      </c>
      <c r="L160" s="22">
        <v>304</v>
      </c>
      <c r="M160" s="210">
        <v>642.29999999999995</v>
      </c>
      <c r="N160" s="210">
        <v>57.373202614379011</v>
      </c>
      <c r="O160" s="7">
        <f t="shared" si="7"/>
        <v>153904560.65102631</v>
      </c>
      <c r="P160" s="7"/>
      <c r="Q160" s="48"/>
    </row>
    <row r="161" spans="1:16" x14ac:dyDescent="0.2">
      <c r="A161" s="2">
        <v>40238</v>
      </c>
      <c r="B161" s="15">
        <v>152881624</v>
      </c>
      <c r="C161" s="15">
        <v>3076979.7117539998</v>
      </c>
      <c r="D161" s="15"/>
      <c r="E161" s="15">
        <f t="shared" si="6"/>
        <v>155958603.71175399</v>
      </c>
      <c r="F161" s="212">
        <v>470.90000000000003</v>
      </c>
      <c r="G161" s="212">
        <v>0</v>
      </c>
      <c r="H161" s="33">
        <v>137.68719399045199</v>
      </c>
      <c r="I161" s="7">
        <v>31</v>
      </c>
      <c r="J161" s="7">
        <v>1</v>
      </c>
      <c r="K161" s="15">
        <f>+'CDM Activity'!F103</f>
        <v>3411828.1591941924</v>
      </c>
      <c r="L161" s="22">
        <v>368</v>
      </c>
      <c r="M161" s="210">
        <v>639.5</v>
      </c>
      <c r="N161" s="210">
        <v>57.123093681917226</v>
      </c>
      <c r="O161" s="7">
        <f t="shared" si="7"/>
        <v>157646323.68856096</v>
      </c>
      <c r="P161" s="7"/>
    </row>
    <row r="162" spans="1:16" x14ac:dyDescent="0.2">
      <c r="A162" s="2">
        <v>40269</v>
      </c>
      <c r="B162" s="15">
        <v>134783810</v>
      </c>
      <c r="C162" s="15">
        <v>3474388.0156240002</v>
      </c>
      <c r="D162" s="15"/>
      <c r="E162" s="15">
        <f t="shared" si="6"/>
        <v>138258198.01562399</v>
      </c>
      <c r="F162" s="212">
        <v>265.95</v>
      </c>
      <c r="G162" s="212">
        <v>0</v>
      </c>
      <c r="H162" s="33">
        <v>137.31453031028698</v>
      </c>
      <c r="I162" s="7">
        <v>30</v>
      </c>
      <c r="J162" s="7">
        <v>1</v>
      </c>
      <c r="K162" s="15">
        <f>+'CDM Activity'!F104</f>
        <v>3380915.3078064593</v>
      </c>
      <c r="L162" s="22">
        <v>336</v>
      </c>
      <c r="M162" s="210">
        <v>643.79999999999995</v>
      </c>
      <c r="N162" s="210">
        <v>57.507189542483616</v>
      </c>
      <c r="O162" s="7">
        <f t="shared" si="7"/>
        <v>143357312.07124081</v>
      </c>
      <c r="P162" s="7"/>
    </row>
    <row r="163" spans="1:16" x14ac:dyDescent="0.2">
      <c r="A163" s="2">
        <v>40299</v>
      </c>
      <c r="B163" s="15">
        <v>147558538</v>
      </c>
      <c r="C163" s="15">
        <v>3554303.74981</v>
      </c>
      <c r="D163" s="15"/>
      <c r="E163" s="15">
        <f t="shared" ref="E163:E194" si="8">SUM(B163:D163)</f>
        <v>151112841.74981001</v>
      </c>
      <c r="F163" s="212">
        <v>144.69999999999999</v>
      </c>
      <c r="G163" s="212">
        <v>21</v>
      </c>
      <c r="H163" s="33">
        <v>136.94287528034204</v>
      </c>
      <c r="I163" s="7">
        <v>31</v>
      </c>
      <c r="J163" s="7">
        <v>1</v>
      </c>
      <c r="K163" s="15">
        <f>+'CDM Activity'!F105</f>
        <v>3350002.4564187261</v>
      </c>
      <c r="L163" s="22">
        <v>320</v>
      </c>
      <c r="M163" s="210">
        <v>653.4</v>
      </c>
      <c r="N163" s="210">
        <v>58.364705882352951</v>
      </c>
      <c r="O163" s="7">
        <f t="shared" si="7"/>
        <v>147556121.58211699</v>
      </c>
      <c r="P163" s="7"/>
    </row>
    <row r="164" spans="1:16" x14ac:dyDescent="0.2">
      <c r="A164" s="2">
        <v>40330</v>
      </c>
      <c r="B164" s="15">
        <v>152085417</v>
      </c>
      <c r="C164" s="15">
        <v>3365360.0580799999</v>
      </c>
      <c r="D164" s="15">
        <v>-1969804</v>
      </c>
      <c r="E164" s="15">
        <f t="shared" si="8"/>
        <v>153480973.05807999</v>
      </c>
      <c r="F164" s="212">
        <v>37.849999999999994</v>
      </c>
      <c r="G164" s="212">
        <v>30.850000000000005</v>
      </c>
      <c r="H164" s="33">
        <v>136.57222617060793</v>
      </c>
      <c r="I164" s="7">
        <v>30</v>
      </c>
      <c r="J164" s="7">
        <v>0</v>
      </c>
      <c r="K164" s="15">
        <f>+'CDM Activity'!F106</f>
        <v>3319089.605030993</v>
      </c>
      <c r="L164" s="22">
        <v>352</v>
      </c>
      <c r="M164" s="210">
        <v>668.5</v>
      </c>
      <c r="N164" s="210">
        <v>59.713507625272314</v>
      </c>
      <c r="O164" s="7">
        <f t="shared" si="7"/>
        <v>150444201.75891888</v>
      </c>
      <c r="P164" s="7"/>
    </row>
    <row r="165" spans="1:16" x14ac:dyDescent="0.2">
      <c r="A165" s="2">
        <v>40360</v>
      </c>
      <c r="B165" s="15">
        <v>173774673</v>
      </c>
      <c r="C165" s="15">
        <v>3414396.3318975</v>
      </c>
      <c r="D165" s="15"/>
      <c r="E165" s="15">
        <f t="shared" si="8"/>
        <v>177189069.3318975</v>
      </c>
      <c r="F165" s="212">
        <v>6.7</v>
      </c>
      <c r="G165" s="212">
        <v>106.09999999999998</v>
      </c>
      <c r="H165" s="33">
        <v>136.20258025846454</v>
      </c>
      <c r="I165" s="7">
        <v>31</v>
      </c>
      <c r="J165" s="7">
        <v>0</v>
      </c>
      <c r="K165" s="15">
        <f>+'CDM Activity'!F107</f>
        <v>3288176.7536432599</v>
      </c>
      <c r="L165" s="22">
        <v>336</v>
      </c>
      <c r="M165" s="210">
        <v>680.1</v>
      </c>
      <c r="N165" s="210">
        <v>60.749673202614304</v>
      </c>
      <c r="O165" s="7">
        <f t="shared" si="7"/>
        <v>174632822.15863314</v>
      </c>
      <c r="P165" s="7"/>
    </row>
    <row r="166" spans="1:16" x14ac:dyDescent="0.2">
      <c r="A166" s="2">
        <v>40391</v>
      </c>
      <c r="B166" s="15">
        <v>169918494</v>
      </c>
      <c r="C166" s="15">
        <v>3110959.2239949997</v>
      </c>
      <c r="D166" s="15"/>
      <c r="E166" s="15">
        <f t="shared" si="8"/>
        <v>173029453.223995</v>
      </c>
      <c r="F166" s="212">
        <v>11.5</v>
      </c>
      <c r="G166" s="212">
        <v>83.600000000000023</v>
      </c>
      <c r="H166" s="33">
        <v>135.83393482866074</v>
      </c>
      <c r="I166" s="7">
        <v>31</v>
      </c>
      <c r="J166" s="7">
        <v>0</v>
      </c>
      <c r="K166" s="15">
        <f>+'CDM Activity'!F108</f>
        <v>3257263.9022555267</v>
      </c>
      <c r="L166" s="22">
        <v>336</v>
      </c>
      <c r="M166" s="210">
        <v>683.1</v>
      </c>
      <c r="N166" s="210">
        <v>61.017647058823513</v>
      </c>
      <c r="O166" s="7">
        <f t="shared" si="7"/>
        <v>168403131.96202731</v>
      </c>
      <c r="P166" s="7"/>
    </row>
    <row r="167" spans="1:16" x14ac:dyDescent="0.2">
      <c r="A167" s="2">
        <v>40422</v>
      </c>
      <c r="B167" s="15">
        <v>141552978</v>
      </c>
      <c r="C167" s="15">
        <v>3139012.2670999998</v>
      </c>
      <c r="D167" s="15"/>
      <c r="E167" s="15">
        <f t="shared" si="8"/>
        <v>144691990.26710001</v>
      </c>
      <c r="F167" s="212">
        <v>122.70000000000002</v>
      </c>
      <c r="G167" s="212">
        <v>21.2</v>
      </c>
      <c r="H167" s="33">
        <v>135.46628717329455</v>
      </c>
      <c r="I167" s="7">
        <v>30</v>
      </c>
      <c r="J167" s="7">
        <v>1</v>
      </c>
      <c r="K167" s="15">
        <f>+'CDM Activity'!F109</f>
        <v>3226351.0508677936</v>
      </c>
      <c r="L167" s="22">
        <v>336</v>
      </c>
      <c r="M167" s="210">
        <v>677.1</v>
      </c>
      <c r="N167" s="210">
        <v>60.481699346405208</v>
      </c>
      <c r="O167" s="7">
        <f t="shared" si="7"/>
        <v>146034423.05748788</v>
      </c>
      <c r="P167" s="7"/>
    </row>
    <row r="168" spans="1:16" x14ac:dyDescent="0.2">
      <c r="A168" s="2">
        <v>40452</v>
      </c>
      <c r="B168" s="15">
        <v>141431853</v>
      </c>
      <c r="C168" s="15">
        <v>3513334.0384624996</v>
      </c>
      <c r="D168" s="15"/>
      <c r="E168" s="15">
        <f t="shared" si="8"/>
        <v>144945187.03846249</v>
      </c>
      <c r="F168" s="212">
        <v>285.04999999999995</v>
      </c>
      <c r="G168" s="212">
        <v>0</v>
      </c>
      <c r="H168" s="33">
        <v>135.09963459179312</v>
      </c>
      <c r="I168" s="7">
        <v>31</v>
      </c>
      <c r="J168" s="7">
        <v>1</v>
      </c>
      <c r="K168" s="15">
        <f>+'CDM Activity'!F110</f>
        <v>3195438.1994800605</v>
      </c>
      <c r="L168" s="22">
        <v>320</v>
      </c>
      <c r="M168" s="210">
        <v>670.2</v>
      </c>
      <c r="N168" s="210">
        <v>59.865359477124116</v>
      </c>
      <c r="O168" s="7">
        <f t="shared" si="7"/>
        <v>148536312.85526904</v>
      </c>
      <c r="P168" s="7"/>
    </row>
    <row r="169" spans="1:16" x14ac:dyDescent="0.2">
      <c r="A169" s="2">
        <v>40483</v>
      </c>
      <c r="B169" s="15">
        <v>149100645</v>
      </c>
      <c r="C169" s="15">
        <v>3312803.1056025</v>
      </c>
      <c r="D169" s="15"/>
      <c r="E169" s="15">
        <f t="shared" si="8"/>
        <v>152413448.1056025</v>
      </c>
      <c r="F169" s="212">
        <v>467.79999999999995</v>
      </c>
      <c r="G169" s="212">
        <v>0</v>
      </c>
      <c r="H169" s="33">
        <v>134.733974390893</v>
      </c>
      <c r="I169" s="7">
        <v>30</v>
      </c>
      <c r="J169" s="7">
        <v>1</v>
      </c>
      <c r="K169" s="15">
        <f>+'CDM Activity'!F111</f>
        <v>3164525.3480923274</v>
      </c>
      <c r="L169" s="22">
        <v>336</v>
      </c>
      <c r="M169" s="210">
        <v>668.1</v>
      </c>
      <c r="N169" s="210">
        <v>59.677777777777806</v>
      </c>
      <c r="O169" s="7">
        <f t="shared" si="7"/>
        <v>153727042.9060941</v>
      </c>
      <c r="P169" s="7"/>
    </row>
    <row r="170" spans="1:16" x14ac:dyDescent="0.2">
      <c r="A170" s="2">
        <v>40513</v>
      </c>
      <c r="B170" s="15">
        <v>169078607</v>
      </c>
      <c r="C170" s="15">
        <v>3230069.9819800002</v>
      </c>
      <c r="D170" s="15">
        <v>-905365</v>
      </c>
      <c r="E170" s="15">
        <f t="shared" si="8"/>
        <v>171403311.98198</v>
      </c>
      <c r="F170" s="212">
        <v>719.39999999999986</v>
      </c>
      <c r="G170" s="212">
        <v>0</v>
      </c>
      <c r="H170" s="33">
        <v>134.36930388462019</v>
      </c>
      <c r="I170" s="7">
        <v>31</v>
      </c>
      <c r="J170" s="7">
        <v>0</v>
      </c>
      <c r="K170" s="15">
        <f>+'CDM Activity'!F112</f>
        <v>3133612.4967045942</v>
      </c>
      <c r="L170" s="22">
        <v>368</v>
      </c>
      <c r="M170" s="210">
        <v>666.9</v>
      </c>
      <c r="N170" s="210">
        <v>59.570588235294053</v>
      </c>
      <c r="O170" s="7">
        <f t="shared" si="7"/>
        <v>174862554.87051675</v>
      </c>
      <c r="P170" s="7"/>
    </row>
    <row r="171" spans="1:16" x14ac:dyDescent="0.2">
      <c r="A171" s="2">
        <v>40544</v>
      </c>
      <c r="B171" s="15">
        <v>173480601</v>
      </c>
      <c r="C171" s="15">
        <v>2965559.5857774997</v>
      </c>
      <c r="D171" s="15"/>
      <c r="E171" s="15">
        <f t="shared" si="8"/>
        <v>176446160.58577749</v>
      </c>
      <c r="F171" s="212">
        <v>827.80000000000007</v>
      </c>
      <c r="G171" s="212">
        <v>0</v>
      </c>
      <c r="H171" s="33">
        <v>134.70069483711632</v>
      </c>
      <c r="I171" s="7">
        <v>31</v>
      </c>
      <c r="J171" s="7">
        <v>0</v>
      </c>
      <c r="K171" s="15">
        <f>+'CDM Activity'!F113</f>
        <v>3295846.3365230975</v>
      </c>
      <c r="L171" s="22">
        <v>336</v>
      </c>
      <c r="M171" s="210">
        <v>663.9</v>
      </c>
      <c r="N171" s="210">
        <v>51.509482758620607</v>
      </c>
      <c r="O171" s="7">
        <f t="shared" si="7"/>
        <v>177298182.53512076</v>
      </c>
      <c r="P171" s="7"/>
    </row>
    <row r="172" spans="1:16" x14ac:dyDescent="0.2">
      <c r="A172" s="2">
        <v>40575</v>
      </c>
      <c r="B172" s="15">
        <v>154641844</v>
      </c>
      <c r="C172" s="15">
        <v>2793475.1593449977</v>
      </c>
      <c r="D172" s="15"/>
      <c r="E172" s="15">
        <f t="shared" si="8"/>
        <v>157435319.159345</v>
      </c>
      <c r="F172" s="212">
        <v>681.6</v>
      </c>
      <c r="G172" s="212">
        <v>0</v>
      </c>
      <c r="H172" s="33">
        <v>135.03290308910141</v>
      </c>
      <c r="I172" s="7">
        <v>28</v>
      </c>
      <c r="J172" s="7">
        <v>0</v>
      </c>
      <c r="K172" s="15">
        <f>+'CDM Activity'!F114</f>
        <v>3458080.1763416007</v>
      </c>
      <c r="L172" s="22">
        <v>304</v>
      </c>
      <c r="M172" s="210">
        <v>666.1</v>
      </c>
      <c r="N172" s="210">
        <v>51.680172413793116</v>
      </c>
      <c r="O172" s="7">
        <f t="shared" si="7"/>
        <v>157499401.39650559</v>
      </c>
      <c r="P172" s="7"/>
    </row>
    <row r="173" spans="1:16" x14ac:dyDescent="0.2">
      <c r="A173" s="2">
        <v>40603</v>
      </c>
      <c r="B173" s="15">
        <v>161467012</v>
      </c>
      <c r="C173" s="15">
        <v>3394894.9241274977</v>
      </c>
      <c r="D173" s="15"/>
      <c r="E173" s="15">
        <f t="shared" si="8"/>
        <v>164861906.92412749</v>
      </c>
      <c r="F173" s="212">
        <v>622.65000000000009</v>
      </c>
      <c r="G173" s="212">
        <v>0</v>
      </c>
      <c r="H173" s="33">
        <v>135.36593065625647</v>
      </c>
      <c r="I173" s="7">
        <v>31</v>
      </c>
      <c r="J173" s="7">
        <v>1</v>
      </c>
      <c r="K173" s="15">
        <f>+'CDM Activity'!F115</f>
        <v>3620314.016160104</v>
      </c>
      <c r="L173" s="22">
        <v>368</v>
      </c>
      <c r="M173" s="210">
        <v>671.2</v>
      </c>
      <c r="N173" s="210">
        <v>52.075862068965534</v>
      </c>
      <c r="O173" s="7">
        <f t="shared" si="7"/>
        <v>165906417.94367927</v>
      </c>
      <c r="P173" s="7"/>
    </row>
    <row r="174" spans="1:16" x14ac:dyDescent="0.2">
      <c r="A174" s="2">
        <v>40634</v>
      </c>
      <c r="B174" s="15">
        <v>141723732</v>
      </c>
      <c r="C174" s="15">
        <v>3572358.6958000008</v>
      </c>
      <c r="D174" s="15"/>
      <c r="E174" s="15">
        <f t="shared" si="8"/>
        <v>145296090.69580001</v>
      </c>
      <c r="F174" s="212">
        <v>359.74999999999994</v>
      </c>
      <c r="G174" s="212">
        <v>0</v>
      </c>
      <c r="H174" s="33">
        <v>135.69977955923375</v>
      </c>
      <c r="I174" s="7">
        <v>30</v>
      </c>
      <c r="J174" s="7">
        <v>1</v>
      </c>
      <c r="K174" s="15">
        <f>+'CDM Activity'!F116</f>
        <v>3782547.8559786072</v>
      </c>
      <c r="L174" s="22">
        <v>320</v>
      </c>
      <c r="M174" s="210">
        <v>679.9</v>
      </c>
      <c r="N174" s="210">
        <v>52.750862068965489</v>
      </c>
      <c r="O174" s="7">
        <f t="shared" si="7"/>
        <v>147624614.45646149</v>
      </c>
      <c r="P174" s="7"/>
    </row>
    <row r="175" spans="1:16" x14ac:dyDescent="0.2">
      <c r="A175" s="2">
        <v>40664</v>
      </c>
      <c r="B175" s="15">
        <v>142626392</v>
      </c>
      <c r="C175" s="15">
        <v>3354992.120836508</v>
      </c>
      <c r="D175" s="15"/>
      <c r="E175" s="15">
        <f t="shared" si="8"/>
        <v>145981384.1208365</v>
      </c>
      <c r="F175" s="212">
        <v>152.19999999999996</v>
      </c>
      <c r="G175" s="212">
        <v>13.2</v>
      </c>
      <c r="H175" s="33">
        <v>136.03445182366895</v>
      </c>
      <c r="I175" s="7">
        <v>31</v>
      </c>
      <c r="J175" s="7">
        <v>1</v>
      </c>
      <c r="K175" s="15">
        <f>+'CDM Activity'!F117</f>
        <v>3944781.6957971104</v>
      </c>
      <c r="L175" s="22">
        <v>336</v>
      </c>
      <c r="M175" s="210">
        <v>685.8</v>
      </c>
      <c r="N175" s="210">
        <v>53.208620689655163</v>
      </c>
      <c r="O175" s="7">
        <f t="shared" si="7"/>
        <v>147496298.14234203</v>
      </c>
      <c r="P175" s="7"/>
    </row>
    <row r="176" spans="1:16" x14ac:dyDescent="0.2">
      <c r="A176" s="2">
        <v>40695</v>
      </c>
      <c r="B176" s="15">
        <v>148833888</v>
      </c>
      <c r="C176" s="15">
        <v>3642328.6759555563</v>
      </c>
      <c r="D176" s="15">
        <v>-1165064.8400000001</v>
      </c>
      <c r="E176" s="15">
        <f t="shared" si="8"/>
        <v>151311151.83595556</v>
      </c>
      <c r="F176" s="212">
        <v>48.500000000000007</v>
      </c>
      <c r="G176" s="212">
        <v>21.599999999999998</v>
      </c>
      <c r="H176" s="33">
        <v>136.36994948019355</v>
      </c>
      <c r="I176" s="7">
        <v>30</v>
      </c>
      <c r="J176" s="7">
        <v>0</v>
      </c>
      <c r="K176" s="15">
        <f>+'CDM Activity'!F118</f>
        <v>4107015.5356156137</v>
      </c>
      <c r="L176" s="22">
        <v>352</v>
      </c>
      <c r="M176" s="210">
        <v>697.1</v>
      </c>
      <c r="N176" s="210">
        <v>54.085344827586141</v>
      </c>
      <c r="O176" s="7">
        <f t="shared" si="7"/>
        <v>148008974.02610269</v>
      </c>
      <c r="P176" s="7"/>
    </row>
    <row r="177" spans="1:16" x14ac:dyDescent="0.2">
      <c r="A177" s="2">
        <v>40725</v>
      </c>
      <c r="B177" s="15">
        <v>178623729</v>
      </c>
      <c r="C177" s="15">
        <v>3661638.2110410053</v>
      </c>
      <c r="D177" s="15"/>
      <c r="E177" s="15">
        <f t="shared" si="8"/>
        <v>182285367.211041</v>
      </c>
      <c r="F177" s="212">
        <v>0.8</v>
      </c>
      <c r="G177" s="212">
        <v>130.79999999999998</v>
      </c>
      <c r="H177" s="33">
        <v>136.70627456444714</v>
      </c>
      <c r="I177" s="7">
        <v>31</v>
      </c>
      <c r="J177" s="7">
        <v>0</v>
      </c>
      <c r="K177" s="15">
        <f>+'CDM Activity'!F119</f>
        <v>4269249.3754341174</v>
      </c>
      <c r="L177" s="22">
        <v>320</v>
      </c>
      <c r="M177" s="210">
        <v>707.5</v>
      </c>
      <c r="N177" s="210">
        <v>54.892241379310349</v>
      </c>
      <c r="O177" s="7">
        <f t="shared" si="7"/>
        <v>179664621.44756284</v>
      </c>
      <c r="P177" s="7"/>
    </row>
    <row r="178" spans="1:16" x14ac:dyDescent="0.2">
      <c r="A178" s="2">
        <v>40756</v>
      </c>
      <c r="B178" s="15">
        <v>164128078</v>
      </c>
      <c r="C178" s="15">
        <v>3433252.5679899994</v>
      </c>
      <c r="D178" s="15"/>
      <c r="E178" s="15">
        <f t="shared" si="8"/>
        <v>167561330.56799001</v>
      </c>
      <c r="F178" s="212">
        <v>6.8999999999999995</v>
      </c>
      <c r="G178" s="212">
        <v>63.599999999999994</v>
      </c>
      <c r="H178" s="33">
        <v>137.04342911708969</v>
      </c>
      <c r="I178" s="7">
        <v>31</v>
      </c>
      <c r="J178" s="7">
        <v>0</v>
      </c>
      <c r="K178" s="15">
        <f>+'CDM Activity'!F120</f>
        <v>4431483.2152526211</v>
      </c>
      <c r="L178" s="22">
        <v>352</v>
      </c>
      <c r="M178" s="210">
        <v>708.3</v>
      </c>
      <c r="N178" s="210">
        <v>54.954310344827491</v>
      </c>
      <c r="O178" s="7">
        <f t="shared" si="7"/>
        <v>161902774.90520316</v>
      </c>
      <c r="P178" s="7"/>
    </row>
    <row r="179" spans="1:16" x14ac:dyDescent="0.2">
      <c r="A179" s="2">
        <v>40787</v>
      </c>
      <c r="B179" s="15">
        <v>143183425</v>
      </c>
      <c r="C179" s="15">
        <v>2920175.9841380017</v>
      </c>
      <c r="D179" s="15"/>
      <c r="E179" s="15">
        <f t="shared" si="8"/>
        <v>146103600.98413801</v>
      </c>
      <c r="F179" s="212">
        <v>97.65</v>
      </c>
      <c r="G179" s="212">
        <v>20.25</v>
      </c>
      <c r="H179" s="33">
        <v>137.381415183814</v>
      </c>
      <c r="I179" s="7">
        <v>30</v>
      </c>
      <c r="J179" s="7">
        <v>1</v>
      </c>
      <c r="K179" s="15">
        <f>+'CDM Activity'!F121</f>
        <v>4593717.0550711248</v>
      </c>
      <c r="L179" s="22">
        <v>336</v>
      </c>
      <c r="M179" s="210">
        <v>700.8</v>
      </c>
      <c r="N179" s="210">
        <v>54.372413793103419</v>
      </c>
      <c r="O179" s="7">
        <f t="shared" si="7"/>
        <v>142367458.45485967</v>
      </c>
      <c r="P179" s="7"/>
    </row>
    <row r="180" spans="1:16" x14ac:dyDescent="0.2">
      <c r="A180" s="2">
        <v>40817</v>
      </c>
      <c r="B180" s="15">
        <v>143618154</v>
      </c>
      <c r="C180" s="15">
        <v>3035258.2740300014</v>
      </c>
      <c r="D180" s="15"/>
      <c r="E180" s="15">
        <f t="shared" si="8"/>
        <v>146653412.27403</v>
      </c>
      <c r="F180" s="212">
        <v>279.89999999999998</v>
      </c>
      <c r="G180" s="212">
        <v>0</v>
      </c>
      <c r="H180" s="33">
        <v>137.72023481535814</v>
      </c>
      <c r="I180" s="7">
        <v>31</v>
      </c>
      <c r="J180" s="7">
        <v>1</v>
      </c>
      <c r="K180" s="15">
        <f>+'CDM Activity'!F122</f>
        <v>4755950.8948896285</v>
      </c>
      <c r="L180" s="22">
        <v>320</v>
      </c>
      <c r="M180" s="210">
        <v>693.6</v>
      </c>
      <c r="N180" s="210">
        <v>53.813793103448234</v>
      </c>
      <c r="O180" s="7">
        <f t="shared" si="7"/>
        <v>145317346.76887506</v>
      </c>
      <c r="P180" s="7"/>
    </row>
    <row r="181" spans="1:16" x14ac:dyDescent="0.2">
      <c r="A181" s="2">
        <v>40848</v>
      </c>
      <c r="B181" s="15">
        <v>146066573</v>
      </c>
      <c r="C181" s="15">
        <v>3082781.2485379982</v>
      </c>
      <c r="D181" s="15"/>
      <c r="E181" s="15">
        <f t="shared" si="8"/>
        <v>149149354.24853799</v>
      </c>
      <c r="F181" s="212">
        <v>382.4</v>
      </c>
      <c r="G181" s="212">
        <v>0</v>
      </c>
      <c r="H181" s="33">
        <v>138.05989006751781</v>
      </c>
      <c r="I181" s="7">
        <v>30</v>
      </c>
      <c r="J181" s="7">
        <v>1</v>
      </c>
      <c r="K181" s="15">
        <f>+'CDM Activity'!F123</f>
        <v>4918184.7347081322</v>
      </c>
      <c r="L181" s="22">
        <v>352</v>
      </c>
      <c r="M181" s="210">
        <v>690.2</v>
      </c>
      <c r="N181" s="210">
        <v>53.549999999999955</v>
      </c>
      <c r="O181" s="7">
        <f t="shared" si="7"/>
        <v>147657440.09092015</v>
      </c>
      <c r="P181" s="7"/>
    </row>
    <row r="182" spans="1:16" x14ac:dyDescent="0.2">
      <c r="A182" s="2">
        <v>40878</v>
      </c>
      <c r="B182" s="15">
        <v>159732793</v>
      </c>
      <c r="C182" s="15">
        <v>3298203.5998860006</v>
      </c>
      <c r="D182" s="15">
        <v>-918842.674</v>
      </c>
      <c r="E182" s="15">
        <f t="shared" si="8"/>
        <v>162112153.92588601</v>
      </c>
      <c r="F182" s="212">
        <v>574.79999999999995</v>
      </c>
      <c r="G182" s="212">
        <v>0</v>
      </c>
      <c r="H182" s="33">
        <v>138.40038300115881</v>
      </c>
      <c r="I182" s="7">
        <v>31</v>
      </c>
      <c r="J182" s="7">
        <v>0</v>
      </c>
      <c r="K182" s="15">
        <f>+'CDM Activity'!F124</f>
        <v>5080418.5745266359</v>
      </c>
      <c r="L182" s="22">
        <v>336</v>
      </c>
      <c r="M182" s="210">
        <v>690.4</v>
      </c>
      <c r="N182" s="210">
        <v>53.565517241379325</v>
      </c>
      <c r="O182" s="7">
        <f t="shared" si="7"/>
        <v>162097512.05552197</v>
      </c>
      <c r="P182" s="7"/>
    </row>
    <row r="183" spans="1:16" x14ac:dyDescent="0.2">
      <c r="A183" s="2">
        <v>40909</v>
      </c>
      <c r="B183" s="15">
        <v>167297863</v>
      </c>
      <c r="C183" s="15">
        <v>3308434.1100000017</v>
      </c>
      <c r="D183" s="15"/>
      <c r="E183" s="15">
        <f t="shared" si="8"/>
        <v>170606297.11000001</v>
      </c>
      <c r="F183" s="212">
        <v>657.30000000000007</v>
      </c>
      <c r="G183" s="212">
        <v>0</v>
      </c>
      <c r="H183" s="33">
        <v>138.640283295465</v>
      </c>
      <c r="I183" s="48">
        <v>31</v>
      </c>
      <c r="J183" s="7">
        <v>0</v>
      </c>
      <c r="K183" s="15">
        <f>+'CDM Activity'!F125</f>
        <v>5015206.6118118968</v>
      </c>
      <c r="L183" s="22">
        <v>336</v>
      </c>
      <c r="M183" s="210">
        <v>684.2</v>
      </c>
      <c r="N183" s="210">
        <v>48.348179871520415</v>
      </c>
      <c r="O183" s="7">
        <f t="shared" si="7"/>
        <v>166119375.5647043</v>
      </c>
      <c r="P183" s="7"/>
    </row>
    <row r="184" spans="1:16" x14ac:dyDescent="0.2">
      <c r="A184" s="2">
        <v>40940</v>
      </c>
      <c r="B184" s="15">
        <v>151749261</v>
      </c>
      <c r="C184" s="15">
        <v>3069258.7779999999</v>
      </c>
      <c r="D184" s="15"/>
      <c r="E184" s="15">
        <f t="shared" si="8"/>
        <v>154818519.778</v>
      </c>
      <c r="F184" s="212">
        <v>573</v>
      </c>
      <c r="G184" s="212">
        <v>0</v>
      </c>
      <c r="H184" s="33">
        <v>138.88059942786325</v>
      </c>
      <c r="I184" s="48">
        <v>29</v>
      </c>
      <c r="J184" s="7">
        <v>0</v>
      </c>
      <c r="K184" s="15">
        <f>+'CDM Activity'!F126</f>
        <v>4949994.6490971576</v>
      </c>
      <c r="L184" s="22">
        <v>320</v>
      </c>
      <c r="M184" s="210">
        <v>682.8</v>
      </c>
      <c r="N184" s="210">
        <v>48.249250535331953</v>
      </c>
      <c r="O184" s="7">
        <f t="shared" si="7"/>
        <v>154369185.6420652</v>
      </c>
      <c r="P184" s="7"/>
    </row>
    <row r="185" spans="1:16" x14ac:dyDescent="0.2">
      <c r="A185" s="2">
        <v>40969</v>
      </c>
      <c r="B185" s="15">
        <v>149081825</v>
      </c>
      <c r="C185" s="15">
        <v>3440660.2576700007</v>
      </c>
      <c r="D185" s="15"/>
      <c r="E185" s="15">
        <f t="shared" si="8"/>
        <v>152522485.25767002</v>
      </c>
      <c r="F185" s="212">
        <v>370.1</v>
      </c>
      <c r="G185" s="212">
        <v>0</v>
      </c>
      <c r="H185" s="33">
        <v>139.12133211915852</v>
      </c>
      <c r="I185" s="48">
        <v>31</v>
      </c>
      <c r="J185" s="7">
        <v>1</v>
      </c>
      <c r="K185" s="15">
        <f>+'CDM Activity'!F127</f>
        <v>4884782.6863824185</v>
      </c>
      <c r="L185" s="22">
        <v>352</v>
      </c>
      <c r="M185" s="210">
        <v>680.8</v>
      </c>
      <c r="N185" s="210">
        <v>48.107922912205595</v>
      </c>
      <c r="O185" s="7">
        <f t="shared" si="7"/>
        <v>151120474.80766872</v>
      </c>
      <c r="P185" s="7"/>
    </row>
    <row r="186" spans="1:16" x14ac:dyDescent="0.2">
      <c r="A186" s="2">
        <v>41000</v>
      </c>
      <c r="B186" s="15">
        <v>137212331</v>
      </c>
      <c r="C186" s="15">
        <v>3210685.0791919986</v>
      </c>
      <c r="D186" s="15"/>
      <c r="E186" s="15">
        <f t="shared" si="8"/>
        <v>140423016.07919201</v>
      </c>
      <c r="F186" s="212">
        <v>365.3</v>
      </c>
      <c r="G186" s="212">
        <v>0</v>
      </c>
      <c r="H186" s="33">
        <v>139.36248209140518</v>
      </c>
      <c r="I186" s="48">
        <v>30</v>
      </c>
      <c r="J186" s="7">
        <v>1</v>
      </c>
      <c r="K186" s="15">
        <f>+'CDM Activity'!F128</f>
        <v>4819570.7236676794</v>
      </c>
      <c r="L186" s="22">
        <v>320</v>
      </c>
      <c r="M186" s="210">
        <v>682.9</v>
      </c>
      <c r="N186" s="210">
        <v>48.256316916488231</v>
      </c>
      <c r="O186" s="7">
        <f t="shared" si="7"/>
        <v>145296967.53772068</v>
      </c>
      <c r="P186" s="7"/>
    </row>
    <row r="187" spans="1:16" x14ac:dyDescent="0.2">
      <c r="A187" s="2">
        <v>41030</v>
      </c>
      <c r="B187" s="15">
        <v>146013521</v>
      </c>
      <c r="C187" s="15">
        <v>3294156.1631000005</v>
      </c>
      <c r="D187" s="15"/>
      <c r="E187" s="15">
        <f t="shared" si="8"/>
        <v>149307677.1631</v>
      </c>
      <c r="F187" s="212">
        <v>106.6</v>
      </c>
      <c r="G187" s="212">
        <v>19.7</v>
      </c>
      <c r="H187" s="33">
        <v>139.60405006790918</v>
      </c>
      <c r="I187" s="48">
        <v>31</v>
      </c>
      <c r="J187" s="7">
        <v>1</v>
      </c>
      <c r="K187" s="15">
        <f>+'CDM Activity'!F129</f>
        <v>4754358.7609529402</v>
      </c>
      <c r="L187" s="22">
        <v>352</v>
      </c>
      <c r="M187" s="210">
        <v>686.7</v>
      </c>
      <c r="N187" s="210">
        <v>48.524839400428277</v>
      </c>
      <c r="O187" s="7">
        <f t="shared" si="7"/>
        <v>146920807.53221396</v>
      </c>
      <c r="P187" s="7"/>
    </row>
    <row r="188" spans="1:16" x14ac:dyDescent="0.2">
      <c r="A188" s="2">
        <v>41061</v>
      </c>
      <c r="B188" s="15">
        <v>156866745</v>
      </c>
      <c r="C188" s="15">
        <v>3172980.4979999983</v>
      </c>
      <c r="D188" s="15">
        <v>-1015157</v>
      </c>
      <c r="E188" s="15">
        <f t="shared" si="8"/>
        <v>159024568.498</v>
      </c>
      <c r="F188" s="212">
        <v>42.100000000000009</v>
      </c>
      <c r="G188" s="212">
        <v>61.199999999999996</v>
      </c>
      <c r="H188" s="33">
        <v>139.84603677323028</v>
      </c>
      <c r="I188" s="48">
        <v>30</v>
      </c>
      <c r="J188" s="7">
        <v>0</v>
      </c>
      <c r="K188" s="15">
        <f>+'CDM Activity'!F130</f>
        <v>4689146.7982382011</v>
      </c>
      <c r="L188" s="22">
        <v>336</v>
      </c>
      <c r="M188" s="210">
        <v>691.5</v>
      </c>
      <c r="N188" s="210">
        <v>48.864025695931559</v>
      </c>
      <c r="O188" s="7">
        <f t="shared" si="7"/>
        <v>156901466.07716921</v>
      </c>
      <c r="P188" s="7"/>
    </row>
    <row r="189" spans="1:16" x14ac:dyDescent="0.2">
      <c r="A189" s="2">
        <v>41091</v>
      </c>
      <c r="B189" s="15">
        <v>181523408</v>
      </c>
      <c r="C189" s="15">
        <v>3076517.5174999977</v>
      </c>
      <c r="D189" s="15"/>
      <c r="E189" s="15">
        <f t="shared" si="8"/>
        <v>184599925.51749998</v>
      </c>
      <c r="F189" s="212">
        <v>0</v>
      </c>
      <c r="G189" s="212">
        <v>125.90000000000002</v>
      </c>
      <c r="H189" s="33">
        <v>140.08844293318413</v>
      </c>
      <c r="I189" s="48">
        <v>31</v>
      </c>
      <c r="J189" s="7">
        <v>0</v>
      </c>
      <c r="K189" s="15">
        <f>+'CDM Activity'!F131</f>
        <v>4623934.8355234619</v>
      </c>
      <c r="L189" s="22">
        <v>336</v>
      </c>
      <c r="M189" s="210">
        <v>694.4</v>
      </c>
      <c r="N189" s="210">
        <v>49.068950749464761</v>
      </c>
      <c r="O189" s="7">
        <f t="shared" si="7"/>
        <v>178424479.36374938</v>
      </c>
      <c r="P189" s="7"/>
    </row>
    <row r="190" spans="1:16" x14ac:dyDescent="0.2">
      <c r="A190" s="2">
        <v>41122</v>
      </c>
      <c r="B190" s="15">
        <v>164407829</v>
      </c>
      <c r="C190" s="15">
        <v>3065411.8390000002</v>
      </c>
      <c r="D190" s="15"/>
      <c r="E190" s="15">
        <f t="shared" si="8"/>
        <v>167473240.83899999</v>
      </c>
      <c r="F190" s="212">
        <v>20.450000000000006</v>
      </c>
      <c r="G190" s="212">
        <v>58.20000000000001</v>
      </c>
      <c r="H190" s="33">
        <v>140.33126927484452</v>
      </c>
      <c r="I190" s="48">
        <v>31</v>
      </c>
      <c r="J190" s="7">
        <v>0</v>
      </c>
      <c r="K190" s="15">
        <f>+'CDM Activity'!F132</f>
        <v>4558722.8728087228</v>
      </c>
      <c r="L190" s="22">
        <v>352</v>
      </c>
      <c r="M190" s="210">
        <v>689.7</v>
      </c>
      <c r="N190" s="210">
        <v>48.736830835117871</v>
      </c>
      <c r="O190" s="7">
        <f t="shared" si="7"/>
        <v>160399691.88798204</v>
      </c>
      <c r="P190" s="7"/>
    </row>
    <row r="191" spans="1:16" x14ac:dyDescent="0.2">
      <c r="A191" s="2">
        <v>41153</v>
      </c>
      <c r="B191" s="15">
        <v>143005966</v>
      </c>
      <c r="C191" s="15">
        <v>2784314.2889</v>
      </c>
      <c r="D191" s="15"/>
      <c r="E191" s="15">
        <f t="shared" si="8"/>
        <v>145790280.28889999</v>
      </c>
      <c r="F191" s="212">
        <v>125.40000000000002</v>
      </c>
      <c r="G191" s="212">
        <v>16.399999999999999</v>
      </c>
      <c r="H191" s="33">
        <v>140.57451652654552</v>
      </c>
      <c r="I191" s="48">
        <v>30</v>
      </c>
      <c r="J191" s="7">
        <v>1</v>
      </c>
      <c r="K191" s="15">
        <f>+'CDM Activity'!F133</f>
        <v>4493510.9100939836</v>
      </c>
      <c r="L191" s="22">
        <v>304</v>
      </c>
      <c r="M191" s="210">
        <v>681.9</v>
      </c>
      <c r="N191" s="210">
        <v>48.185653104925109</v>
      </c>
      <c r="O191" s="7">
        <f t="shared" si="7"/>
        <v>140308001.99561921</v>
      </c>
      <c r="P191" s="7"/>
    </row>
    <row r="192" spans="1:16" x14ac:dyDescent="0.2">
      <c r="A192" s="2">
        <v>41183</v>
      </c>
      <c r="B192" s="15">
        <v>145715525</v>
      </c>
      <c r="C192" s="15">
        <v>2738579.0520000006</v>
      </c>
      <c r="D192" s="15"/>
      <c r="E192" s="15">
        <f t="shared" si="8"/>
        <v>148454104.05199999</v>
      </c>
      <c r="F192" s="212">
        <v>279.2</v>
      </c>
      <c r="G192" s="212">
        <v>0</v>
      </c>
      <c r="H192" s="33">
        <v>140.81818541788368</v>
      </c>
      <c r="I192" s="48">
        <v>31</v>
      </c>
      <c r="J192" s="7">
        <v>1</v>
      </c>
      <c r="K192" s="15">
        <f>+'CDM Activity'!F134</f>
        <v>4428298.9473792445</v>
      </c>
      <c r="L192" s="22">
        <v>352</v>
      </c>
      <c r="M192" s="210">
        <v>681.8</v>
      </c>
      <c r="N192" s="210">
        <v>48.178586723768831</v>
      </c>
      <c r="O192" s="7">
        <f t="shared" si="7"/>
        <v>149429802.37611145</v>
      </c>
      <c r="P192" s="7"/>
    </row>
    <row r="193" spans="1:16" x14ac:dyDescent="0.2">
      <c r="A193" s="2">
        <v>41214</v>
      </c>
      <c r="B193" s="15">
        <v>149958942</v>
      </c>
      <c r="C193" s="15">
        <v>2847362.1399999983</v>
      </c>
      <c r="D193" s="15"/>
      <c r="E193" s="15">
        <f t="shared" si="8"/>
        <v>152806304.13999999</v>
      </c>
      <c r="F193" s="212">
        <v>483.60000000000014</v>
      </c>
      <c r="G193" s="212">
        <v>0</v>
      </c>
      <c r="H193" s="33">
        <v>141.06227667972024</v>
      </c>
      <c r="I193" s="48">
        <v>30</v>
      </c>
      <c r="J193" s="7">
        <v>1</v>
      </c>
      <c r="K193" s="15">
        <f>+'CDM Activity'!F135</f>
        <v>4363086.9846645053</v>
      </c>
      <c r="L193" s="22">
        <v>352</v>
      </c>
      <c r="M193" s="210">
        <v>686.5</v>
      </c>
      <c r="N193" s="210">
        <v>48.510706638115721</v>
      </c>
      <c r="O193" s="7">
        <f t="shared" si="7"/>
        <v>154967672.4168188</v>
      </c>
      <c r="P193" s="7"/>
    </row>
    <row r="194" spans="1:16" x14ac:dyDescent="0.2">
      <c r="A194" s="2">
        <v>41244</v>
      </c>
      <c r="B194" s="15">
        <v>157244281</v>
      </c>
      <c r="C194" s="15">
        <v>3331411.5923000001</v>
      </c>
      <c r="D194" s="15">
        <f>-693711+29718</f>
        <v>-663993</v>
      </c>
      <c r="E194" s="15">
        <f t="shared" si="8"/>
        <v>159911699.5923</v>
      </c>
      <c r="F194" s="212">
        <v>565.50000000000011</v>
      </c>
      <c r="G194" s="212">
        <v>0</v>
      </c>
      <c r="H194" s="33">
        <v>141.30679104418314</v>
      </c>
      <c r="I194" s="48">
        <v>31</v>
      </c>
      <c r="J194" s="7">
        <v>0</v>
      </c>
      <c r="K194" s="15">
        <f>+'CDM Activity'!F136</f>
        <v>4297875.0219497662</v>
      </c>
      <c r="L194" s="22">
        <v>304</v>
      </c>
      <c r="M194" s="210">
        <v>693.7</v>
      </c>
      <c r="N194" s="210">
        <v>49.019486081370474</v>
      </c>
      <c r="O194" s="7">
        <f t="shared" si="7"/>
        <v>163660976.56046847</v>
      </c>
      <c r="P194" s="7"/>
    </row>
    <row r="195" spans="1:16" x14ac:dyDescent="0.2">
      <c r="A195" s="2">
        <v>41275</v>
      </c>
      <c r="B195" s="15"/>
      <c r="C195" s="15"/>
      <c r="D195" s="15"/>
      <c r="F195" s="209">
        <f>SUM(F3+F15+F27+F39+F51+F63+F75+F87+F99+F111+F123+F135+F147+F159+F171+F183)/16</f>
        <v>749.42812499999991</v>
      </c>
      <c r="G195" s="209">
        <f>SUM(G3+G15+G27+G39+G51+G63+G75+G87+G99+G111+G123+G135+G147+G159+G171+G183)/16</f>
        <v>0</v>
      </c>
      <c r="H195" s="33">
        <v>141.54017069810607</v>
      </c>
      <c r="I195" s="7">
        <v>31</v>
      </c>
      <c r="J195" s="7">
        <v>0</v>
      </c>
      <c r="K195" s="15">
        <f>+'CDM Activity'!F137</f>
        <v>4285361.5439796625</v>
      </c>
      <c r="L195" s="22">
        <v>352</v>
      </c>
      <c r="M195" s="210">
        <v>693.7</v>
      </c>
      <c r="N195" s="210">
        <v>49.019486081370474</v>
      </c>
      <c r="O195" s="7">
        <f t="shared" ref="O195:O218" si="9">$B$261+F195*$B$262+G195*$B$263+H195*$B$264+I195*$B$265+J195*$B$266+K195*$B$267+L195*$B$268+M195*$B$269+N195*$B$270</f>
        <v>175107820.71366844</v>
      </c>
      <c r="P195" s="7"/>
    </row>
    <row r="196" spans="1:16" x14ac:dyDescent="0.2">
      <c r="A196" s="2">
        <v>41306</v>
      </c>
      <c r="B196" s="15"/>
      <c r="C196" s="15"/>
      <c r="D196" s="15"/>
      <c r="F196" s="209">
        <f t="shared" ref="F196:G206" si="10">SUM(F4+F16+F28+F40+F52+F64+F76+F88+F100+F112+F124+F136+F148+F160+F172+F184)/16</f>
        <v>653.16249999999991</v>
      </c>
      <c r="G196" s="209">
        <f t="shared" si="10"/>
        <v>0</v>
      </c>
      <c r="H196" s="33">
        <v>141.77393579750165</v>
      </c>
      <c r="I196" s="7">
        <v>29</v>
      </c>
      <c r="J196" s="7">
        <v>0</v>
      </c>
      <c r="K196" s="15">
        <f>+'CDM Activity'!F138</f>
        <v>4272848.0660095587</v>
      </c>
      <c r="L196" s="22">
        <v>304</v>
      </c>
      <c r="M196" s="210">
        <v>693.7</v>
      </c>
      <c r="N196" s="210">
        <v>49.019486081370474</v>
      </c>
      <c r="O196" s="7">
        <f t="shared" si="9"/>
        <v>160293801.13698944</v>
      </c>
      <c r="P196" s="7"/>
    </row>
    <row r="197" spans="1:16" x14ac:dyDescent="0.2">
      <c r="A197" s="2">
        <v>41334</v>
      </c>
      <c r="B197" s="15"/>
      <c r="C197" s="15"/>
      <c r="D197" s="15"/>
      <c r="F197" s="209">
        <f t="shared" si="10"/>
        <v>567.52187500000002</v>
      </c>
      <c r="G197" s="209">
        <f t="shared" si="10"/>
        <v>0</v>
      </c>
      <c r="H197" s="33">
        <v>142.00808697896443</v>
      </c>
      <c r="I197" s="7">
        <v>31</v>
      </c>
      <c r="J197" s="7">
        <v>1</v>
      </c>
      <c r="K197" s="15">
        <f>+'CDM Activity'!F139</f>
        <v>4260334.588039455</v>
      </c>
      <c r="L197" s="22">
        <v>320</v>
      </c>
      <c r="M197" s="210">
        <v>693.7</v>
      </c>
      <c r="N197" s="210">
        <v>49.019486081370474</v>
      </c>
      <c r="O197" s="7">
        <f t="shared" si="9"/>
        <v>160645422.79105017</v>
      </c>
      <c r="P197" s="7"/>
    </row>
    <row r="198" spans="1:16" x14ac:dyDescent="0.2">
      <c r="A198" s="2">
        <v>41365</v>
      </c>
      <c r="B198" s="15"/>
      <c r="C198" s="15"/>
      <c r="D198" s="15"/>
      <c r="F198" s="209">
        <f t="shared" si="10"/>
        <v>346.09999999999997</v>
      </c>
      <c r="G198" s="209">
        <f t="shared" si="10"/>
        <v>0.65625</v>
      </c>
      <c r="H198" s="33">
        <v>142.24262488014034</v>
      </c>
      <c r="I198" s="7">
        <v>30</v>
      </c>
      <c r="J198" s="7">
        <v>1</v>
      </c>
      <c r="K198" s="15">
        <f>+'CDM Activity'!F140</f>
        <v>4247821.1100693513</v>
      </c>
      <c r="L198" s="22">
        <v>336</v>
      </c>
      <c r="M198" s="210">
        <v>693.7</v>
      </c>
      <c r="N198" s="210">
        <v>49.019486081370474</v>
      </c>
      <c r="O198" s="7">
        <f t="shared" si="9"/>
        <v>149295848.13454714</v>
      </c>
      <c r="P198" s="7"/>
    </row>
    <row r="199" spans="1:16" x14ac:dyDescent="0.2">
      <c r="A199" s="2">
        <v>41395</v>
      </c>
      <c r="B199" s="15"/>
      <c r="C199" s="15"/>
      <c r="D199" s="15"/>
      <c r="F199" s="209">
        <f t="shared" si="10"/>
        <v>180.87499999999997</v>
      </c>
      <c r="G199" s="209">
        <f t="shared" si="10"/>
        <v>9.46875</v>
      </c>
      <c r="H199" s="33">
        <v>142.47755013972844</v>
      </c>
      <c r="I199" s="7">
        <v>31</v>
      </c>
      <c r="J199" s="7">
        <v>1</v>
      </c>
      <c r="K199" s="15">
        <f>+'CDM Activity'!F141</f>
        <v>4235307.6320992475</v>
      </c>
      <c r="L199" s="22">
        <v>352</v>
      </c>
      <c r="M199" s="210">
        <v>693.7</v>
      </c>
      <c r="N199" s="210">
        <v>49.019486081370474</v>
      </c>
      <c r="O199" s="7">
        <f t="shared" si="9"/>
        <v>149918636.59637526</v>
      </c>
      <c r="P199" s="7"/>
    </row>
    <row r="200" spans="1:16" x14ac:dyDescent="0.2">
      <c r="A200" s="2">
        <v>41426</v>
      </c>
      <c r="B200" s="15"/>
      <c r="C200" s="15"/>
      <c r="D200" s="15"/>
      <c r="F200" s="209">
        <f t="shared" si="10"/>
        <v>49.509375000000013</v>
      </c>
      <c r="G200" s="209">
        <f t="shared" si="10"/>
        <v>47.859375000000014</v>
      </c>
      <c r="H200" s="33">
        <v>142.71286339748261</v>
      </c>
      <c r="I200" s="7">
        <v>30</v>
      </c>
      <c r="J200" s="7">
        <v>0</v>
      </c>
      <c r="K200" s="15">
        <f>+'CDM Activity'!F142</f>
        <v>4222794.1541291438</v>
      </c>
      <c r="L200" s="22">
        <v>320</v>
      </c>
      <c r="M200" s="210">
        <v>693.7</v>
      </c>
      <c r="N200" s="210">
        <v>49.019486081370474</v>
      </c>
      <c r="O200" s="7">
        <f t="shared" si="9"/>
        <v>154440644.80800059</v>
      </c>
      <c r="P200" s="7"/>
    </row>
    <row r="201" spans="1:16" x14ac:dyDescent="0.2">
      <c r="A201" s="2">
        <v>41456</v>
      </c>
      <c r="B201" s="15"/>
      <c r="C201" s="15"/>
      <c r="D201" s="15"/>
      <c r="F201" s="209">
        <f t="shared" si="10"/>
        <v>12.85</v>
      </c>
      <c r="G201" s="209">
        <f t="shared" si="10"/>
        <v>83.243749999999991</v>
      </c>
      <c r="H201" s="33">
        <v>142.94856529421338</v>
      </c>
      <c r="I201" s="7">
        <v>31</v>
      </c>
      <c r="J201" s="7">
        <v>0</v>
      </c>
      <c r="K201" s="15">
        <f>+'CDM Activity'!F143</f>
        <v>4210280.6761590401</v>
      </c>
      <c r="L201" s="22">
        <v>352</v>
      </c>
      <c r="M201" s="210">
        <v>693.7</v>
      </c>
      <c r="N201" s="210">
        <v>49.019486081370474</v>
      </c>
      <c r="O201" s="7">
        <f t="shared" si="9"/>
        <v>169546881.63187316</v>
      </c>
      <c r="P201" s="7"/>
    </row>
    <row r="202" spans="1:16" x14ac:dyDescent="0.2">
      <c r="A202" s="2">
        <v>41487</v>
      </c>
      <c r="B202" s="15"/>
      <c r="C202" s="15"/>
      <c r="D202" s="15"/>
      <c r="F202" s="209">
        <f t="shared" si="10"/>
        <v>23.484374999999996</v>
      </c>
      <c r="G202" s="209">
        <f t="shared" si="10"/>
        <v>57.650000000000006</v>
      </c>
      <c r="H202" s="33">
        <v>143.18465647178962</v>
      </c>
      <c r="I202" s="7">
        <v>31</v>
      </c>
      <c r="J202" s="7">
        <v>0</v>
      </c>
      <c r="K202" s="15">
        <f>+'CDM Activity'!F144</f>
        <v>4197767.1981889363</v>
      </c>
      <c r="L202" s="22">
        <v>336</v>
      </c>
      <c r="M202" s="210">
        <v>693.7</v>
      </c>
      <c r="N202" s="210">
        <v>49.019486081370474</v>
      </c>
      <c r="O202" s="7">
        <f t="shared" si="9"/>
        <v>161257929.9899908</v>
      </c>
      <c r="P202" s="7"/>
    </row>
    <row r="203" spans="1:16" x14ac:dyDescent="0.2">
      <c r="A203" s="2">
        <v>41518</v>
      </c>
      <c r="B203" s="15"/>
      <c r="C203" s="15"/>
      <c r="D203" s="15"/>
      <c r="F203" s="209">
        <f t="shared" si="10"/>
        <v>96.35312500000002</v>
      </c>
      <c r="G203" s="209">
        <f t="shared" si="10"/>
        <v>18.009374999999999</v>
      </c>
      <c r="H203" s="33">
        <v>143.4211375731403</v>
      </c>
      <c r="I203" s="7">
        <v>30</v>
      </c>
      <c r="J203" s="7">
        <v>1</v>
      </c>
      <c r="K203" s="15">
        <f>+'CDM Activity'!F145</f>
        <v>4185253.7202188326</v>
      </c>
      <c r="L203" s="22">
        <v>320</v>
      </c>
      <c r="M203" s="210">
        <v>693.7</v>
      </c>
      <c r="N203" s="210">
        <v>49.019486081370474</v>
      </c>
      <c r="O203" s="7">
        <f t="shared" si="9"/>
        <v>143216312.24244437</v>
      </c>
      <c r="P203" s="7"/>
    </row>
    <row r="204" spans="1:16" x14ac:dyDescent="0.2">
      <c r="A204" s="2">
        <v>41548</v>
      </c>
      <c r="B204" s="2"/>
      <c r="C204" s="2"/>
      <c r="D204" s="15"/>
      <c r="F204" s="209">
        <f t="shared" si="10"/>
        <v>289.84062499999993</v>
      </c>
      <c r="G204" s="209">
        <f t="shared" si="10"/>
        <v>1.3374999999999999</v>
      </c>
      <c r="H204" s="33">
        <v>143.65800924225621</v>
      </c>
      <c r="I204" s="7">
        <v>31</v>
      </c>
      <c r="J204" s="7">
        <v>1</v>
      </c>
      <c r="K204" s="15">
        <f>+'CDM Activity'!F146</f>
        <v>4172740.2422487289</v>
      </c>
      <c r="L204" s="22">
        <v>352</v>
      </c>
      <c r="M204" s="210">
        <v>693.7</v>
      </c>
      <c r="N204" s="210">
        <v>49.019486081370474</v>
      </c>
      <c r="O204" s="7">
        <f t="shared" si="9"/>
        <v>152492543.72719717</v>
      </c>
      <c r="P204" s="7"/>
    </row>
    <row r="205" spans="1:16" x14ac:dyDescent="0.2">
      <c r="A205" s="2">
        <v>41579</v>
      </c>
      <c r="B205" s="2"/>
      <c r="C205" s="2"/>
      <c r="D205" s="15"/>
      <c r="F205" s="209">
        <f t="shared" si="10"/>
        <v>443.92500000000001</v>
      </c>
      <c r="G205" s="209">
        <f t="shared" si="10"/>
        <v>0</v>
      </c>
      <c r="H205" s="33">
        <v>143.89527212419182</v>
      </c>
      <c r="I205" s="7">
        <v>30</v>
      </c>
      <c r="J205" s="7">
        <v>1</v>
      </c>
      <c r="K205" s="15">
        <f>+'CDM Activity'!F147</f>
        <v>4160226.7642786251</v>
      </c>
      <c r="L205" s="22">
        <v>336</v>
      </c>
      <c r="M205" s="210">
        <v>693.7</v>
      </c>
      <c r="N205" s="210">
        <v>49.019486081370474</v>
      </c>
      <c r="O205" s="7">
        <f t="shared" si="9"/>
        <v>153795721.9009293</v>
      </c>
      <c r="P205" s="7"/>
    </row>
    <row r="206" spans="1:16" x14ac:dyDescent="0.2">
      <c r="A206" s="2">
        <v>41609</v>
      </c>
      <c r="B206" s="2"/>
      <c r="C206" s="2"/>
      <c r="D206" s="15"/>
      <c r="F206" s="209">
        <f t="shared" si="10"/>
        <v>648.66249999999991</v>
      </c>
      <c r="G206" s="209">
        <f t="shared" si="10"/>
        <v>0</v>
      </c>
      <c r="H206" s="33">
        <v>144.13292686506682</v>
      </c>
      <c r="I206" s="7">
        <v>31</v>
      </c>
      <c r="J206" s="7">
        <v>0</v>
      </c>
      <c r="K206" s="15">
        <f>+'CDM Activity'!F148</f>
        <v>4147713.2863085214</v>
      </c>
      <c r="L206" s="22">
        <v>320</v>
      </c>
      <c r="M206" s="210">
        <v>693.7</v>
      </c>
      <c r="N206" s="210">
        <v>49.019486081370474</v>
      </c>
      <c r="O206" s="7">
        <f t="shared" si="9"/>
        <v>169399401.25259173</v>
      </c>
      <c r="P206" s="7"/>
    </row>
    <row r="207" spans="1:16" x14ac:dyDescent="0.2">
      <c r="A207" s="2">
        <v>41640</v>
      </c>
      <c r="B207" s="2"/>
      <c r="C207" s="2"/>
      <c r="D207" s="15"/>
      <c r="F207" s="209">
        <f>SUM(+F3+F15+F27+F39+F51+F63+F75+F87+F99+F111+F123+F135+F147+F159+F171+F183+F195)/17</f>
        <v>749.42812499999991</v>
      </c>
      <c r="G207" s="209">
        <f>SUM(+G3+G15+G27+G39+G51+G63+G75+G87+G99+G111+G123+G135+G147+G159+G171+G183+G195)/17</f>
        <v>0</v>
      </c>
      <c r="H207" s="33">
        <v>144.35917379447397</v>
      </c>
      <c r="I207" s="7">
        <v>31</v>
      </c>
      <c r="J207" s="7">
        <v>0</v>
      </c>
      <c r="K207" s="15">
        <f>+'CDM Activity'!F149</f>
        <v>4146342.9012691271</v>
      </c>
      <c r="L207" s="22">
        <v>352</v>
      </c>
      <c r="M207" s="210">
        <v>693.7</v>
      </c>
      <c r="N207" s="210">
        <v>49.019486081370474</v>
      </c>
      <c r="O207" s="7">
        <f t="shared" si="9"/>
        <v>176101719.3281076</v>
      </c>
      <c r="P207" s="7"/>
    </row>
    <row r="208" spans="1:16" x14ac:dyDescent="0.2">
      <c r="A208" s="2">
        <v>41671</v>
      </c>
      <c r="B208" s="2"/>
      <c r="C208" s="2"/>
      <c r="D208" s="15"/>
      <c r="F208" s="209">
        <f t="shared" ref="F208:G218" si="11">SUM(+F4+F16+F28+F40+F52+F64+F76+F88+F100+F112+F124+F136+F148+F160+F172+F184+F196)/17</f>
        <v>653.16249999999991</v>
      </c>
      <c r="G208" s="209">
        <f t="shared" si="11"/>
        <v>0</v>
      </c>
      <c r="H208" s="33">
        <v>144.58577586600015</v>
      </c>
      <c r="I208" s="7">
        <v>28</v>
      </c>
      <c r="J208" s="7">
        <v>0</v>
      </c>
      <c r="K208" s="15">
        <f>+'CDM Activity'!F150</f>
        <v>4144972.5162297329</v>
      </c>
      <c r="L208" s="22">
        <v>304</v>
      </c>
      <c r="M208" s="210">
        <v>693.7</v>
      </c>
      <c r="N208" s="210">
        <v>49.019486081370474</v>
      </c>
      <c r="O208" s="7">
        <f t="shared" si="9"/>
        <v>157641747.486983</v>
      </c>
      <c r="P208" s="7"/>
    </row>
    <row r="209" spans="1:16" x14ac:dyDescent="0.2">
      <c r="A209" s="2">
        <v>41699</v>
      </c>
      <c r="B209" s="2"/>
      <c r="C209" s="2"/>
      <c r="D209" s="15"/>
      <c r="F209" s="209">
        <f t="shared" si="11"/>
        <v>567.52187500000002</v>
      </c>
      <c r="G209" s="209">
        <f t="shared" si="11"/>
        <v>0</v>
      </c>
      <c r="H209" s="33">
        <v>144.81273363711554</v>
      </c>
      <c r="I209" s="7">
        <v>31</v>
      </c>
      <c r="J209" s="7">
        <v>1</v>
      </c>
      <c r="K209" s="15">
        <f>+'CDM Activity'!F151</f>
        <v>4143602.1311903386</v>
      </c>
      <c r="L209" s="22">
        <v>336</v>
      </c>
      <c r="M209" s="210">
        <v>693.7</v>
      </c>
      <c r="N209" s="210">
        <v>49.019486081370474</v>
      </c>
      <c r="O209" s="7">
        <f t="shared" si="9"/>
        <v>162775248.07948872</v>
      </c>
      <c r="P209" s="7"/>
    </row>
    <row r="210" spans="1:16" x14ac:dyDescent="0.2">
      <c r="A210" s="2">
        <v>41730</v>
      </c>
      <c r="B210" s="2"/>
      <c r="C210" s="2"/>
      <c r="D210" s="15"/>
      <c r="F210" s="209">
        <f t="shared" si="11"/>
        <v>346.09999999999997</v>
      </c>
      <c r="G210" s="209">
        <f t="shared" si="11"/>
        <v>0.65625</v>
      </c>
      <c r="H210" s="33">
        <v>145.04004766616546</v>
      </c>
      <c r="I210" s="7">
        <v>30</v>
      </c>
      <c r="J210" s="7">
        <v>1</v>
      </c>
      <c r="K210" s="15">
        <f>+'CDM Activity'!F152</f>
        <v>4142231.7461509444</v>
      </c>
      <c r="L210" s="22">
        <v>336</v>
      </c>
      <c r="M210" s="210">
        <v>693.7</v>
      </c>
      <c r="N210" s="210">
        <v>49.019486081370474</v>
      </c>
      <c r="O210" s="7">
        <f t="shared" si="9"/>
        <v>150156681.51084986</v>
      </c>
      <c r="P210" s="7"/>
    </row>
    <row r="211" spans="1:16" x14ac:dyDescent="0.2">
      <c r="A211" s="2">
        <v>41760</v>
      </c>
      <c r="B211" s="2"/>
      <c r="C211" s="2"/>
      <c r="D211" s="2"/>
      <c r="F211" s="209">
        <f t="shared" si="11"/>
        <v>180.87499999999997</v>
      </c>
      <c r="G211" s="209">
        <f t="shared" si="11"/>
        <v>9.46875</v>
      </c>
      <c r="H211" s="33">
        <v>145.2677185123716</v>
      </c>
      <c r="I211" s="7">
        <v>31</v>
      </c>
      <c r="J211" s="7">
        <v>1</v>
      </c>
      <c r="K211" s="15">
        <f>+'CDM Activity'!F153</f>
        <v>4140861.3611115501</v>
      </c>
      <c r="L211" s="22">
        <v>336</v>
      </c>
      <c r="M211" s="210">
        <v>693.7</v>
      </c>
      <c r="N211" s="210">
        <v>49.019486081370474</v>
      </c>
      <c r="O211" s="7">
        <f t="shared" si="9"/>
        <v>149510473.13082018</v>
      </c>
      <c r="P211" s="7"/>
    </row>
    <row r="212" spans="1:16" x14ac:dyDescent="0.2">
      <c r="A212" s="2">
        <v>41791</v>
      </c>
      <c r="B212" s="2"/>
      <c r="C212" s="2"/>
      <c r="D212" s="2"/>
      <c r="F212" s="209">
        <f t="shared" si="11"/>
        <v>49.509375000000013</v>
      </c>
      <c r="G212" s="209">
        <f t="shared" si="11"/>
        <v>47.859375000000014</v>
      </c>
      <c r="H212" s="33">
        <v>145.49574673583354</v>
      </c>
      <c r="I212" s="7">
        <v>30</v>
      </c>
      <c r="J212" s="7">
        <v>0</v>
      </c>
      <c r="K212" s="15">
        <f>+'CDM Activity'!F154</f>
        <v>4139490.9760721559</v>
      </c>
      <c r="L212" s="22">
        <v>336</v>
      </c>
      <c r="M212" s="210">
        <v>693.7</v>
      </c>
      <c r="N212" s="210">
        <v>49.019486081370474</v>
      </c>
      <c r="O212" s="7">
        <f t="shared" si="9"/>
        <v>156437375.31839985</v>
      </c>
      <c r="P212" s="7"/>
    </row>
    <row r="213" spans="1:16" x14ac:dyDescent="0.2">
      <c r="A213" s="2">
        <v>41821</v>
      </c>
      <c r="B213" s="2"/>
      <c r="C213" s="2"/>
      <c r="D213" s="2"/>
      <c r="F213" s="209">
        <f t="shared" si="11"/>
        <v>12.85</v>
      </c>
      <c r="G213" s="209">
        <f t="shared" si="11"/>
        <v>83.243749999999991</v>
      </c>
      <c r="H213" s="33">
        <v>145.72413289752996</v>
      </c>
      <c r="I213" s="7">
        <v>31</v>
      </c>
      <c r="J213" s="7">
        <v>0</v>
      </c>
      <c r="K213" s="15">
        <f>+'CDM Activity'!F155</f>
        <v>4138120.5910327616</v>
      </c>
      <c r="L213" s="22">
        <v>352</v>
      </c>
      <c r="M213" s="210">
        <v>693.7</v>
      </c>
      <c r="N213" s="210">
        <v>49.019486081370474</v>
      </c>
      <c r="O213" s="7">
        <f t="shared" si="9"/>
        <v>170274605.40237069</v>
      </c>
      <c r="P213" s="7"/>
    </row>
    <row r="214" spans="1:16" x14ac:dyDescent="0.2">
      <c r="A214" s="2">
        <v>41852</v>
      </c>
      <c r="B214" s="2"/>
      <c r="C214" s="2"/>
      <c r="D214" s="2"/>
      <c r="F214" s="209">
        <f t="shared" si="11"/>
        <v>23.484374999999996</v>
      </c>
      <c r="G214" s="209">
        <f t="shared" si="11"/>
        <v>57.650000000000006</v>
      </c>
      <c r="H214" s="33">
        <v>145.9528775593202</v>
      </c>
      <c r="I214" s="7">
        <v>31</v>
      </c>
      <c r="J214" s="7">
        <v>0</v>
      </c>
      <c r="K214" s="15">
        <f>+'CDM Activity'!F156</f>
        <v>4136750.2059933674</v>
      </c>
      <c r="L214" s="22">
        <v>320</v>
      </c>
      <c r="M214" s="210">
        <v>693.7</v>
      </c>
      <c r="N214" s="210">
        <v>49.019486081370474</v>
      </c>
      <c r="O214" s="7">
        <f t="shared" si="9"/>
        <v>160716642.05220723</v>
      </c>
      <c r="P214" s="7"/>
    </row>
    <row r="215" spans="1:16" x14ac:dyDescent="0.2">
      <c r="A215" s="2">
        <v>41883</v>
      </c>
      <c r="B215" s="2"/>
      <c r="C215" s="2"/>
      <c r="D215" s="2"/>
      <c r="F215" s="209">
        <f t="shared" si="11"/>
        <v>96.35312500000002</v>
      </c>
      <c r="G215" s="209">
        <f t="shared" si="11"/>
        <v>18.009374999999999</v>
      </c>
      <c r="H215" s="33">
        <v>146.18198128394553</v>
      </c>
      <c r="I215" s="7">
        <v>30</v>
      </c>
      <c r="J215" s="7">
        <v>1</v>
      </c>
      <c r="K215" s="15">
        <f>+'CDM Activity'!F157</f>
        <v>4135379.8209539731</v>
      </c>
      <c r="L215" s="22">
        <v>336</v>
      </c>
      <c r="M215" s="210">
        <v>693.7</v>
      </c>
      <c r="N215" s="210">
        <v>49.019486081370474</v>
      </c>
      <c r="O215" s="7">
        <f t="shared" si="9"/>
        <v>145079903.37544823</v>
      </c>
      <c r="P215" s="7"/>
    </row>
    <row r="216" spans="1:16" x14ac:dyDescent="0.2">
      <c r="A216" s="2">
        <v>41913</v>
      </c>
      <c r="B216" s="2"/>
      <c r="C216" s="2"/>
      <c r="D216" s="2"/>
      <c r="F216" s="209">
        <f t="shared" si="11"/>
        <v>289.84062499999993</v>
      </c>
      <c r="G216" s="209">
        <f t="shared" si="11"/>
        <v>1.3374999999999999</v>
      </c>
      <c r="H216" s="33">
        <v>146.41144463503053</v>
      </c>
      <c r="I216" s="7">
        <v>31</v>
      </c>
      <c r="J216" s="7">
        <v>1</v>
      </c>
      <c r="K216" s="15">
        <f>+'CDM Activity'!F158</f>
        <v>4134009.4359145788</v>
      </c>
      <c r="L216" s="22">
        <v>352</v>
      </c>
      <c r="M216" s="210">
        <v>693.7</v>
      </c>
      <c r="N216" s="210">
        <v>49.019486081370474</v>
      </c>
      <c r="O216" s="7">
        <f t="shared" si="9"/>
        <v>153087113.17630261</v>
      </c>
      <c r="P216" s="7"/>
    </row>
    <row r="217" spans="1:16" x14ac:dyDescent="0.2">
      <c r="A217" s="2">
        <v>41944</v>
      </c>
      <c r="B217" s="2"/>
      <c r="C217" s="2"/>
      <c r="D217" s="2"/>
      <c r="F217" s="209">
        <f t="shared" si="11"/>
        <v>443.92500000000001</v>
      </c>
      <c r="G217" s="209">
        <f t="shared" si="11"/>
        <v>0</v>
      </c>
      <c r="H217" s="33">
        <v>146.64126817708456</v>
      </c>
      <c r="I217" s="7">
        <v>30</v>
      </c>
      <c r="J217" s="7">
        <v>1</v>
      </c>
      <c r="K217" s="15">
        <f>+'CDM Activity'!F159</f>
        <v>4132639.0508751846</v>
      </c>
      <c r="L217" s="22">
        <v>320</v>
      </c>
      <c r="M217" s="210">
        <v>693.7</v>
      </c>
      <c r="N217" s="210">
        <v>49.019486081370474</v>
      </c>
      <c r="O217" s="7">
        <f t="shared" si="9"/>
        <v>153121264.65884072</v>
      </c>
      <c r="P217" s="7"/>
    </row>
    <row r="218" spans="1:16" x14ac:dyDescent="0.2">
      <c r="A218" s="2">
        <v>41974</v>
      </c>
      <c r="B218" s="2"/>
      <c r="C218" s="2"/>
      <c r="D218" s="2"/>
      <c r="F218" s="209">
        <f t="shared" si="11"/>
        <v>648.66249999999991</v>
      </c>
      <c r="G218" s="209">
        <f t="shared" si="11"/>
        <v>0</v>
      </c>
      <c r="H218" s="33">
        <v>146.87145247550308</v>
      </c>
      <c r="I218" s="7">
        <v>31</v>
      </c>
      <c r="J218" s="7">
        <v>0</v>
      </c>
      <c r="K218" s="15">
        <f>+'CDM Activity'!F160</f>
        <v>4131268.6658357903</v>
      </c>
      <c r="L218" s="22">
        <v>336</v>
      </c>
      <c r="M218" s="210">
        <v>693.7</v>
      </c>
      <c r="N218" s="210">
        <v>49.019486081370474</v>
      </c>
      <c r="O218" s="7">
        <f t="shared" si="9"/>
        <v>171129808.05937478</v>
      </c>
      <c r="P218" s="7"/>
    </row>
    <row r="219" spans="1:16" x14ac:dyDescent="0.2">
      <c r="A219" s="2"/>
      <c r="B219" s="2"/>
      <c r="C219" s="2"/>
      <c r="D219" s="2"/>
      <c r="K219" s="15"/>
      <c r="O219" s="7"/>
      <c r="P219" s="7"/>
    </row>
    <row r="220" spans="1:16" x14ac:dyDescent="0.2">
      <c r="A220" s="2"/>
      <c r="B220" s="2"/>
      <c r="C220" s="2"/>
      <c r="D220" s="2"/>
      <c r="F220" s="17"/>
      <c r="G220" s="1" t="s">
        <v>44</v>
      </c>
      <c r="O220" s="166">
        <f>SUM(O3:O219)</f>
        <v>34815517448.907433</v>
      </c>
    </row>
    <row r="221" spans="1:16" x14ac:dyDescent="0.2">
      <c r="A221" s="2"/>
      <c r="B221" s="2"/>
      <c r="C221" s="2"/>
      <c r="D221" s="2"/>
    </row>
    <row r="222" spans="1:16" x14ac:dyDescent="0.2">
      <c r="A222">
        <v>1997</v>
      </c>
      <c r="B222" s="26"/>
      <c r="E222" s="26">
        <f>SUM(E3:E14)</f>
        <v>1835095310</v>
      </c>
      <c r="K222" s="5">
        <f>SUM(O3:O14)</f>
        <v>1823302505.1213238</v>
      </c>
      <c r="L222" s="37">
        <f t="shared" ref="L222:L237" si="12">K222-E222</f>
        <v>-11792804.878676176</v>
      </c>
      <c r="M222" s="4">
        <f t="shared" ref="M222:M237" si="13">L222/E222</f>
        <v>-6.4262628836843231E-3</v>
      </c>
    </row>
    <row r="223" spans="1:16" x14ac:dyDescent="0.2">
      <c r="A223" s="14">
        <v>1998</v>
      </c>
      <c r="B223" s="26"/>
      <c r="C223" s="14"/>
      <c r="D223" s="14"/>
      <c r="E223" s="26">
        <f>SUM(E15:E26)</f>
        <v>1835345124</v>
      </c>
      <c r="K223" s="5">
        <f>SUM(O15:O26)</f>
        <v>1855055888.3889723</v>
      </c>
      <c r="L223" s="37">
        <f t="shared" si="12"/>
        <v>19710764.388972282</v>
      </c>
      <c r="M223" s="4">
        <f t="shared" si="13"/>
        <v>1.0739541098414296E-2</v>
      </c>
    </row>
    <row r="224" spans="1:16" x14ac:dyDescent="0.2">
      <c r="A224">
        <v>1999</v>
      </c>
      <c r="B224" s="26"/>
      <c r="E224" s="26">
        <f>SUM(E27:E38)</f>
        <v>1899849275</v>
      </c>
      <c r="K224" s="5">
        <f>SUM(O27:O38)</f>
        <v>1923395303.1594186</v>
      </c>
      <c r="L224" s="37">
        <f t="shared" si="12"/>
        <v>23546028.159418583</v>
      </c>
      <c r="M224" s="4">
        <f t="shared" si="13"/>
        <v>1.2393629573282114E-2</v>
      </c>
    </row>
    <row r="225" spans="1:13" x14ac:dyDescent="0.2">
      <c r="A225" s="14">
        <v>2000</v>
      </c>
      <c r="B225" s="26"/>
      <c r="C225" s="14"/>
      <c r="D225" s="14"/>
      <c r="E225" s="26">
        <f>SUM(E39:E50)</f>
        <v>1917287306</v>
      </c>
      <c r="K225" s="5">
        <f>SUM(O39:O50)</f>
        <v>1917257433.5265591</v>
      </c>
      <c r="L225" s="37">
        <f t="shared" si="12"/>
        <v>-29872.473440885544</v>
      </c>
      <c r="M225" s="4">
        <f t="shared" si="13"/>
        <v>-1.558059313666866E-5</v>
      </c>
    </row>
    <row r="226" spans="1:13" x14ac:dyDescent="0.2">
      <c r="A226">
        <v>2001</v>
      </c>
      <c r="B226" s="26"/>
      <c r="E226" s="26">
        <f>SUM(E51:E62)</f>
        <v>1963866511</v>
      </c>
      <c r="K226" s="5">
        <f>SUM(O51:O62)</f>
        <v>1953641069.5566638</v>
      </c>
      <c r="L226" s="37">
        <f t="shared" si="12"/>
        <v>-10225441.443336248</v>
      </c>
      <c r="M226" s="4">
        <f t="shared" si="13"/>
        <v>-5.2067904748421302E-3</v>
      </c>
    </row>
    <row r="227" spans="1:13" x14ac:dyDescent="0.2">
      <c r="A227" s="14">
        <v>2002</v>
      </c>
      <c r="B227" s="26"/>
      <c r="C227" s="14"/>
      <c r="D227" s="14"/>
      <c r="E227" s="26">
        <f>SUM(E63:E74)</f>
        <v>2036912520</v>
      </c>
      <c r="K227" s="5">
        <f>SUM(O63:O74)</f>
        <v>2001080172.9767592</v>
      </c>
      <c r="L227" s="37">
        <f t="shared" si="12"/>
        <v>-35832347.023240805</v>
      </c>
      <c r="M227" s="4">
        <f t="shared" si="13"/>
        <v>-1.759150020995541E-2</v>
      </c>
    </row>
    <row r="228" spans="1:13" x14ac:dyDescent="0.2">
      <c r="A228">
        <v>2003</v>
      </c>
      <c r="B228" s="26"/>
      <c r="E228" s="26">
        <f>SUM(E75:E86)</f>
        <v>2013203373</v>
      </c>
      <c r="K228" s="5">
        <f>SUM(O75:O86)</f>
        <v>1994385066.2226791</v>
      </c>
      <c r="L228" s="37">
        <f t="shared" si="12"/>
        <v>-18818306.777320862</v>
      </c>
      <c r="M228" s="4">
        <f t="shared" si="13"/>
        <v>-9.347444490557617E-3</v>
      </c>
    </row>
    <row r="229" spans="1:13" x14ac:dyDescent="0.2">
      <c r="A229" s="14">
        <v>2004</v>
      </c>
      <c r="B229" s="26"/>
      <c r="C229" s="14"/>
      <c r="D229" s="14"/>
      <c r="E229" s="26">
        <f>SUM(E87:E98)</f>
        <v>2009748106</v>
      </c>
      <c r="K229" s="5">
        <f>SUM(O87:O98)</f>
        <v>2002479882.2055197</v>
      </c>
      <c r="L229" s="37">
        <f t="shared" si="12"/>
        <v>-7268223.7944803238</v>
      </c>
      <c r="M229" s="4">
        <f t="shared" si="13"/>
        <v>-3.6164849578817436E-3</v>
      </c>
    </row>
    <row r="230" spans="1:13" x14ac:dyDescent="0.2">
      <c r="A230">
        <v>2005</v>
      </c>
      <c r="B230" s="26"/>
      <c r="E230" s="26">
        <f>SUM(E99:E110)</f>
        <v>2086364094.5741999</v>
      </c>
      <c r="K230" s="5">
        <f>SUM(O99:O110)</f>
        <v>2077578251.4867024</v>
      </c>
      <c r="L230" s="37">
        <f t="shared" si="12"/>
        <v>-8785843.0874974728</v>
      </c>
      <c r="M230" s="4">
        <f t="shared" si="13"/>
        <v>-4.2110785506450877E-3</v>
      </c>
    </row>
    <row r="231" spans="1:13" x14ac:dyDescent="0.2">
      <c r="A231" s="14">
        <v>2006</v>
      </c>
      <c r="B231" s="26"/>
      <c r="C231" s="14"/>
      <c r="D231" s="14"/>
      <c r="E231" s="26">
        <f>SUM(E111:E122)</f>
        <v>1983645710.3185</v>
      </c>
      <c r="K231" s="5">
        <f>SUM(O111:O122)</f>
        <v>2011422124.3310664</v>
      </c>
      <c r="L231" s="37">
        <f t="shared" si="12"/>
        <v>27776414.012566328</v>
      </c>
      <c r="M231" s="4">
        <f t="shared" si="13"/>
        <v>1.4002709187472023E-2</v>
      </c>
    </row>
    <row r="232" spans="1:13" x14ac:dyDescent="0.2">
      <c r="A232">
        <v>2007</v>
      </c>
      <c r="B232" s="26"/>
      <c r="E232" s="26">
        <f>SUM(E123:E134)</f>
        <v>1978990176.4429998</v>
      </c>
      <c r="K232" s="5">
        <f>SUM(O123:O134)</f>
        <v>1990597954.1714845</v>
      </c>
      <c r="L232" s="37">
        <f t="shared" si="12"/>
        <v>11607777.728484631</v>
      </c>
      <c r="M232" s="4">
        <f t="shared" si="13"/>
        <v>5.8655054818656221E-3</v>
      </c>
    </row>
    <row r="233" spans="1:13" x14ac:dyDescent="0.2">
      <c r="A233" s="14">
        <v>2008</v>
      </c>
      <c r="B233" s="26"/>
      <c r="C233" s="14"/>
      <c r="D233" s="14"/>
      <c r="E233" s="26">
        <f>SUM(E135:E146)</f>
        <v>1939064404.2694001</v>
      </c>
      <c r="K233" s="5">
        <f>SUM(O135:O146)</f>
        <v>1963251861.6181324</v>
      </c>
      <c r="L233" s="37">
        <f t="shared" si="12"/>
        <v>24187457.348732233</v>
      </c>
      <c r="M233" s="4">
        <f t="shared" si="13"/>
        <v>1.2473777196609193E-2</v>
      </c>
    </row>
    <row r="234" spans="1:13" x14ac:dyDescent="0.2">
      <c r="A234">
        <v>2009</v>
      </c>
      <c r="B234" s="26"/>
      <c r="E234" s="26">
        <f>SUM(E147:E158)</f>
        <v>1837133121.4989998</v>
      </c>
      <c r="K234" s="5">
        <f>SUM(O147:O158)</f>
        <v>1856174590.4812803</v>
      </c>
      <c r="L234" s="37">
        <f t="shared" si="12"/>
        <v>19041468.982280493</v>
      </c>
      <c r="M234" s="4">
        <f t="shared" si="13"/>
        <v>1.0364773657090074E-2</v>
      </c>
    </row>
    <row r="235" spans="1:13" x14ac:dyDescent="0.2">
      <c r="A235" s="14">
        <v>2010</v>
      </c>
      <c r="B235" s="26"/>
      <c r="C235" s="14"/>
      <c r="D235" s="14"/>
      <c r="E235" s="26">
        <f>SUM(E159:E170)</f>
        <v>1892633519.4493544</v>
      </c>
      <c r="K235" s="5">
        <f>SUM(O159:O170)</f>
        <v>1889691855.1705751</v>
      </c>
      <c r="L235" s="37">
        <f t="shared" si="12"/>
        <v>-2941664.2787792683</v>
      </c>
      <c r="M235" s="4">
        <f t="shared" si="13"/>
        <v>-1.5542704113341078E-3</v>
      </c>
    </row>
    <row r="236" spans="1:13" x14ac:dyDescent="0.2">
      <c r="A236">
        <v>2011</v>
      </c>
      <c r="B236" s="26"/>
      <c r="E236" s="26">
        <f>SUM(E171:E182)</f>
        <v>1895197232.5334651</v>
      </c>
      <c r="K236" s="5">
        <f>SUM(O171:O182)</f>
        <v>1882841042.2231548</v>
      </c>
      <c r="L236" s="37">
        <f t="shared" si="12"/>
        <v>-12356190.310310364</v>
      </c>
      <c r="M236" s="4">
        <f t="shared" si="13"/>
        <v>-6.5197384727038853E-3</v>
      </c>
    </row>
    <row r="237" spans="1:13" x14ac:dyDescent="0.2">
      <c r="A237">
        <v>2012</v>
      </c>
      <c r="B237" s="26"/>
      <c r="E237" s="26">
        <f>SUM(E183:E194)</f>
        <v>1885738118.3156619</v>
      </c>
      <c r="K237" s="5">
        <f>SUM(O183:O194)</f>
        <v>1867918901.7622917</v>
      </c>
      <c r="L237" s="37">
        <f t="shared" si="12"/>
        <v>-17819216.553370237</v>
      </c>
      <c r="M237" s="4">
        <f t="shared" si="13"/>
        <v>-9.4494651088064818E-3</v>
      </c>
    </row>
    <row r="238" spans="1:13" x14ac:dyDescent="0.2">
      <c r="A238">
        <v>2013</v>
      </c>
      <c r="B238" s="26"/>
      <c r="K238" s="5">
        <f>SUM(O195:O206)</f>
        <v>1899410964.9256573</v>
      </c>
      <c r="L238" s="37"/>
      <c r="M238" s="4"/>
    </row>
    <row r="239" spans="1:13" x14ac:dyDescent="0.2">
      <c r="A239">
        <v>2014</v>
      </c>
      <c r="B239" s="26"/>
      <c r="K239" s="5">
        <f>SUM(O207:O218)</f>
        <v>1906032581.5791934</v>
      </c>
      <c r="L239" s="37"/>
      <c r="M239" s="4"/>
    </row>
    <row r="240" spans="1:13" x14ac:dyDescent="0.2">
      <c r="B240" s="26"/>
      <c r="K240" s="5"/>
      <c r="M240" s="1"/>
    </row>
    <row r="241" spans="1:13" x14ac:dyDescent="0.2">
      <c r="A241" s="163" t="s">
        <v>171</v>
      </c>
      <c r="B241" s="26"/>
      <c r="C241" s="163"/>
      <c r="D241" s="163"/>
      <c r="E241" s="26">
        <f>SUM(E222:E237)</f>
        <v>31010073902.402588</v>
      </c>
      <c r="K241" s="5">
        <f>SUM(K222:K237)</f>
        <v>31010073902.402584</v>
      </c>
      <c r="L241" s="5">
        <f>K241-E241</f>
        <v>0</v>
      </c>
      <c r="M241" s="1"/>
    </row>
    <row r="242" spans="1:13" x14ac:dyDescent="0.2">
      <c r="K242" s="1"/>
      <c r="M242" s="1"/>
    </row>
    <row r="243" spans="1:13" x14ac:dyDescent="0.2">
      <c r="K243" s="5">
        <f>SUM(K222:K239)</f>
        <v>34815517448.907433</v>
      </c>
      <c r="L243" s="48">
        <f>O220-K243</f>
        <v>0</v>
      </c>
      <c r="M243" s="1"/>
    </row>
    <row r="244" spans="1:13" x14ac:dyDescent="0.2">
      <c r="K244" s="17"/>
      <c r="L244" s="222" t="s">
        <v>158</v>
      </c>
      <c r="M244" s="17"/>
    </row>
    <row r="245" spans="1:13" x14ac:dyDescent="0.2">
      <c r="A245" t="s">
        <v>172</v>
      </c>
      <c r="E245"/>
      <c r="F245"/>
      <c r="G245"/>
      <c r="H245"/>
      <c r="I245"/>
      <c r="J245"/>
      <c r="K245"/>
    </row>
    <row r="246" spans="1:13" ht="13.5" thickBot="1" x14ac:dyDescent="0.25">
      <c r="E246"/>
      <c r="F246"/>
      <c r="G246"/>
      <c r="H246"/>
      <c r="I246"/>
      <c r="J246"/>
      <c r="K246"/>
    </row>
    <row r="247" spans="1:13" x14ac:dyDescent="0.2">
      <c r="A247" s="239" t="s">
        <v>173</v>
      </c>
      <c r="B247" s="239"/>
      <c r="E247"/>
      <c r="F247"/>
      <c r="G247"/>
      <c r="H247"/>
      <c r="I247"/>
      <c r="J247"/>
      <c r="K247"/>
    </row>
    <row r="248" spans="1:13" x14ac:dyDescent="0.2">
      <c r="A248" s="36" t="s">
        <v>174</v>
      </c>
      <c r="B248" s="36">
        <v>0.94935542858046529</v>
      </c>
      <c r="E248"/>
      <c r="F248"/>
      <c r="G248"/>
      <c r="H248"/>
      <c r="I248"/>
      <c r="J248"/>
      <c r="K248"/>
    </row>
    <row r="249" spans="1:13" x14ac:dyDescent="0.2">
      <c r="A249" s="36" t="s">
        <v>18</v>
      </c>
      <c r="B249" s="36">
        <v>0.90127572977519887</v>
      </c>
      <c r="E249"/>
      <c r="F249"/>
      <c r="G249"/>
      <c r="H249"/>
      <c r="I249"/>
      <c r="J249"/>
      <c r="K249"/>
    </row>
    <row r="250" spans="1:13" x14ac:dyDescent="0.2">
      <c r="A250" s="36" t="s">
        <v>19</v>
      </c>
      <c r="B250" s="36">
        <v>0.89639376036847795</v>
      </c>
      <c r="E250"/>
      <c r="F250"/>
      <c r="G250"/>
      <c r="H250"/>
      <c r="I250"/>
      <c r="J250"/>
      <c r="K250"/>
    </row>
    <row r="251" spans="1:13" x14ac:dyDescent="0.2">
      <c r="A251" s="36" t="s">
        <v>175</v>
      </c>
      <c r="B251" s="36">
        <v>3985896.7329746201</v>
      </c>
      <c r="E251"/>
      <c r="F251"/>
      <c r="G251"/>
      <c r="H251"/>
      <c r="I251"/>
      <c r="J251"/>
      <c r="K251"/>
    </row>
    <row r="252" spans="1:13" ht="13.5" thickBot="1" x14ac:dyDescent="0.25">
      <c r="A252" s="237" t="s">
        <v>176</v>
      </c>
      <c r="B252" s="237">
        <v>192</v>
      </c>
      <c r="E252"/>
      <c r="F252"/>
      <c r="G252"/>
      <c r="H252"/>
      <c r="I252"/>
      <c r="J252"/>
      <c r="K252"/>
    </row>
    <row r="253" spans="1:13" x14ac:dyDescent="0.2">
      <c r="E253"/>
      <c r="F253"/>
      <c r="G253"/>
      <c r="H253"/>
      <c r="I253"/>
      <c r="J253"/>
      <c r="K253"/>
    </row>
    <row r="254" spans="1:13" ht="13.5" thickBot="1" x14ac:dyDescent="0.25">
      <c r="A254" t="s">
        <v>177</v>
      </c>
      <c r="E254"/>
      <c r="F254"/>
      <c r="G254"/>
      <c r="H254"/>
      <c r="I254"/>
      <c r="J254"/>
      <c r="K254"/>
    </row>
    <row r="255" spans="1:13" x14ac:dyDescent="0.2">
      <c r="A255" s="238"/>
      <c r="B255" s="238" t="s">
        <v>181</v>
      </c>
      <c r="C255" s="238" t="s">
        <v>182</v>
      </c>
      <c r="D255" s="238" t="s">
        <v>183</v>
      </c>
      <c r="E255" s="238" t="s">
        <v>184</v>
      </c>
      <c r="F255" s="566" t="s">
        <v>185</v>
      </c>
      <c r="G255" s="566"/>
      <c r="H255"/>
      <c r="I255"/>
      <c r="J255"/>
      <c r="K255"/>
    </row>
    <row r="256" spans="1:13" x14ac:dyDescent="0.2">
      <c r="A256" s="36" t="s">
        <v>178</v>
      </c>
      <c r="B256" s="36">
        <v>9</v>
      </c>
      <c r="C256" s="36">
        <v>2.6397160780456144E+16</v>
      </c>
      <c r="D256" s="36">
        <v>2933017864495127</v>
      </c>
      <c r="E256" s="36">
        <v>184.6131457797394</v>
      </c>
      <c r="F256" s="567">
        <v>1.4602788180591927E-86</v>
      </c>
      <c r="G256" s="567"/>
      <c r="H256"/>
      <c r="I256"/>
      <c r="J256"/>
      <c r="K256"/>
    </row>
    <row r="257" spans="1:11" x14ac:dyDescent="0.2">
      <c r="A257" s="36" t="s">
        <v>179</v>
      </c>
      <c r="B257" s="36">
        <v>182</v>
      </c>
      <c r="C257" s="36">
        <v>2891501843400670</v>
      </c>
      <c r="D257" s="36">
        <v>15887372765937.748</v>
      </c>
      <c r="E257" s="36"/>
      <c r="F257" s="36"/>
      <c r="G257"/>
      <c r="H257"/>
      <c r="I257"/>
      <c r="J257"/>
      <c r="K257"/>
    </row>
    <row r="258" spans="1:11" ht="13.5" thickBot="1" x14ac:dyDescent="0.25">
      <c r="A258" s="237" t="s">
        <v>10</v>
      </c>
      <c r="B258" s="237">
        <v>191</v>
      </c>
      <c r="C258" s="237">
        <v>2.9288662623856816E+16</v>
      </c>
      <c r="D258" s="237"/>
      <c r="E258" s="237"/>
      <c r="F258" s="237"/>
      <c r="G258"/>
      <c r="H258"/>
      <c r="I258"/>
      <c r="J258"/>
      <c r="K258"/>
    </row>
    <row r="259" spans="1:11" ht="13.5" thickBot="1" x14ac:dyDescent="0.25">
      <c r="E259"/>
      <c r="F259"/>
      <c r="G259"/>
      <c r="H259"/>
      <c r="I259"/>
      <c r="J259"/>
      <c r="K259"/>
    </row>
    <row r="260" spans="1:11" x14ac:dyDescent="0.2">
      <c r="A260" s="238"/>
      <c r="B260" s="238" t="s">
        <v>186</v>
      </c>
      <c r="C260" s="238" t="s">
        <v>175</v>
      </c>
      <c r="D260" s="238" t="s">
        <v>187</v>
      </c>
      <c r="E260" s="238" t="s">
        <v>188</v>
      </c>
      <c r="F260" s="238" t="s">
        <v>189</v>
      </c>
      <c r="G260" s="238" t="s">
        <v>190</v>
      </c>
      <c r="H260" s="238" t="s">
        <v>191</v>
      </c>
      <c r="I260" s="238" t="s">
        <v>192</v>
      </c>
      <c r="J260"/>
      <c r="K260"/>
    </row>
    <row r="261" spans="1:11" x14ac:dyDescent="0.2">
      <c r="A261" s="36" t="s">
        <v>180</v>
      </c>
      <c r="B261" s="36">
        <v>-46048826.283131078</v>
      </c>
      <c r="C261" s="36">
        <v>12580763.688286325</v>
      </c>
      <c r="D261" s="36">
        <v>-3.6602568352830707</v>
      </c>
      <c r="E261" s="36">
        <v>3.2998062221268628E-4</v>
      </c>
      <c r="F261" s="36">
        <v>-70871730.797214493</v>
      </c>
      <c r="G261" s="36">
        <v>-21225921.769047659</v>
      </c>
      <c r="H261" s="36">
        <v>-70871730.797214493</v>
      </c>
      <c r="I261" s="36">
        <v>-21225921.769047659</v>
      </c>
      <c r="J261"/>
      <c r="K261"/>
    </row>
    <row r="262" spans="1:11" x14ac:dyDescent="0.2">
      <c r="A262" s="36" t="s">
        <v>3</v>
      </c>
      <c r="B262" s="36">
        <v>41792.260668649309</v>
      </c>
      <c r="C262" s="36">
        <v>1762.0314770091461</v>
      </c>
      <c r="D262" s="36">
        <v>23.718225930666719</v>
      </c>
      <c r="E262" s="36">
        <v>1.4300217654888372E-57</v>
      </c>
      <c r="F262" s="36">
        <v>38315.624417597908</v>
      </c>
      <c r="G262" s="36">
        <v>45268.89691970071</v>
      </c>
      <c r="H262" s="36">
        <v>38315.624417597908</v>
      </c>
      <c r="I262" s="36">
        <v>45268.89691970071</v>
      </c>
      <c r="J262"/>
      <c r="K262"/>
    </row>
    <row r="263" spans="1:11" x14ac:dyDescent="0.2">
      <c r="A263" s="36" t="s">
        <v>4</v>
      </c>
      <c r="B263" s="36">
        <v>296766.52364258392</v>
      </c>
      <c r="C263" s="36">
        <v>16899.842555110092</v>
      </c>
      <c r="D263" s="36">
        <v>17.560312924504089</v>
      </c>
      <c r="E263" s="36">
        <v>5.0108449647753642E-41</v>
      </c>
      <c r="F263" s="36">
        <v>263421.71338761254</v>
      </c>
      <c r="G263" s="36">
        <v>330111.33389755531</v>
      </c>
      <c r="H263" s="36">
        <v>263421.71338761254</v>
      </c>
      <c r="I263" s="36">
        <v>330111.33389755531</v>
      </c>
      <c r="J263"/>
      <c r="K263"/>
    </row>
    <row r="264" spans="1:11" x14ac:dyDescent="0.2">
      <c r="A264" s="36" t="s">
        <v>6</v>
      </c>
      <c r="B264" s="36">
        <v>161411.89246772369</v>
      </c>
      <c r="C264" s="36">
        <v>81826.721974553511</v>
      </c>
      <c r="D264" s="36">
        <v>1.9726061190367565</v>
      </c>
      <c r="E264" s="36">
        <v>5.005493970187478E-2</v>
      </c>
      <c r="F264" s="36">
        <v>-39.10976085945731</v>
      </c>
      <c r="G264" s="36">
        <v>322862.89469630684</v>
      </c>
      <c r="H264" s="36">
        <v>-39.10976085945731</v>
      </c>
      <c r="I264" s="36">
        <v>322862.89469630684</v>
      </c>
      <c r="J264"/>
      <c r="K264"/>
    </row>
    <row r="265" spans="1:11" x14ac:dyDescent="0.2">
      <c r="A265" s="36" t="s">
        <v>5</v>
      </c>
      <c r="B265" s="36">
        <v>3601602.0934267221</v>
      </c>
      <c r="C265" s="36">
        <v>386618.72463322297</v>
      </c>
      <c r="D265" s="36">
        <v>9.3156432007877683</v>
      </c>
      <c r="E265" s="36">
        <v>4.0102616427191734E-17</v>
      </c>
      <c r="F265" s="36">
        <v>2838770.8438529968</v>
      </c>
      <c r="G265" s="36">
        <v>4364433.3430004474</v>
      </c>
      <c r="H265" s="36">
        <v>2838770.8438529968</v>
      </c>
      <c r="I265" s="36">
        <v>4364433.3430004474</v>
      </c>
      <c r="J265"/>
      <c r="K265"/>
    </row>
    <row r="266" spans="1:11" x14ac:dyDescent="0.2">
      <c r="A266" s="36" t="s">
        <v>17</v>
      </c>
      <c r="B266" s="36">
        <v>-4583399.9113302315</v>
      </c>
      <c r="C266" s="36">
        <v>768022.27827873477</v>
      </c>
      <c r="D266" s="36">
        <v>-5.967795519685172</v>
      </c>
      <c r="E266" s="36">
        <v>1.2299800061315486E-8</v>
      </c>
      <c r="F266" s="36">
        <v>-6098772.4396412447</v>
      </c>
      <c r="G266" s="36">
        <v>-3068027.3830192182</v>
      </c>
      <c r="H266" s="36">
        <v>-6098772.4396412447</v>
      </c>
      <c r="I266" s="36">
        <v>-3068027.3830192182</v>
      </c>
      <c r="J266"/>
      <c r="K266"/>
    </row>
    <row r="267" spans="1:11" x14ac:dyDescent="0.2">
      <c r="A267" s="36" t="s">
        <v>51</v>
      </c>
      <c r="B267" s="36">
        <v>-3.8763001801425587</v>
      </c>
      <c r="C267" s="36">
        <v>0.41430241511185345</v>
      </c>
      <c r="D267" s="36">
        <v>-9.3562094710358714</v>
      </c>
      <c r="E267" s="36">
        <v>3.0954308184673886E-17</v>
      </c>
      <c r="F267" s="36">
        <v>-4.6937536786015652</v>
      </c>
      <c r="G267" s="36">
        <v>-3.0588466816835522</v>
      </c>
      <c r="H267" s="36">
        <v>-4.6937536786015652</v>
      </c>
      <c r="I267" s="36">
        <v>-3.0588466816835522</v>
      </c>
      <c r="J267"/>
      <c r="K267"/>
    </row>
    <row r="268" spans="1:11" x14ac:dyDescent="0.2">
      <c r="A268" s="36" t="s">
        <v>54</v>
      </c>
      <c r="B268" s="36">
        <v>76539.495008149461</v>
      </c>
      <c r="C268" s="36">
        <v>18334.664550937458</v>
      </c>
      <c r="D268" s="36">
        <v>4.1745784219562374</v>
      </c>
      <c r="E268" s="36">
        <v>4.6220391260692026E-5</v>
      </c>
      <c r="F268" s="36">
        <v>40363.660319399787</v>
      </c>
      <c r="G268" s="36">
        <v>112715.32969689913</v>
      </c>
      <c r="H268" s="36">
        <v>40363.660319399787</v>
      </c>
      <c r="I268" s="36">
        <v>112715.32969689913</v>
      </c>
      <c r="J268"/>
      <c r="K268"/>
    </row>
    <row r="269" spans="1:11" x14ac:dyDescent="0.2">
      <c r="A269" s="36" t="s">
        <v>202</v>
      </c>
      <c r="B269" s="36">
        <v>75008.627921038322</v>
      </c>
      <c r="C269" s="36">
        <v>21311.760075664239</v>
      </c>
      <c r="D269" s="36">
        <v>3.5195886052926331</v>
      </c>
      <c r="E269" s="36">
        <v>5.4605088711179057E-4</v>
      </c>
      <c r="F269" s="36">
        <v>32958.733455742273</v>
      </c>
      <c r="G269" s="36">
        <v>117058.52238633437</v>
      </c>
      <c r="H269" s="36">
        <v>32958.733455742273</v>
      </c>
      <c r="I269" s="36">
        <v>117058.52238633437</v>
      </c>
      <c r="J269"/>
      <c r="K269"/>
    </row>
    <row r="270" spans="1:11" ht="13.5" thickBot="1" x14ac:dyDescent="0.25">
      <c r="A270" s="237" t="s">
        <v>203</v>
      </c>
      <c r="B270" s="237">
        <v>-143282.20331729966</v>
      </c>
      <c r="C270" s="237">
        <v>53903.992589769434</v>
      </c>
      <c r="D270" s="237">
        <v>-2.6581000113986644</v>
      </c>
      <c r="E270" s="237">
        <v>8.55788636250558E-3</v>
      </c>
      <c r="F270" s="237">
        <v>-249639.31280100608</v>
      </c>
      <c r="G270" s="237">
        <v>-36925.09383359323</v>
      </c>
      <c r="H270" s="237">
        <v>-249639.31280100608</v>
      </c>
      <c r="I270" s="237">
        <v>-36925.09383359323</v>
      </c>
      <c r="J270"/>
      <c r="K270"/>
    </row>
    <row r="271" spans="1:11" x14ac:dyDescent="0.2">
      <c r="A271" s="7"/>
      <c r="B271" s="11"/>
      <c r="E271"/>
      <c r="F271"/>
      <c r="G271"/>
      <c r="H271"/>
      <c r="I271"/>
      <c r="J271"/>
      <c r="K271"/>
    </row>
    <row r="272" spans="1:11" x14ac:dyDescent="0.2">
      <c r="A272" s="7"/>
      <c r="B272" s="11"/>
      <c r="E272"/>
      <c r="F272"/>
      <c r="G272"/>
      <c r="H272"/>
      <c r="I272"/>
      <c r="J272"/>
      <c r="K272"/>
    </row>
    <row r="273" spans="1:11" x14ac:dyDescent="0.2">
      <c r="A273" s="7"/>
      <c r="B273" s="11"/>
      <c r="E273"/>
      <c r="F273"/>
      <c r="G273"/>
      <c r="H273"/>
      <c r="I273"/>
      <c r="J273"/>
      <c r="K273"/>
    </row>
    <row r="274" spans="1:11" x14ac:dyDescent="0.2">
      <c r="A274" s="7"/>
      <c r="B274" s="11"/>
      <c r="E274"/>
      <c r="F274"/>
      <c r="G274"/>
      <c r="H274"/>
      <c r="I274"/>
      <c r="J274"/>
      <c r="K274"/>
    </row>
    <row r="275" spans="1:11" x14ac:dyDescent="0.2">
      <c r="A275" s="7"/>
      <c r="B275" s="11"/>
      <c r="E275"/>
      <c r="F275"/>
      <c r="G275"/>
      <c r="H275"/>
      <c r="I275"/>
      <c r="J275"/>
      <c r="K275"/>
    </row>
    <row r="276" spans="1:11" x14ac:dyDescent="0.2">
      <c r="A276" s="7"/>
      <c r="B276" s="11"/>
      <c r="E276"/>
      <c r="F276"/>
      <c r="G276"/>
      <c r="H276"/>
      <c r="I276"/>
      <c r="J276"/>
      <c r="K276"/>
    </row>
    <row r="277" spans="1:11" x14ac:dyDescent="0.2">
      <c r="A277" s="7"/>
      <c r="B277" s="11"/>
      <c r="E277"/>
      <c r="F277"/>
      <c r="G277"/>
      <c r="H277"/>
      <c r="I277"/>
      <c r="J277"/>
      <c r="K277"/>
    </row>
    <row r="278" spans="1:11" x14ac:dyDescent="0.2">
      <c r="A278" s="7"/>
      <c r="B278" s="11"/>
      <c r="E278"/>
      <c r="F278"/>
      <c r="G278"/>
      <c r="H278"/>
      <c r="I278"/>
      <c r="J278"/>
      <c r="K278"/>
    </row>
    <row r="279" spans="1:11" x14ac:dyDescent="0.2">
      <c r="A279" s="7"/>
      <c r="B279" s="11"/>
      <c r="E279"/>
      <c r="F279"/>
      <c r="G279"/>
      <c r="H279"/>
      <c r="I279"/>
      <c r="J279"/>
      <c r="K279"/>
    </row>
    <row r="280" spans="1:11" x14ac:dyDescent="0.2">
      <c r="A280" s="7"/>
      <c r="B280" s="11"/>
      <c r="E280"/>
      <c r="F280"/>
      <c r="G280"/>
      <c r="H280"/>
      <c r="I280"/>
      <c r="J280"/>
      <c r="K280"/>
    </row>
    <row r="281" spans="1:11" x14ac:dyDescent="0.2">
      <c r="A281" s="7"/>
      <c r="B281" s="11"/>
      <c r="E281"/>
      <c r="F281"/>
      <c r="G281"/>
      <c r="H281"/>
      <c r="I281"/>
      <c r="J281"/>
      <c r="K281"/>
    </row>
    <row r="282" spans="1:11" x14ac:dyDescent="0.2">
      <c r="A282" s="7"/>
      <c r="B282" s="11"/>
      <c r="E282"/>
      <c r="F282"/>
      <c r="G282"/>
      <c r="H282"/>
      <c r="I282"/>
      <c r="J282"/>
      <c r="K282"/>
    </row>
    <row r="283" spans="1:11" ht="76.5" x14ac:dyDescent="0.2">
      <c r="A283" s="26" t="s">
        <v>122</v>
      </c>
      <c r="B283" s="214" t="s">
        <v>3</v>
      </c>
      <c r="C283" s="214" t="s">
        <v>4</v>
      </c>
      <c r="D283" s="215" t="s">
        <v>6</v>
      </c>
      <c r="E283" s="216" t="s">
        <v>5</v>
      </c>
      <c r="F283" s="216" t="s">
        <v>17</v>
      </c>
      <c r="G283" s="214" t="s">
        <v>290</v>
      </c>
      <c r="H283" s="216" t="s">
        <v>54</v>
      </c>
      <c r="I283" s="216" t="s">
        <v>202</v>
      </c>
      <c r="J283" s="216" t="s">
        <v>203</v>
      </c>
      <c r="K283" s="216" t="s">
        <v>11</v>
      </c>
    </row>
    <row r="284" spans="1:11" x14ac:dyDescent="0.2">
      <c r="A284" s="26"/>
      <c r="B284" s="16">
        <f>'HDD and CDD'!V5</f>
        <v>765.68500000000006</v>
      </c>
      <c r="C284" s="16">
        <f>'HDD and CDD'!V19</f>
        <v>0</v>
      </c>
      <c r="D284" s="33">
        <f t="shared" ref="D284:D295" si="14">H207</f>
        <v>144.35917379447397</v>
      </c>
      <c r="E284" s="7">
        <f t="shared" ref="E284:E295" si="15">I207</f>
        <v>31</v>
      </c>
      <c r="F284" s="7">
        <f t="shared" ref="F284:F295" si="16">J207</f>
        <v>0</v>
      </c>
      <c r="G284" s="7">
        <f t="shared" ref="G284:G295" si="17">K207</f>
        <v>4146342.9012691271</v>
      </c>
      <c r="H284" s="7">
        <f t="shared" ref="H284:H295" si="18">L207</f>
        <v>352</v>
      </c>
      <c r="I284" s="7">
        <f t="shared" ref="I284:I295" si="19">+M207</f>
        <v>693.7</v>
      </c>
      <c r="J284" s="7">
        <f t="shared" ref="J284:J295" si="20">+N207</f>
        <v>49.019486081370474</v>
      </c>
      <c r="K284" s="7">
        <f t="shared" ref="K284:K295" si="21">$B$261+B284*$B$262+C284*$B$263+D284*$B$264+E284*$B$265+F284*$B$266+G284*$B$267+H284*$B$268+I284*$B$269+J284*$B$270</f>
        <v>176781130.88576522</v>
      </c>
    </row>
    <row r="285" spans="1:11" x14ac:dyDescent="0.2">
      <c r="A285" s="26"/>
      <c r="B285" s="16">
        <f>'HDD and CDD'!V6</f>
        <v>685.41</v>
      </c>
      <c r="C285" s="16">
        <f>'HDD and CDD'!V20</f>
        <v>0</v>
      </c>
      <c r="D285" s="33">
        <f t="shared" si="14"/>
        <v>144.58577586600015</v>
      </c>
      <c r="E285" s="7">
        <f t="shared" si="15"/>
        <v>28</v>
      </c>
      <c r="F285" s="7">
        <f t="shared" si="16"/>
        <v>0</v>
      </c>
      <c r="G285" s="7">
        <f t="shared" si="17"/>
        <v>4144972.5162297329</v>
      </c>
      <c r="H285" s="7">
        <f t="shared" si="18"/>
        <v>304</v>
      </c>
      <c r="I285" s="7">
        <f t="shared" si="19"/>
        <v>693.7</v>
      </c>
      <c r="J285" s="7">
        <f t="shared" si="20"/>
        <v>49.019486081370474</v>
      </c>
      <c r="K285" s="7">
        <f t="shared" si="21"/>
        <v>158989443.41289529</v>
      </c>
    </row>
    <row r="286" spans="1:11" x14ac:dyDescent="0.2">
      <c r="A286" s="26"/>
      <c r="B286" s="16">
        <f>'HDD and CDD'!V7</f>
        <v>571.68500000000006</v>
      </c>
      <c r="C286" s="16">
        <f>'HDD and CDD'!V21</f>
        <v>0</v>
      </c>
      <c r="D286" s="33">
        <f t="shared" si="14"/>
        <v>144.81273363711554</v>
      </c>
      <c r="E286" s="7">
        <f t="shared" si="15"/>
        <v>31</v>
      </c>
      <c r="F286" s="7">
        <f t="shared" si="16"/>
        <v>1</v>
      </c>
      <c r="G286" s="7">
        <f t="shared" si="17"/>
        <v>4143602.1311903386</v>
      </c>
      <c r="H286" s="7">
        <f t="shared" si="18"/>
        <v>336</v>
      </c>
      <c r="I286" s="7">
        <f t="shared" si="19"/>
        <v>693.7</v>
      </c>
      <c r="J286" s="7">
        <f t="shared" si="20"/>
        <v>49.019486081370474</v>
      </c>
      <c r="K286" s="7">
        <f t="shared" si="21"/>
        <v>162949234.48468491</v>
      </c>
    </row>
    <row r="287" spans="1:11" x14ac:dyDescent="0.2">
      <c r="A287" s="26"/>
      <c r="B287" s="16">
        <f>'HDD and CDD'!V8</f>
        <v>346.2</v>
      </c>
      <c r="C287" s="16">
        <f>'HDD and CDD'!V22</f>
        <v>0.39</v>
      </c>
      <c r="D287" s="33">
        <f t="shared" si="14"/>
        <v>145.04004766616546</v>
      </c>
      <c r="E287" s="7">
        <f t="shared" si="15"/>
        <v>30</v>
      </c>
      <c r="F287" s="7">
        <f t="shared" si="16"/>
        <v>1</v>
      </c>
      <c r="G287" s="7">
        <f t="shared" si="17"/>
        <v>4142231.7461509444</v>
      </c>
      <c r="H287" s="7">
        <f t="shared" si="18"/>
        <v>336</v>
      </c>
      <c r="I287" s="7">
        <f t="shared" si="19"/>
        <v>693.7</v>
      </c>
      <c r="J287" s="7">
        <f t="shared" si="20"/>
        <v>49.019486081370474</v>
      </c>
      <c r="K287" s="7">
        <f t="shared" si="21"/>
        <v>150081846.64999688</v>
      </c>
    </row>
    <row r="288" spans="1:11" x14ac:dyDescent="0.2">
      <c r="A288" s="26"/>
      <c r="B288" s="16">
        <f>'HDD and CDD'!V9</f>
        <v>184.17000000000002</v>
      </c>
      <c r="C288" s="16">
        <f>'HDD and CDD'!V23</f>
        <v>9.25</v>
      </c>
      <c r="D288" s="33">
        <f t="shared" si="14"/>
        <v>145.2677185123716</v>
      </c>
      <c r="E288" s="7">
        <f t="shared" si="15"/>
        <v>31</v>
      </c>
      <c r="F288" s="7">
        <f t="shared" si="16"/>
        <v>1</v>
      </c>
      <c r="G288" s="7">
        <f t="shared" si="17"/>
        <v>4140861.3611115501</v>
      </c>
      <c r="H288" s="7">
        <f t="shared" si="18"/>
        <v>336</v>
      </c>
      <c r="I288" s="7">
        <f t="shared" si="19"/>
        <v>693.7</v>
      </c>
      <c r="J288" s="7">
        <f t="shared" si="20"/>
        <v>49.019486081370474</v>
      </c>
      <c r="K288" s="7">
        <f t="shared" si="21"/>
        <v>149583260.95267656</v>
      </c>
    </row>
    <row r="289" spans="1:11" x14ac:dyDescent="0.2">
      <c r="A289" s="26"/>
      <c r="B289" s="16">
        <f>'HDD and CDD'!V10</f>
        <v>50.945000000000007</v>
      </c>
      <c r="C289" s="16">
        <f>'HDD and CDD'!V24</f>
        <v>42.285000000000004</v>
      </c>
      <c r="D289" s="33">
        <f t="shared" si="14"/>
        <v>145.49574673583354</v>
      </c>
      <c r="E289" s="7">
        <f t="shared" si="15"/>
        <v>30</v>
      </c>
      <c r="F289" s="7">
        <f t="shared" si="16"/>
        <v>0</v>
      </c>
      <c r="G289" s="7">
        <f t="shared" si="17"/>
        <v>4139490.9760721559</v>
      </c>
      <c r="H289" s="7">
        <f t="shared" si="18"/>
        <v>336</v>
      </c>
      <c r="I289" s="7">
        <f t="shared" si="19"/>
        <v>693.7</v>
      </c>
      <c r="J289" s="7">
        <f t="shared" si="20"/>
        <v>49.019486081370474</v>
      </c>
      <c r="K289" s="7">
        <f t="shared" si="21"/>
        <v>154843085.44239214</v>
      </c>
    </row>
    <row r="290" spans="1:11" x14ac:dyDescent="0.2">
      <c r="A290" s="26"/>
      <c r="B290" s="16">
        <f>'HDD and CDD'!V11</f>
        <v>12.779999999999998</v>
      </c>
      <c r="C290" s="16">
        <f>'HDD and CDD'!V25</f>
        <v>82.89</v>
      </c>
      <c r="D290" s="33">
        <f t="shared" si="14"/>
        <v>145.72413289752996</v>
      </c>
      <c r="E290" s="7">
        <f t="shared" si="15"/>
        <v>31</v>
      </c>
      <c r="F290" s="7">
        <f t="shared" si="16"/>
        <v>0</v>
      </c>
      <c r="G290" s="7">
        <f t="shared" si="17"/>
        <v>4138120.5910327616</v>
      </c>
      <c r="H290" s="7">
        <f t="shared" si="18"/>
        <v>352</v>
      </c>
      <c r="I290" s="7">
        <f t="shared" si="19"/>
        <v>693.7</v>
      </c>
      <c r="J290" s="7">
        <f t="shared" si="20"/>
        <v>49.019486081370474</v>
      </c>
      <c r="K290" s="7">
        <f t="shared" si="21"/>
        <v>170166698.78638533</v>
      </c>
    </row>
    <row r="291" spans="1:11" x14ac:dyDescent="0.2">
      <c r="A291" s="26"/>
      <c r="B291" s="16">
        <f>'HDD and CDD'!V12</f>
        <v>24.245000000000001</v>
      </c>
      <c r="C291" s="16">
        <f>'HDD and CDD'!V26</f>
        <v>57.370000000000005</v>
      </c>
      <c r="D291" s="33">
        <f t="shared" si="14"/>
        <v>145.9528775593202</v>
      </c>
      <c r="E291" s="7">
        <f t="shared" si="15"/>
        <v>31</v>
      </c>
      <c r="F291" s="7">
        <f t="shared" si="16"/>
        <v>0</v>
      </c>
      <c r="G291" s="7">
        <f t="shared" si="17"/>
        <v>4136750.2059933674</v>
      </c>
      <c r="H291" s="7">
        <f t="shared" si="18"/>
        <v>320</v>
      </c>
      <c r="I291" s="7">
        <f t="shared" si="19"/>
        <v>693.7</v>
      </c>
      <c r="J291" s="7">
        <f t="shared" si="20"/>
        <v>49.019486081370474</v>
      </c>
      <c r="K291" s="7">
        <f t="shared" si="21"/>
        <v>160665335.66385838</v>
      </c>
    </row>
    <row r="292" spans="1:11" x14ac:dyDescent="0.2">
      <c r="A292" s="26"/>
      <c r="B292" s="16">
        <f>'HDD and CDD'!V13</f>
        <v>97.155000000000001</v>
      </c>
      <c r="C292" s="16">
        <f>'HDD and CDD'!V27</f>
        <v>13.904999999999998</v>
      </c>
      <c r="D292" s="33">
        <f t="shared" si="14"/>
        <v>146.18198128394553</v>
      </c>
      <c r="E292" s="7">
        <f t="shared" si="15"/>
        <v>30</v>
      </c>
      <c r="F292" s="7">
        <f t="shared" si="16"/>
        <v>1</v>
      </c>
      <c r="G292" s="7">
        <f t="shared" si="17"/>
        <v>4135379.8209539731</v>
      </c>
      <c r="H292" s="7">
        <f t="shared" si="18"/>
        <v>336</v>
      </c>
      <c r="I292" s="7">
        <f t="shared" si="19"/>
        <v>693.7</v>
      </c>
      <c r="J292" s="7">
        <f t="shared" si="20"/>
        <v>49.019486081370474</v>
      </c>
      <c r="K292" s="7">
        <f t="shared" si="21"/>
        <v>143895374.44399637</v>
      </c>
    </row>
    <row r="293" spans="1:11" x14ac:dyDescent="0.2">
      <c r="A293" s="26"/>
      <c r="B293" s="16">
        <f>'HDD and CDD'!V14</f>
        <v>289.80499999999995</v>
      </c>
      <c r="C293" s="16">
        <f>'HDD and CDD'!V28</f>
        <v>1.35</v>
      </c>
      <c r="D293" s="33">
        <f t="shared" si="14"/>
        <v>146.41144463503053</v>
      </c>
      <c r="E293" s="7">
        <f t="shared" si="15"/>
        <v>31</v>
      </c>
      <c r="F293" s="7">
        <f t="shared" si="16"/>
        <v>1</v>
      </c>
      <c r="G293" s="7">
        <f t="shared" si="17"/>
        <v>4134009.4359145788</v>
      </c>
      <c r="H293" s="7">
        <f t="shared" si="18"/>
        <v>352</v>
      </c>
      <c r="I293" s="7">
        <f t="shared" si="19"/>
        <v>693.7</v>
      </c>
      <c r="J293" s="7">
        <f t="shared" si="20"/>
        <v>49.019486081370474</v>
      </c>
      <c r="K293" s="7">
        <f t="shared" si="21"/>
        <v>153089333.90856183</v>
      </c>
    </row>
    <row r="294" spans="1:11" x14ac:dyDescent="0.2">
      <c r="A294" s="26"/>
      <c r="B294" s="16">
        <f>'HDD and CDD'!V15</f>
        <v>445.81000000000006</v>
      </c>
      <c r="C294" s="16">
        <f>'HDD and CDD'!V29</f>
        <v>0</v>
      </c>
      <c r="D294" s="33">
        <f t="shared" si="14"/>
        <v>146.64126817708456</v>
      </c>
      <c r="E294" s="7">
        <f t="shared" si="15"/>
        <v>30</v>
      </c>
      <c r="F294" s="7">
        <f t="shared" si="16"/>
        <v>1</v>
      </c>
      <c r="G294" s="7">
        <f t="shared" si="17"/>
        <v>4132639.0508751846</v>
      </c>
      <c r="H294" s="7">
        <f t="shared" si="18"/>
        <v>320</v>
      </c>
      <c r="I294" s="7">
        <f t="shared" si="19"/>
        <v>693.7</v>
      </c>
      <c r="J294" s="7">
        <f t="shared" si="20"/>
        <v>49.019486081370474</v>
      </c>
      <c r="K294" s="7">
        <f t="shared" si="21"/>
        <v>153200043.07020113</v>
      </c>
    </row>
    <row r="295" spans="1:11" x14ac:dyDescent="0.2">
      <c r="A295" s="26"/>
      <c r="B295" s="16">
        <f>'HDD and CDD'!V16</f>
        <v>648.66999999999985</v>
      </c>
      <c r="C295" s="16">
        <f>'HDD and CDD'!V30</f>
        <v>0</v>
      </c>
      <c r="D295" s="33">
        <f t="shared" si="14"/>
        <v>146.87145247550308</v>
      </c>
      <c r="E295" s="7">
        <f t="shared" si="15"/>
        <v>31</v>
      </c>
      <c r="F295" s="7">
        <f t="shared" si="16"/>
        <v>0</v>
      </c>
      <c r="G295" s="7">
        <f t="shared" si="17"/>
        <v>4131268.6658357903</v>
      </c>
      <c r="H295" s="7">
        <f t="shared" si="18"/>
        <v>336</v>
      </c>
      <c r="I295" s="7">
        <f t="shared" si="19"/>
        <v>693.7</v>
      </c>
      <c r="J295" s="7">
        <f t="shared" si="20"/>
        <v>49.019486081370474</v>
      </c>
      <c r="K295" s="7">
        <f t="shared" si="21"/>
        <v>171130121.50132981</v>
      </c>
    </row>
    <row r="296" spans="1:11" x14ac:dyDescent="0.2">
      <c r="A296" s="26"/>
      <c r="B296" s="1"/>
      <c r="C296" s="1"/>
      <c r="D296" s="34"/>
      <c r="E296" s="1"/>
      <c r="G296" s="22"/>
      <c r="H296" s="1"/>
      <c r="I296" s="257"/>
      <c r="J296" s="257"/>
      <c r="K296" s="48">
        <f>SUM(K284:K295)</f>
        <v>1905374909.2027442</v>
      </c>
    </row>
    <row r="297" spans="1:11" x14ac:dyDescent="0.2">
      <c r="A297" s="26"/>
      <c r="B297" s="1"/>
      <c r="C297" s="1"/>
      <c r="D297" s="34"/>
      <c r="E297" s="1"/>
      <c r="G297" s="22"/>
      <c r="H297" s="1"/>
      <c r="I297" s="257"/>
      <c r="J297" s="257"/>
      <c r="K297" s="1"/>
    </row>
    <row r="298" spans="1:11" x14ac:dyDescent="0.2">
      <c r="A298" s="26"/>
      <c r="B298" s="1"/>
      <c r="C298" s="1"/>
      <c r="D298" s="34"/>
      <c r="E298" s="1"/>
      <c r="G298" s="22"/>
      <c r="H298" s="1"/>
      <c r="I298" s="257"/>
      <c r="J298" s="257"/>
      <c r="K298" s="1"/>
    </row>
    <row r="299" spans="1:11" x14ac:dyDescent="0.2">
      <c r="A299" s="26" t="s">
        <v>123</v>
      </c>
      <c r="B299" s="1"/>
      <c r="C299" s="1"/>
      <c r="D299" s="34"/>
      <c r="E299" s="1"/>
      <c r="G299" s="22"/>
      <c r="H299" s="1"/>
      <c r="I299" s="257"/>
      <c r="J299" s="257"/>
      <c r="K299" s="1"/>
    </row>
    <row r="300" spans="1:11" x14ac:dyDescent="0.2">
      <c r="A300" s="26"/>
      <c r="B300" s="16">
        <f>'HDD and CDD'!W5</f>
        <v>696.14522556390875</v>
      </c>
      <c r="C300" s="16">
        <f>'HDD and CDD'!W19</f>
        <v>0</v>
      </c>
      <c r="D300" s="33">
        <f t="shared" ref="D300:H300" si="22">D284</f>
        <v>144.35917379447397</v>
      </c>
      <c r="E300" s="7">
        <f t="shared" si="22"/>
        <v>31</v>
      </c>
      <c r="F300" s="7">
        <f t="shared" si="22"/>
        <v>0</v>
      </c>
      <c r="G300" s="7">
        <f t="shared" si="22"/>
        <v>4146342.9012691271</v>
      </c>
      <c r="H300" s="7">
        <f t="shared" si="22"/>
        <v>352</v>
      </c>
      <c r="I300" s="7">
        <f>+I284</f>
        <v>693.7</v>
      </c>
      <c r="J300" s="7">
        <f>+J284</f>
        <v>49.019486081370474</v>
      </c>
      <c r="K300" s="7">
        <f t="shared" ref="K300:K311" si="23">$B$261+B300*$B$262+C300*$B$263+D300*$B$264+E300*$B$265+F300*$B$266+G300*$B$267+H300*$B$268+I300*$B$269+J300*$B$270</f>
        <v>173874906.50569302</v>
      </c>
    </row>
    <row r="301" spans="1:11" x14ac:dyDescent="0.2">
      <c r="A301" s="26"/>
      <c r="B301" s="16">
        <f>'HDD and CDD'!W6</f>
        <v>630.6102255639089</v>
      </c>
      <c r="C301" s="16">
        <f>'HDD and CDD'!W20</f>
        <v>0</v>
      </c>
      <c r="D301" s="33">
        <f t="shared" ref="D301:D311" si="24">D285</f>
        <v>144.58577586600015</v>
      </c>
      <c r="E301" s="7">
        <f t="shared" ref="E301:H311" si="25">E285</f>
        <v>28</v>
      </c>
      <c r="F301" s="7">
        <f t="shared" si="25"/>
        <v>0</v>
      </c>
      <c r="G301" s="7">
        <f t="shared" si="25"/>
        <v>4144972.5162297329</v>
      </c>
      <c r="H301" s="7">
        <f t="shared" si="25"/>
        <v>304</v>
      </c>
      <c r="I301" s="7">
        <f t="shared" ref="I301:J301" si="26">+I285</f>
        <v>693.7</v>
      </c>
      <c r="J301" s="7">
        <f t="shared" si="26"/>
        <v>49.019486081370474</v>
      </c>
      <c r="K301" s="7">
        <f t="shared" si="23"/>
        <v>156699236.95507899</v>
      </c>
    </row>
    <row r="302" spans="1:11" x14ac:dyDescent="0.2">
      <c r="A302" s="26"/>
      <c r="B302" s="16">
        <f>'HDD and CDD'!W7</f>
        <v>527.32992481203109</v>
      </c>
      <c r="C302" s="16">
        <f>'HDD and CDD'!W21</f>
        <v>0</v>
      </c>
      <c r="D302" s="33">
        <f t="shared" si="24"/>
        <v>144.81273363711554</v>
      </c>
      <c r="E302" s="7">
        <f t="shared" si="25"/>
        <v>31</v>
      </c>
      <c r="F302" s="7">
        <f t="shared" si="25"/>
        <v>1</v>
      </c>
      <c r="G302" s="7">
        <f t="shared" si="25"/>
        <v>4143602.1311903386</v>
      </c>
      <c r="H302" s="7">
        <f t="shared" si="25"/>
        <v>336</v>
      </c>
      <c r="I302" s="7">
        <f t="shared" ref="I302:J302" si="27">+I286</f>
        <v>693.7</v>
      </c>
      <c r="J302" s="7">
        <f t="shared" si="27"/>
        <v>49.019486081370474</v>
      </c>
      <c r="K302" s="7">
        <f t="shared" si="23"/>
        <v>161095535.62045178</v>
      </c>
    </row>
    <row r="303" spans="1:11" x14ac:dyDescent="0.2">
      <c r="A303" s="26"/>
      <c r="B303" s="16">
        <f>'HDD and CDD'!W8</f>
        <v>290.26244360902274</v>
      </c>
      <c r="C303" s="16">
        <f>'HDD and CDD'!W22</f>
        <v>0.83368421052631447</v>
      </c>
      <c r="D303" s="33">
        <f t="shared" si="24"/>
        <v>145.04004766616546</v>
      </c>
      <c r="E303" s="7">
        <f t="shared" si="25"/>
        <v>30</v>
      </c>
      <c r="F303" s="7">
        <f t="shared" si="25"/>
        <v>1</v>
      </c>
      <c r="G303" s="7">
        <f t="shared" si="25"/>
        <v>4142231.7461509444</v>
      </c>
      <c r="H303" s="7">
        <f t="shared" si="25"/>
        <v>336</v>
      </c>
      <c r="I303" s="7">
        <f t="shared" ref="I303:J303" si="28">+I287</f>
        <v>693.7</v>
      </c>
      <c r="J303" s="7">
        <f t="shared" si="28"/>
        <v>49.019486081370474</v>
      </c>
      <c r="K303" s="7">
        <f t="shared" si="23"/>
        <v>147875760.3328909</v>
      </c>
    </row>
    <row r="304" spans="1:11" x14ac:dyDescent="0.2">
      <c r="A304" s="26"/>
      <c r="B304" s="16">
        <f>'HDD and CDD'!W9</f>
        <v>142.41969924811929</v>
      </c>
      <c r="C304" s="16">
        <f>'HDD and CDD'!W23</f>
        <v>13.443458646616591</v>
      </c>
      <c r="D304" s="33">
        <f t="shared" si="24"/>
        <v>145.2677185123716</v>
      </c>
      <c r="E304" s="7">
        <f t="shared" si="25"/>
        <v>31</v>
      </c>
      <c r="F304" s="7">
        <f t="shared" si="25"/>
        <v>1</v>
      </c>
      <c r="G304" s="7">
        <f t="shared" si="25"/>
        <v>4140861.3611115501</v>
      </c>
      <c r="H304" s="7">
        <f t="shared" si="25"/>
        <v>336</v>
      </c>
      <c r="I304" s="7">
        <f t="shared" ref="I304:J304" si="29">+I288</f>
        <v>693.7</v>
      </c>
      <c r="J304" s="7">
        <f t="shared" si="29"/>
        <v>49.019486081370474</v>
      </c>
      <c r="K304" s="7">
        <f t="shared" si="23"/>
        <v>149082899.64525482</v>
      </c>
    </row>
    <row r="305" spans="1:11" x14ac:dyDescent="0.2">
      <c r="A305" s="26"/>
      <c r="B305" s="16">
        <f>'HDD and CDD'!W10</f>
        <v>35.386278195488558</v>
      </c>
      <c r="C305" s="16">
        <f>'HDD and CDD'!W24</f>
        <v>50.883496240601517</v>
      </c>
      <c r="D305" s="33">
        <f t="shared" si="24"/>
        <v>145.49574673583354</v>
      </c>
      <c r="E305" s="7">
        <f t="shared" si="25"/>
        <v>30</v>
      </c>
      <c r="F305" s="7">
        <f t="shared" si="25"/>
        <v>0</v>
      </c>
      <c r="G305" s="7">
        <f t="shared" si="25"/>
        <v>4139490.9760721559</v>
      </c>
      <c r="H305" s="7">
        <f t="shared" si="25"/>
        <v>336</v>
      </c>
      <c r="I305" s="7">
        <f t="shared" ref="I305:J305" si="30">+I289</f>
        <v>693.7</v>
      </c>
      <c r="J305" s="7">
        <f t="shared" si="30"/>
        <v>49.019486081370474</v>
      </c>
      <c r="K305" s="7">
        <f t="shared" si="23"/>
        <v>156744597.12294415</v>
      </c>
    </row>
    <row r="306" spans="1:11" x14ac:dyDescent="0.2">
      <c r="A306" s="26"/>
      <c r="B306" s="16">
        <f>'HDD and CDD'!W11</f>
        <v>-1.1234586466166547</v>
      </c>
      <c r="C306" s="16">
        <f>'HDD and CDD'!W25</f>
        <v>117.04443609022564</v>
      </c>
      <c r="D306" s="33">
        <f t="shared" si="24"/>
        <v>145.72413289752996</v>
      </c>
      <c r="E306" s="7">
        <f t="shared" si="25"/>
        <v>31</v>
      </c>
      <c r="F306" s="7">
        <f t="shared" si="25"/>
        <v>0</v>
      </c>
      <c r="G306" s="7">
        <f t="shared" si="25"/>
        <v>4138120.5910327616</v>
      </c>
      <c r="H306" s="7">
        <f t="shared" si="25"/>
        <v>352</v>
      </c>
      <c r="I306" s="7">
        <f t="shared" ref="I306:J306" si="31">+I290</f>
        <v>693.7</v>
      </c>
      <c r="J306" s="7">
        <f t="shared" si="31"/>
        <v>49.019486081370474</v>
      </c>
      <c r="K306" s="7">
        <f t="shared" si="23"/>
        <v>179721535.0838992</v>
      </c>
    </row>
    <row r="307" spans="1:11" x14ac:dyDescent="0.2">
      <c r="A307" s="26"/>
      <c r="B307" s="16">
        <f>'HDD and CDD'!W12</f>
        <v>11.290338345864711</v>
      </c>
      <c r="C307" s="16">
        <f>'HDD and CDD'!W26</f>
        <v>71.086691729322865</v>
      </c>
      <c r="D307" s="33">
        <f t="shared" si="24"/>
        <v>145.9528775593202</v>
      </c>
      <c r="E307" s="7">
        <f t="shared" si="25"/>
        <v>31</v>
      </c>
      <c r="F307" s="7">
        <f t="shared" si="25"/>
        <v>0</v>
      </c>
      <c r="G307" s="7">
        <f t="shared" si="25"/>
        <v>4136750.2059933674</v>
      </c>
      <c r="H307" s="7">
        <f t="shared" si="25"/>
        <v>320</v>
      </c>
      <c r="I307" s="7">
        <f t="shared" ref="I307:J307" si="32">+I291</f>
        <v>693.7</v>
      </c>
      <c r="J307" s="7">
        <f t="shared" si="32"/>
        <v>49.019486081370474</v>
      </c>
      <c r="K307" s="7">
        <f t="shared" si="23"/>
        <v>164194585.98752272</v>
      </c>
    </row>
    <row r="308" spans="1:11" x14ac:dyDescent="0.2">
      <c r="A308" s="26"/>
      <c r="B308" s="16">
        <f>'HDD and CDD'!W13</f>
        <v>69.28676691729288</v>
      </c>
      <c r="C308" s="16">
        <f>'HDD and CDD'!W27</f>
        <v>20.074661654135298</v>
      </c>
      <c r="D308" s="33">
        <f t="shared" si="24"/>
        <v>146.18198128394553</v>
      </c>
      <c r="E308" s="7">
        <f t="shared" si="25"/>
        <v>30</v>
      </c>
      <c r="F308" s="7">
        <f t="shared" si="25"/>
        <v>1</v>
      </c>
      <c r="G308" s="7">
        <f t="shared" si="25"/>
        <v>4135379.8209539731</v>
      </c>
      <c r="H308" s="7">
        <f t="shared" si="25"/>
        <v>336</v>
      </c>
      <c r="I308" s="7">
        <f t="shared" ref="I308:J308" si="33">+I292</f>
        <v>693.7</v>
      </c>
      <c r="J308" s="7">
        <f t="shared" si="33"/>
        <v>49.019486081370474</v>
      </c>
      <c r="K308" s="7">
        <f t="shared" si="23"/>
        <v>144561647.0237779</v>
      </c>
    </row>
    <row r="309" spans="1:11" x14ac:dyDescent="0.2">
      <c r="A309" s="26"/>
      <c r="B309" s="16">
        <f>'HDD and CDD'!W14</f>
        <v>262.96966165413505</v>
      </c>
      <c r="C309" s="16">
        <f>'HDD and CDD'!W28</f>
        <v>1.8239849624060014</v>
      </c>
      <c r="D309" s="33">
        <f t="shared" si="24"/>
        <v>146.41144463503053</v>
      </c>
      <c r="E309" s="7">
        <f t="shared" si="25"/>
        <v>31</v>
      </c>
      <c r="F309" s="7">
        <f t="shared" si="25"/>
        <v>1</v>
      </c>
      <c r="G309" s="7">
        <f t="shared" si="25"/>
        <v>4134009.4359145788</v>
      </c>
      <c r="H309" s="7">
        <f t="shared" si="25"/>
        <v>352</v>
      </c>
      <c r="I309" s="7">
        <f t="shared" ref="I309:J309" si="34">+I293</f>
        <v>693.7</v>
      </c>
      <c r="J309" s="7">
        <f t="shared" si="34"/>
        <v>49.019486081370474</v>
      </c>
      <c r="K309" s="7">
        <f t="shared" si="23"/>
        <v>152108487.32283214</v>
      </c>
    </row>
    <row r="310" spans="1:11" x14ac:dyDescent="0.2">
      <c r="A310" s="26"/>
      <c r="B310" s="16">
        <f>'HDD and CDD'!W15</f>
        <v>384.07263157894704</v>
      </c>
      <c r="C310" s="16">
        <f>'HDD and CDD'!W29</f>
        <v>0</v>
      </c>
      <c r="D310" s="33">
        <f t="shared" si="24"/>
        <v>146.64126817708456</v>
      </c>
      <c r="E310" s="7">
        <f t="shared" si="25"/>
        <v>30</v>
      </c>
      <c r="F310" s="7">
        <f t="shared" si="25"/>
        <v>1</v>
      </c>
      <c r="G310" s="7">
        <f t="shared" si="25"/>
        <v>4132639.0508751846</v>
      </c>
      <c r="H310" s="7">
        <f t="shared" si="25"/>
        <v>320</v>
      </c>
      <c r="I310" s="7">
        <f t="shared" ref="I310:J310" si="35">+I294</f>
        <v>693.7</v>
      </c>
      <c r="J310" s="7">
        <f t="shared" si="35"/>
        <v>49.019486081370474</v>
      </c>
      <c r="K310" s="7">
        <f t="shared" si="23"/>
        <v>150619898.87615204</v>
      </c>
    </row>
    <row r="311" spans="1:11" x14ac:dyDescent="0.2">
      <c r="A311" s="26"/>
      <c r="B311" s="16">
        <f>'HDD and CDD'!W16</f>
        <v>612.82022556390984</v>
      </c>
      <c r="C311" s="16">
        <f>'HDD and CDD'!W30</f>
        <v>0</v>
      </c>
      <c r="D311" s="33">
        <f t="shared" si="24"/>
        <v>146.87145247550308</v>
      </c>
      <c r="E311" s="7">
        <f t="shared" si="25"/>
        <v>31</v>
      </c>
      <c r="F311" s="7">
        <f t="shared" si="25"/>
        <v>0</v>
      </c>
      <c r="G311" s="7">
        <f t="shared" si="25"/>
        <v>4131268.6658357903</v>
      </c>
      <c r="H311" s="7">
        <f t="shared" si="25"/>
        <v>336</v>
      </c>
      <c r="I311" s="7">
        <f t="shared" ref="I311:J311" si="36">+I295</f>
        <v>693.7</v>
      </c>
      <c r="J311" s="7">
        <f t="shared" si="36"/>
        <v>49.019486081370474</v>
      </c>
      <c r="K311" s="7">
        <f t="shared" si="23"/>
        <v>169631878.38318443</v>
      </c>
    </row>
    <row r="312" spans="1:11" x14ac:dyDescent="0.2">
      <c r="A312" s="26"/>
      <c r="B312" s="1"/>
      <c r="C312" s="1"/>
      <c r="D312" s="34"/>
      <c r="E312" s="1"/>
      <c r="G312" s="22"/>
      <c r="H312" s="1"/>
      <c r="I312" s="257"/>
      <c r="J312" s="257"/>
      <c r="K312" s="48">
        <f>SUM(K300:K311)</f>
        <v>1906210968.8596821</v>
      </c>
    </row>
  </sheetData>
  <mergeCells count="2">
    <mergeCell ref="F255:G255"/>
    <mergeCell ref="F256:G256"/>
  </mergeCells>
  <phoneticPr fontId="0" type="noConversion"/>
  <pageMargins left="0.38" right="0.11" top="0.73" bottom="0.48" header="0.5" footer="0.18"/>
  <pageSetup scale="53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Z108"/>
  <sheetViews>
    <sheetView showWhiteSpace="0" topLeftCell="G64" zoomScaleNormal="100" workbookViewId="0">
      <selection activeCell="O79" sqref="O79:O80"/>
    </sheetView>
  </sheetViews>
  <sheetFormatPr defaultRowHeight="12.75" x14ac:dyDescent="0.2"/>
  <cols>
    <col min="1" max="1" width="20.5703125" customWidth="1"/>
    <col min="2" max="3" width="18" style="1" customWidth="1"/>
    <col min="4" max="4" width="29.140625" style="1" customWidth="1"/>
    <col min="5" max="5" width="27.85546875" style="1" customWidth="1"/>
    <col min="6" max="6" width="30" style="1" customWidth="1"/>
    <col min="7" max="8" width="41.85546875" style="5" customWidth="1"/>
    <col min="9" max="9" width="11.28515625" style="5" customWidth="1"/>
    <col min="10" max="10" width="17.140625" style="5" customWidth="1"/>
    <col min="11" max="11" width="16.5703125" style="5" bestFit="1" customWidth="1"/>
    <col min="12" max="12" width="15" style="5" bestFit="1" customWidth="1"/>
    <col min="13" max="13" width="16.5703125" style="5" bestFit="1" customWidth="1"/>
    <col min="14" max="14" width="14.140625" style="5" customWidth="1"/>
    <col min="15" max="15" width="14.7109375" style="5" customWidth="1"/>
    <col min="16" max="16" width="14" style="5" bestFit="1" customWidth="1"/>
    <col min="17" max="17" width="16.5703125" style="5" bestFit="1" customWidth="1"/>
    <col min="18" max="18" width="16.140625" style="5" bestFit="1" customWidth="1"/>
    <col min="19" max="19" width="13.140625" style="5" customWidth="1"/>
    <col min="20" max="20" width="9.140625" style="5"/>
    <col min="21" max="21" width="11.140625" style="5" bestFit="1" customWidth="1"/>
  </cols>
  <sheetData>
    <row r="2" spans="1:21" ht="25.5" x14ac:dyDescent="0.2">
      <c r="B2" s="420" t="s">
        <v>7</v>
      </c>
      <c r="C2" s="420" t="s">
        <v>8</v>
      </c>
      <c r="D2" s="420" t="s">
        <v>20</v>
      </c>
      <c r="E2" s="420" t="s">
        <v>9</v>
      </c>
      <c r="F2" s="420" t="s">
        <v>1</v>
      </c>
      <c r="G2" s="421" t="s">
        <v>2</v>
      </c>
      <c r="H2" s="421"/>
      <c r="I2" s="421"/>
      <c r="J2" s="421"/>
      <c r="K2" s="213" t="s">
        <v>72</v>
      </c>
      <c r="L2" s="422" t="s">
        <v>73</v>
      </c>
      <c r="M2" s="422" t="s">
        <v>74</v>
      </c>
      <c r="N2" s="422" t="s">
        <v>49</v>
      </c>
      <c r="O2" s="422" t="s">
        <v>75</v>
      </c>
      <c r="P2" s="255" t="s">
        <v>76</v>
      </c>
      <c r="Q2" s="422"/>
    </row>
    <row r="4" spans="1:21" x14ac:dyDescent="0.2">
      <c r="A4" s="17"/>
      <c r="B4" s="241" t="s">
        <v>193</v>
      </c>
    </row>
    <row r="5" spans="1:21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3.5" thickBot="1" x14ac:dyDescent="0.25">
      <c r="K6" s="575" t="s">
        <v>148</v>
      </c>
      <c r="L6" s="576"/>
      <c r="M6" s="576"/>
      <c r="N6" s="576"/>
      <c r="O6" s="576"/>
      <c r="P6" s="577"/>
    </row>
    <row r="7" spans="1:21" x14ac:dyDescent="0.2">
      <c r="A7">
        <f>'Purchased Power Model '!A222</f>
        <v>1997</v>
      </c>
      <c r="B7" s="5">
        <f>+'Purchased Power Model '!E222</f>
        <v>1835095310</v>
      </c>
      <c r="C7" s="5">
        <f>+'Purchased Power Model '!K222</f>
        <v>1823302505.1213238</v>
      </c>
      <c r="D7" s="37">
        <f>C7-B7</f>
        <v>-11792804.878676176</v>
      </c>
      <c r="E7" s="276">
        <f>D7/B7</f>
        <v>-6.4262628836843231E-3</v>
      </c>
      <c r="F7" s="52"/>
      <c r="G7" s="60">
        <f t="shared" ref="G7:G9" si="0">SUM(K7:P7)</f>
        <v>0</v>
      </c>
      <c r="H7" s="60"/>
      <c r="I7" s="60"/>
      <c r="J7" s="60"/>
      <c r="K7" s="39"/>
      <c r="L7" s="39"/>
      <c r="M7" s="39"/>
      <c r="N7" s="39"/>
      <c r="O7" s="39"/>
      <c r="P7" s="39"/>
      <c r="S7" s="24"/>
      <c r="T7" s="160"/>
      <c r="U7" s="34"/>
    </row>
    <row r="8" spans="1:21" x14ac:dyDescent="0.2">
      <c r="A8">
        <f>'Purchased Power Model '!A223</f>
        <v>1998</v>
      </c>
      <c r="B8" s="5">
        <f>+'Purchased Power Model '!E223</f>
        <v>1835345124</v>
      </c>
      <c r="C8" s="5">
        <f>+'Purchased Power Model '!K223</f>
        <v>1855055888.3889723</v>
      </c>
      <c r="D8" s="37">
        <f t="shared" ref="D8:D22" si="1">C8-B8</f>
        <v>19710764.388972282</v>
      </c>
      <c r="E8" s="276">
        <f t="shared" ref="E8:E22" si="2">D8/B8</f>
        <v>1.0739541098414296E-2</v>
      </c>
      <c r="F8" s="52"/>
      <c r="G8" s="60">
        <f t="shared" si="0"/>
        <v>0</v>
      </c>
      <c r="H8" s="60"/>
      <c r="I8" s="60"/>
      <c r="J8" s="60"/>
      <c r="K8" s="39"/>
      <c r="L8" s="39"/>
      <c r="M8" s="39"/>
      <c r="N8" s="39"/>
      <c r="O8" s="39"/>
      <c r="P8" s="39"/>
      <c r="S8" s="24"/>
      <c r="T8" s="160"/>
      <c r="U8" s="34"/>
    </row>
    <row r="9" spans="1:21" x14ac:dyDescent="0.2">
      <c r="A9">
        <f>'Purchased Power Model '!A224</f>
        <v>1999</v>
      </c>
      <c r="B9" s="5">
        <f>+'Purchased Power Model '!E224</f>
        <v>1899849275</v>
      </c>
      <c r="C9" s="5">
        <f>+'Purchased Power Model '!K224</f>
        <v>1923395303.1594186</v>
      </c>
      <c r="D9" s="37">
        <f t="shared" si="1"/>
        <v>23546028.159418583</v>
      </c>
      <c r="E9" s="276">
        <f t="shared" si="2"/>
        <v>1.2393629573282114E-2</v>
      </c>
      <c r="F9" s="52"/>
      <c r="G9" s="60">
        <f t="shared" si="0"/>
        <v>0</v>
      </c>
      <c r="H9" s="60"/>
      <c r="I9" s="60"/>
      <c r="J9" s="60"/>
      <c r="K9" s="39"/>
      <c r="L9" s="39"/>
      <c r="M9" s="39"/>
      <c r="N9" s="39"/>
      <c r="O9" s="39"/>
      <c r="P9" s="39"/>
      <c r="S9" s="24"/>
      <c r="T9" s="160"/>
      <c r="U9" s="34"/>
    </row>
    <row r="10" spans="1:21" x14ac:dyDescent="0.2">
      <c r="A10">
        <f>'Purchased Power Model '!A225</f>
        <v>2000</v>
      </c>
      <c r="B10" s="5">
        <f>+'Purchased Power Model '!E225</f>
        <v>1917287306</v>
      </c>
      <c r="C10" s="5">
        <f>+'Purchased Power Model '!K225</f>
        <v>1917257433.5265591</v>
      </c>
      <c r="D10" s="37">
        <f t="shared" si="1"/>
        <v>-29872.473440885544</v>
      </c>
      <c r="E10" s="276">
        <f t="shared" si="2"/>
        <v>-1.558059313666866E-5</v>
      </c>
      <c r="F10" s="52">
        <f t="shared" ref="F10:F13" si="3">1 +(B10-G10)/G10</f>
        <v>1.0501463839425154</v>
      </c>
      <c r="G10" s="60">
        <f>SUM(K10:P10)</f>
        <v>1825733379</v>
      </c>
      <c r="H10" s="60"/>
      <c r="I10" s="60"/>
      <c r="J10" s="60"/>
      <c r="K10" s="39">
        <v>561410965</v>
      </c>
      <c r="L10" s="39">
        <v>216113166.22</v>
      </c>
      <c r="M10" s="39">
        <v>842011205</v>
      </c>
      <c r="N10" s="39">
        <v>188086865</v>
      </c>
      <c r="O10" s="39">
        <v>13700705</v>
      </c>
      <c r="P10" s="39">
        <v>4410472.78</v>
      </c>
      <c r="S10" s="24"/>
      <c r="T10" s="160"/>
      <c r="U10" s="34"/>
    </row>
    <row r="11" spans="1:21" x14ac:dyDescent="0.2">
      <c r="A11">
        <f>'Purchased Power Model '!A226</f>
        <v>2001</v>
      </c>
      <c r="B11" s="5">
        <f>+'Purchased Power Model '!E226</f>
        <v>1963866511</v>
      </c>
      <c r="C11" s="5">
        <f>+'Purchased Power Model '!K226</f>
        <v>1953641069.5566638</v>
      </c>
      <c r="D11" s="37">
        <f t="shared" si="1"/>
        <v>-10225441.443336248</v>
      </c>
      <c r="E11" s="276">
        <f t="shared" si="2"/>
        <v>-5.2067904748421302E-3</v>
      </c>
      <c r="F11" s="52">
        <f t="shared" si="3"/>
        <v>1.053035719427349</v>
      </c>
      <c r="G11" s="60">
        <f t="shared" ref="G11:G22" si="4">SUM(K11:P11)</f>
        <v>1864957166</v>
      </c>
      <c r="H11" s="60"/>
      <c r="I11" s="60"/>
      <c r="J11" s="60"/>
      <c r="K11" s="39">
        <v>540863420</v>
      </c>
      <c r="L11" s="39">
        <v>194422245.08000001</v>
      </c>
      <c r="M11" s="39">
        <v>882753581</v>
      </c>
      <c r="N11" s="39">
        <v>229072005</v>
      </c>
      <c r="O11" s="39">
        <v>13878114</v>
      </c>
      <c r="P11" s="39">
        <v>3967800.92</v>
      </c>
      <c r="S11" s="24"/>
      <c r="T11" s="160"/>
      <c r="U11" s="34"/>
    </row>
    <row r="12" spans="1:21" x14ac:dyDescent="0.2">
      <c r="A12">
        <f>'Purchased Power Model '!A227</f>
        <v>2002</v>
      </c>
      <c r="B12" s="5">
        <f>+'Purchased Power Model '!E227</f>
        <v>2036912520</v>
      </c>
      <c r="C12" s="5">
        <f>+'Purchased Power Model '!K227</f>
        <v>2001080172.9767592</v>
      </c>
      <c r="D12" s="37">
        <f t="shared" si="1"/>
        <v>-35832347.023240805</v>
      </c>
      <c r="E12" s="276">
        <f t="shared" si="2"/>
        <v>-1.759150020995541E-2</v>
      </c>
      <c r="F12" s="52">
        <f t="shared" si="3"/>
        <v>1.0357332618068715</v>
      </c>
      <c r="G12" s="60">
        <f t="shared" si="4"/>
        <v>1966638125</v>
      </c>
      <c r="H12" s="60"/>
      <c r="I12" s="60"/>
      <c r="J12" s="60"/>
      <c r="K12" s="39">
        <v>609265500</v>
      </c>
      <c r="L12" s="39">
        <v>219363891.88</v>
      </c>
      <c r="M12" s="39">
        <v>863683912</v>
      </c>
      <c r="N12" s="39">
        <v>257359194</v>
      </c>
      <c r="O12" s="39">
        <v>12488813</v>
      </c>
      <c r="P12" s="39">
        <v>4476814.12</v>
      </c>
      <c r="S12" s="24"/>
      <c r="T12" s="160"/>
      <c r="U12" s="34"/>
    </row>
    <row r="13" spans="1:21" x14ac:dyDescent="0.2">
      <c r="A13">
        <f>'Purchased Power Model '!A228</f>
        <v>2003</v>
      </c>
      <c r="B13" s="5">
        <f>+'Purchased Power Model '!E228</f>
        <v>2013203373</v>
      </c>
      <c r="C13" s="5">
        <f>+'Purchased Power Model '!K228</f>
        <v>1994385066.2226791</v>
      </c>
      <c r="D13" s="37">
        <f t="shared" si="1"/>
        <v>-18818306.777320862</v>
      </c>
      <c r="E13" s="276">
        <f t="shared" si="2"/>
        <v>-9.347444490557617E-3</v>
      </c>
      <c r="F13" s="52">
        <f t="shared" si="3"/>
        <v>1.0217319898566786</v>
      </c>
      <c r="G13" s="60">
        <f t="shared" si="4"/>
        <v>1970383029.0000002</v>
      </c>
      <c r="H13" s="60"/>
      <c r="I13" s="60"/>
      <c r="J13" s="60"/>
      <c r="K13" s="39">
        <v>610213276</v>
      </c>
      <c r="L13" s="39">
        <v>225494014.34</v>
      </c>
      <c r="M13" s="39">
        <v>862174714</v>
      </c>
      <c r="N13" s="39">
        <v>253072527</v>
      </c>
      <c r="O13" s="39">
        <v>14826579</v>
      </c>
      <c r="P13" s="39">
        <v>4601918.66</v>
      </c>
      <c r="S13" s="24"/>
      <c r="T13" s="160"/>
      <c r="U13" s="34"/>
    </row>
    <row r="14" spans="1:21" x14ac:dyDescent="0.2">
      <c r="A14">
        <f>'Purchased Power Model '!A229</f>
        <v>2004</v>
      </c>
      <c r="B14" s="5">
        <f>+'Purchased Power Model '!E229</f>
        <v>2009748106</v>
      </c>
      <c r="C14" s="5">
        <f>+'Purchased Power Model '!K229</f>
        <v>2002479882.2055197</v>
      </c>
      <c r="D14" s="37">
        <f t="shared" si="1"/>
        <v>-7268223.7944803238</v>
      </c>
      <c r="E14" s="276">
        <f t="shared" si="2"/>
        <v>-3.6164849578817436E-3</v>
      </c>
      <c r="F14" s="52">
        <f t="shared" ref="F14:F22" si="5">1 +(B14-G14)/G14</f>
        <v>1.0319716142126036</v>
      </c>
      <c r="G14" s="60">
        <f t="shared" si="4"/>
        <v>1947483902</v>
      </c>
      <c r="H14" s="60"/>
      <c r="I14" s="60"/>
      <c r="J14" s="60"/>
      <c r="K14" s="39">
        <v>593383986</v>
      </c>
      <c r="L14" s="39">
        <v>218381163.56</v>
      </c>
      <c r="M14" s="39">
        <v>881507867</v>
      </c>
      <c r="N14" s="39">
        <v>234737963</v>
      </c>
      <c r="O14" s="39">
        <v>15016164</v>
      </c>
      <c r="P14" s="39">
        <v>4456758.4400000004</v>
      </c>
      <c r="S14" s="24"/>
      <c r="T14" s="160"/>
      <c r="U14" s="34"/>
    </row>
    <row r="15" spans="1:21" x14ac:dyDescent="0.2">
      <c r="A15">
        <f>'Purchased Power Model '!A230</f>
        <v>2005</v>
      </c>
      <c r="B15" s="5">
        <f>+'Purchased Power Model '!E230</f>
        <v>2086364094.5741999</v>
      </c>
      <c r="C15" s="5">
        <f>+'Purchased Power Model '!K230</f>
        <v>2077578251.4867024</v>
      </c>
      <c r="D15" s="37">
        <f t="shared" si="1"/>
        <v>-8785843.0874974728</v>
      </c>
      <c r="E15" s="276">
        <f t="shared" si="2"/>
        <v>-4.2110785506450877E-3</v>
      </c>
      <c r="F15" s="52">
        <f t="shared" si="5"/>
        <v>1.0222902582844764</v>
      </c>
      <c r="G15" s="60">
        <f t="shared" si="4"/>
        <v>2040872519</v>
      </c>
      <c r="H15" s="60"/>
      <c r="I15" s="60"/>
      <c r="J15" s="60"/>
      <c r="K15" s="39">
        <v>640475237</v>
      </c>
      <c r="L15" s="39">
        <v>229601685.31999999</v>
      </c>
      <c r="M15" s="39">
        <v>918952852</v>
      </c>
      <c r="N15" s="39">
        <v>232058404</v>
      </c>
      <c r="O15" s="39">
        <v>15098592</v>
      </c>
      <c r="P15" s="39">
        <v>4685748.68</v>
      </c>
      <c r="S15" s="24"/>
      <c r="T15" s="160"/>
      <c r="U15" s="34"/>
    </row>
    <row r="16" spans="1:21" x14ac:dyDescent="0.2">
      <c r="A16">
        <f>'Purchased Power Model '!A231</f>
        <v>2006</v>
      </c>
      <c r="B16" s="5">
        <f>+'Purchased Power Model '!E231</f>
        <v>1983645710.3185</v>
      </c>
      <c r="C16" s="5">
        <f>+'Purchased Power Model '!K231</f>
        <v>2011422124.3310664</v>
      </c>
      <c r="D16" s="37">
        <f t="shared" si="1"/>
        <v>27776414.012566328</v>
      </c>
      <c r="E16" s="276">
        <f t="shared" si="2"/>
        <v>1.4002709187472023E-2</v>
      </c>
      <c r="F16" s="52">
        <f t="shared" si="5"/>
        <v>1.0343690332116124</v>
      </c>
      <c r="G16" s="60">
        <f t="shared" si="4"/>
        <v>1917735012</v>
      </c>
      <c r="H16" s="60"/>
      <c r="I16" s="60"/>
      <c r="J16" s="60"/>
      <c r="K16" s="39">
        <v>624196150</v>
      </c>
      <c r="L16" s="39">
        <v>231128009</v>
      </c>
      <c r="M16" s="39">
        <v>860411209</v>
      </c>
      <c r="N16" s="39">
        <v>181975799</v>
      </c>
      <c r="O16" s="39">
        <v>15290722</v>
      </c>
      <c r="P16" s="39">
        <v>4733123</v>
      </c>
      <c r="S16" s="24"/>
      <c r="T16" s="160"/>
      <c r="U16" s="34"/>
    </row>
    <row r="17" spans="1:21" x14ac:dyDescent="0.2">
      <c r="A17">
        <f>'Purchased Power Model '!A232</f>
        <v>2007</v>
      </c>
      <c r="B17" s="5">
        <f>+'Purchased Power Model '!E232</f>
        <v>1978990176.4429998</v>
      </c>
      <c r="C17" s="5">
        <f>+'Purchased Power Model '!K232</f>
        <v>1990597954.1714845</v>
      </c>
      <c r="D17" s="37">
        <f t="shared" si="1"/>
        <v>11607777.728484631</v>
      </c>
      <c r="E17" s="276">
        <f t="shared" si="2"/>
        <v>5.8655054818656221E-3</v>
      </c>
      <c r="F17" s="52">
        <f t="shared" si="5"/>
        <v>1.0316964477758013</v>
      </c>
      <c r="G17" s="60">
        <f t="shared" si="4"/>
        <v>1918190356</v>
      </c>
      <c r="H17" s="60"/>
      <c r="I17" s="60"/>
      <c r="J17" s="60"/>
      <c r="K17" s="39">
        <v>639510859</v>
      </c>
      <c r="L17" s="39">
        <v>233685645</v>
      </c>
      <c r="M17" s="39">
        <v>866794206</v>
      </c>
      <c r="N17" s="39">
        <v>157680777</v>
      </c>
      <c r="O17" s="39">
        <v>15541491</v>
      </c>
      <c r="P17" s="39">
        <v>4977378</v>
      </c>
      <c r="S17" s="24"/>
      <c r="T17" s="160"/>
      <c r="U17" s="34"/>
    </row>
    <row r="18" spans="1:21" x14ac:dyDescent="0.2">
      <c r="A18">
        <f>'Purchased Power Model '!A233</f>
        <v>2008</v>
      </c>
      <c r="B18" s="5">
        <f>+'Purchased Power Model '!E233</f>
        <v>1939064404.2694001</v>
      </c>
      <c r="C18" s="5">
        <f>+'Purchased Power Model '!K233</f>
        <v>1963251861.6181324</v>
      </c>
      <c r="D18" s="37">
        <f t="shared" si="1"/>
        <v>24187457.348732233</v>
      </c>
      <c r="E18" s="276">
        <f t="shared" si="2"/>
        <v>1.2473777196609193E-2</v>
      </c>
      <c r="F18" s="52">
        <f t="shared" si="5"/>
        <v>1.032843347951429</v>
      </c>
      <c r="G18" s="60">
        <f t="shared" si="4"/>
        <v>1877404166</v>
      </c>
      <c r="H18" s="60"/>
      <c r="I18" s="60"/>
      <c r="J18" s="60"/>
      <c r="K18" s="39">
        <v>638167356</v>
      </c>
      <c r="L18" s="39">
        <v>233464130</v>
      </c>
      <c r="M18" s="39">
        <v>838013719</v>
      </c>
      <c r="N18" s="39">
        <v>146928777</v>
      </c>
      <c r="O18" s="39">
        <v>17542402</v>
      </c>
      <c r="P18" s="39">
        <v>3287782</v>
      </c>
      <c r="S18" s="24"/>
      <c r="T18" s="160"/>
      <c r="U18" s="34"/>
    </row>
    <row r="19" spans="1:21" x14ac:dyDescent="0.2">
      <c r="A19">
        <f>'Purchased Power Model '!A234</f>
        <v>2009</v>
      </c>
      <c r="B19" s="5">
        <f>+'Purchased Power Model '!E234</f>
        <v>1837133121.4989998</v>
      </c>
      <c r="C19" s="5">
        <f>+'Purchased Power Model '!K234</f>
        <v>1856174590.4812803</v>
      </c>
      <c r="D19" s="37">
        <f t="shared" si="1"/>
        <v>19041468.982280493</v>
      </c>
      <c r="E19" s="276">
        <f t="shared" si="2"/>
        <v>1.0364773657090074E-2</v>
      </c>
      <c r="F19" s="52">
        <f t="shared" si="5"/>
        <v>1.0336063053124931</v>
      </c>
      <c r="G19" s="60">
        <f t="shared" si="4"/>
        <v>1777401233</v>
      </c>
      <c r="H19" s="60"/>
      <c r="I19" s="60"/>
      <c r="J19" s="60"/>
      <c r="K19" s="39">
        <v>626869704</v>
      </c>
      <c r="L19" s="39">
        <v>230572826</v>
      </c>
      <c r="M19" s="39">
        <v>820920003</v>
      </c>
      <c r="N19" s="39">
        <v>79822385</v>
      </c>
      <c r="O19" s="39">
        <v>15920914</v>
      </c>
      <c r="P19" s="39">
        <v>3295401</v>
      </c>
      <c r="S19" s="24"/>
      <c r="T19" s="160"/>
      <c r="U19" s="34"/>
    </row>
    <row r="20" spans="1:21" x14ac:dyDescent="0.2">
      <c r="A20">
        <f>'Purchased Power Model '!A235</f>
        <v>2010</v>
      </c>
      <c r="B20" s="5">
        <f>+'Purchased Power Model '!E235</f>
        <v>1892633519.4493544</v>
      </c>
      <c r="C20" s="5">
        <f>+'Purchased Power Model '!K235</f>
        <v>1889691855.1705751</v>
      </c>
      <c r="D20" s="37">
        <f t="shared" si="1"/>
        <v>-2941664.2787792683</v>
      </c>
      <c r="E20" s="276">
        <f t="shared" si="2"/>
        <v>-1.5542704113341078E-3</v>
      </c>
      <c r="F20" s="52">
        <f t="shared" si="5"/>
        <v>1.0345083413343812</v>
      </c>
      <c r="G20" s="60">
        <f t="shared" si="4"/>
        <v>1829500492</v>
      </c>
      <c r="H20" s="60"/>
      <c r="I20" s="60"/>
      <c r="J20" s="60"/>
      <c r="K20" s="39">
        <v>650651967</v>
      </c>
      <c r="L20" s="39">
        <v>236095929</v>
      </c>
      <c r="M20" s="39">
        <v>876884814</v>
      </c>
      <c r="N20" s="39">
        <v>46563626</v>
      </c>
      <c r="O20" s="39">
        <v>16035117</v>
      </c>
      <c r="P20" s="39">
        <v>3269039</v>
      </c>
      <c r="S20" s="24"/>
      <c r="T20" s="160"/>
      <c r="U20" s="34"/>
    </row>
    <row r="21" spans="1:21" x14ac:dyDescent="0.2">
      <c r="A21">
        <f>'Purchased Power Model '!A236</f>
        <v>2011</v>
      </c>
      <c r="B21" s="5">
        <f>+'Purchased Power Model '!E236</f>
        <v>1895197232.5334651</v>
      </c>
      <c r="C21" s="5">
        <f>+'Purchased Power Model '!K236</f>
        <v>1882841042.2231548</v>
      </c>
      <c r="D21" s="37">
        <f t="shared" si="1"/>
        <v>-12356190.310310364</v>
      </c>
      <c r="E21" s="276">
        <f>D21/B21</f>
        <v>-6.5197384727038853E-3</v>
      </c>
      <c r="F21" s="52">
        <f t="shared" si="5"/>
        <v>1.0334350313702656</v>
      </c>
      <c r="G21" s="60">
        <f t="shared" si="4"/>
        <v>1833881352</v>
      </c>
      <c r="H21" s="60"/>
      <c r="I21" s="60"/>
      <c r="J21" s="60"/>
      <c r="K21" s="39">
        <v>647280211</v>
      </c>
      <c r="L21" s="39">
        <v>240155523</v>
      </c>
      <c r="M21" s="39">
        <v>871254048</v>
      </c>
      <c r="N21" s="39">
        <v>56015269</v>
      </c>
      <c r="O21" s="39">
        <v>15857518</v>
      </c>
      <c r="P21" s="39">
        <v>3318783</v>
      </c>
      <c r="S21" s="24"/>
      <c r="T21" s="160"/>
      <c r="U21" s="34"/>
    </row>
    <row r="22" spans="1:21" x14ac:dyDescent="0.2">
      <c r="A22">
        <f>'Purchased Power Model '!A237</f>
        <v>2012</v>
      </c>
      <c r="B22" s="5">
        <f>+'Purchased Power Model '!E237</f>
        <v>1885738118.3156619</v>
      </c>
      <c r="C22" s="5">
        <f>+'Purchased Power Model '!K237</f>
        <v>1867918901.7622917</v>
      </c>
      <c r="D22" s="37">
        <f t="shared" si="1"/>
        <v>-17819216.553370237</v>
      </c>
      <c r="E22" s="276">
        <f t="shared" si="2"/>
        <v>-9.4494651088064818E-3</v>
      </c>
      <c r="F22" s="52">
        <f t="shared" si="5"/>
        <v>1.0331486403016186</v>
      </c>
      <c r="G22" s="60">
        <f t="shared" si="4"/>
        <v>1825234090</v>
      </c>
      <c r="H22" s="60"/>
      <c r="I22" s="60"/>
      <c r="J22" s="60"/>
      <c r="K22" s="39">
        <v>644467300</v>
      </c>
      <c r="L22" s="39">
        <v>240981970</v>
      </c>
      <c r="M22" s="39">
        <v>850788483</v>
      </c>
      <c r="N22" s="39">
        <v>69356376</v>
      </c>
      <c r="O22" s="39">
        <v>15943501</v>
      </c>
      <c r="P22" s="39">
        <v>3696460</v>
      </c>
      <c r="S22" s="24"/>
      <c r="T22" s="160"/>
      <c r="U22" s="34"/>
    </row>
    <row r="23" spans="1:21" x14ac:dyDescent="0.2">
      <c r="A23">
        <f>'Purchased Power Model '!A238</f>
        <v>2013</v>
      </c>
      <c r="B23" s="5"/>
      <c r="C23" s="5">
        <f>+'Purchased Power Model '!K238</f>
        <v>1899410964.9256573</v>
      </c>
      <c r="D23" s="37"/>
      <c r="E23" s="4"/>
      <c r="F23" s="52"/>
      <c r="G23" s="20">
        <f>C23/$F$27</f>
        <v>1836064429.4060736</v>
      </c>
      <c r="H23" s="488"/>
      <c r="I23" s="488"/>
      <c r="J23" s="488"/>
      <c r="K23" s="26"/>
      <c r="L23" s="26"/>
      <c r="M23" s="26"/>
      <c r="N23" s="26"/>
      <c r="O23" s="26"/>
      <c r="P23" s="26"/>
    </row>
    <row r="24" spans="1:21" x14ac:dyDescent="0.2">
      <c r="A24">
        <f>'Purchased Power Model '!A239</f>
        <v>2014</v>
      </c>
      <c r="B24" s="5"/>
      <c r="C24" s="5">
        <f>+'Purchased Power Model '!K239</f>
        <v>1906032581.5791934</v>
      </c>
      <c r="D24" s="37"/>
      <c r="G24" s="20">
        <f>C24/$F$27</f>
        <v>1842465211.0311267</v>
      </c>
      <c r="H24" s="488"/>
      <c r="I24" s="488"/>
      <c r="J24" s="488"/>
    </row>
    <row r="25" spans="1:21" x14ac:dyDescent="0.2">
      <c r="B25" s="5"/>
      <c r="C25" s="5"/>
      <c r="G25" s="26"/>
      <c r="H25" s="488"/>
      <c r="I25" s="488"/>
      <c r="J25" s="488"/>
    </row>
    <row r="27" spans="1:21" x14ac:dyDescent="0.2">
      <c r="A27" s="18" t="s">
        <v>12</v>
      </c>
      <c r="F27" s="52">
        <f>AVERAGE(F7:F23)</f>
        <v>1.0345012595990843</v>
      </c>
    </row>
    <row r="28" spans="1:21" x14ac:dyDescent="0.2">
      <c r="E28"/>
      <c r="F28"/>
      <c r="G28"/>
      <c r="H28"/>
      <c r="I28"/>
      <c r="J28"/>
    </row>
    <row r="29" spans="1:21" x14ac:dyDescent="0.2">
      <c r="J29"/>
    </row>
    <row r="30" spans="1:21" x14ac:dyDescent="0.2">
      <c r="B30" s="9"/>
      <c r="J30" s="21" t="s">
        <v>14</v>
      </c>
      <c r="K30" s="26"/>
      <c r="L30" s="26"/>
      <c r="M30" s="26"/>
      <c r="N30" s="26"/>
      <c r="O30" s="26"/>
    </row>
    <row r="31" spans="1:21" x14ac:dyDescent="0.2">
      <c r="J31"/>
      <c r="K31" s="26"/>
      <c r="L31" s="26"/>
      <c r="M31" s="26"/>
      <c r="N31" s="26"/>
      <c r="O31" s="26"/>
    </row>
    <row r="32" spans="1:21" x14ac:dyDescent="0.2">
      <c r="F32" s="5"/>
      <c r="J32">
        <f t="shared" ref="J32:J49" si="6">A7</f>
        <v>1997</v>
      </c>
      <c r="K32" s="26"/>
      <c r="L32" s="26"/>
      <c r="M32" s="26"/>
      <c r="N32" s="26"/>
      <c r="O32" s="26"/>
      <c r="P32" s="26"/>
    </row>
    <row r="33" spans="4:17" x14ac:dyDescent="0.2">
      <c r="F33" s="5"/>
      <c r="J33">
        <f t="shared" si="6"/>
        <v>1998</v>
      </c>
      <c r="K33" s="26"/>
      <c r="L33" s="26"/>
      <c r="M33" s="26"/>
      <c r="N33" s="26"/>
      <c r="O33" s="26"/>
      <c r="P33" s="26"/>
    </row>
    <row r="34" spans="4:17" x14ac:dyDescent="0.2">
      <c r="J34">
        <f t="shared" si="6"/>
        <v>1999</v>
      </c>
      <c r="K34" s="26"/>
      <c r="L34" s="26"/>
      <c r="M34" s="26"/>
      <c r="N34" s="26"/>
      <c r="O34" s="26"/>
      <c r="P34" s="26"/>
    </row>
    <row r="35" spans="4:17" x14ac:dyDescent="0.2">
      <c r="J35">
        <f t="shared" si="6"/>
        <v>2000</v>
      </c>
      <c r="K35" s="26">
        <f>K10/'Rate Class Customer Model'!B6</f>
        <v>8814.4659454876601</v>
      </c>
      <c r="L35" s="26">
        <f>L10/'Rate Class Customer Model'!C6</f>
        <v>33004.454218081853</v>
      </c>
      <c r="M35" s="26">
        <f>M10/'Rate Class Customer Model'!D6</f>
        <v>815112.49273959338</v>
      </c>
      <c r="N35" s="26">
        <f>N10/'Rate Class Customer Model'!E6</f>
        <v>62695621.666666664</v>
      </c>
      <c r="O35" s="26">
        <f>O10/'Rate Class Customer Model'!F6</f>
        <v>10208.938627588232</v>
      </c>
      <c r="P35" s="26">
        <f>P10/'Rate Class Customer Model'!G6</f>
        <v>5880.6303733333334</v>
      </c>
    </row>
    <row r="36" spans="4:17" x14ac:dyDescent="0.2">
      <c r="J36">
        <f t="shared" si="6"/>
        <v>2001</v>
      </c>
      <c r="K36" s="26">
        <f>K11/'Rate Class Customer Model'!B7</f>
        <v>8413.6553419202282</v>
      </c>
      <c r="L36" s="26">
        <f>L11/'Rate Class Customer Model'!C7</f>
        <v>29601.438045066992</v>
      </c>
      <c r="M36" s="26">
        <f>M11/'Rate Class Customer Model'!D7</f>
        <v>852902.01062801934</v>
      </c>
      <c r="N36" s="26">
        <f>N11/'Rate Class Customer Model'!E7</f>
        <v>57268001.25</v>
      </c>
      <c r="O36" s="26">
        <f>O11/'Rate Class Customer Model'!F7</f>
        <v>10132.923910879041</v>
      </c>
      <c r="P36" s="26">
        <f>P11/'Rate Class Customer Model'!G7</f>
        <v>5290.4012266666668</v>
      </c>
    </row>
    <row r="37" spans="4:17" x14ac:dyDescent="0.2">
      <c r="J37">
        <f t="shared" si="6"/>
        <v>2002</v>
      </c>
      <c r="K37" s="26">
        <f>K12/'Rate Class Customer Model'!B8</f>
        <v>9275.8476318073172</v>
      </c>
      <c r="L37" s="26">
        <f>L12/'Rate Class Customer Model'!C8</f>
        <v>33393.802995889782</v>
      </c>
      <c r="M37" s="26">
        <f>M12/'Rate Class Customer Model'!D8</f>
        <v>808692.80149812729</v>
      </c>
      <c r="N37" s="26">
        <f>N12/'Rate Class Customer Model'!E8</f>
        <v>64339798.5</v>
      </c>
      <c r="O37" s="26">
        <f>O12/'Rate Class Customer Model'!F8</f>
        <v>8956.4452678474408</v>
      </c>
      <c r="P37" s="26">
        <f>P12/'Rate Class Customer Model'!G8</f>
        <v>5852.0446013071896</v>
      </c>
      <c r="Q37" s="26"/>
    </row>
    <row r="38" spans="4:17" x14ac:dyDescent="0.2">
      <c r="D38" s="5"/>
      <c r="J38">
        <f t="shared" si="6"/>
        <v>2003</v>
      </c>
      <c r="K38" s="26">
        <f>K13/'Rate Class Customer Model'!B9</f>
        <v>9036.5820486620159</v>
      </c>
      <c r="L38" s="26">
        <f>L13/'Rate Class Customer Model'!C9</f>
        <v>33640.76000895122</v>
      </c>
      <c r="M38" s="26">
        <f>M13/'Rate Class Customer Model'!D9</f>
        <v>833019.04734299518</v>
      </c>
      <c r="N38" s="26">
        <f>N13/'Rate Class Customer Model'!E9</f>
        <v>63268131.75</v>
      </c>
      <c r="O38" s="26">
        <f>O13/'Rate Class Customer Model'!F9</f>
        <v>10552.725266903915</v>
      </c>
      <c r="P38" s="26">
        <f>P13/'Rate Class Customer Model'!G9</f>
        <v>6015.5799477124183</v>
      </c>
      <c r="Q38" s="26"/>
    </row>
    <row r="39" spans="4:17" x14ac:dyDescent="0.2">
      <c r="J39">
        <f t="shared" si="6"/>
        <v>2004</v>
      </c>
      <c r="K39" s="26">
        <f>K14/'Rate Class Customer Model'!B10</f>
        <v>8549.5855629997841</v>
      </c>
      <c r="L39" s="26">
        <f>L14/'Rate Class Customer Model'!C10</f>
        <v>32039.489958920189</v>
      </c>
      <c r="M39" s="26">
        <f>M14/'Rate Class Customer Model'!D10</f>
        <v>833183.23913043481</v>
      </c>
      <c r="N39" s="26">
        <f>N14/'Rate Class Customer Model'!E10</f>
        <v>58684490.75</v>
      </c>
      <c r="O39" s="26">
        <f>O14/'Rate Class Customer Model'!F10</f>
        <v>10030.837675350702</v>
      </c>
      <c r="P39" s="26">
        <f>P14/'Rate Class Customer Model'!G10</f>
        <v>5421.8472506082726</v>
      </c>
      <c r="Q39" s="26"/>
    </row>
    <row r="40" spans="4:17" x14ac:dyDescent="0.2">
      <c r="J40">
        <f t="shared" si="6"/>
        <v>2005</v>
      </c>
      <c r="K40" s="26">
        <f>K15/'Rate Class Customer Model'!B11</f>
        <v>8958.9486221849202</v>
      </c>
      <c r="L40" s="26">
        <f>L15/'Rate Class Customer Model'!C11</f>
        <v>33198.624251012145</v>
      </c>
      <c r="M40" s="26">
        <f>M15/'Rate Class Customer Model'!D11</f>
        <v>853252.41597028787</v>
      </c>
      <c r="N40" s="26">
        <f>N15/'Rate Class Customer Model'!E11</f>
        <v>58014601</v>
      </c>
      <c r="O40" s="26">
        <f>O15/'Rate Class Customer Model'!F11</f>
        <v>9952.9281476598553</v>
      </c>
      <c r="P40" s="26">
        <f>P15/'Rate Class Customer Model'!G11</f>
        <v>5806.3800247831468</v>
      </c>
      <c r="Q40" s="26"/>
    </row>
    <row r="41" spans="4:17" x14ac:dyDescent="0.2">
      <c r="J41">
        <f t="shared" si="6"/>
        <v>2006</v>
      </c>
      <c r="K41" s="26">
        <f>K16/'Rate Class Customer Model'!B12</f>
        <v>8566.3567370241271</v>
      </c>
      <c r="L41" s="26">
        <f>L16/'Rate Class Customer Model'!C12</f>
        <v>32788.765640516387</v>
      </c>
      <c r="M41" s="26">
        <f>M16/'Rate Class Customer Model'!D12</f>
        <v>842714.21057786478</v>
      </c>
      <c r="N41" s="26">
        <f>N16/'Rate Class Customer Model'!E12</f>
        <v>45493949.75</v>
      </c>
      <c r="O41" s="26">
        <f>O16/'Rate Class Customer Model'!F12</f>
        <v>9974.3783431180691</v>
      </c>
      <c r="P41" s="26">
        <f>P16/'Rate Class Customer Model'!G12</f>
        <v>5865.0842627013635</v>
      </c>
      <c r="Q41" s="26"/>
    </row>
    <row r="42" spans="4:17" x14ac:dyDescent="0.2">
      <c r="J42">
        <f t="shared" si="6"/>
        <v>2007</v>
      </c>
      <c r="K42" s="26">
        <f>K17/'Rate Class Customer Model'!B13</f>
        <v>8596.5004167114748</v>
      </c>
      <c r="L42" s="26">
        <f>L17/'Rate Class Customer Model'!C13</f>
        <v>32465.357738260627</v>
      </c>
      <c r="M42" s="26">
        <f>M17/'Rate Class Customer Model'!D13</f>
        <v>862481.7970149254</v>
      </c>
      <c r="N42" s="26">
        <f>N17/'Rate Class Customer Model'!E13</f>
        <v>39420194.25</v>
      </c>
      <c r="O42" s="26">
        <f>O17/'Rate Class Customer Model'!F13</f>
        <v>10204.524622455679</v>
      </c>
      <c r="P42" s="26">
        <f>P17/'Rate Class Customer Model'!G12</f>
        <v>6167.7546468401488</v>
      </c>
      <c r="Q42" s="26"/>
    </row>
    <row r="43" spans="4:17" x14ac:dyDescent="0.2">
      <c r="J43">
        <f t="shared" si="6"/>
        <v>2008</v>
      </c>
      <c r="K43" s="26">
        <f>K18/'Rate Class Customer Model'!B14</f>
        <v>8491.4811087480575</v>
      </c>
      <c r="L43" s="26">
        <f>L18/'Rate Class Customer Model'!C14</f>
        <v>32135.830417875863</v>
      </c>
      <c r="M43" s="26">
        <f>M18/'Rate Class Customer Model'!D14</f>
        <v>826307.69334428932</v>
      </c>
      <c r="N43" s="26">
        <f>N18/'Rate Class Customer Model'!E14</f>
        <v>36732194.25</v>
      </c>
      <c r="O43" s="26">
        <f>O18/'Rate Class Customer Model'!F14</f>
        <v>11524.05275311542</v>
      </c>
      <c r="P43" s="26">
        <f>P18/'Rate Class Customer Model'!G13</f>
        <v>4019.2933985330073</v>
      </c>
      <c r="Q43" s="26"/>
    </row>
    <row r="44" spans="4:17" x14ac:dyDescent="0.2">
      <c r="J44">
        <f t="shared" si="6"/>
        <v>2009</v>
      </c>
      <c r="K44" s="26">
        <f>K19/'Rate Class Customer Model'!B15</f>
        <v>8220.6849896509739</v>
      </c>
      <c r="L44" s="26">
        <f>L19/'Rate Class Customer Model'!C15</f>
        <v>31283.907466871693</v>
      </c>
      <c r="M44" s="26">
        <f>M19/'Rate Class Customer Model'!D15</f>
        <v>816903.56049423665</v>
      </c>
      <c r="N44" s="26">
        <f>N19/'Rate Class Customer Model'!E15</f>
        <v>26607461.666666668</v>
      </c>
      <c r="O44" s="26">
        <f>O19/'Rate Class Customer Model'!F15</f>
        <v>10264.934880722114</v>
      </c>
      <c r="P44" s="26">
        <f>P19/'Rate Class Customer Model'!G14</f>
        <v>4018.7817073170731</v>
      </c>
      <c r="Q44" s="26"/>
    </row>
    <row r="45" spans="4:17" x14ac:dyDescent="0.2">
      <c r="J45">
        <f t="shared" si="6"/>
        <v>2010</v>
      </c>
      <c r="K45" s="26">
        <f>K20/'Rate Class Customer Model'!B16</f>
        <v>8394.8683530612179</v>
      </c>
      <c r="L45" s="26">
        <f>L20/'Rate Class Customer Model'!C16</f>
        <v>31701.012050888992</v>
      </c>
      <c r="M45" s="26">
        <f>M20/'Rate Class Customer Model'!D16</f>
        <v>886712.54470380046</v>
      </c>
      <c r="N45" s="26">
        <f>N20/'Rate Class Customer Model'!E16</f>
        <v>34922719.5</v>
      </c>
      <c r="O45" s="26">
        <f>O20/'Rate Class Customer Model'!F16</f>
        <v>10185.89957698752</v>
      </c>
      <c r="P45" s="26">
        <f>P20/'Rate Class Customer Model'!G15</f>
        <v>4001.2717258261932</v>
      </c>
      <c r="Q45" s="26"/>
    </row>
    <row r="46" spans="4:17" x14ac:dyDescent="0.2">
      <c r="J46">
        <f t="shared" si="6"/>
        <v>2011</v>
      </c>
      <c r="K46" s="26">
        <f>K21/'Rate Class Customer Model'!B17</f>
        <v>8218.2833001104609</v>
      </c>
      <c r="L46" s="26">
        <f>L21/'Rate Class Customer Model'!C17</f>
        <v>31859.315866277528</v>
      </c>
      <c r="M46" s="26">
        <f>M21/'Rate Class Customer Model'!D17</f>
        <v>893593.8953846154</v>
      </c>
      <c r="N46" s="26">
        <f>N21/'Rate Class Customer Model'!E17</f>
        <v>28007634.5</v>
      </c>
      <c r="O46" s="26">
        <f>O21/'Rate Class Customer Model'!F17</f>
        <v>10115.363385073357</v>
      </c>
      <c r="P46" s="26">
        <f>P21/'Rate Class Customer Model'!G16</f>
        <v>4092.2108508014799</v>
      </c>
      <c r="Q46" s="26"/>
    </row>
    <row r="47" spans="4:17" x14ac:dyDescent="0.2">
      <c r="J47">
        <f t="shared" si="6"/>
        <v>2012</v>
      </c>
      <c r="K47" s="26">
        <f>K22/'Rate Class Customer Model'!B18</f>
        <v>8056.143355375827</v>
      </c>
      <c r="L47" s="26">
        <f>L22/'Rate Class Customer Model'!C18</f>
        <v>31520.139082664809</v>
      </c>
      <c r="M47" s="26">
        <f>M22/'Rate Class Customer Model'!D18</f>
        <v>893372.57577878889</v>
      </c>
      <c r="N47" s="26">
        <f>N22/'Rate Class Customer Model'!E18</f>
        <v>34678188</v>
      </c>
      <c r="O47" s="26">
        <f>O22/'Rate Class Customer Model'!F18</f>
        <v>10132.99564740096</v>
      </c>
      <c r="P47" s="26">
        <f>P22/'Rate Class Customer Model'!G17</f>
        <v>4395.3151010701549</v>
      </c>
      <c r="Q47" s="26"/>
    </row>
    <row r="48" spans="4:17" x14ac:dyDescent="0.2">
      <c r="J48">
        <f t="shared" si="6"/>
        <v>2013</v>
      </c>
      <c r="K48" s="20">
        <f t="shared" ref="K48:P48" si="7">K47*K68</f>
        <v>7995.9754273820736</v>
      </c>
      <c r="L48" s="20">
        <f t="shared" si="7"/>
        <v>31399.501696105202</v>
      </c>
      <c r="M48" s="20">
        <f t="shared" si="7"/>
        <v>900223.90016592527</v>
      </c>
      <c r="N48" s="20">
        <f t="shared" si="7"/>
        <v>33008414.327518649</v>
      </c>
      <c r="O48" s="20">
        <f t="shared" si="7"/>
        <v>10133.002168928135</v>
      </c>
      <c r="P48" s="20">
        <f t="shared" si="7"/>
        <v>4107.3584019596638</v>
      </c>
      <c r="Q48" s="26"/>
    </row>
    <row r="49" spans="4:26" x14ac:dyDescent="0.2">
      <c r="J49">
        <f t="shared" si="6"/>
        <v>2014</v>
      </c>
      <c r="K49" s="20">
        <f t="shared" ref="K49:P49" si="8">K48*K68</f>
        <v>7936.2568681990979</v>
      </c>
      <c r="L49" s="20">
        <f t="shared" si="8"/>
        <v>31279.326026386305</v>
      </c>
      <c r="M49" s="20">
        <f t="shared" si="8"/>
        <v>907127.76774403302</v>
      </c>
      <c r="N49" s="20">
        <f t="shared" si="8"/>
        <v>31419041.168389145</v>
      </c>
      <c r="O49" s="20">
        <f t="shared" si="8"/>
        <v>10133.008690459508</v>
      </c>
      <c r="P49" s="20">
        <f t="shared" si="8"/>
        <v>3838.2670307394123</v>
      </c>
      <c r="Q49" s="26"/>
    </row>
    <row r="50" spans="4:26" x14ac:dyDescent="0.2">
      <c r="J50"/>
    </row>
    <row r="51" spans="4:26" x14ac:dyDescent="0.2">
      <c r="J51" s="38">
        <v>1997</v>
      </c>
      <c r="K51" s="24"/>
      <c r="L51" s="24"/>
      <c r="M51" s="24"/>
      <c r="N51" s="24"/>
      <c r="O51" s="24"/>
    </row>
    <row r="52" spans="4:26" x14ac:dyDescent="0.2">
      <c r="J52" s="38">
        <v>1998</v>
      </c>
      <c r="K52" s="24"/>
      <c r="L52" s="24"/>
      <c r="M52" s="24"/>
      <c r="N52" s="24"/>
      <c r="O52" s="24"/>
    </row>
    <row r="53" spans="4:26" x14ac:dyDescent="0.2">
      <c r="D53" s="5"/>
      <c r="J53" s="38">
        <v>1999</v>
      </c>
      <c r="K53" s="24"/>
      <c r="L53" s="24"/>
      <c r="M53" s="24"/>
      <c r="N53" s="24"/>
      <c r="O53" s="24"/>
    </row>
    <row r="54" spans="4:26" x14ac:dyDescent="0.2">
      <c r="D54" s="5"/>
      <c r="J54" s="38">
        <v>2000</v>
      </c>
    </row>
    <row r="55" spans="4:26" x14ac:dyDescent="0.2">
      <c r="D55" s="5"/>
      <c r="J55" s="38">
        <v>2001</v>
      </c>
      <c r="K55" s="24">
        <f t="shared" ref="K55:P66" si="9">K36/K35</f>
        <v>0.95452808984160675</v>
      </c>
      <c r="L55" s="24">
        <f t="shared" si="9"/>
        <v>0.89689221489533122</v>
      </c>
      <c r="M55" s="24">
        <f t="shared" si="9"/>
        <v>1.0463611074851955</v>
      </c>
      <c r="N55" s="24">
        <f t="shared" si="9"/>
        <v>0.91342903583405466</v>
      </c>
      <c r="O55" s="24">
        <f t="shared" si="9"/>
        <v>0.99255410190205551</v>
      </c>
      <c r="P55" s="24">
        <f t="shared" si="9"/>
        <v>0.89963165354803531</v>
      </c>
      <c r="R55" s="71"/>
      <c r="S55" s="71"/>
      <c r="T55" s="71"/>
      <c r="U55" s="71"/>
      <c r="V55" s="71"/>
      <c r="W55" s="71"/>
      <c r="X55" s="71"/>
      <c r="Y55" s="71"/>
      <c r="Z55" s="71"/>
    </row>
    <row r="56" spans="4:26" x14ac:dyDescent="0.2">
      <c r="D56" s="5"/>
      <c r="J56" s="38">
        <v>2002</v>
      </c>
      <c r="K56" s="24">
        <f t="shared" si="9"/>
        <v>1.1024753516573587</v>
      </c>
      <c r="L56" s="24">
        <f t="shared" si="9"/>
        <v>1.1281142134057496</v>
      </c>
      <c r="M56" s="24">
        <f t="shared" si="9"/>
        <v>0.94816613329667332</v>
      </c>
      <c r="N56" s="24">
        <f t="shared" si="9"/>
        <v>1.1234860148013286</v>
      </c>
      <c r="O56" s="24">
        <f t="shared" si="9"/>
        <v>0.88389544287720412</v>
      </c>
      <c r="P56" s="24">
        <f t="shared" si="9"/>
        <v>1.1061627182092573</v>
      </c>
      <c r="R56" s="71"/>
      <c r="S56" s="71"/>
      <c r="T56" s="71"/>
      <c r="U56" s="71"/>
      <c r="V56" s="71"/>
      <c r="W56" s="71"/>
      <c r="X56" s="71"/>
      <c r="Y56" s="71"/>
      <c r="Z56" s="71"/>
    </row>
    <row r="57" spans="4:26" x14ac:dyDescent="0.2">
      <c r="D57" s="5"/>
      <c r="J57" s="38">
        <v>2003</v>
      </c>
      <c r="K57" s="24">
        <f t="shared" si="9"/>
        <v>0.97420552895620571</v>
      </c>
      <c r="L57" s="24">
        <f t="shared" si="9"/>
        <v>1.0073952946626605</v>
      </c>
      <c r="M57" s="24">
        <f t="shared" si="9"/>
        <v>1.0300809476723458</v>
      </c>
      <c r="N57" s="24">
        <f t="shared" si="9"/>
        <v>0.98334364149430775</v>
      </c>
      <c r="O57" s="24">
        <f t="shared" si="9"/>
        <v>1.1782269584995877</v>
      </c>
      <c r="P57" s="24">
        <f t="shared" si="9"/>
        <v>1.0279449931684901</v>
      </c>
      <c r="Q57" s="24"/>
      <c r="R57" s="71"/>
      <c r="S57" s="71"/>
      <c r="T57" s="71"/>
      <c r="U57" s="71"/>
      <c r="V57" s="71"/>
      <c r="W57" s="71"/>
      <c r="X57" s="71"/>
      <c r="Y57" s="71"/>
      <c r="Z57" s="71"/>
    </row>
    <row r="58" spans="4:26" x14ac:dyDescent="0.2">
      <c r="D58" s="5"/>
      <c r="J58" s="38">
        <v>2004</v>
      </c>
      <c r="K58" s="24">
        <f t="shared" si="9"/>
        <v>0.94610833133149741</v>
      </c>
      <c r="L58" s="24">
        <f t="shared" si="9"/>
        <v>0.95240089553253371</v>
      </c>
      <c r="M58" s="24">
        <f t="shared" si="9"/>
        <v>1.0001971044815401</v>
      </c>
      <c r="N58" s="24">
        <f t="shared" si="9"/>
        <v>0.9275521360720439</v>
      </c>
      <c r="O58" s="24">
        <f t="shared" si="9"/>
        <v>0.95054475707900887</v>
      </c>
      <c r="P58" s="24">
        <f t="shared" si="9"/>
        <v>0.90130083844535591</v>
      </c>
      <c r="Q58" s="24"/>
      <c r="R58" s="71"/>
      <c r="S58" s="71"/>
      <c r="T58" s="71"/>
      <c r="U58" s="71"/>
      <c r="V58" s="71"/>
      <c r="W58" s="71"/>
      <c r="X58" s="71"/>
      <c r="Y58" s="71"/>
      <c r="Z58" s="71"/>
    </row>
    <row r="59" spans="4:26" x14ac:dyDescent="0.2">
      <c r="D59" s="5"/>
      <c r="J59" s="38">
        <v>2005</v>
      </c>
      <c r="K59" s="24">
        <f t="shared" si="9"/>
        <v>1.0478810412702044</v>
      </c>
      <c r="L59" s="24">
        <f t="shared" si="9"/>
        <v>1.0361783003904916</v>
      </c>
      <c r="M59" s="24">
        <f t="shared" si="9"/>
        <v>1.0240873506538593</v>
      </c>
      <c r="N59" s="24">
        <f t="shared" si="9"/>
        <v>0.98858489284922357</v>
      </c>
      <c r="O59" s="24">
        <f t="shared" si="9"/>
        <v>0.99223299885688532</v>
      </c>
      <c r="P59" s="24">
        <f t="shared" si="9"/>
        <v>1.0709228343037023</v>
      </c>
      <c r="Q59" s="24"/>
      <c r="R59" s="71"/>
      <c r="S59" s="71"/>
      <c r="T59" s="71"/>
      <c r="U59" s="71"/>
      <c r="V59" s="71"/>
      <c r="W59" s="71"/>
      <c r="X59" s="71"/>
      <c r="Y59" s="71"/>
      <c r="Z59" s="71"/>
    </row>
    <row r="60" spans="4:26" x14ac:dyDescent="0.2">
      <c r="D60" s="5"/>
      <c r="J60" s="38">
        <v>2006</v>
      </c>
      <c r="K60" s="24">
        <f t="shared" si="9"/>
        <v>0.95617879935279204</v>
      </c>
      <c r="L60" s="24">
        <f t="shared" si="9"/>
        <v>0.98765434954783515</v>
      </c>
      <c r="M60" s="24">
        <f t="shared" si="9"/>
        <v>0.98764936940677817</v>
      </c>
      <c r="N60" s="24">
        <f t="shared" si="9"/>
        <v>0.78418103315060295</v>
      </c>
      <c r="O60" s="24">
        <f t="shared" si="9"/>
        <v>1.0021551643034072</v>
      </c>
      <c r="P60" s="24">
        <f t="shared" si="9"/>
        <v>1.0101102989586717</v>
      </c>
      <c r="Q60" s="24"/>
      <c r="R60" s="71"/>
      <c r="S60" s="71"/>
      <c r="T60" s="71"/>
      <c r="U60" s="71"/>
      <c r="V60" s="71"/>
      <c r="W60" s="71"/>
      <c r="X60" s="71"/>
      <c r="Y60" s="71"/>
      <c r="Z60" s="71"/>
    </row>
    <row r="61" spans="4:26" x14ac:dyDescent="0.2">
      <c r="D61" s="5"/>
      <c r="J61" s="38">
        <v>2007</v>
      </c>
      <c r="K61" s="24">
        <f t="shared" si="9"/>
        <v>1.0035188447799595</v>
      </c>
      <c r="L61" s="24">
        <f t="shared" si="9"/>
        <v>0.99013662466585406</v>
      </c>
      <c r="M61" s="24">
        <f t="shared" si="9"/>
        <v>1.0234570465158119</v>
      </c>
      <c r="N61" s="24">
        <f t="shared" si="9"/>
        <v>0.86649311538398577</v>
      </c>
      <c r="O61" s="24">
        <f t="shared" si="9"/>
        <v>1.0230737466958433</v>
      </c>
      <c r="P61" s="24">
        <f t="shared" si="9"/>
        <v>1.0516054621863831</v>
      </c>
      <c r="Q61" s="24"/>
      <c r="R61" s="71"/>
      <c r="S61" s="71"/>
      <c r="T61" s="71"/>
      <c r="U61" s="71"/>
      <c r="V61" s="71"/>
      <c r="W61" s="71"/>
      <c r="X61" s="71"/>
      <c r="Y61" s="71"/>
      <c r="Z61" s="71"/>
    </row>
    <row r="62" spans="4:26" x14ac:dyDescent="0.2">
      <c r="D62" s="5"/>
      <c r="J62" s="38">
        <v>2008</v>
      </c>
      <c r="K62" s="24">
        <f t="shared" si="9"/>
        <v>0.98778348131534299</v>
      </c>
      <c r="L62" s="24">
        <f t="shared" si="9"/>
        <v>0.98984987866015672</v>
      </c>
      <c r="M62" s="24">
        <f t="shared" si="9"/>
        <v>0.95805812505743804</v>
      </c>
      <c r="N62" s="24">
        <f t="shared" si="9"/>
        <v>0.93181159933020874</v>
      </c>
      <c r="O62" s="24">
        <f t="shared" si="9"/>
        <v>1.129308143150151</v>
      </c>
      <c r="P62" s="24">
        <f t="shared" si="9"/>
        <v>0.65166233559439068</v>
      </c>
      <c r="Q62" s="24"/>
      <c r="R62" s="71"/>
      <c r="S62" s="71"/>
      <c r="T62" s="71"/>
      <c r="U62" s="71"/>
      <c r="V62" s="71"/>
      <c r="W62" s="71"/>
      <c r="X62" s="71"/>
      <c r="Y62" s="71"/>
      <c r="Z62" s="71"/>
    </row>
    <row r="63" spans="4:26" x14ac:dyDescent="0.2">
      <c r="D63" s="5"/>
      <c r="J63" s="38">
        <v>2009</v>
      </c>
      <c r="K63" s="24">
        <f t="shared" si="9"/>
        <v>0.96810967184298324</v>
      </c>
      <c r="L63" s="24">
        <f t="shared" si="9"/>
        <v>0.97348993506854331</v>
      </c>
      <c r="M63" s="24">
        <f t="shared" si="9"/>
        <v>0.9886190907747795</v>
      </c>
      <c r="N63" s="24">
        <f t="shared" si="9"/>
        <v>0.7243635238770596</v>
      </c>
      <c r="O63" s="24">
        <f t="shared" si="9"/>
        <v>0.89074001140328729</v>
      </c>
      <c r="P63" s="24">
        <f t="shared" si="9"/>
        <v>0.99987269125062606</v>
      </c>
      <c r="Q63" s="24"/>
      <c r="R63" s="71"/>
      <c r="S63" s="71"/>
      <c r="T63" s="71"/>
      <c r="U63" s="71"/>
      <c r="V63" s="71"/>
      <c r="W63" s="71"/>
      <c r="X63" s="71"/>
      <c r="Y63" s="71"/>
      <c r="Z63" s="71"/>
    </row>
    <row r="64" spans="4:26" x14ac:dyDescent="0.2">
      <c r="D64" s="5"/>
      <c r="J64" s="38">
        <v>2010</v>
      </c>
      <c r="K64" s="24">
        <f t="shared" si="9"/>
        <v>1.0211884245205265</v>
      </c>
      <c r="L64" s="24">
        <f t="shared" si="9"/>
        <v>1.0133328799945784</v>
      </c>
      <c r="M64" s="24">
        <f t="shared" si="9"/>
        <v>1.0854556003738416</v>
      </c>
      <c r="N64" s="24">
        <f t="shared" si="9"/>
        <v>1.3125160128953801</v>
      </c>
      <c r="O64" s="24">
        <f t="shared" si="9"/>
        <v>0.99230045736743788</v>
      </c>
      <c r="P64" s="24">
        <f t="shared" si="9"/>
        <v>0.99564296277675413</v>
      </c>
      <c r="Q64" s="24"/>
      <c r="R64" s="71"/>
      <c r="S64" s="71"/>
      <c r="T64" s="71"/>
      <c r="U64" s="71"/>
      <c r="V64" s="71"/>
      <c r="W64" s="71"/>
      <c r="X64" s="71"/>
      <c r="Y64" s="71"/>
      <c r="Z64" s="71"/>
    </row>
    <row r="65" spans="1:26" x14ac:dyDescent="0.2">
      <c r="D65" s="5"/>
      <c r="J65" s="38">
        <v>2011</v>
      </c>
      <c r="K65" s="24">
        <f t="shared" si="9"/>
        <v>0.97896511946058518</v>
      </c>
      <c r="L65" s="24">
        <f t="shared" si="9"/>
        <v>1.0049936517841895</v>
      </c>
      <c r="M65" s="24">
        <f t="shared" si="9"/>
        <v>1.0077605202744859</v>
      </c>
      <c r="N65" s="24">
        <f t="shared" si="9"/>
        <v>0.80198893158936257</v>
      </c>
      <c r="O65" s="24">
        <f t="shared" si="9"/>
        <v>0.99307511414372063</v>
      </c>
      <c r="P65" s="24">
        <f t="shared" si="9"/>
        <v>1.0227275554390172</v>
      </c>
      <c r="Q65" s="24"/>
      <c r="R65" s="71"/>
      <c r="S65" s="71"/>
      <c r="T65" s="71"/>
      <c r="U65" s="71"/>
      <c r="V65" s="71"/>
      <c r="W65" s="71"/>
      <c r="X65" s="71"/>
      <c r="Y65" s="71"/>
      <c r="Z65" s="71"/>
    </row>
    <row r="66" spans="1:26" x14ac:dyDescent="0.2">
      <c r="B66" s="161"/>
      <c r="C66" s="161"/>
      <c r="D66" s="5"/>
      <c r="E66" s="161"/>
      <c r="F66" s="161"/>
      <c r="J66" s="38">
        <v>2012</v>
      </c>
      <c r="K66" s="24">
        <f t="shared" si="9"/>
        <v>0.9802708255710223</v>
      </c>
      <c r="L66" s="24">
        <f t="shared" si="9"/>
        <v>0.98935392131342881</v>
      </c>
      <c r="M66" s="24">
        <f t="shared" si="9"/>
        <v>0.99975232641251288</v>
      </c>
      <c r="N66" s="24">
        <f t="shared" si="9"/>
        <v>1.238169114210627</v>
      </c>
      <c r="O66" s="24">
        <f t="shared" si="9"/>
        <v>1.0017431170444773</v>
      </c>
      <c r="P66" s="24">
        <f t="shared" si="9"/>
        <v>1.0740685808526484</v>
      </c>
      <c r="Q66" s="24"/>
      <c r="R66" s="71"/>
      <c r="S66" s="71"/>
      <c r="T66" s="71"/>
      <c r="U66" s="71"/>
      <c r="V66" s="71"/>
      <c r="W66" s="71"/>
      <c r="X66" s="71"/>
      <c r="Y66" s="71"/>
      <c r="Z66" s="71"/>
    </row>
    <row r="67" spans="1:26" x14ac:dyDescent="0.2">
      <c r="A67" s="2"/>
      <c r="D67" s="5"/>
      <c r="E67" s="5"/>
      <c r="F67" s="5"/>
    </row>
    <row r="68" spans="1:26" x14ac:dyDescent="0.2">
      <c r="D68" s="5"/>
      <c r="H68"/>
      <c r="I68"/>
      <c r="J68"/>
      <c r="K68" s="207">
        <f t="shared" ref="K68:P68" si="10">K70</f>
        <v>0.99253142287325313</v>
      </c>
      <c r="L68" s="207">
        <f t="shared" si="10"/>
        <v>0.99617268863429753</v>
      </c>
      <c r="M68" s="207">
        <f t="shared" si="10"/>
        <v>1.0076690560835313</v>
      </c>
      <c r="N68" s="207">
        <f t="shared" si="10"/>
        <v>0.95184945440398006</v>
      </c>
      <c r="O68" s="207">
        <f t="shared" si="10"/>
        <v>1.0000006435932081</v>
      </c>
      <c r="P68" s="207">
        <f t="shared" si="10"/>
        <v>0.93448553915045129</v>
      </c>
      <c r="Q68" t="s">
        <v>16</v>
      </c>
    </row>
    <row r="69" spans="1:26" x14ac:dyDescent="0.2">
      <c r="A69" s="2"/>
      <c r="D69" s="5"/>
      <c r="K69" s="9"/>
      <c r="L69" s="9"/>
      <c r="O69" s="8"/>
      <c r="P69" s="8"/>
    </row>
    <row r="70" spans="1:26" x14ac:dyDescent="0.2">
      <c r="D70" s="5"/>
      <c r="H70"/>
      <c r="I70"/>
      <c r="J70"/>
      <c r="K70" s="24">
        <f>GEOMEAN(K55:K66)</f>
        <v>0.99253142287325313</v>
      </c>
      <c r="L70" s="24">
        <f>GEOMEAN(L55:L66)</f>
        <v>0.99617268863429753</v>
      </c>
      <c r="M70" s="24">
        <f>GEOMEAN(M55:M66)</f>
        <v>1.0076690560835313</v>
      </c>
      <c r="N70" s="24">
        <f>GEOMEAN(N55:N66)</f>
        <v>0.95184945440398006</v>
      </c>
      <c r="O70" s="24">
        <f>GEOMEAN(O56:O66)</f>
        <v>1.0000006435932081</v>
      </c>
      <c r="P70" s="24">
        <f>GEOMEAN(P62:P66)</f>
        <v>0.93448553915045129</v>
      </c>
      <c r="Q70" t="s">
        <v>13</v>
      </c>
      <c r="R70" s="71"/>
      <c r="S70" s="71"/>
      <c r="T70" s="71"/>
      <c r="U70" s="71"/>
      <c r="V70" s="71"/>
      <c r="W70" s="71"/>
      <c r="X70" s="71"/>
      <c r="Y70" s="71"/>
      <c r="Z70" s="71"/>
    </row>
    <row r="71" spans="1:26" x14ac:dyDescent="0.2">
      <c r="D71" s="5"/>
      <c r="K71" s="24"/>
      <c r="L71" s="24"/>
      <c r="M71" s="24"/>
      <c r="N71" s="24"/>
      <c r="O71" s="24"/>
      <c r="P71" s="24"/>
    </row>
    <row r="73" spans="1:26" x14ac:dyDescent="0.2">
      <c r="B73"/>
      <c r="C73"/>
      <c r="D73"/>
    </row>
    <row r="74" spans="1:26" x14ac:dyDescent="0.2">
      <c r="B74" s="161"/>
      <c r="C74" s="161"/>
      <c r="D74" s="161"/>
      <c r="E74" s="161"/>
    </row>
    <row r="78" spans="1:26" x14ac:dyDescent="0.2">
      <c r="B78" s="161"/>
      <c r="C78" s="161"/>
      <c r="D78" s="161"/>
      <c r="E78" s="161"/>
      <c r="H78" s="19"/>
      <c r="I78" s="19"/>
      <c r="J78" s="574" t="s">
        <v>22</v>
      </c>
      <c r="K78" s="574"/>
      <c r="L78" s="574"/>
      <c r="R78" s="254" t="s">
        <v>298</v>
      </c>
    </row>
    <row r="79" spans="1:26" x14ac:dyDescent="0.2">
      <c r="B79" s="161"/>
      <c r="C79" s="161"/>
      <c r="D79" s="161"/>
      <c r="E79" s="161"/>
      <c r="H79"/>
      <c r="I79"/>
      <c r="J79">
        <v>2013</v>
      </c>
      <c r="K79" s="37">
        <f>SUM(L79:Q79)</f>
        <v>1832190264.9910929</v>
      </c>
      <c r="L79" s="37">
        <f>K48*'Rate Class Customer Model'!B19</f>
        <v>649888511.00451231</v>
      </c>
      <c r="M79" s="37">
        <f>L48*'Rate Class Customer Model'!C19</f>
        <v>242937838.04586461</v>
      </c>
      <c r="N79" s="37">
        <f>M48*'Rate Class Customer Model'!D19</f>
        <v>853836164.52558029</v>
      </c>
      <c r="O79" s="37">
        <f>N48*'Rate Class Customer Model'!E19</f>
        <v>66016828.655037299</v>
      </c>
      <c r="P79" s="37">
        <f>O48*'Rate Class Customer Model'!F19</f>
        <v>15898680.403048243</v>
      </c>
      <c r="Q79" s="37">
        <f>P48*'Rate Class Customer Model'!G19</f>
        <v>3612242.357049867</v>
      </c>
      <c r="R79" s="37">
        <f>SUM(L79:Q79)</f>
        <v>1832190264.9910929</v>
      </c>
    </row>
    <row r="80" spans="1:26" x14ac:dyDescent="0.2">
      <c r="H80"/>
      <c r="I80"/>
      <c r="J80">
        <v>2014</v>
      </c>
      <c r="K80" s="37">
        <f>SUM(L80:Q80)</f>
        <v>1808504312.0802293</v>
      </c>
      <c r="L80" s="37">
        <f>K49*'Rate Class Customer Model'!B20</f>
        <v>655355324.83286905</v>
      </c>
      <c r="M80" s="37">
        <f>L49*'Rate Class Customer Model'!C20</f>
        <v>244909580.39059412</v>
      </c>
      <c r="N80" s="37">
        <f>M49*'Rate Class Customer Model'!D20</f>
        <v>856894763.4094311</v>
      </c>
      <c r="O80" s="37">
        <f>+'Rate Class Load Model'!C58</f>
        <v>31798990.292463161</v>
      </c>
      <c r="P80" s="37">
        <f>O49*'Rate Class Customer Model'!F20</f>
        <v>16128464.711878158</v>
      </c>
      <c r="Q80" s="37">
        <f>P49*'Rate Class Customer Model'!G20</f>
        <v>3417188.4429939534</v>
      </c>
      <c r="R80" s="37">
        <f>SUM(L80:Q80)</f>
        <v>1808504312.0802293</v>
      </c>
    </row>
    <row r="81" spans="2:21" x14ac:dyDescent="0.2">
      <c r="H81" s="487"/>
      <c r="I81" s="487"/>
      <c r="J81" s="1"/>
      <c r="K81" s="37"/>
      <c r="L81" s="37"/>
      <c r="M81" s="37"/>
      <c r="N81" s="37"/>
      <c r="O81" s="37"/>
      <c r="P81" s="37"/>
      <c r="Q81" s="37"/>
    </row>
    <row r="82" spans="2:21" x14ac:dyDescent="0.2">
      <c r="H82" s="463"/>
      <c r="I82" s="463"/>
      <c r="J82" s="574" t="s">
        <v>287</v>
      </c>
      <c r="K82" s="574"/>
      <c r="L82" s="574"/>
      <c r="M82" s="574"/>
      <c r="N82" s="574"/>
      <c r="O82" s="37"/>
      <c r="P82" s="37"/>
      <c r="R82" s="37" t="s">
        <v>299</v>
      </c>
    </row>
    <row r="83" spans="2:21" x14ac:dyDescent="0.2">
      <c r="B83" s="161"/>
      <c r="C83" s="161"/>
      <c r="D83" s="161"/>
      <c r="E83" s="161"/>
      <c r="H83"/>
      <c r="I83"/>
      <c r="J83">
        <v>2013</v>
      </c>
      <c r="K83" s="319">
        <f>G23</f>
        <v>1836064429.4060736</v>
      </c>
      <c r="L83" s="37">
        <f t="shared" ref="L83:P84" si="11">L79+L92</f>
        <v>651503261.08489752</v>
      </c>
      <c r="M83" s="37">
        <f t="shared" si="11"/>
        <v>243541455.26154184</v>
      </c>
      <c r="N83" s="37">
        <f t="shared" si="11"/>
        <v>855491961.64449847</v>
      </c>
      <c r="O83" s="37">
        <f t="shared" si="11"/>
        <v>66016828.655037299</v>
      </c>
      <c r="P83" s="37">
        <f t="shared" si="11"/>
        <v>15898680.403048243</v>
      </c>
      <c r="Q83" s="37">
        <f t="shared" ref="Q83:Q84" si="12">Q79+Q92+Q96</f>
        <v>3612242.357049867</v>
      </c>
      <c r="R83" s="477">
        <f>SUM(L83:Q83)</f>
        <v>1836064429.4060733</v>
      </c>
      <c r="S83" s="37">
        <f>R83-K83</f>
        <v>0</v>
      </c>
    </row>
    <row r="84" spans="2:21" ht="12" customHeight="1" x14ac:dyDescent="0.2">
      <c r="H84"/>
      <c r="I84"/>
      <c r="J84">
        <v>2014</v>
      </c>
      <c r="K84" s="319">
        <f>+G24-(O79-O80)</f>
        <v>1808247372.6685526</v>
      </c>
      <c r="L84" s="37">
        <f>L80+L93</f>
        <v>655248008.01655686</v>
      </c>
      <c r="M84" s="37">
        <f t="shared" si="11"/>
        <v>244869475.55668807</v>
      </c>
      <c r="N84" s="37">
        <f t="shared" si="11"/>
        <v>856785245.6479727</v>
      </c>
      <c r="O84" s="37">
        <f t="shared" si="11"/>
        <v>31798990.292463161</v>
      </c>
      <c r="P84" s="37">
        <f t="shared" si="11"/>
        <v>16128464.711878158</v>
      </c>
      <c r="Q84" s="37">
        <f t="shared" si="12"/>
        <v>3417188.4429939534</v>
      </c>
      <c r="R84" s="477">
        <f>SUM(L84:Q84)</f>
        <v>1808247372.6685526</v>
      </c>
      <c r="S84" s="37">
        <f>R84-K84</f>
        <v>0</v>
      </c>
    </row>
    <row r="85" spans="2:21" ht="13.5" thickBot="1" x14ac:dyDescent="0.25">
      <c r="H85" s="487"/>
      <c r="I85" s="487"/>
      <c r="J85" s="161"/>
      <c r="K85" s="245"/>
      <c r="L85" s="37"/>
      <c r="M85" s="37"/>
      <c r="N85" s="37"/>
      <c r="O85" s="37"/>
      <c r="P85" s="37"/>
      <c r="Q85" s="37"/>
      <c r="R85" s="37"/>
      <c r="S85" s="37"/>
    </row>
    <row r="86" spans="2:21" ht="13.5" thickBot="1" x14ac:dyDescent="0.25">
      <c r="B86"/>
      <c r="C86"/>
      <c r="D86"/>
      <c r="E86"/>
      <c r="H86" s="487"/>
      <c r="I86" s="487"/>
      <c r="J86" s="1"/>
      <c r="K86" s="37"/>
      <c r="L86" s="571" t="s">
        <v>152</v>
      </c>
      <c r="M86" s="572"/>
      <c r="N86" s="572"/>
      <c r="O86" s="572"/>
      <c r="P86" s="572"/>
      <c r="Q86" s="573"/>
      <c r="R86" s="37"/>
    </row>
    <row r="87" spans="2:21" x14ac:dyDescent="0.2">
      <c r="B87" s="161"/>
      <c r="C87" s="161"/>
      <c r="D87" s="161"/>
      <c r="E87" s="161"/>
      <c r="H87" s="51"/>
      <c r="I87" s="51"/>
      <c r="J87" s="51" t="s">
        <v>23</v>
      </c>
      <c r="K87" s="37"/>
      <c r="L87" s="53">
        <f>(100%+N87)/2</f>
        <v>0.82000000000000006</v>
      </c>
      <c r="M87" s="53">
        <f>L87</f>
        <v>0.82000000000000006</v>
      </c>
      <c r="N87" s="53">
        <v>0.64</v>
      </c>
      <c r="O87" s="53"/>
      <c r="P87" s="53"/>
      <c r="Q87" s="53"/>
      <c r="R87" s="37" t="s">
        <v>15</v>
      </c>
    </row>
    <row r="88" spans="2:21" x14ac:dyDescent="0.2">
      <c r="H88"/>
      <c r="I88"/>
      <c r="J88">
        <v>2013</v>
      </c>
      <c r="K88" s="476">
        <f>K83-K79</f>
        <v>3874164.4149806499</v>
      </c>
      <c r="L88" s="477">
        <f t="shared" ref="L88:Q88" si="13">L79*L87</f>
        <v>532908579.02370012</v>
      </c>
      <c r="M88" s="477">
        <f t="shared" si="13"/>
        <v>199209027.19760901</v>
      </c>
      <c r="N88" s="477">
        <f t="shared" si="13"/>
        <v>546455145.29637134</v>
      </c>
      <c r="O88" s="477">
        <f t="shared" si="13"/>
        <v>0</v>
      </c>
      <c r="P88" s="477">
        <f t="shared" si="13"/>
        <v>0</v>
      </c>
      <c r="Q88" s="477">
        <f t="shared" si="13"/>
        <v>0</v>
      </c>
      <c r="R88" s="477">
        <f>SUM(L88:Q88)</f>
        <v>1278572751.5176806</v>
      </c>
    </row>
    <row r="89" spans="2:21" x14ac:dyDescent="0.2">
      <c r="H89"/>
      <c r="I89"/>
      <c r="J89">
        <v>2014</v>
      </c>
      <c r="K89" s="476">
        <f>K84-K80</f>
        <v>-256939.41167664528</v>
      </c>
      <c r="L89" s="477">
        <f>L80*L87</f>
        <v>537391366.36295271</v>
      </c>
      <c r="M89" s="477">
        <f t="shared" ref="M89:Q89" si="14">M80*M87</f>
        <v>200825855.92028719</v>
      </c>
      <c r="N89" s="477">
        <f t="shared" si="14"/>
        <v>548412648.5820359</v>
      </c>
      <c r="O89" s="477">
        <f t="shared" si="14"/>
        <v>0</v>
      </c>
      <c r="P89" s="477">
        <f t="shared" si="14"/>
        <v>0</v>
      </c>
      <c r="Q89" s="477">
        <f t="shared" si="14"/>
        <v>0</v>
      </c>
      <c r="R89" s="477">
        <f>SUM(L89:Q89)</f>
        <v>1286629870.8652759</v>
      </c>
      <c r="U89"/>
    </row>
    <row r="90" spans="2:21" x14ac:dyDescent="0.2">
      <c r="E90" s="37"/>
      <c r="H90" s="487"/>
      <c r="I90" s="487"/>
      <c r="J90" s="1"/>
      <c r="K90" s="37"/>
      <c r="L90" s="477"/>
      <c r="M90" s="477"/>
      <c r="N90" s="477"/>
      <c r="O90" s="477"/>
      <c r="P90" s="477"/>
      <c r="Q90" s="478"/>
      <c r="R90" s="37"/>
      <c r="U90"/>
    </row>
    <row r="91" spans="2:21" x14ac:dyDescent="0.2">
      <c r="H91"/>
      <c r="I91"/>
      <c r="J91" s="568" t="s">
        <v>24</v>
      </c>
      <c r="K91" s="568"/>
      <c r="L91" s="568"/>
      <c r="M91" s="477"/>
      <c r="N91" s="477"/>
      <c r="O91" s="477"/>
      <c r="P91" s="477"/>
      <c r="Q91" s="478"/>
      <c r="R91" s="37"/>
      <c r="U91"/>
    </row>
    <row r="92" spans="2:21" x14ac:dyDescent="0.2">
      <c r="H92"/>
      <c r="I92"/>
      <c r="J92">
        <v>2013</v>
      </c>
      <c r="L92" s="477">
        <f t="shared" ref="L92:Q92" si="15">L88/$R$88*$K$88</f>
        <v>1614750.0803852167</v>
      </c>
      <c r="M92" s="477">
        <f t="shared" si="15"/>
        <v>603617.21567723947</v>
      </c>
      <c r="N92" s="477">
        <f t="shared" si="15"/>
        <v>1655797.1189181933</v>
      </c>
      <c r="O92" s="477">
        <f t="shared" si="15"/>
        <v>0</v>
      </c>
      <c r="P92" s="477">
        <f t="shared" si="15"/>
        <v>0</v>
      </c>
      <c r="Q92" s="477">
        <f t="shared" si="15"/>
        <v>0</v>
      </c>
      <c r="R92" s="477">
        <f>SUM(L92:Q92)</f>
        <v>3874164.4149806499</v>
      </c>
    </row>
    <row r="93" spans="2:21" x14ac:dyDescent="0.2">
      <c r="H93"/>
      <c r="I93"/>
      <c r="J93">
        <v>2014</v>
      </c>
      <c r="L93" s="477">
        <f t="shared" ref="L93:Q93" si="16">L89/$R$89*$K$89</f>
        <v>-107316.8163121745</v>
      </c>
      <c r="M93" s="477">
        <f t="shared" si="16"/>
        <v>-40104.833906052234</v>
      </c>
      <c r="N93" s="477">
        <f t="shared" si="16"/>
        <v>-109517.76145841854</v>
      </c>
      <c r="O93" s="477">
        <f t="shared" si="16"/>
        <v>0</v>
      </c>
      <c r="P93" s="477">
        <f t="shared" si="16"/>
        <v>0</v>
      </c>
      <c r="Q93" s="477">
        <f t="shared" si="16"/>
        <v>0</v>
      </c>
      <c r="R93" s="477">
        <f>SUM(L93:Q93)</f>
        <v>-256939.41167664528</v>
      </c>
    </row>
    <row r="94" spans="2:21" ht="13.5" thickBot="1" x14ac:dyDescent="0.25">
      <c r="H94" s="487"/>
      <c r="I94" s="487"/>
      <c r="J94" s="1"/>
    </row>
    <row r="95" spans="2:21" ht="13.5" thickBot="1" x14ac:dyDescent="0.25">
      <c r="H95"/>
      <c r="I95"/>
      <c r="J95" t="s">
        <v>81</v>
      </c>
      <c r="L95" s="569" t="s">
        <v>304</v>
      </c>
      <c r="M95" s="570"/>
      <c r="N95" s="570"/>
      <c r="O95" s="570"/>
      <c r="P95" s="570"/>
      <c r="Q95" s="486"/>
    </row>
    <row r="96" spans="2:21" x14ac:dyDescent="0.2">
      <c r="H96"/>
      <c r="I96"/>
      <c r="J96">
        <v>2013</v>
      </c>
      <c r="K96" s="476">
        <f>-'CDM Activity'!C29</f>
        <v>-9237398.7678304315</v>
      </c>
      <c r="L96" s="479">
        <f>+K96*'CDM Forecast'!R34</f>
        <v>-1660694.1791093131</v>
      </c>
      <c r="M96" s="479">
        <f>+K96*'CDM Forecast'!S34</f>
        <v>-1627282.0038271837</v>
      </c>
      <c r="N96" s="479">
        <f>+K96*'CDM Forecast'!T34</f>
        <v>-5949422.5848939354</v>
      </c>
      <c r="O96" s="476">
        <v>0</v>
      </c>
      <c r="P96" s="476">
        <v>0</v>
      </c>
      <c r="Q96" s="476">
        <v>0</v>
      </c>
      <c r="R96" s="477">
        <f>SUM(L96:Q96)</f>
        <v>-9237398.7678304315</v>
      </c>
      <c r="S96" s="37"/>
    </row>
    <row r="97" spans="7:19" x14ac:dyDescent="0.2">
      <c r="H97"/>
      <c r="I97"/>
      <c r="J97">
        <v>2014</v>
      </c>
      <c r="K97" s="476">
        <f>-SUM('CDM Activity'!D29,'CDM Activity'!D30)</f>
        <v>-18474797.535660863</v>
      </c>
      <c r="L97" s="479">
        <f>+K97*'CDM Forecast'!R34</f>
        <v>-3321388.3582186261</v>
      </c>
      <c r="M97" s="479">
        <f>+K97*'CDM Forecast'!S34</f>
        <v>-3254564.0076543675</v>
      </c>
      <c r="N97" s="479">
        <f>+K97*'CDM Forecast'!T34</f>
        <v>-11898845.169787871</v>
      </c>
      <c r="O97" s="476">
        <v>0</v>
      </c>
      <c r="P97" s="476">
        <v>0</v>
      </c>
      <c r="Q97" s="476">
        <v>0</v>
      </c>
      <c r="R97" s="477">
        <f>SUM(L97:Q97)</f>
        <v>-18474797.535660863</v>
      </c>
      <c r="S97" s="37"/>
    </row>
    <row r="98" spans="7:19" x14ac:dyDescent="0.2">
      <c r="H98" s="487"/>
      <c r="I98" s="487"/>
      <c r="J98" s="1"/>
    </row>
    <row r="99" spans="7:19" x14ac:dyDescent="0.2">
      <c r="H99" s="463"/>
      <c r="I99" s="463"/>
      <c r="J99" s="19" t="s">
        <v>288</v>
      </c>
      <c r="K99" s="19"/>
      <c r="L99" s="19"/>
      <c r="M99" s="19"/>
      <c r="N99" s="37"/>
      <c r="O99" s="37"/>
      <c r="P99" s="37"/>
      <c r="R99" s="37" t="s">
        <v>300</v>
      </c>
    </row>
    <row r="100" spans="7:19" x14ac:dyDescent="0.2">
      <c r="H100"/>
      <c r="I100"/>
      <c r="J100">
        <v>2013</v>
      </c>
      <c r="K100" s="319">
        <f>+K83+K96</f>
        <v>1826827030.6382432</v>
      </c>
      <c r="L100" s="477">
        <f>+L83+L96</f>
        <v>649842566.90578818</v>
      </c>
      <c r="M100" s="477">
        <f t="shared" ref="M100:Q100" si="17">+M83+M96</f>
        <v>241914173.25771466</v>
      </c>
      <c r="N100" s="477">
        <f t="shared" si="17"/>
        <v>849542539.05960453</v>
      </c>
      <c r="O100" s="477">
        <f t="shared" si="17"/>
        <v>66016828.655037299</v>
      </c>
      <c r="P100" s="477">
        <f t="shared" si="17"/>
        <v>15898680.403048243</v>
      </c>
      <c r="Q100" s="477">
        <f t="shared" si="17"/>
        <v>3612242.357049867</v>
      </c>
      <c r="R100" s="477">
        <f>SUM(L100:Q100)</f>
        <v>1826827030.638243</v>
      </c>
      <c r="S100" s="37">
        <f>R100-K100</f>
        <v>0</v>
      </c>
    </row>
    <row r="101" spans="7:19" x14ac:dyDescent="0.2">
      <c r="H101"/>
      <c r="I101"/>
      <c r="J101">
        <v>2014</v>
      </c>
      <c r="K101" s="319">
        <f>+K84+K97</f>
        <v>1789772575.1328917</v>
      </c>
      <c r="L101" s="477">
        <f>+L84+L97</f>
        <v>651926619.65833819</v>
      </c>
      <c r="M101" s="477">
        <f t="shared" ref="M101:Q101" si="18">+M84+M97</f>
        <v>241614911.5490337</v>
      </c>
      <c r="N101" s="477">
        <f t="shared" si="18"/>
        <v>844886400.47818482</v>
      </c>
      <c r="O101" s="477">
        <f t="shared" si="18"/>
        <v>31798990.292463161</v>
      </c>
      <c r="P101" s="477">
        <f t="shared" si="18"/>
        <v>16128464.711878158</v>
      </c>
      <c r="Q101" s="477">
        <f t="shared" si="18"/>
        <v>3417188.4429939534</v>
      </c>
      <c r="R101" s="477">
        <f>SUM(L101:Q101)</f>
        <v>1789772575.1328919</v>
      </c>
      <c r="S101" s="37">
        <f>R101-K101</f>
        <v>0</v>
      </c>
    </row>
    <row r="102" spans="7:19" x14ac:dyDescent="0.2">
      <c r="G102" s="1"/>
      <c r="H102" s="487"/>
      <c r="I102" s="487"/>
    </row>
    <row r="103" spans="7:19" x14ac:dyDescent="0.2">
      <c r="G103" s="1"/>
      <c r="H103" s="487"/>
      <c r="I103" s="487"/>
    </row>
    <row r="104" spans="7:19" x14ac:dyDescent="0.2">
      <c r="G104" s="1"/>
      <c r="H104" s="487"/>
      <c r="I104" s="487"/>
      <c r="L104" s="71">
        <f>(L83-L79)/L79</f>
        <v>2.4846570650854244E-3</v>
      </c>
      <c r="M104" s="71">
        <f t="shared" ref="M104:Q104" si="19">(M83-M79)/M79</f>
        <v>2.4846570650854057E-3</v>
      </c>
      <c r="N104" s="71">
        <f t="shared" si="19"/>
        <v>1.9392445386032533E-3</v>
      </c>
      <c r="O104" s="71">
        <f t="shared" si="19"/>
        <v>0</v>
      </c>
      <c r="P104" s="71">
        <f t="shared" si="19"/>
        <v>0</v>
      </c>
      <c r="Q104" s="71">
        <f t="shared" si="19"/>
        <v>0</v>
      </c>
    </row>
    <row r="105" spans="7:19" x14ac:dyDescent="0.2">
      <c r="G105" s="1"/>
      <c r="H105" s="487"/>
      <c r="I105" s="487"/>
      <c r="L105" s="71">
        <f>(L84-L80)/L80</f>
        <v>-1.6375363447235615E-4</v>
      </c>
      <c r="M105" s="71">
        <f t="shared" ref="M105:Q105" si="20">(M84-M80)/M80</f>
        <v>-1.6375363447233582E-4</v>
      </c>
      <c r="N105" s="71">
        <f t="shared" si="20"/>
        <v>-1.2780771471008332E-4</v>
      </c>
      <c r="O105" s="71">
        <f t="shared" si="20"/>
        <v>0</v>
      </c>
      <c r="P105" s="71">
        <f t="shared" si="20"/>
        <v>0</v>
      </c>
      <c r="Q105" s="71">
        <f t="shared" si="20"/>
        <v>0</v>
      </c>
    </row>
    <row r="106" spans="7:19" x14ac:dyDescent="0.2">
      <c r="G106" s="1"/>
      <c r="H106" s="487"/>
      <c r="I106" s="487"/>
    </row>
    <row r="107" spans="7:19" x14ac:dyDescent="0.2">
      <c r="G107" s="1"/>
      <c r="H107" s="487"/>
      <c r="I107" s="487"/>
      <c r="L107" s="71">
        <f t="shared" ref="L107:N108" si="21">L96/$K96</f>
        <v>0.17977941851906831</v>
      </c>
      <c r="M107" s="71">
        <f t="shared" si="21"/>
        <v>0.17616236396486973</v>
      </c>
      <c r="N107" s="71">
        <f t="shared" si="21"/>
        <v>0.64405821751606207</v>
      </c>
    </row>
    <row r="108" spans="7:19" x14ac:dyDescent="0.2">
      <c r="G108" s="1"/>
      <c r="H108" s="487"/>
      <c r="I108" s="487"/>
      <c r="L108" s="71">
        <f t="shared" si="21"/>
        <v>0.17977941851906831</v>
      </c>
      <c r="M108" s="71">
        <f t="shared" si="21"/>
        <v>0.17616236396486973</v>
      </c>
      <c r="N108" s="71">
        <f t="shared" si="21"/>
        <v>0.64405821751606207</v>
      </c>
    </row>
  </sheetData>
  <mergeCells count="6">
    <mergeCell ref="J91:L91"/>
    <mergeCell ref="L95:P95"/>
    <mergeCell ref="L86:Q86"/>
    <mergeCell ref="J82:N82"/>
    <mergeCell ref="K6:P6"/>
    <mergeCell ref="J78:L78"/>
  </mergeCells>
  <phoneticPr fontId="0" type="noConversion"/>
  <pageMargins left="0.38" right="0.24" top="0.73" bottom="0.74" header="0.5" footer="0.5"/>
  <pageSetup scale="9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topLeftCell="A7" workbookViewId="0">
      <selection activeCell="E20" sqref="E20"/>
    </sheetView>
  </sheetViews>
  <sheetFormatPr defaultRowHeight="12.75" x14ac:dyDescent="0.2"/>
  <cols>
    <col min="1" max="1" width="9" customWidth="1"/>
    <col min="2" max="2" width="10.140625" style="5" bestFit="1" customWidth="1"/>
    <col min="3" max="4" width="14.140625" style="5" bestFit="1" customWidth="1"/>
    <col min="5" max="5" width="10" style="5" bestFit="1" customWidth="1"/>
    <col min="6" max="6" width="10.42578125" style="5" bestFit="1" customWidth="1"/>
    <col min="7" max="7" width="10" style="5" bestFit="1" customWidth="1"/>
    <col min="8" max="8" width="7.85546875" style="5" bestFit="1" customWidth="1"/>
    <col min="9" max="9" width="9.85546875" style="5" bestFit="1" customWidth="1"/>
    <col min="10" max="10" width="6.5703125" style="5" bestFit="1" customWidth="1"/>
    <col min="11" max="11" width="10.7109375" style="5" bestFit="1" customWidth="1"/>
    <col min="12" max="12" width="7.5703125" style="5" bestFit="1" customWidth="1"/>
    <col min="13" max="13" width="9.140625" style="5"/>
  </cols>
  <sheetData>
    <row r="1" spans="1:11" x14ac:dyDescent="0.2">
      <c r="A1" s="578" t="s">
        <v>145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1" ht="25.5" x14ac:dyDescent="0.2">
      <c r="B2" s="434" t="str">
        <f>'Rate Class Energy Model'!K2</f>
        <v xml:space="preserve">Residential </v>
      </c>
      <c r="C2" s="434" t="str">
        <f>'Rate Class Energy Model'!L2</f>
        <v>General Service
&lt; 50 kW</v>
      </c>
      <c r="D2" s="434" t="str">
        <f>'Rate Class Energy Model'!M2</f>
        <v>General Service
&gt; 50 kW</v>
      </c>
      <c r="E2" s="434" t="str">
        <f>'Rate Class Energy Model'!N2</f>
        <v>Large User</v>
      </c>
      <c r="F2" s="434" t="str">
        <f>'Rate Class Energy Model'!O2</f>
        <v xml:space="preserve">Streetlights </v>
      </c>
      <c r="G2" s="434" t="str">
        <f>'Rate Class Energy Model'!P2</f>
        <v xml:space="preserve">Unmetered Loads </v>
      </c>
      <c r="H2" s="421" t="s">
        <v>281</v>
      </c>
      <c r="I2" s="434" t="s">
        <v>204</v>
      </c>
      <c r="J2" s="434" t="s">
        <v>10</v>
      </c>
    </row>
    <row r="3" spans="1:11" x14ac:dyDescent="0.2">
      <c r="A3" s="3">
        <v>1997</v>
      </c>
      <c r="B3" s="40"/>
      <c r="C3" s="40"/>
      <c r="D3" s="40"/>
      <c r="E3" s="40"/>
      <c r="F3" s="40"/>
      <c r="G3" s="40"/>
      <c r="H3" s="39"/>
      <c r="I3" s="39"/>
      <c r="J3" s="39"/>
    </row>
    <row r="4" spans="1:11" x14ac:dyDescent="0.2">
      <c r="A4" s="3">
        <v>1998</v>
      </c>
      <c r="B4" s="40"/>
      <c r="C4" s="40"/>
      <c r="D4" s="40"/>
      <c r="E4" s="40"/>
      <c r="F4" s="40"/>
      <c r="G4" s="40"/>
      <c r="H4" s="39"/>
      <c r="I4" s="39"/>
      <c r="J4" s="39"/>
    </row>
    <row r="5" spans="1:11" x14ac:dyDescent="0.2">
      <c r="A5" s="3">
        <v>1999</v>
      </c>
      <c r="B5" s="40">
        <v>62677</v>
      </c>
      <c r="C5" s="40">
        <v>6548</v>
      </c>
      <c r="D5" s="40">
        <v>1004</v>
      </c>
      <c r="E5" s="40">
        <v>3</v>
      </c>
      <c r="F5" s="40">
        <v>1324.5151515151515</v>
      </c>
      <c r="G5" s="40"/>
      <c r="H5" s="39">
        <f t="shared" ref="H5:H16" si="0">SUM(B5:G5)</f>
        <v>71556.515151515152</v>
      </c>
      <c r="I5" s="39"/>
      <c r="J5" s="39">
        <f>H5+I5</f>
        <v>71556.515151515152</v>
      </c>
    </row>
    <row r="6" spans="1:11" x14ac:dyDescent="0.2">
      <c r="A6" s="3">
        <v>2000</v>
      </c>
      <c r="B6" s="39">
        <v>63692</v>
      </c>
      <c r="C6" s="39">
        <v>6548</v>
      </c>
      <c r="D6" s="39">
        <v>1033</v>
      </c>
      <c r="E6" s="39">
        <v>3</v>
      </c>
      <c r="F6" s="39">
        <v>1342.030303030303</v>
      </c>
      <c r="G6" s="39">
        <v>750</v>
      </c>
      <c r="H6" s="39">
        <f t="shared" si="0"/>
        <v>73368.030303030304</v>
      </c>
      <c r="I6" s="39"/>
      <c r="J6" s="39">
        <f t="shared" ref="J6:J20" si="1">H6+I6</f>
        <v>73368.030303030304</v>
      </c>
    </row>
    <row r="7" spans="1:11" x14ac:dyDescent="0.2">
      <c r="A7" s="3">
        <v>2001</v>
      </c>
      <c r="B7" s="40">
        <v>64284</v>
      </c>
      <c r="C7" s="40">
        <v>6568</v>
      </c>
      <c r="D7" s="40">
        <v>1035</v>
      </c>
      <c r="E7" s="40">
        <v>4</v>
      </c>
      <c r="F7" s="40">
        <v>1369.6060606060605</v>
      </c>
      <c r="G7" s="40">
        <v>750</v>
      </c>
      <c r="H7" s="39">
        <f t="shared" si="0"/>
        <v>74010.606060606064</v>
      </c>
      <c r="I7" s="39"/>
      <c r="J7" s="39">
        <f t="shared" si="1"/>
        <v>74010.606060606064</v>
      </c>
    </row>
    <row r="8" spans="1:11" x14ac:dyDescent="0.2">
      <c r="A8" s="3">
        <v>2002</v>
      </c>
      <c r="B8" s="40">
        <v>65683</v>
      </c>
      <c r="C8" s="40">
        <v>6569</v>
      </c>
      <c r="D8" s="40">
        <v>1068</v>
      </c>
      <c r="E8" s="40">
        <v>4</v>
      </c>
      <c r="F8" s="40">
        <v>1394.3939393939395</v>
      </c>
      <c r="G8" s="40">
        <v>765</v>
      </c>
      <c r="H8" s="39">
        <f t="shared" si="0"/>
        <v>75483.393939393936</v>
      </c>
      <c r="I8" s="39">
        <v>1</v>
      </c>
      <c r="J8" s="39">
        <f t="shared" si="1"/>
        <v>75484.393939393936</v>
      </c>
    </row>
    <row r="9" spans="1:11" x14ac:dyDescent="0.2">
      <c r="A9" s="3">
        <v>2003</v>
      </c>
      <c r="B9" s="40">
        <v>67527</v>
      </c>
      <c r="C9" s="40">
        <v>6703</v>
      </c>
      <c r="D9" s="40">
        <v>1035</v>
      </c>
      <c r="E9" s="40">
        <v>4</v>
      </c>
      <c r="F9" s="40">
        <v>1405</v>
      </c>
      <c r="G9" s="40">
        <v>765</v>
      </c>
      <c r="H9" s="39">
        <f t="shared" si="0"/>
        <v>77439</v>
      </c>
      <c r="I9" s="39">
        <v>1</v>
      </c>
      <c r="J9" s="39">
        <f t="shared" si="1"/>
        <v>77440</v>
      </c>
      <c r="K9"/>
    </row>
    <row r="10" spans="1:11" x14ac:dyDescent="0.2">
      <c r="A10" s="3">
        <v>2004</v>
      </c>
      <c r="B10" s="40">
        <v>69405</v>
      </c>
      <c r="C10" s="40">
        <v>6816</v>
      </c>
      <c r="D10" s="40">
        <v>1058</v>
      </c>
      <c r="E10" s="40">
        <v>4</v>
      </c>
      <c r="F10" s="40">
        <v>1497</v>
      </c>
      <c r="G10" s="40">
        <v>822</v>
      </c>
      <c r="H10" s="39">
        <f t="shared" si="0"/>
        <v>79602</v>
      </c>
      <c r="I10" s="39">
        <v>1</v>
      </c>
      <c r="J10" s="39">
        <f t="shared" si="1"/>
        <v>79603</v>
      </c>
      <c r="K10"/>
    </row>
    <row r="11" spans="1:11" x14ac:dyDescent="0.2">
      <c r="A11" s="3">
        <v>2005</v>
      </c>
      <c r="B11" s="40">
        <v>71490</v>
      </c>
      <c r="C11" s="40">
        <v>6916</v>
      </c>
      <c r="D11" s="40">
        <v>1077</v>
      </c>
      <c r="E11" s="40">
        <v>4</v>
      </c>
      <c r="F11" s="40">
        <v>1517</v>
      </c>
      <c r="G11" s="40">
        <v>807</v>
      </c>
      <c r="H11" s="39">
        <f t="shared" si="0"/>
        <v>81811</v>
      </c>
      <c r="I11" s="39">
        <v>1</v>
      </c>
      <c r="J11" s="39">
        <f t="shared" si="1"/>
        <v>81812</v>
      </c>
      <c r="K11"/>
    </row>
    <row r="12" spans="1:11" x14ac:dyDescent="0.2">
      <c r="A12" s="3">
        <v>2006</v>
      </c>
      <c r="B12" s="40">
        <v>72866</v>
      </c>
      <c r="C12" s="40">
        <v>7049</v>
      </c>
      <c r="D12" s="40">
        <v>1021</v>
      </c>
      <c r="E12" s="40">
        <v>4</v>
      </c>
      <c r="F12" s="40">
        <v>1533</v>
      </c>
      <c r="G12" s="40">
        <v>807</v>
      </c>
      <c r="H12" s="39">
        <f t="shared" si="0"/>
        <v>83280</v>
      </c>
      <c r="I12" s="39">
        <v>1</v>
      </c>
      <c r="J12" s="39">
        <f t="shared" si="1"/>
        <v>83281</v>
      </c>
      <c r="K12"/>
    </row>
    <row r="13" spans="1:11" x14ac:dyDescent="0.2">
      <c r="A13" s="3">
        <v>2007</v>
      </c>
      <c r="B13" s="40">
        <v>74392</v>
      </c>
      <c r="C13" s="40">
        <v>7198</v>
      </c>
      <c r="D13" s="40">
        <v>1005</v>
      </c>
      <c r="E13" s="40">
        <v>4</v>
      </c>
      <c r="F13" s="40">
        <v>1523</v>
      </c>
      <c r="G13" s="40">
        <v>818</v>
      </c>
      <c r="H13" s="39">
        <f t="shared" si="0"/>
        <v>84940</v>
      </c>
      <c r="I13" s="39">
        <v>1</v>
      </c>
      <c r="J13" s="39">
        <f t="shared" si="1"/>
        <v>84941</v>
      </c>
      <c r="K13"/>
    </row>
    <row r="14" spans="1:11" x14ac:dyDescent="0.2">
      <c r="A14" s="3">
        <v>2008</v>
      </c>
      <c r="B14" s="40">
        <v>75153.833333333328</v>
      </c>
      <c r="C14" s="40">
        <v>7264.916666666667</v>
      </c>
      <c r="D14" s="40">
        <v>1014.1666666666666</v>
      </c>
      <c r="E14" s="40">
        <v>4</v>
      </c>
      <c r="F14" s="40">
        <v>1522.2424242424242</v>
      </c>
      <c r="G14" s="40">
        <v>820</v>
      </c>
      <c r="H14" s="39">
        <f t="shared" si="0"/>
        <v>85779.159090909103</v>
      </c>
      <c r="I14" s="39">
        <v>1</v>
      </c>
      <c r="J14" s="39">
        <f t="shared" si="1"/>
        <v>85780.159090909103</v>
      </c>
      <c r="K14"/>
    </row>
    <row r="15" spans="1:11" x14ac:dyDescent="0.2">
      <c r="A15" s="3">
        <v>2009</v>
      </c>
      <c r="B15" s="39">
        <v>76255.166666666672</v>
      </c>
      <c r="C15" s="39">
        <v>7370.333333333333</v>
      </c>
      <c r="D15" s="39">
        <v>1004.9166666666666</v>
      </c>
      <c r="E15" s="39">
        <v>3</v>
      </c>
      <c r="F15" s="39">
        <v>1551</v>
      </c>
      <c r="G15" s="39">
        <v>817</v>
      </c>
      <c r="H15" s="39">
        <f t="shared" si="0"/>
        <v>87001.416666666672</v>
      </c>
      <c r="I15" s="39">
        <v>1</v>
      </c>
      <c r="J15" s="39">
        <f t="shared" si="1"/>
        <v>87002.416666666672</v>
      </c>
      <c r="K15"/>
    </row>
    <row r="16" spans="1:11" x14ac:dyDescent="0.2">
      <c r="A16" s="3">
        <v>2010</v>
      </c>
      <c r="B16" s="40">
        <v>77505.916666666672</v>
      </c>
      <c r="C16" s="40">
        <v>7447.583333333333</v>
      </c>
      <c r="D16" s="40">
        <v>988.91666666666663</v>
      </c>
      <c r="E16" s="40">
        <v>1.3333333333333333</v>
      </c>
      <c r="F16" s="40">
        <v>1574.2465237166991</v>
      </c>
      <c r="G16" s="40">
        <v>811</v>
      </c>
      <c r="H16" s="39">
        <f t="shared" si="0"/>
        <v>88328.996523716705</v>
      </c>
      <c r="I16" s="39">
        <v>1</v>
      </c>
      <c r="J16" s="39">
        <f t="shared" si="1"/>
        <v>88329.996523716705</v>
      </c>
    </row>
    <row r="17" spans="1:17" x14ac:dyDescent="0.2">
      <c r="A17" s="3">
        <v>2011</v>
      </c>
      <c r="B17" s="40">
        <v>78761</v>
      </c>
      <c r="C17" s="40">
        <v>7538</v>
      </c>
      <c r="D17" s="40">
        <v>975</v>
      </c>
      <c r="E17" s="40">
        <v>2</v>
      </c>
      <c r="F17" s="40">
        <v>1567.6666666666667</v>
      </c>
      <c r="G17" s="240">
        <f>+(818+864)/2</f>
        <v>841</v>
      </c>
      <c r="H17" s="39">
        <f t="shared" ref="H17:H18" si="2">SUM(B17:G17)</f>
        <v>89684.666666666672</v>
      </c>
      <c r="I17" s="39">
        <v>1</v>
      </c>
      <c r="J17" s="39">
        <f t="shared" si="1"/>
        <v>89685.666666666672</v>
      </c>
    </row>
    <row r="18" spans="1:17" x14ac:dyDescent="0.2">
      <c r="A18" s="3">
        <v>2012</v>
      </c>
      <c r="B18" s="206">
        <v>79997</v>
      </c>
      <c r="C18" s="206">
        <v>7645.333333333333</v>
      </c>
      <c r="D18" s="206">
        <v>952.33333333333337</v>
      </c>
      <c r="E18" s="206">
        <v>2</v>
      </c>
      <c r="F18" s="206">
        <v>1573.4242424242425</v>
      </c>
      <c r="G18" s="206">
        <f>(865+868+871+871)/4</f>
        <v>868.75</v>
      </c>
      <c r="H18" s="39">
        <f t="shared" si="2"/>
        <v>91038.840909090897</v>
      </c>
      <c r="I18" s="39">
        <v>1</v>
      </c>
      <c r="J18" s="39">
        <f t="shared" si="1"/>
        <v>91039.840909090897</v>
      </c>
    </row>
    <row r="19" spans="1:17" x14ac:dyDescent="0.2">
      <c r="A19" s="3">
        <v>2013</v>
      </c>
      <c r="B19" s="20">
        <f>B18*B40</f>
        <v>81276.952000000005</v>
      </c>
      <c r="C19" s="20">
        <f t="shared" ref="C19:G19" si="3">C18*C40</f>
        <v>7736.9966057773026</v>
      </c>
      <c r="D19" s="20">
        <f t="shared" si="3"/>
        <v>948.47089081750107</v>
      </c>
      <c r="E19" s="20">
        <v>2</v>
      </c>
      <c r="F19" s="20">
        <v>1569</v>
      </c>
      <c r="G19" s="20">
        <f t="shared" si="3"/>
        <v>879.45633264592357</v>
      </c>
      <c r="H19" s="20">
        <f>SUM(B19:G19)</f>
        <v>92412.875829240715</v>
      </c>
      <c r="I19" s="20">
        <v>1</v>
      </c>
      <c r="J19" s="20">
        <f t="shared" si="1"/>
        <v>92413.875829240715</v>
      </c>
    </row>
    <row r="20" spans="1:17" x14ac:dyDescent="0.2">
      <c r="A20" s="3">
        <v>2014</v>
      </c>
      <c r="B20" s="20">
        <f>B19*B40</f>
        <v>82577.383232000007</v>
      </c>
      <c r="C20" s="20">
        <f t="shared" ref="C20:G20" si="4">C19*C40</f>
        <v>7829.7588696123348</v>
      </c>
      <c r="D20" s="20">
        <f t="shared" si="4"/>
        <v>944.62411347022476</v>
      </c>
      <c r="E20" s="20">
        <v>1</v>
      </c>
      <c r="F20" s="20">
        <v>1591.6757998109217</v>
      </c>
      <c r="G20" s="20">
        <f t="shared" si="4"/>
        <v>890.29460838102727</v>
      </c>
      <c r="H20" s="20">
        <f>SUM(B20:G20)</f>
        <v>93834.736623274526</v>
      </c>
      <c r="I20" s="20">
        <v>1</v>
      </c>
      <c r="J20" s="20">
        <f t="shared" si="1"/>
        <v>93835.736623274526</v>
      </c>
      <c r="L20" s="281"/>
    </row>
    <row r="21" spans="1:17" x14ac:dyDescent="0.2">
      <c r="A21" s="19"/>
    </row>
    <row r="22" spans="1:17" x14ac:dyDescent="0.2">
      <c r="A22" s="18" t="s">
        <v>21</v>
      </c>
      <c r="B22" s="4"/>
      <c r="C22" s="4"/>
      <c r="D22" s="4"/>
      <c r="E22" s="4"/>
      <c r="F22" s="4"/>
      <c r="G22" s="4"/>
    </row>
    <row r="23" spans="1:17" x14ac:dyDescent="0.2">
      <c r="A23" s="3">
        <v>1997</v>
      </c>
      <c r="B23" s="23"/>
      <c r="C23" s="23"/>
      <c r="D23" s="23"/>
      <c r="E23" s="23"/>
      <c r="F23" s="23"/>
      <c r="G23" s="4"/>
    </row>
    <row r="24" spans="1:17" x14ac:dyDescent="0.2">
      <c r="A24" s="3">
        <v>1998</v>
      </c>
      <c r="B24" s="23"/>
      <c r="C24" s="23"/>
      <c r="D24" s="23"/>
      <c r="E24" s="23"/>
      <c r="F24" s="23"/>
      <c r="G24" s="4"/>
    </row>
    <row r="25" spans="1:17" x14ac:dyDescent="0.2">
      <c r="A25" s="3">
        <v>1999</v>
      </c>
      <c r="B25" s="23"/>
      <c r="C25" s="23"/>
      <c r="D25" s="23"/>
      <c r="E25" s="23"/>
      <c r="F25" s="23"/>
      <c r="G25" s="23"/>
      <c r="K25" s="282"/>
    </row>
    <row r="26" spans="1:17" x14ac:dyDescent="0.2">
      <c r="A26" s="3">
        <v>2000</v>
      </c>
      <c r="B26" s="23">
        <f t="shared" ref="B26:F26" si="5">B6/B5</f>
        <v>1.0161941382006159</v>
      </c>
      <c r="C26" s="23">
        <f t="shared" si="5"/>
        <v>1</v>
      </c>
      <c r="D26" s="23">
        <f t="shared" si="5"/>
        <v>1.0288844621513944</v>
      </c>
      <c r="E26" s="23">
        <f t="shared" si="5"/>
        <v>1</v>
      </c>
      <c r="F26" s="23">
        <f t="shared" si="5"/>
        <v>1.0132238211809925</v>
      </c>
      <c r="G26" s="23"/>
    </row>
    <row r="27" spans="1:17" x14ac:dyDescent="0.2">
      <c r="A27" s="3">
        <v>2001</v>
      </c>
      <c r="B27" s="23">
        <f t="shared" ref="B27:G27" si="6">B7/B6</f>
        <v>1.0092947308924198</v>
      </c>
      <c r="C27" s="23">
        <f t="shared" si="6"/>
        <v>1.0030543677458765</v>
      </c>
      <c r="D27" s="23">
        <f t="shared" si="6"/>
        <v>1.0019361084220717</v>
      </c>
      <c r="E27" s="23">
        <f t="shared" si="6"/>
        <v>1.3333333333333333</v>
      </c>
      <c r="F27" s="23">
        <f t="shared" si="6"/>
        <v>1.0205477905480163</v>
      </c>
      <c r="G27" s="23">
        <f t="shared" si="6"/>
        <v>1</v>
      </c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2">
      <c r="A28" s="3">
        <v>2002</v>
      </c>
      <c r="B28" s="23">
        <f t="shared" ref="B28:I29" si="7">B8/B7</f>
        <v>1.0217628025636238</v>
      </c>
      <c r="C28" s="23">
        <f t="shared" si="7"/>
        <v>1.0001522533495737</v>
      </c>
      <c r="D28" s="23">
        <f t="shared" si="7"/>
        <v>1.0318840579710145</v>
      </c>
      <c r="E28" s="23">
        <f t="shared" si="7"/>
        <v>1</v>
      </c>
      <c r="F28" s="23">
        <f t="shared" si="7"/>
        <v>1.0180985463636969</v>
      </c>
      <c r="G28" s="23">
        <f t="shared" si="7"/>
        <v>1.02</v>
      </c>
      <c r="I28" s="23"/>
      <c r="J28" s="71"/>
      <c r="K28" s="71"/>
      <c r="L28" s="71"/>
      <c r="M28" s="71"/>
      <c r="N28" s="71"/>
      <c r="O28" s="71"/>
      <c r="P28" s="71"/>
      <c r="Q28" s="71"/>
    </row>
    <row r="29" spans="1:17" x14ac:dyDescent="0.2">
      <c r="A29" s="3">
        <v>2003</v>
      </c>
      <c r="B29" s="23">
        <f t="shared" ref="B29:G29" si="8">B9/B8</f>
        <v>1.0280742353424783</v>
      </c>
      <c r="C29" s="23">
        <f t="shared" si="8"/>
        <v>1.0203988430506927</v>
      </c>
      <c r="D29" s="23">
        <f t="shared" si="8"/>
        <v>0.9691011235955056</v>
      </c>
      <c r="E29" s="23">
        <f t="shared" si="8"/>
        <v>1</v>
      </c>
      <c r="F29" s="23">
        <f t="shared" si="8"/>
        <v>1.0076062153645549</v>
      </c>
      <c r="G29" s="23">
        <f t="shared" si="8"/>
        <v>1</v>
      </c>
      <c r="I29" s="23">
        <f t="shared" si="7"/>
        <v>1</v>
      </c>
      <c r="J29" s="71"/>
      <c r="K29" s="71"/>
      <c r="L29" s="71"/>
      <c r="M29" s="71"/>
      <c r="N29" s="71"/>
      <c r="O29" s="71"/>
      <c r="P29" s="71"/>
      <c r="Q29" s="71"/>
    </row>
    <row r="30" spans="1:17" x14ac:dyDescent="0.2">
      <c r="A30" s="3">
        <v>2004</v>
      </c>
      <c r="B30" s="23">
        <f t="shared" ref="B30:B38" si="9">B10/B9</f>
        <v>1.027811097783109</v>
      </c>
      <c r="C30" s="23">
        <f t="shared" ref="C30:G30" si="10">C10/C9</f>
        <v>1.0168581232284053</v>
      </c>
      <c r="D30" s="23">
        <f t="shared" si="10"/>
        <v>1.0222222222222221</v>
      </c>
      <c r="E30" s="23">
        <f t="shared" si="10"/>
        <v>1</v>
      </c>
      <c r="F30" s="23">
        <f t="shared" si="10"/>
        <v>1.0654804270462634</v>
      </c>
      <c r="G30" s="23">
        <f t="shared" si="10"/>
        <v>1.0745098039215686</v>
      </c>
      <c r="I30" s="23">
        <f t="shared" ref="I30" si="11">I10/I9</f>
        <v>1</v>
      </c>
      <c r="J30" s="71"/>
      <c r="K30" s="71"/>
      <c r="L30" s="71"/>
      <c r="M30" s="71"/>
      <c r="N30" s="71"/>
      <c r="O30" s="71"/>
      <c r="P30" s="71"/>
      <c r="Q30" s="71"/>
    </row>
    <row r="31" spans="1:17" x14ac:dyDescent="0.2">
      <c r="A31" s="3">
        <v>2005</v>
      </c>
      <c r="B31" s="23">
        <f t="shared" si="9"/>
        <v>1.0300410633239681</v>
      </c>
      <c r="C31" s="23">
        <f t="shared" ref="C31:G37" si="12">C11/C10</f>
        <v>1.0146713615023475</v>
      </c>
      <c r="D31" s="23">
        <f t="shared" si="12"/>
        <v>1.0179584120982987</v>
      </c>
      <c r="E31" s="23">
        <f t="shared" si="12"/>
        <v>1</v>
      </c>
      <c r="F31" s="23">
        <f t="shared" si="12"/>
        <v>1.0133600534402138</v>
      </c>
      <c r="G31" s="23">
        <f t="shared" si="12"/>
        <v>0.98175182481751821</v>
      </c>
      <c r="I31" s="23">
        <f t="shared" ref="I31" si="13">I11/I10</f>
        <v>1</v>
      </c>
      <c r="J31" s="71"/>
      <c r="K31" s="71"/>
      <c r="L31" s="71"/>
      <c r="M31" s="71"/>
      <c r="N31" s="71"/>
      <c r="O31" s="71"/>
      <c r="P31" s="71"/>
      <c r="Q31" s="71"/>
    </row>
    <row r="32" spans="1:17" x14ac:dyDescent="0.2">
      <c r="A32" s="3">
        <v>2006</v>
      </c>
      <c r="B32" s="23">
        <f t="shared" si="9"/>
        <v>1.019247447195412</v>
      </c>
      <c r="C32" s="23">
        <f t="shared" si="12"/>
        <v>1.0192307692307692</v>
      </c>
      <c r="D32" s="23">
        <f t="shared" si="12"/>
        <v>0.94800371402042716</v>
      </c>
      <c r="E32" s="23">
        <f t="shared" si="12"/>
        <v>1</v>
      </c>
      <c r="F32" s="23">
        <f t="shared" si="12"/>
        <v>1.0105471324983519</v>
      </c>
      <c r="G32" s="23">
        <f t="shared" si="12"/>
        <v>1</v>
      </c>
      <c r="I32" s="23">
        <f t="shared" ref="I32" si="14">I12/I11</f>
        <v>1</v>
      </c>
      <c r="J32" s="71"/>
      <c r="K32" s="71"/>
      <c r="L32" s="71"/>
      <c r="M32" s="71"/>
      <c r="N32" s="71"/>
      <c r="O32" s="71"/>
      <c r="P32" s="71"/>
      <c r="Q32" s="71"/>
    </row>
    <row r="33" spans="1:17" x14ac:dyDescent="0.2">
      <c r="A33" s="3">
        <v>2007</v>
      </c>
      <c r="B33" s="23">
        <f t="shared" si="9"/>
        <v>1.0209425520819038</v>
      </c>
      <c r="C33" s="23">
        <f t="shared" si="12"/>
        <v>1.0211377500354659</v>
      </c>
      <c r="D33" s="23">
        <f t="shared" si="12"/>
        <v>0.98432908912830563</v>
      </c>
      <c r="E33" s="23">
        <f t="shared" si="12"/>
        <v>1</v>
      </c>
      <c r="F33" s="23">
        <f t="shared" si="12"/>
        <v>0.99347684279191129</v>
      </c>
      <c r="G33" s="23">
        <f t="shared" ref="G33:G37" si="15">G13/G12</f>
        <v>1.0136307311028501</v>
      </c>
      <c r="I33" s="23">
        <f t="shared" ref="I33" si="16">I13/I12</f>
        <v>1</v>
      </c>
      <c r="J33" s="71"/>
      <c r="K33" s="71"/>
      <c r="L33" s="71"/>
      <c r="M33" s="71"/>
      <c r="N33" s="71"/>
      <c r="O33" s="71"/>
      <c r="P33" s="71"/>
      <c r="Q33" s="71"/>
    </row>
    <row r="34" spans="1:17" x14ac:dyDescent="0.2">
      <c r="A34" s="3">
        <v>2008</v>
      </c>
      <c r="B34" s="23">
        <f t="shared" si="9"/>
        <v>1.010240796501416</v>
      </c>
      <c r="C34" s="23">
        <f t="shared" si="12"/>
        <v>1.0092965638603315</v>
      </c>
      <c r="D34" s="23">
        <f t="shared" si="12"/>
        <v>1.0091210613598673</v>
      </c>
      <c r="E34" s="23">
        <f t="shared" si="12"/>
        <v>1</v>
      </c>
      <c r="F34" s="23">
        <f t="shared" si="12"/>
        <v>0.99950257665293774</v>
      </c>
      <c r="G34" s="23">
        <f t="shared" si="15"/>
        <v>1.0024449877750612</v>
      </c>
      <c r="I34" s="23">
        <f t="shared" ref="I34" si="17">I14/I13</f>
        <v>1</v>
      </c>
      <c r="J34" s="71"/>
      <c r="K34" s="71"/>
      <c r="L34" s="71"/>
      <c r="M34" s="71"/>
      <c r="N34" s="71"/>
      <c r="O34" s="71"/>
      <c r="P34" s="71"/>
      <c r="Q34" s="71"/>
    </row>
    <row r="35" spans="1:17" x14ac:dyDescent="0.2">
      <c r="A35" s="3">
        <v>2009</v>
      </c>
      <c r="B35" s="23">
        <f t="shared" si="9"/>
        <v>1.0146543866691211</v>
      </c>
      <c r="C35" s="23">
        <f t="shared" si="12"/>
        <v>1.0145103752050377</v>
      </c>
      <c r="D35" s="23">
        <f t="shared" si="12"/>
        <v>0.99087921117502054</v>
      </c>
      <c r="E35" s="23">
        <f t="shared" si="12"/>
        <v>0.75</v>
      </c>
      <c r="F35" s="23">
        <f t="shared" si="12"/>
        <v>1.0188915873711033</v>
      </c>
      <c r="G35" s="23">
        <f t="shared" si="15"/>
        <v>0.99634146341463414</v>
      </c>
      <c r="I35" s="23">
        <f t="shared" ref="I35" si="18">I15/I14</f>
        <v>1</v>
      </c>
      <c r="J35" s="71"/>
      <c r="K35" s="71"/>
      <c r="L35" s="71"/>
      <c r="M35" s="71"/>
      <c r="N35" s="71"/>
      <c r="O35" s="71"/>
      <c r="P35" s="71"/>
      <c r="Q35" s="71"/>
    </row>
    <row r="36" spans="1:17" x14ac:dyDescent="0.2">
      <c r="A36" s="3">
        <v>2010</v>
      </c>
      <c r="B36" s="23">
        <f t="shared" si="9"/>
        <v>1.0164021672848398</v>
      </c>
      <c r="C36" s="23">
        <f t="shared" si="12"/>
        <v>1.0104812084482837</v>
      </c>
      <c r="D36" s="23">
        <f t="shared" si="12"/>
        <v>0.98407828178124224</v>
      </c>
      <c r="E36" s="23">
        <f t="shared" si="12"/>
        <v>0.44444444444444442</v>
      </c>
      <c r="F36" s="23">
        <f t="shared" si="12"/>
        <v>1.0149880875027073</v>
      </c>
      <c r="G36" s="23">
        <f t="shared" si="15"/>
        <v>0.99265605875152996</v>
      </c>
      <c r="I36" s="23">
        <f t="shared" ref="I36" si="19">I16/I15</f>
        <v>1</v>
      </c>
      <c r="J36" s="71"/>
      <c r="K36" s="71"/>
      <c r="L36" s="71"/>
      <c r="M36" s="71"/>
      <c r="N36" s="71"/>
      <c r="O36" s="71"/>
      <c r="P36" s="71"/>
      <c r="Q36" s="71"/>
    </row>
    <row r="37" spans="1:17" x14ac:dyDescent="0.2">
      <c r="A37" s="3">
        <v>2011</v>
      </c>
      <c r="B37" s="23">
        <f t="shared" si="9"/>
        <v>1.0161933873865543</v>
      </c>
      <c r="C37" s="23">
        <f t="shared" si="12"/>
        <v>1.0121404034865897</v>
      </c>
      <c r="D37" s="23">
        <f t="shared" si="12"/>
        <v>0.98592736159096661</v>
      </c>
      <c r="E37" s="23">
        <f t="shared" si="12"/>
        <v>1.5</v>
      </c>
      <c r="F37" s="23">
        <f t="shared" si="12"/>
        <v>0.99582031343191546</v>
      </c>
      <c r="G37" s="23">
        <f t="shared" si="15"/>
        <v>1.0369913686806411</v>
      </c>
      <c r="I37" s="23">
        <f t="shared" ref="I37" si="20">I17/I16</f>
        <v>1</v>
      </c>
      <c r="J37" s="71"/>
      <c r="K37" s="71"/>
      <c r="L37" s="71"/>
      <c r="M37" s="71"/>
      <c r="N37" s="71"/>
      <c r="O37" s="71"/>
      <c r="P37" s="71"/>
      <c r="Q37" s="71"/>
    </row>
    <row r="38" spans="1:17" x14ac:dyDescent="0.2">
      <c r="A38" s="3">
        <v>2012</v>
      </c>
      <c r="B38" s="23">
        <f t="shared" si="9"/>
        <v>1.0156930460507103</v>
      </c>
      <c r="C38" s="23">
        <f t="shared" ref="C38:G38" si="21">C18/C17</f>
        <v>1.0142389670115857</v>
      </c>
      <c r="D38" s="23">
        <f t="shared" si="21"/>
        <v>0.97675213675213679</v>
      </c>
      <c r="E38" s="23">
        <f t="shared" si="21"/>
        <v>1</v>
      </c>
      <c r="F38" s="23">
        <f t="shared" si="21"/>
        <v>1.0036727040767015</v>
      </c>
      <c r="G38" s="23">
        <f t="shared" si="21"/>
        <v>1.0329964328180736</v>
      </c>
      <c r="I38" s="23">
        <f t="shared" ref="I38" si="22">I18/I17</f>
        <v>1</v>
      </c>
      <c r="J38" s="71"/>
      <c r="K38" s="71"/>
      <c r="L38" s="71"/>
      <c r="M38" s="71"/>
      <c r="N38" s="71"/>
      <c r="O38" s="71"/>
      <c r="P38" s="71"/>
      <c r="Q38" s="71"/>
    </row>
    <row r="40" spans="1:17" x14ac:dyDescent="0.2">
      <c r="A40" t="s">
        <v>41</v>
      </c>
      <c r="B40" s="207">
        <v>1.016</v>
      </c>
      <c r="C40" s="207">
        <f t="shared" ref="C40:F40" si="23">C42</f>
        <v>1.0119894409370382</v>
      </c>
      <c r="D40" s="207">
        <f t="shared" si="23"/>
        <v>0.99594423257000464</v>
      </c>
      <c r="E40" s="207">
        <f t="shared" si="23"/>
        <v>0.96929175495887743</v>
      </c>
      <c r="F40" s="207">
        <f t="shared" si="23"/>
        <v>1.0133348824580737</v>
      </c>
      <c r="G40" s="207">
        <f>G42</f>
        <v>1.0123238361391926</v>
      </c>
      <c r="I40" s="207">
        <f>I42</f>
        <v>1</v>
      </c>
    </row>
    <row r="41" spans="1:17" x14ac:dyDescent="0.2">
      <c r="B41" s="24"/>
      <c r="C41" s="24"/>
      <c r="D41" s="24"/>
      <c r="E41" s="24"/>
      <c r="F41" s="24"/>
      <c r="G41" s="24"/>
      <c r="I41" s="24"/>
    </row>
    <row r="42" spans="1:17" x14ac:dyDescent="0.2">
      <c r="A42" t="s">
        <v>13</v>
      </c>
      <c r="B42" s="24">
        <f>GEOMEAN(B23:B38)</f>
        <v>1.0189460551491896</v>
      </c>
      <c r="C42" s="24">
        <f t="shared" ref="C42:G42" si="24">GEOMEAN(C23:C38)</f>
        <v>1.0119894409370382</v>
      </c>
      <c r="D42" s="24">
        <f t="shared" si="24"/>
        <v>0.99594423257000464</v>
      </c>
      <c r="E42" s="24">
        <f t="shared" si="24"/>
        <v>0.96929175495887743</v>
      </c>
      <c r="F42" s="24">
        <f t="shared" si="24"/>
        <v>1.0133348824580737</v>
      </c>
      <c r="G42" s="24">
        <f t="shared" si="24"/>
        <v>1.0123238361391926</v>
      </c>
      <c r="I42" s="24">
        <f t="shared" ref="I42" si="25">GEOMEAN(I23:I38)</f>
        <v>1</v>
      </c>
    </row>
    <row r="43" spans="1:17" x14ac:dyDescent="0.2">
      <c r="A43" s="3"/>
      <c r="B43" s="24"/>
      <c r="C43" s="24"/>
      <c r="D43" s="24"/>
      <c r="E43" s="24"/>
      <c r="F43" s="24"/>
      <c r="G43" s="24"/>
    </row>
    <row r="44" spans="1:17" x14ac:dyDescent="0.2">
      <c r="A44" s="3"/>
      <c r="B44" s="24"/>
      <c r="C44" s="24"/>
      <c r="D44" s="24"/>
      <c r="E44" s="24"/>
      <c r="F44" s="24"/>
      <c r="G44" s="24"/>
    </row>
    <row r="45" spans="1:17" x14ac:dyDescent="0.2">
      <c r="A45" s="3"/>
      <c r="B45" s="24"/>
      <c r="C45" s="24"/>
      <c r="D45" s="24"/>
      <c r="E45" s="24"/>
      <c r="F45" s="24"/>
      <c r="G45" s="24"/>
    </row>
    <row r="46" spans="1:17" x14ac:dyDescent="0.2">
      <c r="A46" s="3"/>
      <c r="B46" s="24"/>
      <c r="C46" s="24"/>
      <c r="D46" s="24"/>
      <c r="E46" s="24"/>
      <c r="F46" s="24"/>
      <c r="G46" s="24"/>
    </row>
    <row r="47" spans="1:17" x14ac:dyDescent="0.2">
      <c r="A47" s="3"/>
      <c r="B47" s="24"/>
      <c r="C47" s="24"/>
      <c r="D47" s="24"/>
      <c r="E47" s="24"/>
      <c r="F47" s="24"/>
      <c r="G47" s="24"/>
    </row>
    <row r="48" spans="1:17" x14ac:dyDescent="0.2">
      <c r="A48" s="3"/>
      <c r="B48" s="24"/>
      <c r="C48" s="24"/>
      <c r="D48" s="24"/>
      <c r="E48" s="24"/>
      <c r="F48" s="24"/>
      <c r="G48" s="24"/>
    </row>
    <row r="49" spans="1:7" x14ac:dyDescent="0.2">
      <c r="A49" s="3"/>
      <c r="B49" s="24"/>
      <c r="C49" s="24"/>
      <c r="D49" s="24"/>
      <c r="E49" s="24"/>
      <c r="F49" s="24"/>
      <c r="G49" s="24"/>
    </row>
    <row r="50" spans="1:7" x14ac:dyDescent="0.2">
      <c r="A50" s="3"/>
      <c r="B50" s="24"/>
      <c r="C50" s="24"/>
      <c r="D50" s="24"/>
      <c r="E50" s="24"/>
      <c r="F50" s="24"/>
      <c r="G50" s="24"/>
    </row>
    <row r="51" spans="1:7" x14ac:dyDescent="0.2">
      <c r="B51" s="24"/>
      <c r="C51" s="24"/>
      <c r="D51" s="24"/>
      <c r="E51" s="24"/>
      <c r="F51" s="24"/>
      <c r="G51" s="24"/>
    </row>
    <row r="52" spans="1:7" x14ac:dyDescent="0.2">
      <c r="B52" s="24"/>
      <c r="C52" s="24"/>
      <c r="D52" s="24"/>
      <c r="E52" s="24"/>
      <c r="F52" s="24"/>
      <c r="G52" s="24"/>
    </row>
    <row r="53" spans="1:7" x14ac:dyDescent="0.2">
      <c r="B53" s="24"/>
      <c r="C53" s="24"/>
      <c r="D53" s="24"/>
      <c r="E53" s="24"/>
      <c r="F53" s="24"/>
      <c r="G53" s="24"/>
    </row>
    <row r="54" spans="1:7" x14ac:dyDescent="0.2">
      <c r="B54" s="24"/>
      <c r="C54" s="24"/>
      <c r="D54" s="24"/>
      <c r="E54" s="24"/>
      <c r="F54" s="24"/>
      <c r="G54" s="24"/>
    </row>
    <row r="55" spans="1:7" x14ac:dyDescent="0.2">
      <c r="B55" s="24"/>
      <c r="C55" s="24"/>
      <c r="D55" s="24"/>
      <c r="E55" s="24"/>
      <c r="F55" s="24"/>
      <c r="G55" s="24"/>
    </row>
    <row r="56" spans="1:7" x14ac:dyDescent="0.2">
      <c r="B56" s="24"/>
      <c r="C56" s="24"/>
      <c r="D56" s="24"/>
      <c r="E56" s="24"/>
      <c r="F56" s="24"/>
      <c r="G56" s="24"/>
    </row>
    <row r="57" spans="1:7" x14ac:dyDescent="0.2">
      <c r="B57" s="24"/>
      <c r="C57" s="24"/>
      <c r="D57" s="24"/>
      <c r="E57" s="24"/>
      <c r="F57" s="24"/>
      <c r="G57" s="24"/>
    </row>
    <row r="58" spans="1:7" x14ac:dyDescent="0.2">
      <c r="B58" s="24"/>
      <c r="C58" s="24"/>
      <c r="D58" s="24"/>
      <c r="E58" s="24"/>
      <c r="F58" s="24"/>
      <c r="G58" s="24"/>
    </row>
    <row r="59" spans="1:7" x14ac:dyDescent="0.2">
      <c r="B59" s="24"/>
      <c r="C59" s="24"/>
      <c r="D59" s="24"/>
      <c r="E59" s="24"/>
      <c r="F59" s="24"/>
      <c r="G59" s="24"/>
    </row>
    <row r="60" spans="1:7" x14ac:dyDescent="0.2">
      <c r="B60" s="24"/>
      <c r="C60" s="24"/>
      <c r="D60" s="24"/>
      <c r="E60" s="24"/>
      <c r="F60" s="24"/>
      <c r="G60" s="24"/>
    </row>
    <row r="61" spans="1:7" x14ac:dyDescent="0.2">
      <c r="B61" s="24"/>
      <c r="C61" s="24"/>
      <c r="D61" s="24"/>
      <c r="E61" s="24"/>
      <c r="F61" s="24"/>
      <c r="G61" s="24"/>
    </row>
    <row r="62" spans="1:7" x14ac:dyDescent="0.2">
      <c r="B62" s="24"/>
      <c r="C62" s="24"/>
      <c r="D62" s="24"/>
      <c r="E62" s="24"/>
      <c r="F62" s="24"/>
      <c r="G62" s="24"/>
    </row>
    <row r="63" spans="1:7" x14ac:dyDescent="0.2">
      <c r="B63" s="24"/>
      <c r="C63" s="24"/>
      <c r="D63" s="24"/>
      <c r="E63" s="24"/>
      <c r="F63" s="24"/>
      <c r="G63" s="24"/>
    </row>
    <row r="64" spans="1:7" x14ac:dyDescent="0.2">
      <c r="B64" s="24"/>
      <c r="C64" s="24"/>
      <c r="D64" s="24"/>
      <c r="E64" s="24"/>
      <c r="F64" s="24"/>
      <c r="G64" s="24"/>
    </row>
    <row r="65" spans="2:7" x14ac:dyDescent="0.2">
      <c r="B65" s="24"/>
      <c r="C65" s="24"/>
      <c r="D65" s="24"/>
      <c r="E65" s="24"/>
      <c r="F65" s="24"/>
      <c r="G65" s="24"/>
    </row>
    <row r="66" spans="2:7" x14ac:dyDescent="0.2">
      <c r="B66" s="24"/>
      <c r="C66" s="24"/>
      <c r="D66" s="24"/>
      <c r="E66" s="24"/>
      <c r="F66" s="24"/>
      <c r="G66" s="24"/>
    </row>
    <row r="67" spans="2:7" x14ac:dyDescent="0.2">
      <c r="B67" s="24"/>
      <c r="C67" s="24"/>
      <c r="D67" s="24"/>
      <c r="E67" s="24"/>
      <c r="F67" s="24"/>
      <c r="G67" s="24"/>
    </row>
    <row r="68" spans="2:7" x14ac:dyDescent="0.2">
      <c r="B68" s="24"/>
      <c r="C68" s="24"/>
      <c r="D68" s="24"/>
      <c r="E68" s="24"/>
      <c r="F68" s="24"/>
      <c r="G68" s="24"/>
    </row>
    <row r="69" spans="2:7" x14ac:dyDescent="0.2">
      <c r="B69" s="24"/>
      <c r="C69" s="24"/>
      <c r="F69" s="24"/>
      <c r="G69" s="24"/>
    </row>
    <row r="75" spans="2:7" x14ac:dyDescent="0.2">
      <c r="D75" s="25"/>
      <c r="E75" s="25"/>
    </row>
    <row r="76" spans="2:7" x14ac:dyDescent="0.2">
      <c r="B76" s="25"/>
      <c r="C76" s="25"/>
      <c r="D76" s="25"/>
      <c r="E76" s="25"/>
      <c r="F76" s="25"/>
      <c r="G76" s="25"/>
    </row>
    <row r="77" spans="2:7" x14ac:dyDescent="0.2">
      <c r="B77" s="25"/>
      <c r="C77" s="25"/>
      <c r="F77" s="25"/>
      <c r="G77" s="25"/>
    </row>
    <row r="95" spans="2:7" x14ac:dyDescent="0.2">
      <c r="D95" s="13"/>
      <c r="E95" s="13"/>
    </row>
    <row r="96" spans="2:7" x14ac:dyDescent="0.2">
      <c r="B96" s="13"/>
      <c r="C96" s="13"/>
      <c r="D96" s="13"/>
      <c r="E96" s="13"/>
      <c r="F96" s="13"/>
      <c r="G96" s="13"/>
    </row>
    <row r="97" spans="2:7" x14ac:dyDescent="0.2">
      <c r="B97" s="13"/>
      <c r="C97" s="13"/>
      <c r="F97" s="13"/>
      <c r="G97" s="13"/>
    </row>
  </sheetData>
  <mergeCells count="1">
    <mergeCell ref="A1:J1"/>
  </mergeCells>
  <phoneticPr fontId="0" type="noConversion"/>
  <pageMargins left="0.55000000000000004" right="0.18" top="0.73" bottom="0.74" header="0.5" footer="0.5"/>
  <pageSetup scale="9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22" workbookViewId="0">
      <selection activeCell="C17" sqref="C17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6" style="5" bestFit="1" customWidth="1"/>
    <col min="4" max="4" width="17.7109375" style="5" customWidth="1"/>
    <col min="5" max="5" width="18" style="5" customWidth="1"/>
    <col min="6" max="6" width="12.7109375" style="5" bestFit="1" customWidth="1"/>
    <col min="7" max="7" width="11.7109375" bestFit="1" customWidth="1"/>
    <col min="8" max="8" width="10.7109375" bestFit="1" customWidth="1"/>
    <col min="9" max="9" width="17" customWidth="1"/>
    <col min="10" max="10" width="11.28515625" bestFit="1" customWidth="1"/>
  </cols>
  <sheetData>
    <row r="1" spans="1:7" x14ac:dyDescent="0.2">
      <c r="A1" s="579" t="s">
        <v>153</v>
      </c>
      <c r="B1" s="579"/>
      <c r="C1" s="579"/>
      <c r="D1" s="579"/>
      <c r="E1" s="579"/>
    </row>
    <row r="2" spans="1:7" ht="42" customHeight="1" x14ac:dyDescent="0.2">
      <c r="B2" s="6" t="str">
        <f>'Rate Class Customer Model'!D2</f>
        <v>General Service
&gt; 50 kW</v>
      </c>
      <c r="C2" s="6" t="str">
        <f>'Rate Class Customer Model'!E2</f>
        <v>Large User</v>
      </c>
      <c r="D2" s="6" t="str">
        <f>'Rate Class Customer Model'!F2</f>
        <v xml:space="preserve">Streetlights </v>
      </c>
      <c r="E2" s="5" t="s">
        <v>10</v>
      </c>
      <c r="F2" s="153"/>
      <c r="G2" s="153"/>
    </row>
    <row r="3" spans="1:7" x14ac:dyDescent="0.2">
      <c r="A3" s="275">
        <v>2000</v>
      </c>
      <c r="B3" s="46">
        <v>1702404</v>
      </c>
      <c r="C3" s="46">
        <v>339080</v>
      </c>
      <c r="D3" s="46">
        <v>39194</v>
      </c>
      <c r="E3" s="5">
        <f t="shared" ref="E3:E17" si="0">SUM(B3:D3)</f>
        <v>2080678</v>
      </c>
      <c r="G3" s="5"/>
    </row>
    <row r="4" spans="1:7" x14ac:dyDescent="0.2">
      <c r="A4" s="275">
        <v>2001</v>
      </c>
      <c r="B4" s="47">
        <v>2097765</v>
      </c>
      <c r="C4" s="47">
        <v>423831</v>
      </c>
      <c r="D4" s="47">
        <v>39703</v>
      </c>
      <c r="E4" s="5">
        <f t="shared" si="0"/>
        <v>2561299</v>
      </c>
      <c r="G4" s="5"/>
    </row>
    <row r="5" spans="1:7" x14ac:dyDescent="0.2">
      <c r="A5" s="275">
        <v>2002</v>
      </c>
      <c r="B5" s="47">
        <v>2249449</v>
      </c>
      <c r="C5" s="47">
        <v>475022</v>
      </c>
      <c r="D5" s="47">
        <v>36995</v>
      </c>
      <c r="E5" s="5">
        <f t="shared" si="0"/>
        <v>2761466</v>
      </c>
      <c r="G5" s="5"/>
    </row>
    <row r="6" spans="1:7" x14ac:dyDescent="0.2">
      <c r="A6" s="275">
        <v>2003</v>
      </c>
      <c r="B6" s="47">
        <v>2243396</v>
      </c>
      <c r="C6" s="47">
        <v>474685</v>
      </c>
      <c r="D6" s="47">
        <v>41407</v>
      </c>
      <c r="E6" s="5">
        <f t="shared" si="0"/>
        <v>2759488</v>
      </c>
      <c r="G6" s="5"/>
    </row>
    <row r="7" spans="1:7" x14ac:dyDescent="0.2">
      <c r="A7" s="275">
        <v>2004</v>
      </c>
      <c r="B7" s="47">
        <v>2273819</v>
      </c>
      <c r="C7" s="47">
        <v>460426</v>
      </c>
      <c r="D7" s="47">
        <v>41732</v>
      </c>
      <c r="E7" s="5">
        <f t="shared" si="0"/>
        <v>2775977</v>
      </c>
      <c r="G7" s="5"/>
    </row>
    <row r="8" spans="1:7" x14ac:dyDescent="0.2">
      <c r="A8" s="275">
        <v>2005</v>
      </c>
      <c r="B8" s="47">
        <v>2343889</v>
      </c>
      <c r="C8" s="47">
        <v>445748</v>
      </c>
      <c r="D8" s="47">
        <v>42148</v>
      </c>
      <c r="E8" s="5">
        <f t="shared" si="0"/>
        <v>2831785</v>
      </c>
      <c r="G8" s="5"/>
    </row>
    <row r="9" spans="1:7" x14ac:dyDescent="0.2">
      <c r="A9" s="275">
        <v>2006</v>
      </c>
      <c r="B9" s="47">
        <v>2306337</v>
      </c>
      <c r="C9" s="47">
        <v>381847</v>
      </c>
      <c r="D9" s="47">
        <v>42692</v>
      </c>
      <c r="E9" s="5">
        <f t="shared" si="0"/>
        <v>2730876</v>
      </c>
      <c r="G9" s="5"/>
    </row>
    <row r="10" spans="1:7" x14ac:dyDescent="0.2">
      <c r="A10" s="275">
        <v>2007</v>
      </c>
      <c r="B10" s="47">
        <v>2286676</v>
      </c>
      <c r="C10" s="47">
        <v>330481</v>
      </c>
      <c r="D10" s="47">
        <v>43371</v>
      </c>
      <c r="E10" s="5">
        <f t="shared" si="0"/>
        <v>2660528</v>
      </c>
      <c r="G10" s="5"/>
    </row>
    <row r="11" spans="1:7" x14ac:dyDescent="0.2">
      <c r="A11" s="275">
        <v>2008</v>
      </c>
      <c r="B11" s="47">
        <v>2227288</v>
      </c>
      <c r="C11" s="47">
        <v>329862</v>
      </c>
      <c r="D11" s="47">
        <v>45893</v>
      </c>
      <c r="E11" s="5">
        <f t="shared" si="0"/>
        <v>2603043</v>
      </c>
      <c r="G11" s="5"/>
    </row>
    <row r="12" spans="1:7" x14ac:dyDescent="0.2">
      <c r="A12" s="275">
        <v>2009</v>
      </c>
      <c r="B12" s="47">
        <v>2169096</v>
      </c>
      <c r="C12" s="47">
        <v>171311</v>
      </c>
      <c r="D12" s="47">
        <v>44226</v>
      </c>
      <c r="E12" s="5">
        <f t="shared" si="0"/>
        <v>2384633</v>
      </c>
      <c r="G12" s="5"/>
    </row>
    <row r="13" spans="1:7" x14ac:dyDescent="0.2">
      <c r="A13" s="275">
        <v>2010</v>
      </c>
      <c r="B13" s="47">
        <v>2260312</v>
      </c>
      <c r="C13" s="47">
        <v>95621</v>
      </c>
      <c r="D13" s="47">
        <v>44895</v>
      </c>
      <c r="E13" s="5">
        <f t="shared" si="0"/>
        <v>2400828</v>
      </c>
      <c r="G13" s="5"/>
    </row>
    <row r="14" spans="1:7" x14ac:dyDescent="0.2">
      <c r="A14" s="275">
        <v>2011</v>
      </c>
      <c r="B14" s="47">
        <v>2244883</v>
      </c>
      <c r="C14" s="47">
        <v>105771</v>
      </c>
      <c r="D14" s="47">
        <v>44252</v>
      </c>
      <c r="E14" s="5">
        <f t="shared" si="0"/>
        <v>2394906</v>
      </c>
      <c r="G14" s="5"/>
    </row>
    <row r="15" spans="1:7" x14ac:dyDescent="0.2">
      <c r="A15" s="275">
        <v>2012</v>
      </c>
      <c r="B15" s="47">
        <v>2227931</v>
      </c>
      <c r="C15" s="47">
        <v>136790</v>
      </c>
      <c r="D15" s="47">
        <v>44229</v>
      </c>
      <c r="E15" s="5">
        <f t="shared" si="0"/>
        <v>2408950</v>
      </c>
      <c r="G15" s="5"/>
    </row>
    <row r="16" spans="1:7" x14ac:dyDescent="0.2">
      <c r="A16" s="275">
        <v>2013</v>
      </c>
      <c r="B16" s="29">
        <f>'Rate Class Energy Model'!N83*$B$34</f>
        <v>2179952.4585973085</v>
      </c>
      <c r="C16" s="29">
        <f>'Rate Class Energy Model'!O83*C34</f>
        <v>130795.77587097054</v>
      </c>
      <c r="D16" s="29">
        <f>'Rate Class Energy Model'!P83*D34</f>
        <v>44502.095867100063</v>
      </c>
      <c r="E16" s="5">
        <f t="shared" si="0"/>
        <v>2355250.3303353791</v>
      </c>
      <c r="G16" s="5"/>
    </row>
    <row r="17" spans="1:7" x14ac:dyDescent="0.2">
      <c r="A17" s="275">
        <v>2014</v>
      </c>
      <c r="B17" s="29">
        <f>'Rate Class Energy Model'!N84*B34</f>
        <v>2183247.9865150913</v>
      </c>
      <c r="C17" s="29">
        <f>'Rate Class Energy Model'!O84*C34</f>
        <v>63001.717773348704</v>
      </c>
      <c r="D17" s="29">
        <f>'Rate Class Energy Model'!P84*D34</f>
        <v>45145.286564759699</v>
      </c>
      <c r="E17" s="5">
        <f t="shared" si="0"/>
        <v>2291394.9908531997</v>
      </c>
      <c r="G17" s="5"/>
    </row>
    <row r="18" spans="1:7" x14ac:dyDescent="0.2">
      <c r="A18" s="19"/>
    </row>
    <row r="19" spans="1:7" x14ac:dyDescent="0.2">
      <c r="A19" s="18" t="s">
        <v>42</v>
      </c>
      <c r="B19" s="4"/>
      <c r="C19" s="4"/>
      <c r="D19" s="4"/>
    </row>
    <row r="20" spans="1:7" x14ac:dyDescent="0.2">
      <c r="A20" s="274">
        <v>2000</v>
      </c>
      <c r="B20" s="27">
        <f>B3/'Rate Class Energy Model'!M10</f>
        <v>2.0218305764707727E-3</v>
      </c>
      <c r="C20" s="27">
        <f>C3/'Rate Class Energy Model'!N10</f>
        <v>1.802784048742585E-3</v>
      </c>
      <c r="D20" s="27">
        <f>D3/'Rate Class Energy Model'!O10</f>
        <v>2.8607286997274959E-3</v>
      </c>
      <c r="F20" s="27"/>
    </row>
    <row r="21" spans="1:7" x14ac:dyDescent="0.2">
      <c r="A21" s="274">
        <v>2001</v>
      </c>
      <c r="B21" s="27">
        <f>B4/'Rate Class Energy Model'!M11</f>
        <v>2.3763879809171797E-3</v>
      </c>
      <c r="C21" s="27">
        <f>C4/'Rate Class Energy Model'!N11</f>
        <v>1.8502086276321718E-3</v>
      </c>
      <c r="D21" s="27">
        <f>D4/'Rate Class Energy Model'!O11</f>
        <v>2.860835413226898E-3</v>
      </c>
      <c r="F21" s="27"/>
    </row>
    <row r="22" spans="1:7" x14ac:dyDescent="0.2">
      <c r="A22" s="274">
        <v>2002</v>
      </c>
      <c r="B22" s="27">
        <f>B5/'Rate Class Energy Model'!M12</f>
        <v>2.604481765546653E-3</v>
      </c>
      <c r="C22" s="27">
        <f>C5/'Rate Class Energy Model'!N12</f>
        <v>1.8457549257012362E-3</v>
      </c>
      <c r="D22" s="27">
        <f>D5/'Rate Class Energy Model'!O12</f>
        <v>2.9622510962410919E-3</v>
      </c>
      <c r="F22" s="27"/>
    </row>
    <row r="23" spans="1:7" x14ac:dyDescent="0.2">
      <c r="A23" s="274">
        <v>2003</v>
      </c>
      <c r="B23" s="27">
        <f>B6/'Rate Class Energy Model'!M13</f>
        <v>2.602020174764717E-3</v>
      </c>
      <c r="C23" s="27">
        <f>C6/'Rate Class Energy Model'!N13</f>
        <v>1.8756875968603262E-3</v>
      </c>
      <c r="D23" s="27">
        <f>D6/'Rate Class Energy Model'!O13</f>
        <v>2.7927548222688456E-3</v>
      </c>
      <c r="F23" s="27"/>
    </row>
    <row r="24" spans="1:7" x14ac:dyDescent="0.2">
      <c r="A24" s="274">
        <v>2004</v>
      </c>
      <c r="B24" s="27">
        <f>B7/'Rate Class Energy Model'!M14</f>
        <v>2.5794653514986726E-3</v>
      </c>
      <c r="C24" s="27">
        <f>C7/'Rate Class Energy Model'!N14</f>
        <v>1.9614466876838326E-3</v>
      </c>
      <c r="D24" s="27">
        <f>D7/'Rate Class Energy Model'!O14</f>
        <v>2.7791385336494727E-3</v>
      </c>
      <c r="F24" s="27"/>
    </row>
    <row r="25" spans="1:7" x14ac:dyDescent="0.2">
      <c r="A25" s="274">
        <v>2005</v>
      </c>
      <c r="B25" s="27">
        <f>B8/'Rate Class Energy Model'!M15</f>
        <v>2.5506085485221389E-3</v>
      </c>
      <c r="C25" s="27">
        <f>C8/'Rate Class Energy Model'!N15</f>
        <v>1.9208440302812735E-3</v>
      </c>
      <c r="D25" s="27">
        <f>D8/'Rate Class Energy Model'!O15</f>
        <v>2.7915185733875052E-3</v>
      </c>
      <c r="F25" s="27"/>
    </row>
    <row r="26" spans="1:7" x14ac:dyDescent="0.2">
      <c r="A26" s="274">
        <v>2006</v>
      </c>
      <c r="B26" s="27">
        <f>B9/'Rate Class Energy Model'!M16</f>
        <v>2.6805055255852668E-3</v>
      </c>
      <c r="C26" s="27">
        <f>C9/'Rate Class Energy Model'!N16</f>
        <v>2.0983394610620725E-3</v>
      </c>
      <c r="D26" s="27">
        <f>D9/'Rate Class Energy Model'!O16</f>
        <v>2.7920198928474403E-3</v>
      </c>
      <c r="F26" s="27"/>
    </row>
    <row r="27" spans="1:7" x14ac:dyDescent="0.2">
      <c r="A27" s="274">
        <v>2007</v>
      </c>
      <c r="B27" s="27">
        <f>B10/'Rate Class Energy Model'!M17</f>
        <v>2.6380840852090327E-3</v>
      </c>
      <c r="C27" s="27">
        <f>C10/'Rate Class Energy Model'!N17</f>
        <v>2.0958864250142551E-3</v>
      </c>
      <c r="D27" s="27">
        <f>D10/'Rate Class Energy Model'!O17</f>
        <v>2.7906588885197696E-3</v>
      </c>
      <c r="F27" s="27"/>
    </row>
    <row r="28" spans="1:7" x14ac:dyDescent="0.2">
      <c r="A28" s="274">
        <v>2008</v>
      </c>
      <c r="B28" s="27">
        <f>B11/'Rate Class Energy Model'!M18</f>
        <v>2.657818063715971E-3</v>
      </c>
      <c r="C28" s="27">
        <f>C11/'Rate Class Energy Model'!N18</f>
        <v>2.2450469318205787E-3</v>
      </c>
      <c r="D28" s="27">
        <f>D11/'Rate Class Energy Model'!O18</f>
        <v>2.6161183628102924E-3</v>
      </c>
      <c r="F28" s="27"/>
    </row>
    <row r="29" spans="1:7" x14ac:dyDescent="0.2">
      <c r="A29" s="274">
        <v>2009</v>
      </c>
      <c r="B29" s="27">
        <f>B12/'Rate Class Energy Model'!M19</f>
        <v>2.642274511612796E-3</v>
      </c>
      <c r="C29" s="27">
        <f>C12/'Rate Class Energy Model'!N19</f>
        <v>2.1461523606441978E-3</v>
      </c>
      <c r="D29" s="27">
        <f>D12/'Rate Class Energy Model'!O19</f>
        <v>2.7778555929640725E-3</v>
      </c>
      <c r="F29" s="27"/>
    </row>
    <row r="30" spans="1:7" x14ac:dyDescent="0.2">
      <c r="A30" s="274">
        <v>2010</v>
      </c>
      <c r="B30" s="27">
        <f>B13/'Rate Class Energy Model'!M20</f>
        <v>2.5776612434298585E-3</v>
      </c>
      <c r="C30" s="27">
        <f>C13/'Rate Class Energy Model'!N20</f>
        <v>2.0535557089132192E-3</v>
      </c>
      <c r="D30" s="27">
        <f>D13/'Rate Class Energy Model'!O20</f>
        <v>2.7997924804664663E-3</v>
      </c>
      <c r="F30" s="27"/>
    </row>
    <row r="31" spans="1:7" x14ac:dyDescent="0.2">
      <c r="A31" s="274">
        <v>2011</v>
      </c>
      <c r="B31" s="27">
        <f>B14/'Rate Class Energy Model'!M21</f>
        <v>2.576611271021607E-3</v>
      </c>
      <c r="C31" s="27">
        <f>C14/'Rate Class Energy Model'!N21</f>
        <v>1.8882530047298353E-3</v>
      </c>
      <c r="D31" s="27">
        <f>D14/'Rate Class Energy Model'!O21</f>
        <v>2.7906006475918867E-3</v>
      </c>
      <c r="F31" s="27"/>
    </row>
    <row r="32" spans="1:7" x14ac:dyDescent="0.2">
      <c r="A32" s="274">
        <v>2012</v>
      </c>
      <c r="B32" s="27">
        <f>B15/'Rate Class Energy Model'!M22</f>
        <v>2.6186661485402361E-3</v>
      </c>
      <c r="C32" s="27">
        <f>C15/'Rate Class Energy Model'!N22</f>
        <v>1.9722772135614469E-3</v>
      </c>
      <c r="D32" s="27">
        <f>D15/'Rate Class Energy Model'!O22</f>
        <v>2.7741083968947596E-3</v>
      </c>
      <c r="F32" s="27"/>
    </row>
    <row r="34" spans="1:6" x14ac:dyDescent="0.2">
      <c r="A34" t="s">
        <v>12</v>
      </c>
      <c r="B34" s="27">
        <f>AVERAGE(B20:B32)</f>
        <v>2.5481857882180691E-3</v>
      </c>
      <c r="C34" s="27">
        <f>AVERAGE(C20:C32)</f>
        <v>1.9812490017420792E-3</v>
      </c>
      <c r="D34" s="27">
        <f t="shared" ref="D34" si="1">AVERAGE(D20:D32)</f>
        <v>2.7991062615843076E-3</v>
      </c>
      <c r="F34" s="27"/>
    </row>
    <row r="36" spans="1:6" x14ac:dyDescent="0.2">
      <c r="B36"/>
      <c r="C36" s="580" t="s">
        <v>229</v>
      </c>
      <c r="D36" s="580"/>
    </row>
    <row r="37" spans="1:6" x14ac:dyDescent="0.2">
      <c r="B37"/>
      <c r="C37" s="285" t="s">
        <v>106</v>
      </c>
      <c r="D37" s="285" t="s">
        <v>135</v>
      </c>
    </row>
    <row r="38" spans="1:6" x14ac:dyDescent="0.2">
      <c r="B38" s="287">
        <v>41436</v>
      </c>
      <c r="C38" s="286">
        <v>2656702.2888000002</v>
      </c>
      <c r="D38" s="286">
        <v>5422.0320000000002</v>
      </c>
    </row>
    <row r="39" spans="1:6" x14ac:dyDescent="0.2">
      <c r="B39" s="287">
        <v>41466</v>
      </c>
      <c r="C39" s="286">
        <v>2453203.4309999999</v>
      </c>
      <c r="D39" s="286">
        <v>5311.152</v>
      </c>
    </row>
    <row r="40" spans="1:6" x14ac:dyDescent="0.2">
      <c r="B40" s="287">
        <v>41497</v>
      </c>
      <c r="C40" s="286">
        <v>2774492.0833999999</v>
      </c>
      <c r="D40" s="286">
        <v>5344.4160000000002</v>
      </c>
    </row>
    <row r="41" spans="1:6" x14ac:dyDescent="0.2">
      <c r="B41" s="287">
        <v>41528</v>
      </c>
      <c r="C41" s="286">
        <v>2610932.9904</v>
      </c>
      <c r="D41" s="286">
        <v>5078.3033999999998</v>
      </c>
    </row>
    <row r="42" spans="1:6" x14ac:dyDescent="0.2">
      <c r="B42" s="287">
        <v>41558</v>
      </c>
      <c r="C42" s="286">
        <v>2766213.639</v>
      </c>
      <c r="D42" s="286">
        <v>4645.8720000000003</v>
      </c>
    </row>
    <row r="43" spans="1:6" x14ac:dyDescent="0.2">
      <c r="B43" s="287">
        <v>41589</v>
      </c>
      <c r="C43" s="286">
        <v>2682213.1836999999</v>
      </c>
      <c r="D43" s="286">
        <v>5488.56</v>
      </c>
    </row>
    <row r="44" spans="1:6" x14ac:dyDescent="0.2">
      <c r="B44" s="287">
        <v>41619</v>
      </c>
      <c r="C44" s="286">
        <v>2331092.8569999998</v>
      </c>
      <c r="D44" s="286">
        <v>5100.4799999999996</v>
      </c>
    </row>
    <row r="45" spans="1:6" x14ac:dyDescent="0.2">
      <c r="B45" s="287">
        <v>41286</v>
      </c>
      <c r="C45" s="286">
        <v>2732241.335</v>
      </c>
      <c r="D45" s="286">
        <v>5189.1840000000002</v>
      </c>
    </row>
    <row r="46" spans="1:6" x14ac:dyDescent="0.2">
      <c r="B46" s="287">
        <v>41317</v>
      </c>
      <c r="C46" s="286">
        <v>2663289.0144000002</v>
      </c>
      <c r="D46" s="286">
        <v>5388.7673999999997</v>
      </c>
    </row>
    <row r="47" spans="1:6" x14ac:dyDescent="0.2">
      <c r="B47" s="287">
        <v>41345</v>
      </c>
      <c r="C47" s="286">
        <v>2804734.7244000002</v>
      </c>
      <c r="D47" s="286">
        <v>5333.3280000000004</v>
      </c>
    </row>
    <row r="48" spans="1:6" x14ac:dyDescent="0.2">
      <c r="B48" s="287">
        <v>41376</v>
      </c>
      <c r="C48" s="286">
        <v>2723836.2228000001</v>
      </c>
      <c r="D48" s="286">
        <v>5344.16</v>
      </c>
    </row>
    <row r="49" spans="2:4" x14ac:dyDescent="0.2">
      <c r="B49" s="287">
        <v>41406</v>
      </c>
      <c r="C49" s="286">
        <v>2908298.3177</v>
      </c>
      <c r="D49" s="286">
        <v>5277.8879999999999</v>
      </c>
    </row>
    <row r="50" spans="2:4" x14ac:dyDescent="0.2">
      <c r="B50" s="287">
        <v>41437</v>
      </c>
      <c r="C50" s="286">
        <v>2687220.7840999998</v>
      </c>
      <c r="D50" s="286">
        <v>5333.3280000000004</v>
      </c>
    </row>
    <row r="51" spans="2:4" x14ac:dyDescent="0.2">
      <c r="B51" s="287">
        <v>41467</v>
      </c>
      <c r="C51" s="286">
        <v>2458095.6228999998</v>
      </c>
      <c r="D51" s="286">
        <v>5288.9759999999997</v>
      </c>
    </row>
    <row r="52" spans="2:4" x14ac:dyDescent="0.2">
      <c r="B52" s="287">
        <v>41498</v>
      </c>
      <c r="C52" s="286">
        <v>2810634.6290000002</v>
      </c>
      <c r="D52" s="286">
        <v>5155.92</v>
      </c>
    </row>
    <row r="53" spans="2:4" x14ac:dyDescent="0.2">
      <c r="B53" s="288">
        <v>41529</v>
      </c>
      <c r="C53" s="286">
        <v>2598209.9136000001</v>
      </c>
      <c r="D53" s="286">
        <v>5288.9759999999997</v>
      </c>
    </row>
    <row r="54" spans="2:4" x14ac:dyDescent="0.2">
      <c r="B54" s="287">
        <v>41559</v>
      </c>
      <c r="C54" s="286">
        <v>2800613.7985999999</v>
      </c>
      <c r="D54" s="286">
        <v>5344.4160000000002</v>
      </c>
    </row>
    <row r="55" spans="2:4" x14ac:dyDescent="0.2">
      <c r="B55" s="287">
        <v>41590</v>
      </c>
      <c r="C55" s="286">
        <v>2611614.1817000001</v>
      </c>
      <c r="D55" s="286">
        <v>5189.1833999999999</v>
      </c>
    </row>
    <row r="56" spans="2:4" x14ac:dyDescent="0.2">
      <c r="B56" s="287">
        <v>41620</v>
      </c>
      <c r="C56" s="286">
        <v>2274762.2788999998</v>
      </c>
      <c r="D56" s="286">
        <v>5155.92</v>
      </c>
    </row>
    <row r="57" spans="2:4" x14ac:dyDescent="0.2">
      <c r="B57" s="289" t="s">
        <v>12</v>
      </c>
      <c r="C57" s="290">
        <f>AVERAGE(C38:C56)</f>
        <v>2649915.8577052634</v>
      </c>
      <c r="D57" s="290">
        <f>AVERAGE(D38:D56)</f>
        <v>5246.3611684210518</v>
      </c>
    </row>
    <row r="58" spans="2:4" x14ac:dyDescent="0.2">
      <c r="B58"/>
      <c r="C58" s="290">
        <f>+C57*12</f>
        <v>31798990.292463161</v>
      </c>
      <c r="D58"/>
    </row>
    <row r="62" spans="2:4" x14ac:dyDescent="0.2">
      <c r="B62" s="13"/>
      <c r="C62" s="13"/>
      <c r="D62" s="13"/>
    </row>
    <row r="63" spans="2:4" x14ac:dyDescent="0.2">
      <c r="B63" s="13"/>
      <c r="C63" s="13"/>
      <c r="D63" s="13"/>
    </row>
  </sheetData>
  <mergeCells count="2">
    <mergeCell ref="A1:E1"/>
    <mergeCell ref="C36:D36"/>
  </mergeCells>
  <phoneticPr fontId="0" type="noConversion"/>
  <pageMargins left="0.38" right="0.75" top="0.73" bottom="0.74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1"/>
  <sheetViews>
    <sheetView topLeftCell="N1" zoomScaleNormal="100" workbookViewId="0">
      <selection activeCell="AC16" sqref="AC16"/>
    </sheetView>
  </sheetViews>
  <sheetFormatPr defaultRowHeight="12.75" x14ac:dyDescent="0.2"/>
  <cols>
    <col min="1" max="1" width="11.28515625" bestFit="1" customWidth="1"/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1" max="11" width="12.7109375" customWidth="1"/>
    <col min="16" max="16" width="8.140625" customWidth="1"/>
    <col min="17" max="17" width="19.7109375" customWidth="1"/>
    <col min="18" max="18" width="10.42578125" bestFit="1" customWidth="1"/>
    <col min="19" max="22" width="13.140625" bestFit="1" customWidth="1"/>
    <col min="23" max="27" width="14.140625" bestFit="1" customWidth="1"/>
  </cols>
  <sheetData>
    <row r="1" spans="1:27" ht="51" x14ac:dyDescent="0.2">
      <c r="B1" s="256" t="s">
        <v>77</v>
      </c>
      <c r="C1" s="256" t="s">
        <v>78</v>
      </c>
      <c r="D1" s="256" t="s">
        <v>79</v>
      </c>
      <c r="E1" s="256" t="s">
        <v>80</v>
      </c>
      <c r="F1" s="256" t="s">
        <v>55</v>
      </c>
      <c r="G1" s="256" t="s">
        <v>56</v>
      </c>
      <c r="K1" s="568" t="s">
        <v>58</v>
      </c>
      <c r="L1" s="568"/>
    </row>
    <row r="2" spans="1:27" x14ac:dyDescent="0.2">
      <c r="A2">
        <v>2005</v>
      </c>
      <c r="B2" s="208">
        <v>292583</v>
      </c>
      <c r="C2" s="208">
        <f>+B2</f>
        <v>292583</v>
      </c>
      <c r="D2" s="62">
        <f>B2-C2</f>
        <v>0</v>
      </c>
      <c r="E2" s="63">
        <f>D2/C2</f>
        <v>0</v>
      </c>
      <c r="F2" s="58">
        <f>+C2</f>
        <v>292583</v>
      </c>
      <c r="G2" s="58">
        <f>F2</f>
        <v>292583</v>
      </c>
      <c r="H2" s="58">
        <f t="shared" ref="H2:H12" si="0">G2/$O$14</f>
        <v>3751.0641025641025</v>
      </c>
      <c r="K2" s="59">
        <f>+G53</f>
        <v>292583</v>
      </c>
      <c r="L2" s="59">
        <f t="shared" ref="L2:L11" si="1">F2-K2</f>
        <v>0</v>
      </c>
      <c r="N2" s="57" t="s">
        <v>59</v>
      </c>
      <c r="O2" s="57">
        <v>1</v>
      </c>
      <c r="Q2" s="543"/>
      <c r="R2" s="544">
        <v>2005</v>
      </c>
      <c r="S2" s="544">
        <v>2006</v>
      </c>
      <c r="T2" s="544">
        <v>2007</v>
      </c>
      <c r="U2" s="544">
        <v>2008</v>
      </c>
      <c r="V2" s="544">
        <v>2009</v>
      </c>
      <c r="W2" s="544">
        <v>2010</v>
      </c>
      <c r="X2" s="544">
        <v>2011</v>
      </c>
      <c r="Y2" s="544">
        <v>2012</v>
      </c>
      <c r="Z2" s="544">
        <v>2013</v>
      </c>
      <c r="AA2" s="544">
        <v>2014</v>
      </c>
    </row>
    <row r="3" spans="1:27" x14ac:dyDescent="0.2">
      <c r="A3">
        <v>2006</v>
      </c>
      <c r="B3" s="208">
        <f>6741.06606532815*1000+4688792</f>
        <v>11429858.065328151</v>
      </c>
      <c r="C3" s="208">
        <f>6036.03497123582*1000+4688792</f>
        <v>10724826.971235819</v>
      </c>
      <c r="D3" s="62">
        <f>B3-C3</f>
        <v>705031.09409233183</v>
      </c>
      <c r="E3" s="63">
        <f>D3/C3</f>
        <v>6.5738225519464136E-2</v>
      </c>
      <c r="F3" s="58">
        <f>C3</f>
        <v>10724826.971235819</v>
      </c>
      <c r="G3" s="58">
        <f>+F3-H53</f>
        <v>10184673.740466589</v>
      </c>
      <c r="H3" s="58">
        <f t="shared" si="0"/>
        <v>130572.74026239217</v>
      </c>
      <c r="K3" s="59">
        <f>+G65</f>
        <v>10724826.971235819</v>
      </c>
      <c r="L3" s="59">
        <f>F3-K3</f>
        <v>0</v>
      </c>
      <c r="N3" s="57" t="s">
        <v>60</v>
      </c>
      <c r="O3" s="57">
        <v>2</v>
      </c>
      <c r="Q3" s="545" t="s">
        <v>376</v>
      </c>
      <c r="R3" s="546">
        <f>'Third Tranche'!F57</f>
        <v>292583</v>
      </c>
      <c r="S3" s="546">
        <f>'Third Tranche'!G57</f>
        <v>4688792.07</v>
      </c>
      <c r="T3" s="546">
        <f>'Third Tranche'!H57</f>
        <v>11539979.470000001</v>
      </c>
      <c r="U3" s="546">
        <f>'Third Tranche'!I57</f>
        <v>13901638.780000001</v>
      </c>
      <c r="V3" s="546">
        <f>'Third Tranche'!Q57</f>
        <v>14769006.445204625</v>
      </c>
      <c r="W3" s="546">
        <f>'Third Tranche'!R57</f>
        <v>14630347.945204625</v>
      </c>
      <c r="X3" s="546">
        <f>'Third Tranche'!S57</f>
        <v>14630347.945204625</v>
      </c>
      <c r="Y3" s="546">
        <f>'Third Tranche'!T57</f>
        <v>14282989.945204625</v>
      </c>
      <c r="Z3" s="546">
        <f>'Third Tranche'!U57</f>
        <v>9108720.7277046256</v>
      </c>
      <c r="AA3" s="546">
        <f>'Third Tranche'!V57</f>
        <v>9108720.7277046256</v>
      </c>
    </row>
    <row r="4" spans="1:27" x14ac:dyDescent="0.2">
      <c r="A4">
        <v>2007</v>
      </c>
      <c r="B4" s="208">
        <f>18586.9486415392*1000+11539979</f>
        <v>30126927.641539197</v>
      </c>
      <c r="C4" s="208">
        <f>9923.81001153257*1000+11539979</f>
        <v>21463789.011532571</v>
      </c>
      <c r="D4" s="62">
        <f t="shared" ref="D4:D11" si="2">B4-C4</f>
        <v>8663138.6300066262</v>
      </c>
      <c r="E4" s="63">
        <f t="shared" ref="E4:E12" si="3">D4/C4</f>
        <v>0.40361646423899761</v>
      </c>
      <c r="F4" s="58">
        <f>C4</f>
        <v>21463789.011532571</v>
      </c>
      <c r="G4" s="58">
        <f>F4-H65</f>
        <v>2121161.1829788648</v>
      </c>
      <c r="H4" s="58">
        <f t="shared" si="0"/>
        <v>27194.374140754677</v>
      </c>
      <c r="K4" s="59">
        <f>+G77</f>
        <v>21463789.011532567</v>
      </c>
      <c r="L4" s="59">
        <f t="shared" si="1"/>
        <v>0</v>
      </c>
      <c r="N4" s="57" t="s">
        <v>61</v>
      </c>
      <c r="O4" s="57">
        <v>3</v>
      </c>
      <c r="Q4" s="545" t="s">
        <v>317</v>
      </c>
      <c r="R4" s="546"/>
      <c r="S4" s="547">
        <f>6036.03497123582*1000</f>
        <v>6036034.9712358201</v>
      </c>
      <c r="T4" s="546">
        <f>6036.03497123582*1000</f>
        <v>6036034.9712358201</v>
      </c>
      <c r="U4" s="546">
        <f>6036.03497123582*1000</f>
        <v>6036034.9712358201</v>
      </c>
      <c r="V4" s="546">
        <f>6036.03497123582*1000</f>
        <v>6036034.9712358201</v>
      </c>
      <c r="W4" s="546">
        <f>1048.32562129447*1000</f>
        <v>1048325.62129447</v>
      </c>
      <c r="X4" s="546">
        <f>1048.32562129447*1000</f>
        <v>1048325.62129447</v>
      </c>
      <c r="Y4" s="546">
        <f>958.932530702246*1000</f>
        <v>958932.530702246</v>
      </c>
      <c r="Z4" s="546">
        <f>958.932530702246*1000</f>
        <v>958932.530702246</v>
      </c>
      <c r="AA4" s="546">
        <f>901.064859225212*1000</f>
        <v>901064.85922521201</v>
      </c>
    </row>
    <row r="5" spans="1:27" x14ac:dyDescent="0.2">
      <c r="A5">
        <v>2008</v>
      </c>
      <c r="B5" s="208">
        <f>20499.3367049193*1000+13901639</f>
        <v>34400975.704919301</v>
      </c>
      <c r="C5" s="208">
        <f>13157.2704420728*1000+13901639</f>
        <v>27058909.442072801</v>
      </c>
      <c r="D5" s="62">
        <f t="shared" si="2"/>
        <v>7342066.2628464997</v>
      </c>
      <c r="E5" s="63">
        <f t="shared" si="3"/>
        <v>0.27133636995106014</v>
      </c>
      <c r="F5" s="58">
        <f>C5</f>
        <v>27058909.442072801</v>
      </c>
      <c r="G5" s="58">
        <f>F5-H77</f>
        <v>3800291.7372504361</v>
      </c>
      <c r="H5" s="58">
        <f t="shared" si="0"/>
        <v>48721.688939108157</v>
      </c>
      <c r="K5" s="59">
        <f>+G89</f>
        <v>27058909.44207279</v>
      </c>
      <c r="L5" s="59">
        <f t="shared" si="1"/>
        <v>0</v>
      </c>
      <c r="N5" s="57" t="s">
        <v>62</v>
      </c>
      <c r="O5" s="57">
        <v>4</v>
      </c>
      <c r="Q5" s="545" t="s">
        <v>316</v>
      </c>
      <c r="R5" s="546"/>
      <c r="S5" s="545"/>
      <c r="T5" s="546">
        <f>3887.77504029675*1000</f>
        <v>3887775.0402967501</v>
      </c>
      <c r="U5" s="546">
        <f>3111.48179956224*1000</f>
        <v>3111481.79956224</v>
      </c>
      <c r="V5" s="546">
        <f>3016.91805481361*1000</f>
        <v>3016918.0548136099</v>
      </c>
      <c r="W5" s="546">
        <f>3016.91805481361*1000</f>
        <v>3016918.0548136099</v>
      </c>
      <c r="X5" s="546">
        <f>3016.60751219823*1000</f>
        <v>3016607.5121982298</v>
      </c>
      <c r="Y5" s="546">
        <f>2920.67402148941*1000</f>
        <v>2920674.0214894097</v>
      </c>
      <c r="Z5" s="546">
        <f>2920.67402148941*1000</f>
        <v>2920674.0214894097</v>
      </c>
      <c r="AA5" s="546">
        <f>2920.67402148941*1000</f>
        <v>2920674.0214894097</v>
      </c>
    </row>
    <row r="6" spans="1:27" x14ac:dyDescent="0.2">
      <c r="A6">
        <v>2009</v>
      </c>
      <c r="B6" s="208">
        <f>32612.9542825993*1000+14769006</f>
        <v>47381960.2825993</v>
      </c>
      <c r="C6" s="208">
        <f>21886.5088881811*1000+14769006</f>
        <v>36655514.888181098</v>
      </c>
      <c r="D6" s="62">
        <f t="shared" si="2"/>
        <v>10726445.394418202</v>
      </c>
      <c r="E6" s="63">
        <f t="shared" si="3"/>
        <v>0.2926284196836299</v>
      </c>
      <c r="F6" s="58">
        <f>C6</f>
        <v>36655514.888181098</v>
      </c>
      <c r="G6" s="58">
        <f>F6-H89</f>
        <v>6380973.9761271738</v>
      </c>
      <c r="H6" s="58">
        <f t="shared" si="0"/>
        <v>81807.358668297093</v>
      </c>
      <c r="K6" s="59">
        <f>+G101</f>
        <v>36655514.88818109</v>
      </c>
      <c r="L6" s="59">
        <f t="shared" si="1"/>
        <v>0</v>
      </c>
      <c r="N6" s="57" t="s">
        <v>63</v>
      </c>
      <c r="O6" s="57">
        <v>5</v>
      </c>
      <c r="Q6" s="545" t="s">
        <v>315</v>
      </c>
      <c r="R6" s="546"/>
      <c r="S6" s="545"/>
      <c r="T6" s="545"/>
      <c r="U6" s="546">
        <f>4009.75367127478*1000</f>
        <v>4009753.6712747803</v>
      </c>
      <c r="V6" s="546">
        <f>3663.5959474246*1000</f>
        <v>3663595.9474245999</v>
      </c>
      <c r="W6" s="546">
        <f>3663.5959474246*1000</f>
        <v>3663595.9474245999</v>
      </c>
      <c r="X6" s="546">
        <f>3663.5959474246*1000</f>
        <v>3663595.9474245999</v>
      </c>
      <c r="Y6" s="546">
        <f>3373.05473705655*1000</f>
        <v>3373054.7370565501</v>
      </c>
      <c r="Z6" s="546">
        <f>3372.48737705655*1000</f>
        <v>3372487.3770565502</v>
      </c>
      <c r="AA6" s="546">
        <f>3070.53008780489*1000</f>
        <v>3070530.0878048902</v>
      </c>
    </row>
    <row r="7" spans="1:27" x14ac:dyDescent="0.2">
      <c r="A7">
        <v>2010</v>
      </c>
      <c r="B7" s="208">
        <f>40034.1386800697*1000+14630348</f>
        <v>54664486.6800697</v>
      </c>
      <c r="C7" s="208">
        <f>25013.2501520455*1000+14630348</f>
        <v>39643598.152045503</v>
      </c>
      <c r="D7" s="62">
        <f t="shared" si="2"/>
        <v>15020888.528024197</v>
      </c>
      <c r="E7" s="63">
        <f t="shared" si="3"/>
        <v>0.37889821379014155</v>
      </c>
      <c r="F7" s="58">
        <f>C7</f>
        <v>39643598.152045503</v>
      </c>
      <c r="G7" s="58">
        <f>F7-H101</f>
        <v>-2411202.4082431942</v>
      </c>
      <c r="H7" s="58">
        <f t="shared" si="0"/>
        <v>-30912.851387733259</v>
      </c>
      <c r="K7" s="59">
        <f>+G113</f>
        <v>39643598.152045511</v>
      </c>
      <c r="L7" s="59">
        <f t="shared" si="1"/>
        <v>0</v>
      </c>
      <c r="N7" s="57" t="s">
        <v>64</v>
      </c>
      <c r="O7" s="57">
        <v>6</v>
      </c>
      <c r="Q7" s="545" t="s">
        <v>314</v>
      </c>
      <c r="R7" s="546"/>
      <c r="S7" s="545"/>
      <c r="T7" s="545"/>
      <c r="U7" s="545"/>
      <c r="V7" s="546">
        <f>9169.95991470708*1000</f>
        <v>9169959.9147070795</v>
      </c>
      <c r="W7" s="546">
        <f>7890.8521039133*1000</f>
        <v>7890852.1039132997</v>
      </c>
      <c r="X7" s="546">
        <f>7890.8521039133*1000</f>
        <v>7890852.1039132997</v>
      </c>
      <c r="Y7" s="546">
        <f>7887.70715265036*1000</f>
        <v>7887707.15265036</v>
      </c>
      <c r="Z7" s="546">
        <f>7794.41281713527*1000</f>
        <v>7794412.8171352707</v>
      </c>
      <c r="AA7" s="546">
        <f>7491.5796663477*1000</f>
        <v>7491579.6663477002</v>
      </c>
    </row>
    <row r="8" spans="1:27" x14ac:dyDescent="0.2">
      <c r="A8">
        <v>2011</v>
      </c>
      <c r="B8" s="208">
        <f>37801.4631115964*1000+14630348</f>
        <v>52431811.111596398</v>
      </c>
      <c r="C8" s="208">
        <f>22744.6128792553*1000+14630348</f>
        <v>37374960.879255295</v>
      </c>
      <c r="D8" s="62">
        <f t="shared" si="2"/>
        <v>15056850.232341103</v>
      </c>
      <c r="E8" s="63">
        <f t="shared" si="3"/>
        <v>0.40285929076913901</v>
      </c>
      <c r="F8" s="58">
        <f>C8+A27</f>
        <v>50257589.466298394</v>
      </c>
      <c r="G8" s="58">
        <f>F8-H113</f>
        <v>12654239.505843259</v>
      </c>
      <c r="H8" s="58">
        <f t="shared" si="0"/>
        <v>162233.83981850333</v>
      </c>
      <c r="K8" s="59">
        <f>+G125</f>
        <v>50257589.466298394</v>
      </c>
      <c r="L8" s="59">
        <f t="shared" si="1"/>
        <v>0</v>
      </c>
      <c r="N8" s="57" t="s">
        <v>65</v>
      </c>
      <c r="O8" s="57">
        <v>7</v>
      </c>
      <c r="Q8" s="545" t="s">
        <v>313</v>
      </c>
      <c r="R8" s="545"/>
      <c r="S8" s="545"/>
      <c r="T8" s="545"/>
      <c r="U8" s="545"/>
      <c r="V8" s="545"/>
      <c r="W8" s="546">
        <f>9393.55842459957*1000</f>
        <v>9393558.4245995712</v>
      </c>
      <c r="X8" s="546">
        <f>7125.23169442473*1000</f>
        <v>7125231.6944247307</v>
      </c>
      <c r="Y8" s="546">
        <f>7116.40515468465*1000</f>
        <v>7116405.1546846507</v>
      </c>
      <c r="Z8" s="546">
        <f>7115.04545092181*1000</f>
        <v>7115045.4509218102</v>
      </c>
      <c r="AA8" s="546">
        <f>7023.48264870733*1000</f>
        <v>7023482.6487073293</v>
      </c>
    </row>
    <row r="9" spans="1:27" x14ac:dyDescent="0.2">
      <c r="A9">
        <v>2012</v>
      </c>
      <c r="B9" s="208">
        <f>36664.3239076692*1000+14282990</f>
        <v>50947313.907669194</v>
      </c>
      <c r="C9" s="208">
        <f>22256.7735965832*1000+14282990</f>
        <v>36539763.596583202</v>
      </c>
      <c r="D9" s="62">
        <f t="shared" si="2"/>
        <v>14407550.311085992</v>
      </c>
      <c r="E9" s="63">
        <f t="shared" si="3"/>
        <v>0.39429785233841053</v>
      </c>
      <c r="F9" s="58">
        <f>C9+B27+B28</f>
        <v>55878489.80257</v>
      </c>
      <c r="G9" s="58">
        <f>F9-H125</f>
        <v>-5086533.0917496309</v>
      </c>
      <c r="H9" s="58">
        <f t="shared" si="0"/>
        <v>-65211.96271473886</v>
      </c>
      <c r="K9" s="59">
        <f>+G137</f>
        <v>55878489.802569993</v>
      </c>
      <c r="L9" s="59">
        <f t="shared" si="1"/>
        <v>0</v>
      </c>
      <c r="N9" s="57" t="s">
        <v>66</v>
      </c>
      <c r="O9" s="57">
        <v>8</v>
      </c>
      <c r="Q9" s="545" t="s">
        <v>102</v>
      </c>
      <c r="R9" s="545"/>
      <c r="S9" s="545"/>
      <c r="T9" s="545"/>
      <c r="U9" s="545"/>
      <c r="V9" s="545"/>
      <c r="W9" s="545"/>
      <c r="X9" s="546">
        <v>12882628.587043101</v>
      </c>
      <c r="Y9" s="546">
        <v>12777283.2059868</v>
      </c>
      <c r="Z9" s="546">
        <v>12766732.7844238</v>
      </c>
      <c r="AA9" s="546">
        <v>12588174.119054999</v>
      </c>
    </row>
    <row r="10" spans="1:27" x14ac:dyDescent="0.2">
      <c r="A10">
        <v>2013</v>
      </c>
      <c r="B10" s="208">
        <f>36478.9285966012*1000+9108721</f>
        <v>45587649.596601203</v>
      </c>
      <c r="C10" s="208">
        <f>22161.5521973053*1000+9108721</f>
        <v>31270273.197305299</v>
      </c>
      <c r="D10" s="62">
        <f t="shared" si="2"/>
        <v>14317376.399295904</v>
      </c>
      <c r="E10" s="63">
        <f t="shared" si="3"/>
        <v>0.4578590122624735</v>
      </c>
      <c r="F10" s="58">
        <f>C10+C27+C28</f>
        <v>50598448.981729098</v>
      </c>
      <c r="G10" s="58">
        <f>F10-H137</f>
        <v>-976051.28166809678</v>
      </c>
      <c r="H10" s="58">
        <f t="shared" si="0"/>
        <v>-12513.477970103804</v>
      </c>
      <c r="K10" s="59">
        <f>+G149</f>
        <v>50598448.981729098</v>
      </c>
      <c r="L10" s="59">
        <f t="shared" si="1"/>
        <v>0</v>
      </c>
      <c r="N10" s="57" t="s">
        <v>67</v>
      </c>
      <c r="O10" s="57">
        <v>9</v>
      </c>
      <c r="Q10" s="545" t="s">
        <v>103</v>
      </c>
      <c r="R10" s="545"/>
      <c r="S10" s="545"/>
      <c r="T10" s="545"/>
      <c r="U10" s="545"/>
      <c r="V10" s="545"/>
      <c r="W10" s="545"/>
      <c r="X10" s="545"/>
      <c r="Y10" s="546">
        <v>6561443</v>
      </c>
      <c r="Z10" s="546">
        <v>6561443</v>
      </c>
      <c r="AA10" s="546">
        <v>6561443</v>
      </c>
    </row>
    <row r="11" spans="1:27" x14ac:dyDescent="0.2">
      <c r="A11">
        <v>2014</v>
      </c>
      <c r="B11" s="208">
        <f>34985.6457638537*1000+9108721</f>
        <v>44094366.763853706</v>
      </c>
      <c r="C11" s="208">
        <f>21407.3312835745*1000+9108721</f>
        <v>30516052.283574499</v>
      </c>
      <c r="D11" s="62">
        <f t="shared" si="2"/>
        <v>13578314.480279207</v>
      </c>
      <c r="E11" s="63">
        <f t="shared" si="3"/>
        <v>0.44495645616611557</v>
      </c>
      <c r="F11" s="58">
        <f>C11+D27+D28</f>
        <v>49665669.402629495</v>
      </c>
      <c r="G11" s="58">
        <f>F11-H149</f>
        <v>-106890.03307276219</v>
      </c>
      <c r="H11" s="58">
        <f t="shared" si="0"/>
        <v>-1370.3850393943871</v>
      </c>
      <c r="K11" s="59">
        <f>+G161</f>
        <v>49665669.402629502</v>
      </c>
      <c r="L11" s="59">
        <f t="shared" si="1"/>
        <v>0</v>
      </c>
      <c r="N11" s="57" t="s">
        <v>68</v>
      </c>
      <c r="O11" s="57">
        <v>10</v>
      </c>
      <c r="Q11" s="548" t="s">
        <v>10</v>
      </c>
      <c r="R11" s="549">
        <f t="shared" ref="R11:AA11" si="4">SUM(R3:R10)</f>
        <v>292583</v>
      </c>
      <c r="S11" s="549">
        <f t="shared" si="4"/>
        <v>10724827.041235819</v>
      </c>
      <c r="T11" s="549">
        <f t="shared" si="4"/>
        <v>21463789.481532574</v>
      </c>
      <c r="U11" s="549">
        <f t="shared" si="4"/>
        <v>27058909.22207284</v>
      </c>
      <c r="V11" s="549">
        <f t="shared" si="4"/>
        <v>36655515.333385736</v>
      </c>
      <c r="W11" s="549">
        <f t="shared" si="4"/>
        <v>39643598.097250178</v>
      </c>
      <c r="X11" s="549">
        <f t="shared" si="4"/>
        <v>50257589.411503054</v>
      </c>
      <c r="Y11" s="549">
        <f t="shared" si="4"/>
        <v>55878489.747774638</v>
      </c>
      <c r="Z11" s="549">
        <f t="shared" si="4"/>
        <v>50598448.709433712</v>
      </c>
      <c r="AA11" s="549">
        <f t="shared" si="4"/>
        <v>49665669.130334169</v>
      </c>
    </row>
    <row r="12" spans="1:27" x14ac:dyDescent="0.2">
      <c r="A12" t="s">
        <v>10</v>
      </c>
      <c r="B12" s="58">
        <f>SUM(B2:B11)</f>
        <v>371357932.75417614</v>
      </c>
      <c r="C12" s="58">
        <f>SUM(C2:C11)</f>
        <v>271540271.42178607</v>
      </c>
      <c r="D12" s="58">
        <f>SUM(D2:D11)</f>
        <v>99817661.33239007</v>
      </c>
      <c r="E12" s="63">
        <f t="shared" si="3"/>
        <v>0.36759800235060658</v>
      </c>
      <c r="F12" s="58">
        <f>SUM(F3:F11)</f>
        <v>341946836.11829478</v>
      </c>
      <c r="G12" s="58">
        <f>F12-H150</f>
        <v>341946836.11829478</v>
      </c>
      <c r="H12" s="58">
        <f t="shared" si="0"/>
        <v>4383933.7963883942</v>
      </c>
      <c r="K12" s="58">
        <f>SUM(K3:K11)</f>
        <v>341946836.11829478</v>
      </c>
      <c r="L12" s="59">
        <f>SUM(L3:L11)</f>
        <v>0</v>
      </c>
      <c r="N12" s="57" t="s">
        <v>69</v>
      </c>
      <c r="O12" s="57">
        <v>11</v>
      </c>
      <c r="Q12" s="550"/>
      <c r="R12" s="550"/>
      <c r="S12" s="550"/>
      <c r="T12" s="550"/>
      <c r="U12" s="550"/>
      <c r="V12" s="550"/>
      <c r="W12" s="550"/>
      <c r="X12" s="550"/>
      <c r="Y12" s="550"/>
      <c r="Z12" s="550"/>
      <c r="AA12" s="550"/>
    </row>
    <row r="13" spans="1:27" x14ac:dyDescent="0.2">
      <c r="F13" s="58"/>
      <c r="G13" s="58"/>
      <c r="H13" s="58"/>
      <c r="N13" s="57" t="s">
        <v>71</v>
      </c>
      <c r="O13" s="57">
        <v>12</v>
      </c>
      <c r="Q13" s="550"/>
      <c r="R13" s="549">
        <v>292583</v>
      </c>
      <c r="S13" s="549">
        <v>10724827</v>
      </c>
      <c r="T13" s="549">
        <v>21463789</v>
      </c>
      <c r="U13" s="549">
        <v>27058909</v>
      </c>
      <c r="V13" s="549">
        <v>36655515</v>
      </c>
      <c r="W13" s="549">
        <v>39643598</v>
      </c>
      <c r="X13" s="549">
        <v>50257589</v>
      </c>
      <c r="Y13" s="549">
        <v>55878490</v>
      </c>
      <c r="Z13" s="549">
        <v>50598449</v>
      </c>
      <c r="AA13" s="549">
        <v>49665669</v>
      </c>
    </row>
    <row r="14" spans="1:27" x14ac:dyDescent="0.2">
      <c r="B14" s="58"/>
      <c r="F14" s="58"/>
      <c r="G14" s="58"/>
      <c r="H14" s="58"/>
      <c r="N14" s="57" t="s">
        <v>10</v>
      </c>
      <c r="O14" s="57">
        <f>SUM(O2:O13)</f>
        <v>78</v>
      </c>
      <c r="S14" s="64"/>
    </row>
    <row r="15" spans="1:27" x14ac:dyDescent="0.2">
      <c r="F15" s="58"/>
      <c r="G15" s="58"/>
      <c r="H15" s="58"/>
      <c r="R15" s="62">
        <f>R11-R13</f>
        <v>0</v>
      </c>
      <c r="S15" s="62">
        <f t="shared" ref="S15:AA15" si="5">S11-S13</f>
        <v>4.1235819458961487E-2</v>
      </c>
      <c r="T15" s="62">
        <f t="shared" si="5"/>
        <v>0.48153257369995117</v>
      </c>
      <c r="U15" s="62">
        <f t="shared" si="5"/>
        <v>0.22207283973693848</v>
      </c>
      <c r="V15" s="62">
        <f t="shared" si="5"/>
        <v>0.33338573575019836</v>
      </c>
      <c r="W15" s="62">
        <f t="shared" si="5"/>
        <v>9.7250178456306458E-2</v>
      </c>
      <c r="X15" s="62">
        <f t="shared" si="5"/>
        <v>0.41150305420160294</v>
      </c>
      <c r="Y15" s="62">
        <f t="shared" si="5"/>
        <v>-0.252225361764431</v>
      </c>
      <c r="Z15" s="62">
        <f t="shared" si="5"/>
        <v>-0.29056628793478012</v>
      </c>
      <c r="AA15" s="62">
        <f t="shared" si="5"/>
        <v>0.13033416867256165</v>
      </c>
    </row>
    <row r="16" spans="1:27" x14ac:dyDescent="0.2">
      <c r="A16" s="581" t="s">
        <v>57</v>
      </c>
      <c r="B16" s="581"/>
      <c r="C16" s="581"/>
      <c r="K16" s="59"/>
      <c r="S16" s="64"/>
    </row>
    <row r="17" spans="1:59" x14ac:dyDescent="0.2">
      <c r="A17" s="582">
        <f>+'CDM Forecast'!Q33</f>
        <v>98411344</v>
      </c>
      <c r="B17" s="582"/>
      <c r="C17" s="582"/>
      <c r="S17" s="64"/>
    </row>
    <row r="18" spans="1:59" ht="12.75" customHeight="1" thickBot="1" x14ac:dyDescent="0.25">
      <c r="S18" s="64"/>
    </row>
    <row r="19" spans="1:59" x14ac:dyDescent="0.2">
      <c r="A19" s="583" t="s">
        <v>147</v>
      </c>
      <c r="B19" s="584"/>
      <c r="C19" s="584"/>
      <c r="D19" s="584"/>
      <c r="E19" s="585"/>
      <c r="S19" s="64"/>
    </row>
    <row r="20" spans="1:59" x14ac:dyDescent="0.2">
      <c r="A20" s="65">
        <v>2011</v>
      </c>
      <c r="B20" s="57">
        <v>2012</v>
      </c>
      <c r="C20" s="57">
        <v>2013</v>
      </c>
      <c r="D20" s="57">
        <v>2014</v>
      </c>
      <c r="E20" s="66" t="s">
        <v>10</v>
      </c>
      <c r="S20" s="64"/>
    </row>
    <row r="21" spans="1:59" x14ac:dyDescent="0.2">
      <c r="A21" s="464">
        <f>A27/$A$17</f>
        <v>0.13090593079435131</v>
      </c>
      <c r="B21" s="465">
        <f>B27/$A$17</f>
        <v>0.12983547106100696</v>
      </c>
      <c r="C21" s="465">
        <f>C27/$A$17</f>
        <v>0.12972826368902959</v>
      </c>
      <c r="D21" s="465">
        <f>D27/$A$17</f>
        <v>0.12791385227962132</v>
      </c>
      <c r="E21" s="466">
        <f>SUM(A21:D21)</f>
        <v>0.51838351782400927</v>
      </c>
      <c r="S21" s="64"/>
    </row>
    <row r="22" spans="1:59" x14ac:dyDescent="0.2">
      <c r="A22" s="467"/>
      <c r="B22" s="468">
        <f>B28/$A$17</f>
        <v>6.6673644859478798E-2</v>
      </c>
      <c r="C22" s="468">
        <f>C28/$A$17</f>
        <v>6.6673644859478798E-2</v>
      </c>
      <c r="D22" s="468">
        <f>D28/$A$17</f>
        <v>6.6673644859478798E-2</v>
      </c>
      <c r="E22" s="466">
        <f>SUM(B22:D22)</f>
        <v>0.20002093457843639</v>
      </c>
      <c r="S22" s="64"/>
    </row>
    <row r="23" spans="1:59" x14ac:dyDescent="0.2">
      <c r="A23" s="467"/>
      <c r="B23" s="468"/>
      <c r="C23" s="468">
        <f>(100%-E21-E22)/3</f>
        <v>9.3865182532518118E-2</v>
      </c>
      <c r="D23" s="468">
        <f>C23</f>
        <v>9.3865182532518118E-2</v>
      </c>
      <c r="E23" s="466">
        <f>SUM(C23:D23)</f>
        <v>0.18773036506503624</v>
      </c>
      <c r="S23" s="64"/>
    </row>
    <row r="24" spans="1:59" x14ac:dyDescent="0.2">
      <c r="A24" s="467"/>
      <c r="B24" s="468"/>
      <c r="C24" s="468"/>
      <c r="D24" s="468">
        <f>D23</f>
        <v>9.3865182532518118E-2</v>
      </c>
      <c r="E24" s="466">
        <f>SUM(D24)</f>
        <v>9.3865182532518118E-2</v>
      </c>
      <c r="S24" t="s">
        <v>270</v>
      </c>
    </row>
    <row r="25" spans="1:59" x14ac:dyDescent="0.2">
      <c r="A25" s="467">
        <f>SUM(A21:A24)</f>
        <v>0.13090593079435131</v>
      </c>
      <c r="B25" s="468">
        <f>SUM(B21:B24)</f>
        <v>0.19650911592048576</v>
      </c>
      <c r="C25" s="468">
        <f>SUM(C21:C24)</f>
        <v>0.2902670910810265</v>
      </c>
      <c r="D25" s="468">
        <f>SUM(D21:D24)</f>
        <v>0.38231786220413638</v>
      </c>
      <c r="E25" s="466">
        <f>SUM(E21:E24)</f>
        <v>1</v>
      </c>
    </row>
    <row r="26" spans="1:59" x14ac:dyDescent="0.2">
      <c r="A26" s="586"/>
      <c r="B26" s="581"/>
      <c r="C26" s="581"/>
      <c r="D26" s="581"/>
      <c r="E26" s="587"/>
      <c r="BG26" t="s">
        <v>82</v>
      </c>
    </row>
    <row r="27" spans="1:59" x14ac:dyDescent="0.2">
      <c r="A27" s="469">
        <f>12.8826285870431*1000000</f>
        <v>12882628.587043101</v>
      </c>
      <c r="B27" s="470">
        <f>12.7772832059868*1000000</f>
        <v>12777283.2059868</v>
      </c>
      <c r="C27" s="470">
        <f>12.7667327844238*1000000</f>
        <v>12766732.7844238</v>
      </c>
      <c r="D27" s="470">
        <f>12.588174119055*1000000</f>
        <v>12588174.119054999</v>
      </c>
      <c r="E27" s="471">
        <f>SUM(A27:D27)</f>
        <v>51014818.696508706</v>
      </c>
      <c r="F27" s="163" t="s">
        <v>146</v>
      </c>
      <c r="AC27" s="64"/>
    </row>
    <row r="28" spans="1:59" x14ac:dyDescent="0.2">
      <c r="A28" s="472"/>
      <c r="B28" s="470">
        <f>+'CDM Forecast'!M33</f>
        <v>6561443</v>
      </c>
      <c r="C28" s="470">
        <f>+'CDM Forecast'!M33</f>
        <v>6561443</v>
      </c>
      <c r="D28" s="470">
        <f>+'CDM Forecast'!M33</f>
        <v>6561443</v>
      </c>
      <c r="E28" s="471">
        <f>SUM(A28:D28)</f>
        <v>19684329</v>
      </c>
      <c r="F28" s="163" t="s">
        <v>149</v>
      </c>
    </row>
    <row r="29" spans="1:59" x14ac:dyDescent="0.2">
      <c r="A29" s="472"/>
      <c r="B29" s="333"/>
      <c r="C29" s="333">
        <f>A17*C23</f>
        <v>9237398.7678304315</v>
      </c>
      <c r="D29" s="333">
        <f>C29</f>
        <v>9237398.7678304315</v>
      </c>
      <c r="E29" s="471">
        <f>SUM(A29:D29)</f>
        <v>18474797.535660863</v>
      </c>
    </row>
    <row r="30" spans="1:59" x14ac:dyDescent="0.2">
      <c r="A30" s="472"/>
      <c r="B30" s="333"/>
      <c r="C30" s="333"/>
      <c r="D30" s="333">
        <f>D29</f>
        <v>9237398.7678304315</v>
      </c>
      <c r="E30" s="471">
        <f>SUM(A30:D30)</f>
        <v>9237398.7678304315</v>
      </c>
    </row>
    <row r="31" spans="1:59" ht="13.5" thickBot="1" x14ac:dyDescent="0.25">
      <c r="A31" s="473">
        <f>SUM(A27:A30)</f>
        <v>12882628.587043101</v>
      </c>
      <c r="B31" s="474">
        <f>SUM(B27:B30)</f>
        <v>19338726.205986798</v>
      </c>
      <c r="C31" s="474">
        <f>SUM(C27:C30)</f>
        <v>28565574.55225423</v>
      </c>
      <c r="D31" s="474">
        <f>SUM(D27:D30)</f>
        <v>37624414.654715866</v>
      </c>
      <c r="E31" s="475">
        <f>SUM(A31:D31)</f>
        <v>98411344</v>
      </c>
    </row>
    <row r="32" spans="1:59" x14ac:dyDescent="0.2">
      <c r="B32" s="2"/>
      <c r="C32" s="2"/>
      <c r="D32" s="64"/>
      <c r="E32" s="64"/>
      <c r="F32" s="58"/>
      <c r="G32" s="58"/>
      <c r="H32" s="58"/>
    </row>
    <row r="33" spans="1:8" x14ac:dyDescent="0.2">
      <c r="B33" s="2"/>
      <c r="C33" s="2"/>
      <c r="D33" s="64"/>
      <c r="E33" s="64"/>
      <c r="F33" s="58"/>
      <c r="G33" s="58"/>
      <c r="H33" s="58"/>
    </row>
    <row r="34" spans="1:8" x14ac:dyDescent="0.2">
      <c r="B34" s="2"/>
      <c r="C34" s="2"/>
      <c r="D34" s="64"/>
      <c r="E34" s="64"/>
      <c r="F34" s="58"/>
      <c r="G34" s="58"/>
      <c r="H34" s="58"/>
    </row>
    <row r="35" spans="1:8" x14ac:dyDescent="0.2">
      <c r="B35" s="2"/>
      <c r="C35" s="2"/>
      <c r="D35" s="64"/>
      <c r="E35" s="64"/>
      <c r="F35" s="58"/>
      <c r="G35" s="58"/>
      <c r="H35" s="58"/>
    </row>
    <row r="36" spans="1:8" x14ac:dyDescent="0.2">
      <c r="B36" s="2"/>
      <c r="C36" s="2"/>
      <c r="D36" s="64"/>
      <c r="E36" s="64"/>
      <c r="F36" s="58"/>
      <c r="G36" s="58"/>
      <c r="H36" s="58"/>
    </row>
    <row r="37" spans="1:8" x14ac:dyDescent="0.2">
      <c r="B37" s="2"/>
      <c r="C37" s="2"/>
      <c r="D37" s="64"/>
      <c r="E37" s="64"/>
      <c r="F37" s="58"/>
      <c r="G37" s="58"/>
      <c r="H37" s="58"/>
    </row>
    <row r="38" spans="1:8" x14ac:dyDescent="0.2">
      <c r="B38" s="2"/>
      <c r="C38" s="2"/>
      <c r="D38" s="64"/>
      <c r="E38" s="64"/>
      <c r="F38" s="58"/>
      <c r="G38" s="58"/>
      <c r="H38" s="58"/>
    </row>
    <row r="39" spans="1:8" x14ac:dyDescent="0.2">
      <c r="B39" s="2"/>
      <c r="C39" s="2"/>
      <c r="D39" s="64"/>
      <c r="E39" s="64"/>
      <c r="F39" s="58" t="s">
        <v>70</v>
      </c>
      <c r="H39" s="58"/>
    </row>
    <row r="40" spans="1:8" x14ac:dyDescent="0.2">
      <c r="B40" s="2"/>
      <c r="C40" s="2"/>
      <c r="D40" s="64"/>
      <c r="E40" s="64"/>
      <c r="F40" s="58"/>
    </row>
    <row r="41" spans="1:8" x14ac:dyDescent="0.2">
      <c r="A41" s="2">
        <v>38353</v>
      </c>
      <c r="B41" s="2"/>
      <c r="C41" s="2"/>
      <c r="D41" s="64"/>
      <c r="E41" s="64"/>
      <c r="F41" s="58">
        <f>$H$2</f>
        <v>3751.0641025641025</v>
      </c>
    </row>
    <row r="42" spans="1:8" x14ac:dyDescent="0.2">
      <c r="A42" s="2">
        <v>38384</v>
      </c>
      <c r="B42" s="2"/>
      <c r="C42" s="2"/>
      <c r="D42" s="64"/>
      <c r="E42" s="64"/>
      <c r="F42" s="58">
        <f>F41+$H$2</f>
        <v>7502.1282051282051</v>
      </c>
    </row>
    <row r="43" spans="1:8" x14ac:dyDescent="0.2">
      <c r="A43" s="2">
        <v>38412</v>
      </c>
      <c r="B43" s="2"/>
      <c r="C43" s="2"/>
      <c r="D43" s="64"/>
      <c r="E43" s="64"/>
      <c r="F43" s="58">
        <f t="shared" ref="F43:F52" si="6">F42+$H$2</f>
        <v>11253.192307692309</v>
      </c>
    </row>
    <row r="44" spans="1:8" x14ac:dyDescent="0.2">
      <c r="A44" s="2">
        <v>38443</v>
      </c>
      <c r="B44" s="2"/>
      <c r="C44" s="2"/>
      <c r="D44" s="64"/>
      <c r="E44" s="64"/>
      <c r="F44" s="58">
        <f t="shared" si="6"/>
        <v>15004.25641025641</v>
      </c>
    </row>
    <row r="45" spans="1:8" x14ac:dyDescent="0.2">
      <c r="A45" s="2">
        <v>38473</v>
      </c>
      <c r="B45" s="2"/>
      <c r="C45" s="2"/>
      <c r="D45" s="64"/>
      <c r="E45" s="64"/>
      <c r="F45" s="58">
        <f t="shared" si="6"/>
        <v>18755.320512820512</v>
      </c>
    </row>
    <row r="46" spans="1:8" x14ac:dyDescent="0.2">
      <c r="A46" s="2">
        <v>38504</v>
      </c>
      <c r="B46" s="2"/>
      <c r="C46" s="2"/>
      <c r="D46" s="64"/>
      <c r="E46" s="64"/>
      <c r="F46" s="58">
        <f t="shared" si="6"/>
        <v>22506.384615384613</v>
      </c>
    </row>
    <row r="47" spans="1:8" x14ac:dyDescent="0.2">
      <c r="A47" s="2">
        <v>38534</v>
      </c>
      <c r="B47" s="2"/>
      <c r="C47" s="2"/>
      <c r="D47" s="64"/>
      <c r="E47" s="64"/>
      <c r="F47" s="58">
        <f t="shared" si="6"/>
        <v>26257.448717948715</v>
      </c>
    </row>
    <row r="48" spans="1:8" x14ac:dyDescent="0.2">
      <c r="A48" s="2">
        <v>38565</v>
      </c>
      <c r="B48" s="2"/>
      <c r="C48" s="2"/>
      <c r="D48" s="64"/>
      <c r="E48" s="64"/>
      <c r="F48" s="58">
        <f t="shared" si="6"/>
        <v>30008.512820512817</v>
      </c>
    </row>
    <row r="49" spans="1:8" x14ac:dyDescent="0.2">
      <c r="A49" s="2">
        <v>38596</v>
      </c>
      <c r="B49" s="2"/>
      <c r="C49" s="2"/>
      <c r="D49" s="64"/>
      <c r="E49" s="64"/>
      <c r="F49" s="58">
        <f t="shared" si="6"/>
        <v>33759.576923076922</v>
      </c>
    </row>
    <row r="50" spans="1:8" x14ac:dyDescent="0.2">
      <c r="A50" s="2">
        <v>38626</v>
      </c>
      <c r="B50" s="2"/>
      <c r="C50" s="2"/>
      <c r="D50" s="64"/>
      <c r="E50" s="64"/>
      <c r="F50" s="58">
        <f t="shared" si="6"/>
        <v>37510.641025641024</v>
      </c>
    </row>
    <row r="51" spans="1:8" x14ac:dyDescent="0.2">
      <c r="A51" s="2">
        <v>38657</v>
      </c>
      <c r="B51" s="2"/>
      <c r="C51" s="2"/>
      <c r="D51" s="64"/>
      <c r="E51" s="64"/>
      <c r="F51" s="58">
        <f t="shared" si="6"/>
        <v>41261.705128205125</v>
      </c>
    </row>
    <row r="52" spans="1:8" x14ac:dyDescent="0.2">
      <c r="A52" s="2">
        <v>38687</v>
      </c>
      <c r="B52" s="2"/>
      <c r="C52" s="2"/>
      <c r="D52" s="64"/>
      <c r="E52" s="64"/>
      <c r="F52" s="58">
        <f t="shared" si="6"/>
        <v>45012.769230769227</v>
      </c>
      <c r="G52" s="3" t="s">
        <v>58</v>
      </c>
    </row>
    <row r="53" spans="1:8" x14ac:dyDescent="0.2">
      <c r="A53" s="2">
        <v>38718</v>
      </c>
      <c r="B53" s="2"/>
      <c r="C53" s="2"/>
      <c r="D53" s="64"/>
      <c r="E53" s="64"/>
      <c r="F53" s="58">
        <f>+F52+$H$3</f>
        <v>175585.5094931614</v>
      </c>
      <c r="G53" s="58">
        <f>SUM(F41:F52)</f>
        <v>292583</v>
      </c>
      <c r="H53" s="58">
        <f>F52*12</f>
        <v>540153.23076923075</v>
      </c>
    </row>
    <row r="54" spans="1:8" x14ac:dyDescent="0.2">
      <c r="A54" s="2">
        <v>38749</v>
      </c>
      <c r="B54" s="2"/>
      <c r="C54" s="2"/>
      <c r="D54" s="64"/>
      <c r="E54" s="64"/>
      <c r="F54" s="58">
        <f t="shared" ref="F54:F64" si="7">+F53+$H$3</f>
        <v>306158.24975555355</v>
      </c>
    </row>
    <row r="55" spans="1:8" x14ac:dyDescent="0.2">
      <c r="A55" s="2">
        <v>38777</v>
      </c>
      <c r="B55" s="2"/>
      <c r="C55" s="2"/>
      <c r="D55" s="64"/>
      <c r="E55" s="64"/>
      <c r="F55" s="58">
        <f t="shared" si="7"/>
        <v>436730.9900179457</v>
      </c>
    </row>
    <row r="56" spans="1:8" x14ac:dyDescent="0.2">
      <c r="A56" s="2">
        <v>38808</v>
      </c>
      <c r="B56" s="2"/>
      <c r="C56" s="2"/>
      <c r="D56" s="64"/>
      <c r="E56" s="64"/>
      <c r="F56" s="58">
        <f t="shared" si="7"/>
        <v>567303.73028033786</v>
      </c>
    </row>
    <row r="57" spans="1:8" x14ac:dyDescent="0.2">
      <c r="A57" s="2">
        <v>38838</v>
      </c>
      <c r="B57" s="2"/>
      <c r="C57" s="2"/>
      <c r="D57" s="64"/>
      <c r="E57" s="64"/>
      <c r="F57" s="58">
        <f t="shared" si="7"/>
        <v>697876.47054273007</v>
      </c>
    </row>
    <row r="58" spans="1:8" x14ac:dyDescent="0.2">
      <c r="A58" s="2">
        <v>38869</v>
      </c>
      <c r="B58" s="2"/>
      <c r="C58" s="2"/>
      <c r="D58" s="64"/>
      <c r="E58" s="64"/>
      <c r="F58" s="58">
        <f t="shared" si="7"/>
        <v>828449.21080512227</v>
      </c>
    </row>
    <row r="59" spans="1:8" x14ac:dyDescent="0.2">
      <c r="A59" s="2">
        <v>38899</v>
      </c>
      <c r="B59" s="2"/>
      <c r="C59" s="2"/>
      <c r="D59" s="64"/>
      <c r="E59" s="64"/>
      <c r="F59" s="58">
        <f t="shared" si="7"/>
        <v>959021.95106751448</v>
      </c>
    </row>
    <row r="60" spans="1:8" x14ac:dyDescent="0.2">
      <c r="A60" s="2">
        <v>38930</v>
      </c>
      <c r="B60" s="2"/>
      <c r="C60" s="2"/>
      <c r="D60" s="64"/>
      <c r="E60" s="64"/>
      <c r="F60" s="58">
        <f t="shared" si="7"/>
        <v>1089594.6913299067</v>
      </c>
    </row>
    <row r="61" spans="1:8" x14ac:dyDescent="0.2">
      <c r="A61" s="2">
        <v>38961</v>
      </c>
      <c r="B61" s="2"/>
      <c r="C61" s="2"/>
      <c r="D61" s="64"/>
      <c r="E61" s="64"/>
      <c r="F61" s="58">
        <f t="shared" si="7"/>
        <v>1220167.4315922989</v>
      </c>
    </row>
    <row r="62" spans="1:8" x14ac:dyDescent="0.2">
      <c r="A62" s="2">
        <v>38991</v>
      </c>
      <c r="B62" s="2"/>
      <c r="C62" s="2"/>
      <c r="D62" s="64"/>
      <c r="E62" s="64"/>
      <c r="F62" s="58">
        <f t="shared" si="7"/>
        <v>1350740.1718546911</v>
      </c>
    </row>
    <row r="63" spans="1:8" x14ac:dyDescent="0.2">
      <c r="A63" s="2">
        <v>39022</v>
      </c>
      <c r="B63" s="2"/>
      <c r="C63" s="2"/>
      <c r="D63" s="64"/>
      <c r="E63" s="64"/>
      <c r="F63" s="58">
        <f t="shared" si="7"/>
        <v>1481312.9121170833</v>
      </c>
    </row>
    <row r="64" spans="1:8" x14ac:dyDescent="0.2">
      <c r="A64" s="2">
        <v>39052</v>
      </c>
      <c r="B64" s="2"/>
      <c r="C64" s="2"/>
      <c r="D64" s="64"/>
      <c r="E64" s="64"/>
      <c r="F64" s="58">
        <f t="shared" si="7"/>
        <v>1611885.6523794755</v>
      </c>
      <c r="G64" s="3" t="s">
        <v>58</v>
      </c>
    </row>
    <row r="65" spans="1:8" x14ac:dyDescent="0.2">
      <c r="A65" s="2">
        <v>39083</v>
      </c>
      <c r="B65" s="2"/>
      <c r="C65" s="2"/>
      <c r="D65" s="64"/>
      <c r="E65" s="64"/>
      <c r="F65" s="58">
        <f>+F64+$H$4</f>
        <v>1639080.0265202301</v>
      </c>
      <c r="G65" s="58">
        <f>SUM(F53:F64)</f>
        <v>10724826.971235819</v>
      </c>
      <c r="H65" s="58">
        <f>F64*12</f>
        <v>19342627.828553706</v>
      </c>
    </row>
    <row r="66" spans="1:8" x14ac:dyDescent="0.2">
      <c r="A66" s="2">
        <v>39114</v>
      </c>
      <c r="B66" s="2"/>
      <c r="C66" s="2"/>
      <c r="D66" s="64"/>
      <c r="E66" s="64"/>
      <c r="F66" s="58">
        <f t="shared" ref="F66:F76" si="8">+F65+$H$4</f>
        <v>1666274.4006609847</v>
      </c>
    </row>
    <row r="67" spans="1:8" x14ac:dyDescent="0.2">
      <c r="A67" s="2">
        <v>39142</v>
      </c>
      <c r="B67" s="2"/>
      <c r="C67" s="2"/>
      <c r="D67" s="64"/>
      <c r="E67" s="64"/>
      <c r="F67" s="58">
        <f t="shared" si="8"/>
        <v>1693468.7748017393</v>
      </c>
    </row>
    <row r="68" spans="1:8" x14ac:dyDescent="0.2">
      <c r="A68" s="2">
        <v>39173</v>
      </c>
      <c r="B68" s="2"/>
      <c r="C68" s="2"/>
      <c r="D68" s="64"/>
      <c r="E68" s="64"/>
      <c r="F68" s="58">
        <f t="shared" si="8"/>
        <v>1720663.1489424938</v>
      </c>
    </row>
    <row r="69" spans="1:8" x14ac:dyDescent="0.2">
      <c r="A69" s="2">
        <v>39203</v>
      </c>
      <c r="B69" s="2"/>
      <c r="C69" s="2"/>
      <c r="D69" s="64"/>
      <c r="E69" s="64"/>
      <c r="F69" s="58">
        <f t="shared" si="8"/>
        <v>1747857.5230832484</v>
      </c>
    </row>
    <row r="70" spans="1:8" x14ac:dyDescent="0.2">
      <c r="A70" s="2">
        <v>39234</v>
      </c>
      <c r="B70" s="2"/>
      <c r="C70" s="2"/>
      <c r="D70" s="64"/>
      <c r="E70" s="64"/>
      <c r="F70" s="58">
        <f t="shared" si="8"/>
        <v>1775051.897224003</v>
      </c>
    </row>
    <row r="71" spans="1:8" x14ac:dyDescent="0.2">
      <c r="A71" s="2">
        <v>39264</v>
      </c>
      <c r="B71" s="2"/>
      <c r="C71" s="2"/>
      <c r="D71" s="64"/>
      <c r="E71" s="64"/>
      <c r="F71" s="58">
        <f t="shared" si="8"/>
        <v>1802246.2713647576</v>
      </c>
    </row>
    <row r="72" spans="1:8" x14ac:dyDescent="0.2">
      <c r="A72" s="2">
        <v>39295</v>
      </c>
      <c r="B72" s="2"/>
      <c r="C72" s="2"/>
      <c r="D72" s="64"/>
      <c r="E72" s="64"/>
      <c r="F72" s="58">
        <f t="shared" si="8"/>
        <v>1829440.6455055121</v>
      </c>
    </row>
    <row r="73" spans="1:8" x14ac:dyDescent="0.2">
      <c r="A73" s="2">
        <v>39326</v>
      </c>
      <c r="B73" s="2"/>
      <c r="C73" s="2"/>
      <c r="D73" s="64"/>
      <c r="E73" s="64"/>
      <c r="F73" s="58">
        <f t="shared" si="8"/>
        <v>1856635.0196462667</v>
      </c>
    </row>
    <row r="74" spans="1:8" x14ac:dyDescent="0.2">
      <c r="A74" s="2">
        <v>39356</v>
      </c>
      <c r="B74" s="2"/>
      <c r="C74" s="2"/>
      <c r="D74" s="64"/>
      <c r="E74" s="64"/>
      <c r="F74" s="58">
        <f t="shared" si="8"/>
        <v>1883829.3937870213</v>
      </c>
    </row>
    <row r="75" spans="1:8" x14ac:dyDescent="0.2">
      <c r="A75" s="2">
        <v>39387</v>
      </c>
      <c r="B75" s="2"/>
      <c r="C75" s="2"/>
      <c r="D75" s="64"/>
      <c r="E75" s="64"/>
      <c r="F75" s="58">
        <f t="shared" si="8"/>
        <v>1911023.7679277759</v>
      </c>
    </row>
    <row r="76" spans="1:8" x14ac:dyDescent="0.2">
      <c r="A76" s="2">
        <v>39417</v>
      </c>
      <c r="B76" s="2"/>
      <c r="C76" s="2"/>
      <c r="D76" s="64"/>
      <c r="E76" s="64"/>
      <c r="F76" s="58">
        <f t="shared" si="8"/>
        <v>1938218.1420685304</v>
      </c>
    </row>
    <row r="77" spans="1:8" x14ac:dyDescent="0.2">
      <c r="A77" s="2">
        <v>39448</v>
      </c>
      <c r="B77" s="2"/>
      <c r="C77" s="2"/>
      <c r="D77" s="64"/>
      <c r="E77" s="64"/>
      <c r="F77" s="58">
        <f>F76+$H$5</f>
        <v>1986939.8310076385</v>
      </c>
      <c r="G77" s="58">
        <f>SUM(F65:F76)</f>
        <v>21463789.011532567</v>
      </c>
      <c r="H77" s="58">
        <f>F76*12</f>
        <v>23258617.704822365</v>
      </c>
    </row>
    <row r="78" spans="1:8" x14ac:dyDescent="0.2">
      <c r="A78" s="2">
        <v>39479</v>
      </c>
      <c r="B78" s="2"/>
      <c r="C78" s="2"/>
      <c r="D78" s="64"/>
      <c r="E78" s="64"/>
      <c r="F78" s="58">
        <f t="shared" ref="F78:F88" si="9">F77+$H$5</f>
        <v>2035661.5199467465</v>
      </c>
    </row>
    <row r="79" spans="1:8" x14ac:dyDescent="0.2">
      <c r="A79" s="2">
        <v>39508</v>
      </c>
      <c r="B79" s="2"/>
      <c r="C79" s="2"/>
      <c r="D79" s="64"/>
      <c r="E79" s="64"/>
      <c r="F79" s="58">
        <f t="shared" si="9"/>
        <v>2084383.2088858546</v>
      </c>
    </row>
    <row r="80" spans="1:8" x14ac:dyDescent="0.2">
      <c r="A80" s="2">
        <v>39539</v>
      </c>
      <c r="B80" s="2"/>
      <c r="C80" s="2"/>
      <c r="D80" s="64"/>
      <c r="E80" s="64"/>
      <c r="F80" s="58">
        <f t="shared" si="9"/>
        <v>2133104.8978249626</v>
      </c>
    </row>
    <row r="81" spans="1:8" x14ac:dyDescent="0.2">
      <c r="A81" s="2">
        <v>39569</v>
      </c>
      <c r="B81" s="2"/>
      <c r="C81" s="2"/>
      <c r="D81" s="64"/>
      <c r="E81" s="64"/>
      <c r="F81" s="58">
        <f t="shared" si="9"/>
        <v>2181826.5867640707</v>
      </c>
    </row>
    <row r="82" spans="1:8" x14ac:dyDescent="0.2">
      <c r="A82" s="2">
        <v>39600</v>
      </c>
      <c r="B82" s="2"/>
      <c r="C82" s="2"/>
      <c r="D82" s="64"/>
      <c r="E82" s="64"/>
      <c r="F82" s="58">
        <f t="shared" si="9"/>
        <v>2230548.2757031787</v>
      </c>
    </row>
    <row r="83" spans="1:8" x14ac:dyDescent="0.2">
      <c r="A83" s="2">
        <v>39630</v>
      </c>
      <c r="B83" s="2"/>
      <c r="C83" s="2"/>
      <c r="D83" s="64"/>
      <c r="E83" s="64"/>
      <c r="F83" s="58">
        <f t="shared" si="9"/>
        <v>2279269.9646422868</v>
      </c>
    </row>
    <row r="84" spans="1:8" x14ac:dyDescent="0.2">
      <c r="A84" s="2">
        <v>39661</v>
      </c>
      <c r="B84" s="2"/>
      <c r="C84" s="2"/>
      <c r="D84" s="64"/>
      <c r="E84" s="64"/>
      <c r="F84" s="58">
        <f t="shared" si="9"/>
        <v>2327991.6535813948</v>
      </c>
    </row>
    <row r="85" spans="1:8" x14ac:dyDescent="0.2">
      <c r="A85" s="2">
        <v>39692</v>
      </c>
      <c r="B85" s="2"/>
      <c r="C85" s="2"/>
      <c r="D85" s="64"/>
      <c r="E85" s="64"/>
      <c r="F85" s="58">
        <f t="shared" si="9"/>
        <v>2376713.3425205029</v>
      </c>
    </row>
    <row r="86" spans="1:8" x14ac:dyDescent="0.2">
      <c r="A86" s="2">
        <v>39722</v>
      </c>
      <c r="B86" s="2"/>
      <c r="C86" s="2"/>
      <c r="D86" s="64"/>
      <c r="E86" s="64"/>
      <c r="F86" s="58">
        <f t="shared" si="9"/>
        <v>2425435.0314596109</v>
      </c>
    </row>
    <row r="87" spans="1:8" x14ac:dyDescent="0.2">
      <c r="A87" s="2">
        <v>39753</v>
      </c>
      <c r="B87" s="2"/>
      <c r="C87" s="2"/>
      <c r="D87" s="64"/>
      <c r="E87" s="64"/>
      <c r="F87" s="58">
        <f t="shared" si="9"/>
        <v>2474156.720398719</v>
      </c>
    </row>
    <row r="88" spans="1:8" x14ac:dyDescent="0.2">
      <c r="A88" s="2">
        <v>39783</v>
      </c>
      <c r="B88" s="2"/>
      <c r="C88" s="2"/>
      <c r="D88" s="64"/>
      <c r="E88" s="64"/>
      <c r="F88" s="58">
        <f t="shared" si="9"/>
        <v>2522878.409337827</v>
      </c>
    </row>
    <row r="89" spans="1:8" x14ac:dyDescent="0.2">
      <c r="A89" s="2">
        <v>39814</v>
      </c>
      <c r="B89" s="2"/>
      <c r="C89" s="2"/>
      <c r="D89" s="64"/>
      <c r="E89" s="64"/>
      <c r="F89" s="58">
        <f>F88+$H$6</f>
        <v>2604685.7680061241</v>
      </c>
      <c r="G89" s="58">
        <f>SUM(F77:F88)</f>
        <v>27058909.44207279</v>
      </c>
      <c r="H89" s="58">
        <f>F88*12</f>
        <v>30274540.912053924</v>
      </c>
    </row>
    <row r="90" spans="1:8" x14ac:dyDescent="0.2">
      <c r="A90" s="2">
        <v>39845</v>
      </c>
      <c r="B90" s="2"/>
      <c r="C90" s="2"/>
      <c r="D90" s="64"/>
      <c r="E90" s="64"/>
      <c r="F90" s="58">
        <f t="shared" ref="F90:F100" si="10">F89+$H$6</f>
        <v>2686493.1266744211</v>
      </c>
    </row>
    <row r="91" spans="1:8" x14ac:dyDescent="0.2">
      <c r="A91" s="2">
        <v>39873</v>
      </c>
      <c r="B91" s="2"/>
      <c r="C91" s="2"/>
      <c r="D91" s="64"/>
      <c r="E91" s="64"/>
      <c r="F91" s="58">
        <f t="shared" si="10"/>
        <v>2768300.4853427182</v>
      </c>
    </row>
    <row r="92" spans="1:8" x14ac:dyDescent="0.2">
      <c r="A92" s="2">
        <v>39904</v>
      </c>
      <c r="B92" s="2"/>
      <c r="C92" s="2"/>
      <c r="D92" s="64"/>
      <c r="E92" s="64"/>
      <c r="F92" s="58">
        <f t="shared" si="10"/>
        <v>2850107.8440110153</v>
      </c>
    </row>
    <row r="93" spans="1:8" x14ac:dyDescent="0.2">
      <c r="A93" s="2">
        <v>39934</v>
      </c>
      <c r="B93" s="2"/>
      <c r="C93" s="2"/>
      <c r="D93" s="64"/>
      <c r="E93" s="64"/>
      <c r="F93" s="58">
        <f t="shared" si="10"/>
        <v>2931915.2026793123</v>
      </c>
    </row>
    <row r="94" spans="1:8" x14ac:dyDescent="0.2">
      <c r="A94" s="2">
        <v>39965</v>
      </c>
      <c r="B94" s="2"/>
      <c r="C94" s="2"/>
      <c r="D94" s="64"/>
      <c r="E94" s="64"/>
      <c r="F94" s="58">
        <f t="shared" si="10"/>
        <v>3013722.5613476094</v>
      </c>
    </row>
    <row r="95" spans="1:8" x14ac:dyDescent="0.2">
      <c r="A95" s="2">
        <v>39995</v>
      </c>
      <c r="B95" s="2"/>
      <c r="C95" s="2"/>
      <c r="D95" s="64"/>
      <c r="E95" s="64"/>
      <c r="F95" s="58">
        <f t="shared" si="10"/>
        <v>3095529.9200159064</v>
      </c>
    </row>
    <row r="96" spans="1:8" x14ac:dyDescent="0.2">
      <c r="A96" s="2">
        <v>40026</v>
      </c>
      <c r="B96" s="2"/>
      <c r="C96" s="2"/>
      <c r="D96" s="64"/>
      <c r="E96" s="64"/>
      <c r="F96" s="58">
        <f t="shared" si="10"/>
        <v>3177337.2786842035</v>
      </c>
    </row>
    <row r="97" spans="1:8" x14ac:dyDescent="0.2">
      <c r="A97" s="2">
        <v>40057</v>
      </c>
      <c r="B97" s="2"/>
      <c r="C97" s="2"/>
      <c r="D97" s="64"/>
      <c r="E97" s="64"/>
      <c r="F97" s="58">
        <f t="shared" si="10"/>
        <v>3259144.6373525006</v>
      </c>
    </row>
    <row r="98" spans="1:8" x14ac:dyDescent="0.2">
      <c r="A98" s="2">
        <v>40087</v>
      </c>
      <c r="B98" s="2"/>
      <c r="C98" s="2"/>
      <c r="D98" s="64"/>
      <c r="E98" s="64"/>
      <c r="F98" s="58">
        <f t="shared" si="10"/>
        <v>3340951.9960207976</v>
      </c>
    </row>
    <row r="99" spans="1:8" x14ac:dyDescent="0.2">
      <c r="A99" s="2">
        <v>40118</v>
      </c>
      <c r="B99" s="2"/>
      <c r="C99" s="2"/>
      <c r="D99" s="64"/>
      <c r="E99" s="64"/>
      <c r="F99" s="58">
        <f t="shared" si="10"/>
        <v>3422759.3546890947</v>
      </c>
    </row>
    <row r="100" spans="1:8" x14ac:dyDescent="0.2">
      <c r="A100" s="2">
        <v>40148</v>
      </c>
      <c r="B100" s="2"/>
      <c r="C100" s="2"/>
      <c r="D100" s="64"/>
      <c r="E100" s="64"/>
      <c r="F100" s="58">
        <f t="shared" si="10"/>
        <v>3504566.7133573918</v>
      </c>
    </row>
    <row r="101" spans="1:8" x14ac:dyDescent="0.2">
      <c r="A101" s="2">
        <v>40179</v>
      </c>
      <c r="B101" s="2"/>
      <c r="C101" s="2"/>
      <c r="D101" s="64"/>
      <c r="E101" s="64"/>
      <c r="F101" s="58">
        <f>F100+$H$7</f>
        <v>3473653.8619696586</v>
      </c>
      <c r="G101" s="58">
        <f>SUM(F89:F100)</f>
        <v>36655514.88818109</v>
      </c>
      <c r="H101" s="58">
        <f>F100*12</f>
        <v>42054800.560288697</v>
      </c>
    </row>
    <row r="102" spans="1:8" x14ac:dyDescent="0.2">
      <c r="A102" s="2">
        <v>40210</v>
      </c>
      <c r="B102" s="2"/>
      <c r="C102" s="2"/>
      <c r="D102" s="64"/>
      <c r="E102" s="64"/>
      <c r="F102" s="58">
        <f t="shared" ref="F102:F112" si="11">F101+$H$7</f>
        <v>3442741.0105819255</v>
      </c>
    </row>
    <row r="103" spans="1:8" x14ac:dyDescent="0.2">
      <c r="A103" s="2">
        <v>40238</v>
      </c>
      <c r="B103" s="2"/>
      <c r="C103" s="2"/>
      <c r="D103" s="64"/>
      <c r="E103" s="64"/>
      <c r="F103" s="58">
        <f t="shared" si="11"/>
        <v>3411828.1591941924</v>
      </c>
    </row>
    <row r="104" spans="1:8" x14ac:dyDescent="0.2">
      <c r="A104" s="2">
        <v>40269</v>
      </c>
      <c r="B104" s="2"/>
      <c r="C104" s="2"/>
      <c r="D104" s="64"/>
      <c r="E104" s="64"/>
      <c r="F104" s="58">
        <f t="shared" si="11"/>
        <v>3380915.3078064593</v>
      </c>
    </row>
    <row r="105" spans="1:8" x14ac:dyDescent="0.2">
      <c r="A105" s="2">
        <v>40299</v>
      </c>
      <c r="B105" s="2"/>
      <c r="C105" s="2"/>
      <c r="D105" s="64"/>
      <c r="E105" s="64"/>
      <c r="F105" s="58">
        <f t="shared" si="11"/>
        <v>3350002.4564187261</v>
      </c>
    </row>
    <row r="106" spans="1:8" x14ac:dyDescent="0.2">
      <c r="A106" s="2">
        <v>40330</v>
      </c>
      <c r="B106" s="2"/>
      <c r="C106" s="2"/>
      <c r="D106" s="64"/>
      <c r="E106" s="64"/>
      <c r="F106" s="58">
        <f t="shared" si="11"/>
        <v>3319089.605030993</v>
      </c>
    </row>
    <row r="107" spans="1:8" x14ac:dyDescent="0.2">
      <c r="A107" s="2">
        <v>40360</v>
      </c>
      <c r="B107" s="2"/>
      <c r="C107" s="2"/>
      <c r="D107" s="64"/>
      <c r="E107" s="64"/>
      <c r="F107" s="58">
        <f t="shared" si="11"/>
        <v>3288176.7536432599</v>
      </c>
    </row>
    <row r="108" spans="1:8" x14ac:dyDescent="0.2">
      <c r="A108" s="2">
        <v>40391</v>
      </c>
      <c r="B108" s="2"/>
      <c r="C108" s="2"/>
      <c r="D108" s="64"/>
      <c r="E108" s="64"/>
      <c r="F108" s="58">
        <f t="shared" si="11"/>
        <v>3257263.9022555267</v>
      </c>
    </row>
    <row r="109" spans="1:8" x14ac:dyDescent="0.2">
      <c r="A109" s="2">
        <v>40422</v>
      </c>
      <c r="B109" s="2"/>
      <c r="C109" s="2"/>
      <c r="D109" s="64"/>
      <c r="E109" s="64"/>
      <c r="F109" s="58">
        <f t="shared" si="11"/>
        <v>3226351.0508677936</v>
      </c>
    </row>
    <row r="110" spans="1:8" x14ac:dyDescent="0.2">
      <c r="A110" s="2">
        <v>40452</v>
      </c>
      <c r="B110" s="2"/>
      <c r="C110" s="2"/>
      <c r="D110" s="64"/>
      <c r="E110" s="64"/>
      <c r="F110" s="58">
        <f t="shared" si="11"/>
        <v>3195438.1994800605</v>
      </c>
    </row>
    <row r="111" spans="1:8" x14ac:dyDescent="0.2">
      <c r="A111" s="2">
        <v>40483</v>
      </c>
      <c r="B111" s="2"/>
      <c r="C111" s="2"/>
      <c r="D111" s="64"/>
      <c r="E111" s="64"/>
      <c r="F111" s="58">
        <f t="shared" si="11"/>
        <v>3164525.3480923274</v>
      </c>
    </row>
    <row r="112" spans="1:8" x14ac:dyDescent="0.2">
      <c r="A112" s="2">
        <v>40513</v>
      </c>
      <c r="B112" s="2"/>
      <c r="C112" s="2"/>
      <c r="D112" s="64"/>
      <c r="E112" s="64"/>
      <c r="F112" s="58">
        <f t="shared" si="11"/>
        <v>3133612.4967045942</v>
      </c>
    </row>
    <row r="113" spans="1:8" x14ac:dyDescent="0.2">
      <c r="A113" s="2">
        <v>40544</v>
      </c>
      <c r="B113" s="2"/>
      <c r="C113" s="2"/>
      <c r="D113" s="64"/>
      <c r="E113" s="64"/>
      <c r="F113" s="58">
        <f>F112+$H$8</f>
        <v>3295846.3365230975</v>
      </c>
      <c r="G113" s="58">
        <f>SUM(F101:F112)</f>
        <v>39643598.152045511</v>
      </c>
      <c r="H113" s="58">
        <f>F112*12</f>
        <v>37603349.960455135</v>
      </c>
    </row>
    <row r="114" spans="1:8" x14ac:dyDescent="0.2">
      <c r="A114" s="2">
        <v>40575</v>
      </c>
      <c r="B114" s="2"/>
      <c r="C114" s="2"/>
      <c r="D114" s="64"/>
      <c r="E114" s="64"/>
      <c r="F114" s="58">
        <f t="shared" ref="F114:F124" si="12">F113+$H$8</f>
        <v>3458080.1763416007</v>
      </c>
    </row>
    <row r="115" spans="1:8" x14ac:dyDescent="0.2">
      <c r="A115" s="2">
        <v>40603</v>
      </c>
      <c r="B115" s="2"/>
      <c r="C115" s="2"/>
      <c r="D115" s="64"/>
      <c r="E115" s="64"/>
      <c r="F115" s="58">
        <f t="shared" si="12"/>
        <v>3620314.016160104</v>
      </c>
    </row>
    <row r="116" spans="1:8" x14ac:dyDescent="0.2">
      <c r="A116" s="2">
        <v>40634</v>
      </c>
      <c r="F116" s="58">
        <f t="shared" si="12"/>
        <v>3782547.8559786072</v>
      </c>
    </row>
    <row r="117" spans="1:8" x14ac:dyDescent="0.2">
      <c r="A117" s="2">
        <v>40664</v>
      </c>
      <c r="F117" s="58">
        <f t="shared" si="12"/>
        <v>3944781.6957971104</v>
      </c>
    </row>
    <row r="118" spans="1:8" x14ac:dyDescent="0.2">
      <c r="A118" s="2">
        <v>40695</v>
      </c>
      <c r="F118" s="58">
        <f t="shared" si="12"/>
        <v>4107015.5356156137</v>
      </c>
    </row>
    <row r="119" spans="1:8" x14ac:dyDescent="0.2">
      <c r="A119" s="2">
        <v>40725</v>
      </c>
      <c r="F119" s="58">
        <f t="shared" si="12"/>
        <v>4269249.3754341174</v>
      </c>
    </row>
    <row r="120" spans="1:8" x14ac:dyDescent="0.2">
      <c r="A120" s="2">
        <v>40756</v>
      </c>
      <c r="F120" s="58">
        <f t="shared" si="12"/>
        <v>4431483.2152526211</v>
      </c>
    </row>
    <row r="121" spans="1:8" x14ac:dyDescent="0.2">
      <c r="A121" s="2">
        <v>40787</v>
      </c>
      <c r="F121" s="58">
        <f t="shared" si="12"/>
        <v>4593717.0550711248</v>
      </c>
    </row>
    <row r="122" spans="1:8" x14ac:dyDescent="0.2">
      <c r="A122" s="2">
        <v>40817</v>
      </c>
      <c r="F122" s="58">
        <f t="shared" si="12"/>
        <v>4755950.8948896285</v>
      </c>
    </row>
    <row r="123" spans="1:8" x14ac:dyDescent="0.2">
      <c r="A123" s="2">
        <v>40848</v>
      </c>
      <c r="F123" s="58">
        <f t="shared" si="12"/>
        <v>4918184.7347081322</v>
      </c>
    </row>
    <row r="124" spans="1:8" x14ac:dyDescent="0.2">
      <c r="A124" s="2">
        <v>40878</v>
      </c>
      <c r="F124" s="58">
        <f t="shared" si="12"/>
        <v>5080418.5745266359</v>
      </c>
    </row>
    <row r="125" spans="1:8" x14ac:dyDescent="0.2">
      <c r="A125" s="2">
        <v>40909</v>
      </c>
      <c r="F125" s="58">
        <f>F124+$H$9</f>
        <v>5015206.6118118968</v>
      </c>
      <c r="G125" s="58">
        <f>SUM(F113:F124)</f>
        <v>50257589.466298394</v>
      </c>
      <c r="H125" s="58">
        <f>F124*12</f>
        <v>60965022.894319631</v>
      </c>
    </row>
    <row r="126" spans="1:8" x14ac:dyDescent="0.2">
      <c r="A126" s="2">
        <v>40940</v>
      </c>
      <c r="F126" s="58">
        <f t="shared" ref="F126:F136" si="13">F125+$H$9</f>
        <v>4949994.6490971576</v>
      </c>
    </row>
    <row r="127" spans="1:8" x14ac:dyDescent="0.2">
      <c r="A127" s="2">
        <v>40969</v>
      </c>
      <c r="F127" s="58">
        <f t="shared" si="13"/>
        <v>4884782.6863824185</v>
      </c>
    </row>
    <row r="128" spans="1:8" x14ac:dyDescent="0.2">
      <c r="A128" s="2">
        <v>41000</v>
      </c>
      <c r="F128" s="58">
        <f t="shared" si="13"/>
        <v>4819570.7236676794</v>
      </c>
    </row>
    <row r="129" spans="1:8" x14ac:dyDescent="0.2">
      <c r="A129" s="2">
        <v>41030</v>
      </c>
      <c r="F129" s="58">
        <f t="shared" si="13"/>
        <v>4754358.7609529402</v>
      </c>
    </row>
    <row r="130" spans="1:8" x14ac:dyDescent="0.2">
      <c r="A130" s="2">
        <v>41061</v>
      </c>
      <c r="F130" s="58">
        <f t="shared" si="13"/>
        <v>4689146.7982382011</v>
      </c>
    </row>
    <row r="131" spans="1:8" x14ac:dyDescent="0.2">
      <c r="A131" s="2">
        <v>41091</v>
      </c>
      <c r="F131" s="58">
        <f t="shared" si="13"/>
        <v>4623934.8355234619</v>
      </c>
    </row>
    <row r="132" spans="1:8" x14ac:dyDescent="0.2">
      <c r="A132" s="2">
        <v>41122</v>
      </c>
      <c r="F132" s="58">
        <f t="shared" si="13"/>
        <v>4558722.8728087228</v>
      </c>
    </row>
    <row r="133" spans="1:8" x14ac:dyDescent="0.2">
      <c r="A133" s="2">
        <v>41153</v>
      </c>
      <c r="F133" s="58">
        <f t="shared" si="13"/>
        <v>4493510.9100939836</v>
      </c>
    </row>
    <row r="134" spans="1:8" x14ac:dyDescent="0.2">
      <c r="A134" s="2">
        <v>41183</v>
      </c>
      <c r="F134" s="58">
        <f t="shared" si="13"/>
        <v>4428298.9473792445</v>
      </c>
    </row>
    <row r="135" spans="1:8" x14ac:dyDescent="0.2">
      <c r="A135" s="2">
        <v>41214</v>
      </c>
      <c r="F135" s="58">
        <f t="shared" si="13"/>
        <v>4363086.9846645053</v>
      </c>
    </row>
    <row r="136" spans="1:8" x14ac:dyDescent="0.2">
      <c r="A136" s="2">
        <v>41244</v>
      </c>
      <c r="F136" s="58">
        <f t="shared" si="13"/>
        <v>4297875.0219497662</v>
      </c>
    </row>
    <row r="137" spans="1:8" x14ac:dyDescent="0.2">
      <c r="A137" s="2">
        <v>41275</v>
      </c>
      <c r="F137" s="59">
        <f>F136+$H$10</f>
        <v>4285361.5439796625</v>
      </c>
      <c r="G137" s="58">
        <f>SUM(F125:F136)</f>
        <v>55878489.802569993</v>
      </c>
      <c r="H137" s="58">
        <f>F136*12</f>
        <v>51574500.263397194</v>
      </c>
    </row>
    <row r="138" spans="1:8" x14ac:dyDescent="0.2">
      <c r="A138" s="2">
        <v>41306</v>
      </c>
      <c r="F138" s="59">
        <f t="shared" ref="F138:F148" si="14">F137+$H$10</f>
        <v>4272848.0660095587</v>
      </c>
    </row>
    <row r="139" spans="1:8" x14ac:dyDescent="0.2">
      <c r="A139" s="2">
        <v>41334</v>
      </c>
      <c r="F139" s="59">
        <f t="shared" si="14"/>
        <v>4260334.588039455</v>
      </c>
    </row>
    <row r="140" spans="1:8" x14ac:dyDescent="0.2">
      <c r="A140" s="2">
        <v>41365</v>
      </c>
      <c r="F140" s="59">
        <f t="shared" si="14"/>
        <v>4247821.1100693513</v>
      </c>
    </row>
    <row r="141" spans="1:8" x14ac:dyDescent="0.2">
      <c r="A141" s="2">
        <v>41395</v>
      </c>
      <c r="F141" s="59">
        <f t="shared" si="14"/>
        <v>4235307.6320992475</v>
      </c>
    </row>
    <row r="142" spans="1:8" x14ac:dyDescent="0.2">
      <c r="A142" s="2">
        <v>41426</v>
      </c>
      <c r="F142" s="59">
        <f t="shared" si="14"/>
        <v>4222794.1541291438</v>
      </c>
    </row>
    <row r="143" spans="1:8" x14ac:dyDescent="0.2">
      <c r="A143" s="2">
        <v>41456</v>
      </c>
      <c r="F143" s="59">
        <f t="shared" si="14"/>
        <v>4210280.6761590401</v>
      </c>
    </row>
    <row r="144" spans="1:8" x14ac:dyDescent="0.2">
      <c r="A144" s="2">
        <v>41487</v>
      </c>
      <c r="F144" s="59">
        <f t="shared" si="14"/>
        <v>4197767.1981889363</v>
      </c>
    </row>
    <row r="145" spans="1:8" x14ac:dyDescent="0.2">
      <c r="A145" s="2">
        <v>41518</v>
      </c>
      <c r="F145" s="59">
        <f t="shared" si="14"/>
        <v>4185253.7202188326</v>
      </c>
    </row>
    <row r="146" spans="1:8" x14ac:dyDescent="0.2">
      <c r="A146" s="2">
        <v>41548</v>
      </c>
      <c r="F146" s="59">
        <f t="shared" si="14"/>
        <v>4172740.2422487289</v>
      </c>
    </row>
    <row r="147" spans="1:8" x14ac:dyDescent="0.2">
      <c r="A147" s="2">
        <v>41579</v>
      </c>
      <c r="F147" s="59">
        <f t="shared" si="14"/>
        <v>4160226.7642786251</v>
      </c>
    </row>
    <row r="148" spans="1:8" x14ac:dyDescent="0.2">
      <c r="A148" s="2">
        <v>41609</v>
      </c>
      <c r="F148" s="59">
        <f t="shared" si="14"/>
        <v>4147713.2863085214</v>
      </c>
    </row>
    <row r="149" spans="1:8" x14ac:dyDescent="0.2">
      <c r="A149" s="2">
        <v>41640</v>
      </c>
      <c r="F149" s="59">
        <f>F148+$H$11</f>
        <v>4146342.9012691271</v>
      </c>
      <c r="G149" s="58">
        <f>SUM(F137:F148)</f>
        <v>50598448.981729098</v>
      </c>
      <c r="H149" s="58">
        <f>F148*12</f>
        <v>49772559.435702257</v>
      </c>
    </row>
    <row r="150" spans="1:8" x14ac:dyDescent="0.2">
      <c r="A150" s="2">
        <v>41671</v>
      </c>
      <c r="F150" s="59">
        <f t="shared" ref="F150:F160" si="15">F149+$H$11</f>
        <v>4144972.5162297329</v>
      </c>
    </row>
    <row r="151" spans="1:8" x14ac:dyDescent="0.2">
      <c r="A151" s="2">
        <v>41699</v>
      </c>
      <c r="F151" s="59">
        <f t="shared" si="15"/>
        <v>4143602.1311903386</v>
      </c>
    </row>
    <row r="152" spans="1:8" x14ac:dyDescent="0.2">
      <c r="A152" s="2">
        <v>41730</v>
      </c>
      <c r="F152" s="59">
        <f t="shared" si="15"/>
        <v>4142231.7461509444</v>
      </c>
    </row>
    <row r="153" spans="1:8" x14ac:dyDescent="0.2">
      <c r="A153" s="2">
        <v>41760</v>
      </c>
      <c r="F153" s="59">
        <f t="shared" si="15"/>
        <v>4140861.3611115501</v>
      </c>
    </row>
    <row r="154" spans="1:8" x14ac:dyDescent="0.2">
      <c r="A154" s="2">
        <v>41791</v>
      </c>
      <c r="F154" s="59">
        <f t="shared" si="15"/>
        <v>4139490.9760721559</v>
      </c>
    </row>
    <row r="155" spans="1:8" x14ac:dyDescent="0.2">
      <c r="A155" s="2">
        <v>41821</v>
      </c>
      <c r="F155" s="59">
        <f t="shared" si="15"/>
        <v>4138120.5910327616</v>
      </c>
    </row>
    <row r="156" spans="1:8" x14ac:dyDescent="0.2">
      <c r="A156" s="2">
        <v>41852</v>
      </c>
      <c r="F156" s="59">
        <f t="shared" si="15"/>
        <v>4136750.2059933674</v>
      </c>
    </row>
    <row r="157" spans="1:8" x14ac:dyDescent="0.2">
      <c r="A157" s="2">
        <v>41883</v>
      </c>
      <c r="F157" s="59">
        <f t="shared" si="15"/>
        <v>4135379.8209539731</v>
      </c>
    </row>
    <row r="158" spans="1:8" x14ac:dyDescent="0.2">
      <c r="A158" s="2">
        <v>41913</v>
      </c>
      <c r="F158" s="59">
        <f t="shared" si="15"/>
        <v>4134009.4359145788</v>
      </c>
    </row>
    <row r="159" spans="1:8" x14ac:dyDescent="0.2">
      <c r="A159" s="2">
        <v>41944</v>
      </c>
      <c r="F159" s="59">
        <f t="shared" si="15"/>
        <v>4132639.0508751846</v>
      </c>
    </row>
    <row r="160" spans="1:8" x14ac:dyDescent="0.2">
      <c r="A160" s="2">
        <v>41974</v>
      </c>
      <c r="F160" s="59">
        <f t="shared" si="15"/>
        <v>4131268.6658357903</v>
      </c>
    </row>
    <row r="161" spans="7:8" x14ac:dyDescent="0.2">
      <c r="G161" s="59">
        <f>SUM(F149:F160)</f>
        <v>49665669.402629502</v>
      </c>
      <c r="H161" s="58">
        <f>+F160*12</f>
        <v>49575223.990029484</v>
      </c>
    </row>
  </sheetData>
  <mergeCells count="5">
    <mergeCell ref="K1:L1"/>
    <mergeCell ref="A16:C16"/>
    <mergeCell ref="A17:C17"/>
    <mergeCell ref="A19:E19"/>
    <mergeCell ref="A26:E26"/>
  </mergeCells>
  <phoneticPr fontId="10" type="noConversion"/>
  <pageMargins left="0.75" right="0.18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6"/>
  <sheetViews>
    <sheetView workbookViewId="0">
      <selection activeCell="I28" sqref="I28"/>
    </sheetView>
  </sheetViews>
  <sheetFormatPr defaultRowHeight="12.75" x14ac:dyDescent="0.2"/>
  <cols>
    <col min="1" max="1" width="12.28515625" style="162" bestFit="1" customWidth="1"/>
    <col min="2" max="4" width="8.7109375" style="162" customWidth="1"/>
    <col min="5" max="5" width="8.7109375" style="164" customWidth="1"/>
    <col min="6" max="6" width="8.7109375" style="169" customWidth="1"/>
    <col min="7" max="21" width="8.7109375" customWidth="1"/>
    <col min="22" max="22" width="11.5703125" bestFit="1" customWidth="1"/>
    <col min="23" max="23" width="8.140625" bestFit="1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 x14ac:dyDescent="0.2">
      <c r="A2" t="s">
        <v>125</v>
      </c>
      <c r="B2" s="163" t="s">
        <v>228</v>
      </c>
      <c r="C2"/>
      <c r="D2"/>
      <c r="E2"/>
      <c r="F2"/>
    </row>
    <row r="3" spans="1:27" x14ac:dyDescent="0.2">
      <c r="B3"/>
      <c r="C3"/>
      <c r="D3"/>
      <c r="E3"/>
      <c r="F3"/>
      <c r="W3" s="161"/>
    </row>
    <row r="4" spans="1:27" ht="24" x14ac:dyDescent="0.2">
      <c r="A4" s="277" t="s">
        <v>3</v>
      </c>
      <c r="B4" s="220">
        <v>1993</v>
      </c>
      <c r="C4" s="220">
        <v>1994</v>
      </c>
      <c r="D4" s="220">
        <v>1995</v>
      </c>
      <c r="E4" s="220">
        <v>1996</v>
      </c>
      <c r="F4" s="220">
        <v>1997</v>
      </c>
      <c r="G4" s="220">
        <v>1998</v>
      </c>
      <c r="H4" s="220">
        <v>1999</v>
      </c>
      <c r="I4" s="220">
        <v>2000</v>
      </c>
      <c r="J4" s="220">
        <v>2001</v>
      </c>
      <c r="K4" s="220">
        <v>2002</v>
      </c>
      <c r="L4" s="220">
        <v>2003</v>
      </c>
      <c r="M4" s="220">
        <v>2004</v>
      </c>
      <c r="N4" s="220">
        <v>2005</v>
      </c>
      <c r="O4" s="220">
        <v>2006</v>
      </c>
      <c r="P4" s="220">
        <v>2007</v>
      </c>
      <c r="Q4" s="220">
        <v>2008</v>
      </c>
      <c r="R4" s="220">
        <v>2009</v>
      </c>
      <c r="S4" s="220">
        <v>2010</v>
      </c>
      <c r="T4" s="220">
        <v>2011</v>
      </c>
      <c r="U4" s="220">
        <v>2012</v>
      </c>
      <c r="V4" s="221" t="s">
        <v>122</v>
      </c>
      <c r="W4" s="221" t="s">
        <v>123</v>
      </c>
      <c r="Y4" s="164"/>
      <c r="Z4" s="164"/>
      <c r="AA4" s="164"/>
    </row>
    <row r="5" spans="1:27" x14ac:dyDescent="0.2">
      <c r="A5" s="165" t="s">
        <v>59</v>
      </c>
      <c r="B5" s="217">
        <v>718.3</v>
      </c>
      <c r="C5" s="217">
        <v>1203.5</v>
      </c>
      <c r="D5" s="217">
        <v>913.3</v>
      </c>
      <c r="E5" s="217">
        <v>789.4</v>
      </c>
      <c r="F5" s="217">
        <f>+'Purchased Power Model '!F3</f>
        <v>777.9</v>
      </c>
      <c r="G5" s="217">
        <f>+'Purchased Power Model '!F15</f>
        <v>652.79999999999995</v>
      </c>
      <c r="H5" s="217">
        <f>+'Purchased Power Model '!F27</f>
        <v>789.6</v>
      </c>
      <c r="I5" s="217">
        <f>+'Purchased Power Model '!F39</f>
        <v>773</v>
      </c>
      <c r="J5" s="217">
        <f>+'Purchased Power Model '!F51</f>
        <v>715</v>
      </c>
      <c r="K5" s="217">
        <f>+'Purchased Power Model '!F63</f>
        <v>625.70000000000005</v>
      </c>
      <c r="L5" s="218">
        <f>+'Purchased Power Model '!F75</f>
        <v>868.4</v>
      </c>
      <c r="M5" s="218">
        <f>+'Purchased Power Model '!F87</f>
        <v>879.2</v>
      </c>
      <c r="N5" s="218">
        <f>+'Purchased Power Model '!F99</f>
        <v>814.7</v>
      </c>
      <c r="O5" s="218">
        <f>+'Purchased Power Model '!F111</f>
        <v>590.6</v>
      </c>
      <c r="P5" s="218">
        <f>+'Purchased Power Model '!F123</f>
        <v>698.3</v>
      </c>
      <c r="Q5" s="219">
        <f>+'Purchased Power Model '!F135</f>
        <v>676.8</v>
      </c>
      <c r="R5" s="219">
        <f>+'Purchased Power Model '!F147</f>
        <v>891.79999999999984</v>
      </c>
      <c r="S5" s="219">
        <f>+'Purchased Power Model '!F159</f>
        <v>751.94999999999982</v>
      </c>
      <c r="T5" s="219">
        <f>+'Purchased Power Model '!F171</f>
        <v>827.80000000000007</v>
      </c>
      <c r="U5" s="219">
        <f>+'Purchased Power Model '!F183</f>
        <v>657.30000000000007</v>
      </c>
      <c r="V5" s="168">
        <f>AVERAGE(L5:U5)</f>
        <v>765.68500000000006</v>
      </c>
      <c r="W5" s="167">
        <f>TREND(B5:U5,$B$4:$U$4,2014)</f>
        <v>696.14522556390875</v>
      </c>
    </row>
    <row r="6" spans="1:27" x14ac:dyDescent="0.2">
      <c r="A6" s="165" t="s">
        <v>60</v>
      </c>
      <c r="B6" s="217">
        <v>684</v>
      </c>
      <c r="C6" s="217">
        <v>923.9</v>
      </c>
      <c r="D6" s="217">
        <v>874.6</v>
      </c>
      <c r="E6" s="217">
        <v>712.6</v>
      </c>
      <c r="F6" s="217">
        <f>+'Purchased Power Model '!F4</f>
        <v>615</v>
      </c>
      <c r="G6" s="217">
        <f>+'Purchased Power Model '!F16</f>
        <v>547.1</v>
      </c>
      <c r="H6" s="217">
        <f>+'Purchased Power Model '!F28</f>
        <v>578.4</v>
      </c>
      <c r="I6" s="217">
        <f>+'Purchased Power Model '!F40</f>
        <v>643.79999999999995</v>
      </c>
      <c r="J6" s="217">
        <f>+'Purchased Power Model '!F52</f>
        <v>620.20000000000005</v>
      </c>
      <c r="K6" s="217">
        <f>+'Purchased Power Model '!F64</f>
        <v>592</v>
      </c>
      <c r="L6" s="218">
        <f>+'Purchased Power Model '!F76</f>
        <v>755.9</v>
      </c>
      <c r="M6" s="218">
        <f>+'Purchased Power Model '!F88</f>
        <v>699.2</v>
      </c>
      <c r="N6" s="218">
        <f>+'Purchased Power Model '!F100</f>
        <v>683.5</v>
      </c>
      <c r="O6" s="218">
        <f>+'Purchased Power Model '!F112</f>
        <v>651.20000000000005</v>
      </c>
      <c r="P6" s="218">
        <f>+'Purchased Power Model '!F124</f>
        <v>785.1</v>
      </c>
      <c r="Q6" s="219">
        <f>+'Purchased Power Model '!F136</f>
        <v>730.3</v>
      </c>
      <c r="R6" s="219">
        <f>+'Purchased Power Model '!F148</f>
        <v>649.59999999999991</v>
      </c>
      <c r="S6" s="219">
        <f>+'Purchased Power Model '!F160</f>
        <v>644.6999999999997</v>
      </c>
      <c r="T6" s="219">
        <f>+'Purchased Power Model '!F172</f>
        <v>681.6</v>
      </c>
      <c r="U6" s="219">
        <f>+'Purchased Power Model '!F184</f>
        <v>573</v>
      </c>
      <c r="V6" s="168">
        <f t="shared" ref="V6:V16" si="0">AVERAGE(L6:U6)</f>
        <v>685.41</v>
      </c>
      <c r="W6" s="167">
        <f t="shared" ref="W6:W16" si="1">TREND(B6:U6,$B$4:$U$4,2014)</f>
        <v>630.6102255639089</v>
      </c>
    </row>
    <row r="7" spans="1:27" x14ac:dyDescent="0.2">
      <c r="A7" s="165" t="s">
        <v>61</v>
      </c>
      <c r="B7" s="217">
        <v>552.70000000000005</v>
      </c>
      <c r="C7" s="217">
        <v>638.5</v>
      </c>
      <c r="D7" s="217">
        <v>696.5</v>
      </c>
      <c r="E7" s="217">
        <v>670.4</v>
      </c>
      <c r="F7" s="217">
        <f>+'Purchased Power Model '!F5</f>
        <v>619.1</v>
      </c>
      <c r="G7" s="217">
        <f>+'Purchased Power Model '!F17</f>
        <v>505.1</v>
      </c>
      <c r="H7" s="217">
        <f>+'Purchased Power Model '!F29</f>
        <v>592.5</v>
      </c>
      <c r="I7" s="217">
        <f>+'Purchased Power Model '!F41</f>
        <v>446.9</v>
      </c>
      <c r="J7" s="217">
        <f>+'Purchased Power Model '!F53</f>
        <v>618.70000000000005</v>
      </c>
      <c r="K7" s="217">
        <f>+'Purchased Power Model '!F65</f>
        <v>581.20000000000005</v>
      </c>
      <c r="L7" s="218">
        <f>+'Purchased Power Model '!F77</f>
        <v>638.70000000000005</v>
      </c>
      <c r="M7" s="218">
        <f>+'Purchased Power Model '!F89</f>
        <v>540.9</v>
      </c>
      <c r="N7" s="218">
        <f>+'Purchased Power Model '!F101</f>
        <v>680.5</v>
      </c>
      <c r="O7" s="218">
        <f>+'Purchased Power Model '!F113</f>
        <v>562.4</v>
      </c>
      <c r="P7" s="218">
        <f>+'Purchased Power Model '!F125</f>
        <v>582</v>
      </c>
      <c r="Q7" s="219">
        <f>+'Purchased Power Model '!F137</f>
        <v>686.1</v>
      </c>
      <c r="R7" s="219">
        <f>+'Purchased Power Model '!F149</f>
        <v>562.6</v>
      </c>
      <c r="S7" s="219">
        <f>+'Purchased Power Model '!F161</f>
        <v>470.90000000000003</v>
      </c>
      <c r="T7" s="219">
        <f>+'Purchased Power Model '!F173</f>
        <v>622.65000000000009</v>
      </c>
      <c r="U7" s="219">
        <f>+'Purchased Power Model '!F185</f>
        <v>370.1</v>
      </c>
      <c r="V7" s="168">
        <f t="shared" si="0"/>
        <v>571.68500000000006</v>
      </c>
      <c r="W7" s="167">
        <f t="shared" si="1"/>
        <v>527.32992481203109</v>
      </c>
    </row>
    <row r="8" spans="1:27" x14ac:dyDescent="0.2">
      <c r="A8" s="165" t="s">
        <v>62</v>
      </c>
      <c r="B8" s="217">
        <v>480.7</v>
      </c>
      <c r="C8" s="217">
        <v>493.3</v>
      </c>
      <c r="D8" s="217">
        <v>524.1</v>
      </c>
      <c r="E8" s="217">
        <v>421.9</v>
      </c>
      <c r="F8" s="217">
        <f>+'Purchased Power Model '!F6</f>
        <v>391.9</v>
      </c>
      <c r="G8" s="217">
        <f>+'Purchased Power Model '!F18</f>
        <v>312</v>
      </c>
      <c r="H8" s="217">
        <f>+'Purchased Power Model '!F30</f>
        <v>332.6</v>
      </c>
      <c r="I8" s="217">
        <f>+'Purchased Power Model '!F42</f>
        <v>358.3</v>
      </c>
      <c r="J8" s="217">
        <f>+'Purchased Power Model '!F54</f>
        <v>324.60000000000002</v>
      </c>
      <c r="K8" s="217">
        <f>+'Purchased Power Model '!F66</f>
        <v>356.2</v>
      </c>
      <c r="L8" s="218">
        <f>+'Purchased Power Model '!F78</f>
        <v>397.4</v>
      </c>
      <c r="M8" s="218">
        <f>+'Purchased Power Model '!F90</f>
        <v>354.1</v>
      </c>
      <c r="N8" s="218">
        <f>+'Purchased Power Model '!F102</f>
        <v>354.6</v>
      </c>
      <c r="O8" s="218">
        <f>+'Purchased Power Model '!F114</f>
        <v>322.5</v>
      </c>
      <c r="P8" s="218">
        <f>+'Purchased Power Model '!F126</f>
        <v>403</v>
      </c>
      <c r="Q8" s="219">
        <f>+'Purchased Power Model '!F138</f>
        <v>297.89999999999998</v>
      </c>
      <c r="R8" s="219">
        <f>+'Purchased Power Model '!F150</f>
        <v>341.50000000000006</v>
      </c>
      <c r="S8" s="219">
        <f>+'Purchased Power Model '!F162</f>
        <v>265.95</v>
      </c>
      <c r="T8" s="219">
        <f>+'Purchased Power Model '!F174</f>
        <v>359.74999999999994</v>
      </c>
      <c r="U8" s="219">
        <f>+'Purchased Power Model '!F186</f>
        <v>365.3</v>
      </c>
      <c r="V8" s="168">
        <f t="shared" si="0"/>
        <v>346.2</v>
      </c>
      <c r="W8" s="167">
        <f t="shared" si="1"/>
        <v>290.26244360902274</v>
      </c>
    </row>
    <row r="9" spans="1:27" x14ac:dyDescent="0.2">
      <c r="A9" s="165" t="s">
        <v>63</v>
      </c>
      <c r="B9" s="217">
        <v>278.7</v>
      </c>
      <c r="C9" s="217">
        <v>283.39999999999998</v>
      </c>
      <c r="D9" s="217">
        <v>256.89999999999998</v>
      </c>
      <c r="E9" s="217">
        <v>216.1</v>
      </c>
      <c r="F9" s="217">
        <f>+'Purchased Power Model '!F7</f>
        <v>289</v>
      </c>
      <c r="G9" s="217">
        <f>+'Purchased Power Model '!F19</f>
        <v>77.099999999999994</v>
      </c>
      <c r="H9" s="217">
        <f>+'Purchased Power Model '!F31</f>
        <v>126.7</v>
      </c>
      <c r="I9" s="217">
        <f>+'Purchased Power Model '!F43</f>
        <v>152.4</v>
      </c>
      <c r="J9" s="217">
        <f>+'Purchased Power Model '!F55</f>
        <v>140.30000000000001</v>
      </c>
      <c r="K9" s="217">
        <f>+'Purchased Power Model '!F67</f>
        <v>266.8</v>
      </c>
      <c r="L9" s="218">
        <f>+'Purchased Power Model '!F79</f>
        <v>217</v>
      </c>
      <c r="M9" s="218">
        <f>+'Purchased Power Model '!F91</f>
        <v>196.2</v>
      </c>
      <c r="N9" s="218">
        <f>+'Purchased Power Model '!F103</f>
        <v>244.9</v>
      </c>
      <c r="O9" s="218">
        <f>+'Purchased Power Model '!F115</f>
        <v>177.8</v>
      </c>
      <c r="P9" s="218">
        <f>+'Purchased Power Model '!F127</f>
        <v>166.4</v>
      </c>
      <c r="Q9" s="219">
        <f>+'Purchased Power Model '!F139</f>
        <v>243.1</v>
      </c>
      <c r="R9" s="219">
        <f>+'Purchased Power Model '!F151</f>
        <v>192.8</v>
      </c>
      <c r="S9" s="219">
        <f>+'Purchased Power Model '!F163</f>
        <v>144.69999999999999</v>
      </c>
      <c r="T9" s="219">
        <f>+'Purchased Power Model '!F175</f>
        <v>152.19999999999996</v>
      </c>
      <c r="U9" s="219">
        <f>+'Purchased Power Model '!F187</f>
        <v>106.6</v>
      </c>
      <c r="V9" s="168">
        <f t="shared" si="0"/>
        <v>184.17000000000002</v>
      </c>
      <c r="W9" s="167">
        <f t="shared" si="1"/>
        <v>142.41969924811929</v>
      </c>
    </row>
    <row r="10" spans="1:27" x14ac:dyDescent="0.2">
      <c r="A10" s="165" t="s">
        <v>64</v>
      </c>
      <c r="B10" s="217">
        <v>126</v>
      </c>
      <c r="C10" s="217">
        <v>89.8</v>
      </c>
      <c r="D10" s="217">
        <v>74.7</v>
      </c>
      <c r="E10" s="217">
        <v>29.4</v>
      </c>
      <c r="F10" s="217">
        <f>+'Purchased Power Model '!F8</f>
        <v>30.4</v>
      </c>
      <c r="G10" s="217">
        <f>+'Purchased Power Model '!F20</f>
        <v>66.7</v>
      </c>
      <c r="H10" s="217">
        <f>+'Purchased Power Model '!F32</f>
        <v>44.4</v>
      </c>
      <c r="I10" s="217">
        <f>+'Purchased Power Model '!F44</f>
        <v>41.1</v>
      </c>
      <c r="J10" s="217">
        <f>+'Purchased Power Model '!F56</f>
        <v>47</v>
      </c>
      <c r="K10" s="217">
        <f>+'Purchased Power Model '!F68</f>
        <v>53.1</v>
      </c>
      <c r="L10" s="218">
        <f>+'Purchased Power Model '!F80</f>
        <v>65.3</v>
      </c>
      <c r="M10" s="218">
        <f>+'Purchased Power Model '!F92</f>
        <v>92.5</v>
      </c>
      <c r="N10" s="218">
        <f>+'Purchased Power Model '!F104</f>
        <v>27.3</v>
      </c>
      <c r="O10" s="218">
        <f>+'Purchased Power Model '!F116</f>
        <v>44.1</v>
      </c>
      <c r="P10" s="218">
        <f>+'Purchased Power Model '!F128</f>
        <v>35.5</v>
      </c>
      <c r="Q10" s="219">
        <f>+'Purchased Power Model '!F140</f>
        <v>40.6</v>
      </c>
      <c r="R10" s="219">
        <f>+'Purchased Power Model '!F152</f>
        <v>75.7</v>
      </c>
      <c r="S10" s="219">
        <f>+'Purchased Power Model '!F164</f>
        <v>37.849999999999994</v>
      </c>
      <c r="T10" s="219">
        <f>+'Purchased Power Model '!F176</f>
        <v>48.500000000000007</v>
      </c>
      <c r="U10" s="219">
        <f>+'Purchased Power Model '!F188</f>
        <v>42.100000000000009</v>
      </c>
      <c r="V10" s="168">
        <f t="shared" si="0"/>
        <v>50.945000000000007</v>
      </c>
      <c r="W10" s="167">
        <f t="shared" si="1"/>
        <v>35.386278195488558</v>
      </c>
    </row>
    <row r="11" spans="1:27" x14ac:dyDescent="0.2">
      <c r="A11" s="165" t="s">
        <v>65</v>
      </c>
      <c r="B11" s="217">
        <v>43.7</v>
      </c>
      <c r="C11" s="217">
        <v>66.599999999999994</v>
      </c>
      <c r="D11" s="217">
        <v>49.9</v>
      </c>
      <c r="E11" s="217">
        <v>18.899999999999999</v>
      </c>
      <c r="F11" s="217">
        <f>+'Purchased Power Model '!F9</f>
        <v>22.1</v>
      </c>
      <c r="G11" s="217">
        <f>+'Purchased Power Model '!F21</f>
        <v>6.9</v>
      </c>
      <c r="H11" s="217">
        <f>+'Purchased Power Model '!F33</f>
        <v>3.2</v>
      </c>
      <c r="I11" s="217">
        <f>+'Purchased Power Model '!F45</f>
        <v>18.600000000000001</v>
      </c>
      <c r="J11" s="217">
        <f>+'Purchased Power Model '!F57</f>
        <v>22.3</v>
      </c>
      <c r="K11" s="217">
        <f>+'Purchased Power Model '!F69</f>
        <v>4.7</v>
      </c>
      <c r="L11" s="218">
        <f>+'Purchased Power Model '!F81</f>
        <v>12.5</v>
      </c>
      <c r="M11" s="218">
        <f>+'Purchased Power Model '!F93</f>
        <v>21.3</v>
      </c>
      <c r="N11" s="218">
        <f>+'Purchased Power Model '!F105</f>
        <v>6.8</v>
      </c>
      <c r="O11" s="218">
        <f>+'Purchased Power Model '!F117</f>
        <v>6.5</v>
      </c>
      <c r="P11" s="218">
        <f>+'Purchased Power Model '!F129</f>
        <v>28</v>
      </c>
      <c r="Q11" s="219">
        <f>+'Purchased Power Model '!F141</f>
        <v>7.6</v>
      </c>
      <c r="R11" s="219">
        <f>+'Purchased Power Model '!F153</f>
        <v>37.599999999999987</v>
      </c>
      <c r="S11" s="219">
        <f>+'Purchased Power Model '!F165</f>
        <v>6.7</v>
      </c>
      <c r="T11" s="219">
        <f>+'Purchased Power Model '!F177</f>
        <v>0.8</v>
      </c>
      <c r="U11" s="219">
        <f>+'Purchased Power Model '!F189</f>
        <v>0</v>
      </c>
      <c r="V11" s="168">
        <f t="shared" si="0"/>
        <v>12.779999999999998</v>
      </c>
      <c r="W11" s="167">
        <f t="shared" si="1"/>
        <v>-1.1234586466166547</v>
      </c>
    </row>
    <row r="12" spans="1:27" x14ac:dyDescent="0.2">
      <c r="A12" s="165" t="s">
        <v>66</v>
      </c>
      <c r="B12" s="217">
        <v>38.9</v>
      </c>
      <c r="C12" s="217">
        <v>95.3</v>
      </c>
      <c r="D12" s="217">
        <v>38.6</v>
      </c>
      <c r="E12" s="217">
        <v>6.2</v>
      </c>
      <c r="F12" s="217">
        <f>+'Purchased Power Model '!F10</f>
        <v>49.4</v>
      </c>
      <c r="G12" s="217">
        <f>+'Purchased Power Model '!F22</f>
        <v>12.1</v>
      </c>
      <c r="H12" s="217">
        <f>+'Purchased Power Model '!F34</f>
        <v>28.8</v>
      </c>
      <c r="I12" s="217">
        <f>+'Purchased Power Model '!F46</f>
        <v>29.7</v>
      </c>
      <c r="J12" s="217">
        <f>+'Purchased Power Model '!F58</f>
        <v>2.2999999999999998</v>
      </c>
      <c r="K12" s="217">
        <f>+'Purchased Power Model '!F70</f>
        <v>11</v>
      </c>
      <c r="L12" s="218">
        <f>+'Purchased Power Model '!F82</f>
        <v>18.899999999999999</v>
      </c>
      <c r="M12" s="218">
        <f>+'Purchased Power Model '!F94</f>
        <v>55</v>
      </c>
      <c r="N12" s="218">
        <f>+'Purchased Power Model '!F106</f>
        <v>11.9</v>
      </c>
      <c r="O12" s="218">
        <f>+'Purchased Power Model '!F118</f>
        <v>27.5</v>
      </c>
      <c r="P12" s="218">
        <f>+'Purchased Power Model '!F130</f>
        <v>19.7</v>
      </c>
      <c r="Q12" s="219">
        <f>+'Purchased Power Model '!F142</f>
        <v>36.200000000000003</v>
      </c>
      <c r="R12" s="219">
        <f>+'Purchased Power Model '!F154</f>
        <v>34.4</v>
      </c>
      <c r="S12" s="219">
        <f>+'Purchased Power Model '!F166</f>
        <v>11.5</v>
      </c>
      <c r="T12" s="219">
        <f>+'Purchased Power Model '!F178</f>
        <v>6.8999999999999995</v>
      </c>
      <c r="U12" s="219">
        <f>+'Purchased Power Model '!F190</f>
        <v>20.450000000000006</v>
      </c>
      <c r="V12" s="168">
        <f t="shared" si="0"/>
        <v>24.245000000000001</v>
      </c>
      <c r="W12" s="167">
        <f t="shared" si="1"/>
        <v>11.290338345864711</v>
      </c>
    </row>
    <row r="13" spans="1:27" x14ac:dyDescent="0.2">
      <c r="A13" s="165" t="s">
        <v>67</v>
      </c>
      <c r="B13" s="217">
        <v>246.1</v>
      </c>
      <c r="C13" s="217">
        <v>137.80000000000001</v>
      </c>
      <c r="D13" s="217">
        <v>229.4</v>
      </c>
      <c r="E13" s="217">
        <v>102.2</v>
      </c>
      <c r="F13" s="217">
        <f>+'Purchased Power Model '!F11</f>
        <v>115.2</v>
      </c>
      <c r="G13" s="217">
        <f>+'Purchased Power Model '!F23</f>
        <v>63</v>
      </c>
      <c r="H13" s="217">
        <f>+'Purchased Power Model '!F35</f>
        <v>88.9</v>
      </c>
      <c r="I13" s="217">
        <f>+'Purchased Power Model '!F47</f>
        <v>134</v>
      </c>
      <c r="J13" s="217">
        <f>+'Purchased Power Model '!F59</f>
        <v>118.8</v>
      </c>
      <c r="K13" s="217">
        <f>+'Purchased Power Model '!F71</f>
        <v>50.2</v>
      </c>
      <c r="L13" s="218">
        <f>+'Purchased Power Model '!F83</f>
        <v>104.1</v>
      </c>
      <c r="M13" s="218">
        <f>+'Purchased Power Model '!F95</f>
        <v>71.3</v>
      </c>
      <c r="N13" s="218">
        <f>+'Purchased Power Model '!F107</f>
        <v>63.4</v>
      </c>
      <c r="O13" s="218">
        <f>+'Purchased Power Model '!F119</f>
        <v>130.30000000000001</v>
      </c>
      <c r="P13" s="218">
        <f>+'Purchased Power Model '!F131</f>
        <v>74.7</v>
      </c>
      <c r="Q13" s="219">
        <f>+'Purchased Power Model '!F143</f>
        <v>93.2</v>
      </c>
      <c r="R13" s="219">
        <f>+'Purchased Power Model '!F155</f>
        <v>88.8</v>
      </c>
      <c r="S13" s="219">
        <f>+'Purchased Power Model '!F167</f>
        <v>122.70000000000002</v>
      </c>
      <c r="T13" s="219">
        <f>+'Purchased Power Model '!F179</f>
        <v>97.65</v>
      </c>
      <c r="U13" s="219">
        <f>+'Purchased Power Model '!F191</f>
        <v>125.40000000000002</v>
      </c>
      <c r="V13" s="168">
        <f t="shared" si="0"/>
        <v>97.155000000000001</v>
      </c>
      <c r="W13" s="167">
        <f t="shared" si="1"/>
        <v>69.28676691729288</v>
      </c>
    </row>
    <row r="14" spans="1:27" x14ac:dyDescent="0.2">
      <c r="A14" s="165" t="s">
        <v>68</v>
      </c>
      <c r="B14" s="217">
        <v>416.3</v>
      </c>
      <c r="C14" s="217">
        <v>321.39999999999998</v>
      </c>
      <c r="D14" s="217">
        <v>397</v>
      </c>
      <c r="E14" s="217">
        <v>301.39999999999998</v>
      </c>
      <c r="F14" s="217">
        <f>+'Purchased Power Model '!F12</f>
        <v>288.89999999999998</v>
      </c>
      <c r="G14" s="217">
        <f>+'Purchased Power Model '!F24</f>
        <v>257.60000000000002</v>
      </c>
      <c r="H14" s="217">
        <f>+'Purchased Power Model '!F36</f>
        <v>319</v>
      </c>
      <c r="I14" s="217">
        <f>+'Purchased Power Model '!F48</f>
        <v>251.6</v>
      </c>
      <c r="J14" s="217">
        <f>+'Purchased Power Model '!F60</f>
        <v>276.7</v>
      </c>
      <c r="K14" s="217">
        <f>+'Purchased Power Model '!F72</f>
        <v>345.6</v>
      </c>
      <c r="L14" s="218">
        <f>+'Purchased Power Model '!F84</f>
        <v>331.9</v>
      </c>
      <c r="M14" s="218">
        <f>+'Purchased Power Model '!F96</f>
        <v>287.5</v>
      </c>
      <c r="N14" s="218">
        <f>+'Purchased Power Model '!F108</f>
        <v>259.89999999999998</v>
      </c>
      <c r="O14" s="218">
        <f>+'Purchased Power Model '!F120</f>
        <v>335.1</v>
      </c>
      <c r="P14" s="218">
        <f>+'Purchased Power Model '!F132</f>
        <v>184.7</v>
      </c>
      <c r="Q14" s="219">
        <f>+'Purchased Power Model '!F144</f>
        <v>325.7</v>
      </c>
      <c r="R14" s="219">
        <f>+'Purchased Power Model '!F156</f>
        <v>329.1</v>
      </c>
      <c r="S14" s="219">
        <f>+'Purchased Power Model '!F168</f>
        <v>285.04999999999995</v>
      </c>
      <c r="T14" s="219">
        <f>+'Purchased Power Model '!F180</f>
        <v>279.89999999999998</v>
      </c>
      <c r="U14" s="219">
        <f>+'Purchased Power Model '!F192</f>
        <v>279.2</v>
      </c>
      <c r="V14" s="168">
        <f t="shared" si="0"/>
        <v>289.80499999999995</v>
      </c>
      <c r="W14" s="167">
        <f t="shared" si="1"/>
        <v>262.96966165413505</v>
      </c>
    </row>
    <row r="15" spans="1:27" x14ac:dyDescent="0.2">
      <c r="A15" s="165" t="s">
        <v>69</v>
      </c>
      <c r="B15" s="217">
        <v>598.9</v>
      </c>
      <c r="C15" s="217">
        <v>553.4</v>
      </c>
      <c r="D15" s="217">
        <v>804.2</v>
      </c>
      <c r="E15" s="217">
        <v>548.1</v>
      </c>
      <c r="F15" s="217">
        <f>+'Purchased Power Model '!F13</f>
        <v>471.4</v>
      </c>
      <c r="G15" s="217">
        <f>+'Purchased Power Model '!F25</f>
        <v>440.1</v>
      </c>
      <c r="H15" s="217">
        <f>+'Purchased Power Model '!F37</f>
        <v>405.1</v>
      </c>
      <c r="I15" s="217">
        <f>+'Purchased Power Model '!F49</f>
        <v>470.9</v>
      </c>
      <c r="J15" s="217">
        <f>+'Purchased Power Model '!F61</f>
        <v>370.8</v>
      </c>
      <c r="K15" s="217">
        <f>+'Purchased Power Model '!F73</f>
        <v>486.4</v>
      </c>
      <c r="L15" s="218">
        <f>+'Purchased Power Model '!F85</f>
        <v>434.4</v>
      </c>
      <c r="M15" s="218">
        <f>+'Purchased Power Model '!F97</f>
        <v>432.9</v>
      </c>
      <c r="N15" s="218">
        <f>+'Purchased Power Model '!F109</f>
        <v>433.1</v>
      </c>
      <c r="O15" s="218">
        <f>+'Purchased Power Model '!F121</f>
        <v>415.9</v>
      </c>
      <c r="P15" s="218">
        <f>+'Purchased Power Model '!F133</f>
        <v>511.8</v>
      </c>
      <c r="Q15" s="219">
        <f>+'Purchased Power Model '!F145</f>
        <v>499.7</v>
      </c>
      <c r="R15" s="219">
        <f>+'Purchased Power Model '!F157</f>
        <v>396.49999999999994</v>
      </c>
      <c r="S15" s="219">
        <f>+'Purchased Power Model '!F169</f>
        <v>467.79999999999995</v>
      </c>
      <c r="T15" s="219">
        <f>+'Purchased Power Model '!F181</f>
        <v>382.4</v>
      </c>
      <c r="U15" s="219">
        <f>+'Purchased Power Model '!F193</f>
        <v>483.60000000000014</v>
      </c>
      <c r="V15" s="168">
        <f t="shared" si="0"/>
        <v>445.81000000000006</v>
      </c>
      <c r="W15" s="167">
        <f t="shared" si="1"/>
        <v>384.07263157894704</v>
      </c>
    </row>
    <row r="16" spans="1:27" x14ac:dyDescent="0.2">
      <c r="A16" s="165" t="s">
        <v>71</v>
      </c>
      <c r="B16" s="217">
        <v>640.1</v>
      </c>
      <c r="C16" s="217">
        <v>761.8</v>
      </c>
      <c r="D16" s="217">
        <v>958.9</v>
      </c>
      <c r="E16" s="217">
        <v>596.5</v>
      </c>
      <c r="F16" s="217">
        <f>+'Purchased Power Model '!F14</f>
        <v>630.70000000000005</v>
      </c>
      <c r="G16" s="217">
        <f>+'Purchased Power Model '!F26</f>
        <v>572.1</v>
      </c>
      <c r="H16" s="217">
        <f>+'Purchased Power Model '!F38</f>
        <v>623.70000000000005</v>
      </c>
      <c r="I16" s="217">
        <f>+'Purchased Power Model '!F50</f>
        <v>826.5</v>
      </c>
      <c r="J16" s="217">
        <f>+'Purchased Power Model '!F62</f>
        <v>563.29999999999995</v>
      </c>
      <c r="K16" s="217">
        <f>+'Purchased Power Model '!F74</f>
        <v>675.6</v>
      </c>
      <c r="L16" s="218">
        <f>+'Purchased Power Model '!F86</f>
        <v>610</v>
      </c>
      <c r="M16" s="218">
        <f>+'Purchased Power Model '!F98</f>
        <v>700.1</v>
      </c>
      <c r="N16" s="218">
        <f>+'Purchased Power Model '!F110</f>
        <v>721.6</v>
      </c>
      <c r="O16" s="218">
        <f>+'Purchased Power Model '!F122</f>
        <v>545.20000000000005</v>
      </c>
      <c r="P16" s="218">
        <f>+'Purchased Power Model '!F134</f>
        <v>686.6</v>
      </c>
      <c r="Q16" s="219">
        <f>+'Purchased Power Model '!F146</f>
        <v>694</v>
      </c>
      <c r="R16" s="219">
        <f>+'Purchased Power Model '!F158</f>
        <v>669.49999999999977</v>
      </c>
      <c r="S16" s="219">
        <f>+'Purchased Power Model '!F170</f>
        <v>719.39999999999986</v>
      </c>
      <c r="T16" s="219">
        <f>+'Purchased Power Model '!F182</f>
        <v>574.79999999999995</v>
      </c>
      <c r="U16" s="219">
        <f>+'Purchased Power Model '!F194</f>
        <v>565.50000000000011</v>
      </c>
      <c r="V16" s="168">
        <f t="shared" si="0"/>
        <v>648.66999999999985</v>
      </c>
      <c r="W16" s="167">
        <f t="shared" si="1"/>
        <v>612.82022556390984</v>
      </c>
    </row>
    <row r="17" spans="1:23" x14ac:dyDescent="0.2">
      <c r="A17" s="165"/>
      <c r="B17" s="165"/>
      <c r="C17" s="165"/>
      <c r="D17" s="165"/>
      <c r="E17" s="166"/>
      <c r="F17" s="166"/>
      <c r="V17" s="48">
        <f>SUM(V5:V16)</f>
        <v>4122.5600000000004</v>
      </c>
      <c r="W17" s="48">
        <f>SUM(W5:W16)</f>
        <v>3661.4699624060122</v>
      </c>
    </row>
    <row r="18" spans="1:23" ht="24" x14ac:dyDescent="0.2">
      <c r="A18" s="277" t="s">
        <v>4</v>
      </c>
      <c r="B18" s="220">
        <f>B4</f>
        <v>1993</v>
      </c>
      <c r="C18" s="220">
        <f>C4</f>
        <v>1994</v>
      </c>
      <c r="D18" s="220">
        <f>D4</f>
        <v>1995</v>
      </c>
      <c r="E18" s="220">
        <f>E4</f>
        <v>1996</v>
      </c>
      <c r="F18" s="220">
        <f t="shared" ref="F18:U18" si="2">F4</f>
        <v>1997</v>
      </c>
      <c r="G18" s="220">
        <f t="shared" si="2"/>
        <v>1998</v>
      </c>
      <c r="H18" s="220">
        <f t="shared" si="2"/>
        <v>1999</v>
      </c>
      <c r="I18" s="220">
        <f t="shared" si="2"/>
        <v>2000</v>
      </c>
      <c r="J18" s="220">
        <f t="shared" si="2"/>
        <v>2001</v>
      </c>
      <c r="K18" s="220">
        <f t="shared" si="2"/>
        <v>2002</v>
      </c>
      <c r="L18" s="220">
        <f t="shared" si="2"/>
        <v>2003</v>
      </c>
      <c r="M18" s="220">
        <f t="shared" si="2"/>
        <v>2004</v>
      </c>
      <c r="N18" s="220">
        <f t="shared" si="2"/>
        <v>2005</v>
      </c>
      <c r="O18" s="220">
        <f t="shared" si="2"/>
        <v>2006</v>
      </c>
      <c r="P18" s="220">
        <f t="shared" si="2"/>
        <v>2007</v>
      </c>
      <c r="Q18" s="220">
        <f t="shared" si="2"/>
        <v>2008</v>
      </c>
      <c r="R18" s="220">
        <f t="shared" si="2"/>
        <v>2009</v>
      </c>
      <c r="S18" s="220">
        <f t="shared" si="2"/>
        <v>2010</v>
      </c>
      <c r="T18" s="220">
        <f t="shared" si="2"/>
        <v>2011</v>
      </c>
      <c r="U18" s="220">
        <f t="shared" si="2"/>
        <v>2012</v>
      </c>
    </row>
    <row r="19" spans="1:23" x14ac:dyDescent="0.2">
      <c r="A19" s="165" t="s">
        <v>59</v>
      </c>
      <c r="B19" s="217">
        <v>0</v>
      </c>
      <c r="C19" s="217">
        <v>0</v>
      </c>
      <c r="D19" s="217">
        <v>0</v>
      </c>
      <c r="E19" s="217">
        <v>0</v>
      </c>
      <c r="F19" s="217">
        <f>+'Purchased Power Model '!G3</f>
        <v>0</v>
      </c>
      <c r="G19" s="217">
        <f>+'Purchased Power Model '!G15</f>
        <v>0</v>
      </c>
      <c r="H19" s="217">
        <f>+'Purchased Power Model '!G27</f>
        <v>0</v>
      </c>
      <c r="I19" s="217">
        <f>+'Purchased Power Model '!G39</f>
        <v>0</v>
      </c>
      <c r="J19" s="217">
        <f>+'Purchased Power Model '!G51</f>
        <v>0</v>
      </c>
      <c r="K19" s="217">
        <f>+'Purchased Power Model '!G63</f>
        <v>0</v>
      </c>
      <c r="L19" s="218">
        <f>+'Purchased Power Model '!G75</f>
        <v>0</v>
      </c>
      <c r="M19" s="218">
        <f>+'Purchased Power Model '!G87</f>
        <v>0</v>
      </c>
      <c r="N19" s="218">
        <f>+'Purchased Power Model '!G99</f>
        <v>0</v>
      </c>
      <c r="O19" s="218">
        <f>+'Purchased Power Model '!G111</f>
        <v>0</v>
      </c>
      <c r="P19" s="218">
        <f>+'Purchased Power Model '!G123</f>
        <v>0</v>
      </c>
      <c r="Q19" s="219">
        <f>+'Purchased Power Model '!G135</f>
        <v>0</v>
      </c>
      <c r="R19" s="219">
        <f>+'Purchased Power Model '!G147</f>
        <v>0</v>
      </c>
      <c r="S19" s="219">
        <f>+'Purchased Power Model '!G159</f>
        <v>0</v>
      </c>
      <c r="T19" s="219">
        <f>+'Purchased Power Model '!G171</f>
        <v>0</v>
      </c>
      <c r="U19" s="219">
        <f>+'Purchased Power Model '!G183</f>
        <v>0</v>
      </c>
      <c r="V19" s="168">
        <f>AVERAGE(L19:U19)</f>
        <v>0</v>
      </c>
      <c r="W19" s="167">
        <f>TREND(B19:U19,$B$4:$U$4,2014)</f>
        <v>0</v>
      </c>
    </row>
    <row r="20" spans="1:23" x14ac:dyDescent="0.2">
      <c r="A20" s="165" t="s">
        <v>60</v>
      </c>
      <c r="B20" s="217">
        <v>0</v>
      </c>
      <c r="C20" s="217">
        <v>0</v>
      </c>
      <c r="D20" s="217">
        <v>0</v>
      </c>
      <c r="E20" s="217">
        <v>0</v>
      </c>
      <c r="F20" s="217">
        <f>+'Purchased Power Model '!G4</f>
        <v>0</v>
      </c>
      <c r="G20" s="217">
        <f>+'Purchased Power Model '!G16</f>
        <v>0</v>
      </c>
      <c r="H20" s="217">
        <f>+'Purchased Power Model '!G28</f>
        <v>0</v>
      </c>
      <c r="I20" s="217">
        <f>+'Purchased Power Model '!G40</f>
        <v>0</v>
      </c>
      <c r="J20" s="217">
        <f>+'Purchased Power Model '!G52</f>
        <v>0</v>
      </c>
      <c r="K20" s="217">
        <f>+'Purchased Power Model '!G64</f>
        <v>0</v>
      </c>
      <c r="L20" s="218">
        <f>+'Purchased Power Model '!G76</f>
        <v>0</v>
      </c>
      <c r="M20" s="218">
        <f>+'Purchased Power Model '!G88</f>
        <v>0</v>
      </c>
      <c r="N20" s="218">
        <f>+'Purchased Power Model '!G100</f>
        <v>0</v>
      </c>
      <c r="O20" s="218">
        <f>+'Purchased Power Model '!G112</f>
        <v>0</v>
      </c>
      <c r="P20" s="218">
        <f>+'Purchased Power Model '!G124</f>
        <v>0</v>
      </c>
      <c r="Q20" s="219">
        <f>+'Purchased Power Model '!G136</f>
        <v>0</v>
      </c>
      <c r="R20" s="219">
        <f>+'Purchased Power Model '!G148</f>
        <v>0</v>
      </c>
      <c r="S20" s="219">
        <f>+'Purchased Power Model '!G160</f>
        <v>0</v>
      </c>
      <c r="T20" s="219">
        <f>+'Purchased Power Model '!G172</f>
        <v>0</v>
      </c>
      <c r="U20" s="219">
        <f>+'Purchased Power Model '!G184</f>
        <v>0</v>
      </c>
      <c r="V20" s="168">
        <f t="shared" ref="V20:V30" si="3">AVERAGE(L20:U20)</f>
        <v>0</v>
      </c>
      <c r="W20" s="167">
        <f t="shared" ref="W20:W30" si="4">TREND(B20:U20,$B$4:$U$4,2014)</f>
        <v>0</v>
      </c>
    </row>
    <row r="21" spans="1:23" x14ac:dyDescent="0.2">
      <c r="A21" s="165" t="s">
        <v>61</v>
      </c>
      <c r="B21" s="217">
        <v>0</v>
      </c>
      <c r="C21" s="217">
        <v>0</v>
      </c>
      <c r="D21" s="217">
        <v>0</v>
      </c>
      <c r="E21" s="217">
        <v>0</v>
      </c>
      <c r="F21" s="217">
        <f>+'Purchased Power Model '!G5</f>
        <v>0</v>
      </c>
      <c r="G21" s="217">
        <f>+'Purchased Power Model '!G17</f>
        <v>0</v>
      </c>
      <c r="H21" s="217">
        <f>+'Purchased Power Model '!G29</f>
        <v>0</v>
      </c>
      <c r="I21" s="217">
        <f>+'Purchased Power Model '!G41</f>
        <v>0</v>
      </c>
      <c r="J21" s="217">
        <f>+'Purchased Power Model '!G53</f>
        <v>0</v>
      </c>
      <c r="K21" s="217">
        <f>+'Purchased Power Model '!G65</f>
        <v>0</v>
      </c>
      <c r="L21" s="218">
        <f>+'Purchased Power Model '!G77</f>
        <v>0</v>
      </c>
      <c r="M21" s="218">
        <f>+'Purchased Power Model '!G89</f>
        <v>0</v>
      </c>
      <c r="N21" s="218">
        <f>+'Purchased Power Model '!G101</f>
        <v>0</v>
      </c>
      <c r="O21" s="218">
        <f>+'Purchased Power Model '!G113</f>
        <v>0</v>
      </c>
      <c r="P21" s="218">
        <f>+'Purchased Power Model '!G125</f>
        <v>0</v>
      </c>
      <c r="Q21" s="219">
        <f>+'Purchased Power Model '!G137</f>
        <v>0</v>
      </c>
      <c r="R21" s="219">
        <f>+'Purchased Power Model '!G149</f>
        <v>0</v>
      </c>
      <c r="S21" s="219">
        <f>+'Purchased Power Model '!G161</f>
        <v>0</v>
      </c>
      <c r="T21" s="219">
        <f>+'Purchased Power Model '!G173</f>
        <v>0</v>
      </c>
      <c r="U21" s="219">
        <f>+'Purchased Power Model '!G185</f>
        <v>0</v>
      </c>
      <c r="V21" s="168">
        <f t="shared" si="3"/>
        <v>0</v>
      </c>
      <c r="W21" s="167">
        <f t="shared" si="4"/>
        <v>0</v>
      </c>
    </row>
    <row r="22" spans="1:23" x14ac:dyDescent="0.2">
      <c r="A22" s="165" t="s">
        <v>62</v>
      </c>
      <c r="B22" s="217">
        <v>0</v>
      </c>
      <c r="C22" s="217">
        <v>0</v>
      </c>
      <c r="D22" s="217">
        <v>0</v>
      </c>
      <c r="E22" s="217">
        <v>0</v>
      </c>
      <c r="F22" s="217">
        <f>+'Purchased Power Model '!G6</f>
        <v>0</v>
      </c>
      <c r="G22" s="217">
        <f>+'Purchased Power Model '!G18</f>
        <v>0</v>
      </c>
      <c r="H22" s="217">
        <f>+'Purchased Power Model '!G30</f>
        <v>0</v>
      </c>
      <c r="I22" s="217">
        <f>+'Purchased Power Model '!G42</f>
        <v>0</v>
      </c>
      <c r="J22" s="217">
        <f>+'Purchased Power Model '!G54</f>
        <v>0</v>
      </c>
      <c r="K22" s="217">
        <f>+'Purchased Power Model '!G66</f>
        <v>6.6</v>
      </c>
      <c r="L22" s="218">
        <f>+'Purchased Power Model '!G78</f>
        <v>0.7</v>
      </c>
      <c r="M22" s="218">
        <f>+'Purchased Power Model '!G90</f>
        <v>0</v>
      </c>
      <c r="N22" s="218">
        <f>+'Purchased Power Model '!G102</f>
        <v>0</v>
      </c>
      <c r="O22" s="218">
        <f>+'Purchased Power Model '!G114</f>
        <v>0</v>
      </c>
      <c r="P22" s="218">
        <f>+'Purchased Power Model '!G126</f>
        <v>0</v>
      </c>
      <c r="Q22" s="219">
        <f>+'Purchased Power Model '!G138</f>
        <v>0</v>
      </c>
      <c r="R22" s="219">
        <f>+'Purchased Power Model '!G150</f>
        <v>3.2</v>
      </c>
      <c r="S22" s="219">
        <f>+'Purchased Power Model '!G162</f>
        <v>0</v>
      </c>
      <c r="T22" s="219">
        <f>+'Purchased Power Model '!G174</f>
        <v>0</v>
      </c>
      <c r="U22" s="219">
        <f>+'Purchased Power Model '!G186</f>
        <v>0</v>
      </c>
      <c r="V22" s="168">
        <f t="shared" si="3"/>
        <v>0.39</v>
      </c>
      <c r="W22" s="167">
        <f t="shared" si="4"/>
        <v>0.83368421052631447</v>
      </c>
    </row>
    <row r="23" spans="1:23" x14ac:dyDescent="0.2">
      <c r="A23" s="165" t="s">
        <v>63</v>
      </c>
      <c r="B23" s="217">
        <v>0</v>
      </c>
      <c r="C23" s="217">
        <v>0</v>
      </c>
      <c r="D23" s="217">
        <v>10.7</v>
      </c>
      <c r="E23" s="217">
        <v>10</v>
      </c>
      <c r="F23" s="217">
        <f>+'Purchased Power Model '!G7</f>
        <v>0</v>
      </c>
      <c r="G23" s="217">
        <f>+'Purchased Power Model '!G19</f>
        <v>16.8</v>
      </c>
      <c r="H23" s="217">
        <f>+'Purchased Power Model '!G31</f>
        <v>10.5</v>
      </c>
      <c r="I23" s="217">
        <f>+'Purchased Power Model '!G43</f>
        <v>18.7</v>
      </c>
      <c r="J23" s="217">
        <f>+'Purchased Power Model '!G55</f>
        <v>7.7</v>
      </c>
      <c r="K23" s="217">
        <f>+'Purchased Power Model '!G67</f>
        <v>5.3</v>
      </c>
      <c r="L23" s="218">
        <f>+'Purchased Power Model '!G79</f>
        <v>0</v>
      </c>
      <c r="M23" s="218">
        <f>+'Purchased Power Model '!G91</f>
        <v>6.7</v>
      </c>
      <c r="N23" s="218">
        <f>+'Purchased Power Model '!G103</f>
        <v>0</v>
      </c>
      <c r="O23" s="218">
        <f>+'Purchased Power Model '!G115</f>
        <v>17.7</v>
      </c>
      <c r="P23" s="218">
        <f>+'Purchased Power Model '!G127</f>
        <v>11.2</v>
      </c>
      <c r="Q23" s="219">
        <f>+'Purchased Power Model '!G139</f>
        <v>0.7</v>
      </c>
      <c r="R23" s="219">
        <f>+'Purchased Power Model '!G151</f>
        <v>2.2999999999999998</v>
      </c>
      <c r="S23" s="219">
        <f>+'Purchased Power Model '!G163</f>
        <v>21</v>
      </c>
      <c r="T23" s="219">
        <f>+'Purchased Power Model '!G175</f>
        <v>13.2</v>
      </c>
      <c r="U23" s="219">
        <f>+'Purchased Power Model '!G187</f>
        <v>19.7</v>
      </c>
      <c r="V23" s="168">
        <f t="shared" si="3"/>
        <v>9.25</v>
      </c>
      <c r="W23" s="167">
        <f t="shared" si="4"/>
        <v>13.443458646616591</v>
      </c>
    </row>
    <row r="24" spans="1:23" x14ac:dyDescent="0.2">
      <c r="A24" s="165" t="s">
        <v>64</v>
      </c>
      <c r="B24" s="217">
        <v>2.1</v>
      </c>
      <c r="C24" s="217">
        <v>11.6</v>
      </c>
      <c r="D24" s="217">
        <v>24.5</v>
      </c>
      <c r="E24" s="217">
        <v>38.6</v>
      </c>
      <c r="F24" s="217">
        <f>+'Purchased Power Model '!G8</f>
        <v>50.4</v>
      </c>
      <c r="G24" s="217">
        <f>+'Purchased Power Model '!G20</f>
        <v>63.7</v>
      </c>
      <c r="H24" s="217">
        <f>+'Purchased Power Model '!G32</f>
        <v>76.5</v>
      </c>
      <c r="I24" s="217">
        <f>+'Purchased Power Model '!G44</f>
        <v>35.4</v>
      </c>
      <c r="J24" s="217">
        <f>+'Purchased Power Model '!G56</f>
        <v>62.4</v>
      </c>
      <c r="K24" s="217">
        <f>+'Purchased Power Model '!G68</f>
        <v>54.5</v>
      </c>
      <c r="L24" s="218">
        <f>+'Purchased Power Model '!G80</f>
        <v>25.5</v>
      </c>
      <c r="M24" s="218">
        <f>+'Purchased Power Model '!G92</f>
        <v>16.3</v>
      </c>
      <c r="N24" s="218">
        <f>+'Purchased Power Model '!G104</f>
        <v>104.8</v>
      </c>
      <c r="O24" s="218">
        <f>+'Purchased Power Model '!G116</f>
        <v>32.200000000000003</v>
      </c>
      <c r="P24" s="218">
        <f>+'Purchased Power Model '!G128</f>
        <v>51.2</v>
      </c>
      <c r="Q24" s="219">
        <f>+'Purchased Power Model '!G140</f>
        <v>53</v>
      </c>
      <c r="R24" s="219">
        <f>+'Purchased Power Model '!G152</f>
        <v>26.200000000000006</v>
      </c>
      <c r="S24" s="219">
        <f>+'Purchased Power Model '!G164</f>
        <v>30.850000000000005</v>
      </c>
      <c r="T24" s="219">
        <f>+'Purchased Power Model '!G176</f>
        <v>21.599999999999998</v>
      </c>
      <c r="U24" s="219">
        <f>+'Purchased Power Model '!G188</f>
        <v>61.199999999999996</v>
      </c>
      <c r="V24" s="168">
        <f t="shared" si="3"/>
        <v>42.285000000000004</v>
      </c>
      <c r="W24" s="167">
        <f t="shared" si="4"/>
        <v>50.883496240601517</v>
      </c>
    </row>
    <row r="25" spans="1:23" x14ac:dyDescent="0.2">
      <c r="A25" s="165" t="s">
        <v>65</v>
      </c>
      <c r="B25" s="217">
        <v>6.8</v>
      </c>
      <c r="C25" s="217">
        <v>10.9</v>
      </c>
      <c r="D25" s="217">
        <v>15.9</v>
      </c>
      <c r="E25" s="217">
        <v>41.9</v>
      </c>
      <c r="F25" s="217">
        <f>+'Purchased Power Model '!G9</f>
        <v>59.8</v>
      </c>
      <c r="G25" s="217">
        <f>+'Purchased Power Model '!G21</f>
        <v>64.8</v>
      </c>
      <c r="H25" s="217">
        <f>+'Purchased Power Model '!G33</f>
        <v>138.9</v>
      </c>
      <c r="I25" s="217">
        <f>+'Purchased Power Model '!G45</f>
        <v>44.8</v>
      </c>
      <c r="J25" s="217">
        <f>+'Purchased Power Model '!G57</f>
        <v>65.7</v>
      </c>
      <c r="K25" s="217">
        <f>+'Purchased Power Model '!G69</f>
        <v>129</v>
      </c>
      <c r="L25" s="218">
        <f>+'Purchased Power Model '!G81</f>
        <v>50.1</v>
      </c>
      <c r="M25" s="218">
        <f>+'Purchased Power Model '!G93</f>
        <v>49.3</v>
      </c>
      <c r="N25" s="218">
        <f>+'Purchased Power Model '!G105</f>
        <v>105.4</v>
      </c>
      <c r="O25" s="218">
        <f>+'Purchased Power Model '!G117</f>
        <v>117.2</v>
      </c>
      <c r="P25" s="218">
        <f>+'Purchased Power Model '!G129</f>
        <v>53.8</v>
      </c>
      <c r="Q25" s="219">
        <f>+'Purchased Power Model '!G141</f>
        <v>75.8</v>
      </c>
      <c r="R25" s="219">
        <f>+'Purchased Power Model '!G153</f>
        <v>14.5</v>
      </c>
      <c r="S25" s="219">
        <f>+'Purchased Power Model '!G165</f>
        <v>106.09999999999998</v>
      </c>
      <c r="T25" s="219">
        <f>+'Purchased Power Model '!G177</f>
        <v>130.79999999999998</v>
      </c>
      <c r="U25" s="219">
        <f>+'Purchased Power Model '!G189</f>
        <v>125.90000000000002</v>
      </c>
      <c r="V25" s="168">
        <f t="shared" si="3"/>
        <v>82.89</v>
      </c>
      <c r="W25" s="167">
        <f t="shared" si="4"/>
        <v>117.04443609022564</v>
      </c>
    </row>
    <row r="26" spans="1:23" x14ac:dyDescent="0.2">
      <c r="A26" s="165" t="s">
        <v>66</v>
      </c>
      <c r="B26" s="217">
        <v>32.4</v>
      </c>
      <c r="C26" s="217">
        <v>9.1999999999999993</v>
      </c>
      <c r="D26" s="217">
        <v>33.6</v>
      </c>
      <c r="E26" s="217">
        <v>55.2</v>
      </c>
      <c r="F26" s="217">
        <f>+'Purchased Power Model '!G10</f>
        <v>21.9</v>
      </c>
      <c r="G26" s="217">
        <f>+'Purchased Power Model '!G22</f>
        <v>83.1</v>
      </c>
      <c r="H26" s="217">
        <f>+'Purchased Power Model '!G34</f>
        <v>30.9</v>
      </c>
      <c r="I26" s="217">
        <f>+'Purchased Power Model '!G46</f>
        <v>46.3</v>
      </c>
      <c r="J26" s="217">
        <f>+'Purchased Power Model '!G58</f>
        <v>94.2</v>
      </c>
      <c r="K26" s="217">
        <f>+'Purchased Power Model '!G70</f>
        <v>72.3</v>
      </c>
      <c r="L26" s="218">
        <f>+'Purchased Power Model '!G82</f>
        <v>72.400000000000006</v>
      </c>
      <c r="M26" s="218">
        <f>+'Purchased Power Model '!G94</f>
        <v>30.6</v>
      </c>
      <c r="N26" s="218">
        <f>+'Purchased Power Model '!G106</f>
        <v>67.900000000000006</v>
      </c>
      <c r="O26" s="218">
        <f>+'Purchased Power Model '!G118</f>
        <v>45.5</v>
      </c>
      <c r="P26" s="218">
        <f>+'Purchased Power Model '!G130</f>
        <v>65.099999999999994</v>
      </c>
      <c r="Q26" s="219">
        <f>+'Purchased Power Model '!G142</f>
        <v>29.5</v>
      </c>
      <c r="R26" s="219">
        <f>+'Purchased Power Model '!G154</f>
        <v>57.3</v>
      </c>
      <c r="S26" s="219">
        <f>+'Purchased Power Model '!G166</f>
        <v>83.600000000000023</v>
      </c>
      <c r="T26" s="219">
        <f>+'Purchased Power Model '!G178</f>
        <v>63.599999999999994</v>
      </c>
      <c r="U26" s="219">
        <f>+'Purchased Power Model '!G190</f>
        <v>58.20000000000001</v>
      </c>
      <c r="V26" s="168">
        <f t="shared" si="3"/>
        <v>57.370000000000005</v>
      </c>
      <c r="W26" s="167">
        <f t="shared" si="4"/>
        <v>71.086691729322865</v>
      </c>
    </row>
    <row r="27" spans="1:23" x14ac:dyDescent="0.2">
      <c r="A27" s="165" t="s">
        <v>67</v>
      </c>
      <c r="B27" s="217">
        <v>0</v>
      </c>
      <c r="C27" s="217">
        <v>1.2</v>
      </c>
      <c r="D27" s="217">
        <v>9.8000000000000007</v>
      </c>
      <c r="E27" s="217">
        <v>12.6</v>
      </c>
      <c r="F27" s="217">
        <f>+'Purchased Power Model '!G11</f>
        <v>5.4</v>
      </c>
      <c r="G27" s="217">
        <f>+'Purchased Power Model '!G23</f>
        <v>26</v>
      </c>
      <c r="H27" s="217">
        <f>+'Purchased Power Model '!G35</f>
        <v>27.7</v>
      </c>
      <c r="I27" s="217">
        <f>+'Purchased Power Model '!G47</f>
        <v>23.8</v>
      </c>
      <c r="J27" s="217">
        <f>+'Purchased Power Model '!G59</f>
        <v>19.2</v>
      </c>
      <c r="K27" s="217">
        <f>+'Purchased Power Model '!G71</f>
        <v>47</v>
      </c>
      <c r="L27" s="218">
        <f>+'Purchased Power Model '!G83</f>
        <v>6</v>
      </c>
      <c r="M27" s="218">
        <f>+'Purchased Power Model '!G95</f>
        <v>13.7</v>
      </c>
      <c r="N27" s="218">
        <f>+'Purchased Power Model '!G107</f>
        <v>13.7</v>
      </c>
      <c r="O27" s="218">
        <f>+'Purchased Power Model '!G119</f>
        <v>2.2999999999999998</v>
      </c>
      <c r="P27" s="218">
        <f>+'Purchased Power Model '!G131</f>
        <v>28</v>
      </c>
      <c r="Q27" s="219">
        <f>+'Purchased Power Model '!G143</f>
        <v>12</v>
      </c>
      <c r="R27" s="219">
        <f>+'Purchased Power Model '!G155</f>
        <v>5.5</v>
      </c>
      <c r="S27" s="219">
        <f>+'Purchased Power Model '!G167</f>
        <v>21.2</v>
      </c>
      <c r="T27" s="219">
        <f>+'Purchased Power Model '!G179</f>
        <v>20.25</v>
      </c>
      <c r="U27" s="219">
        <f>+'Purchased Power Model '!G191</f>
        <v>16.399999999999999</v>
      </c>
      <c r="V27" s="168">
        <f t="shared" si="3"/>
        <v>13.904999999999998</v>
      </c>
      <c r="W27" s="167">
        <f t="shared" si="4"/>
        <v>20.074661654135298</v>
      </c>
    </row>
    <row r="28" spans="1:23" x14ac:dyDescent="0.2">
      <c r="A28" s="165" t="s">
        <v>68</v>
      </c>
      <c r="B28" s="217">
        <v>0</v>
      </c>
      <c r="C28" s="217">
        <v>0</v>
      </c>
      <c r="D28" s="217">
        <v>0</v>
      </c>
      <c r="E28" s="217">
        <v>0</v>
      </c>
      <c r="F28" s="217">
        <f>+'Purchased Power Model '!G12</f>
        <v>1.6</v>
      </c>
      <c r="G28" s="217">
        <f>+'Purchased Power Model '!G24</f>
        <v>0</v>
      </c>
      <c r="H28" s="217">
        <f>+'Purchased Power Model '!G36</f>
        <v>0</v>
      </c>
      <c r="I28" s="217">
        <f>+'Purchased Power Model '!G48</f>
        <v>0</v>
      </c>
      <c r="J28" s="217">
        <f>+'Purchased Power Model '!G60</f>
        <v>0</v>
      </c>
      <c r="K28" s="217">
        <f>+'Purchased Power Model '!G72</f>
        <v>6.3</v>
      </c>
      <c r="L28" s="218">
        <f>+'Purchased Power Model '!G84</f>
        <v>0</v>
      </c>
      <c r="M28" s="218">
        <f>+'Purchased Power Model '!G96</f>
        <v>0</v>
      </c>
      <c r="N28" s="218">
        <f>+'Purchased Power Model '!G108</f>
        <v>2.6</v>
      </c>
      <c r="O28" s="218">
        <f>+'Purchased Power Model '!G120</f>
        <v>0</v>
      </c>
      <c r="P28" s="218">
        <f>+'Purchased Power Model '!G132</f>
        <v>10.9</v>
      </c>
      <c r="Q28" s="219">
        <f>+'Purchased Power Model '!G144</f>
        <v>0</v>
      </c>
      <c r="R28" s="219">
        <f>+'Purchased Power Model '!G156</f>
        <v>0</v>
      </c>
      <c r="S28" s="219">
        <f>+'Purchased Power Model '!G168</f>
        <v>0</v>
      </c>
      <c r="T28" s="219">
        <f>+'Purchased Power Model '!G180</f>
        <v>0</v>
      </c>
      <c r="U28" s="219">
        <f>+'Purchased Power Model '!G192</f>
        <v>0</v>
      </c>
      <c r="V28" s="168">
        <f t="shared" si="3"/>
        <v>1.35</v>
      </c>
      <c r="W28" s="167">
        <f t="shared" si="4"/>
        <v>1.8239849624060014</v>
      </c>
    </row>
    <row r="29" spans="1:23" x14ac:dyDescent="0.2">
      <c r="A29" s="165" t="s">
        <v>69</v>
      </c>
      <c r="B29" s="217">
        <v>0</v>
      </c>
      <c r="C29" s="217">
        <v>0</v>
      </c>
      <c r="D29" s="217">
        <v>0</v>
      </c>
      <c r="E29" s="217">
        <v>0</v>
      </c>
      <c r="F29" s="217">
        <f>+'Purchased Power Model '!G13</f>
        <v>0</v>
      </c>
      <c r="G29" s="217">
        <f>+'Purchased Power Model '!G25</f>
        <v>0</v>
      </c>
      <c r="H29" s="217">
        <f>+'Purchased Power Model '!G37</f>
        <v>0</v>
      </c>
      <c r="I29" s="217">
        <f>+'Purchased Power Model '!G49</f>
        <v>0</v>
      </c>
      <c r="J29" s="217">
        <f>+'Purchased Power Model '!G61</f>
        <v>0</v>
      </c>
      <c r="K29" s="217">
        <f>+'Purchased Power Model '!G73</f>
        <v>0</v>
      </c>
      <c r="L29" s="218">
        <f>+'Purchased Power Model '!G85</f>
        <v>0</v>
      </c>
      <c r="M29" s="218">
        <f>+'Purchased Power Model '!G97</f>
        <v>0</v>
      </c>
      <c r="N29" s="218">
        <f>+'Purchased Power Model '!G109</f>
        <v>0</v>
      </c>
      <c r="O29" s="218">
        <f>+'Purchased Power Model '!G121</f>
        <v>0</v>
      </c>
      <c r="P29" s="218">
        <f>+'Purchased Power Model '!G133</f>
        <v>0</v>
      </c>
      <c r="Q29" s="219">
        <f>+'Purchased Power Model '!G145</f>
        <v>0</v>
      </c>
      <c r="R29" s="219">
        <f>+'Purchased Power Model '!G157</f>
        <v>0</v>
      </c>
      <c r="S29" s="219">
        <f>+'Purchased Power Model '!G169</f>
        <v>0</v>
      </c>
      <c r="T29" s="219">
        <f>+'Purchased Power Model '!G181</f>
        <v>0</v>
      </c>
      <c r="U29" s="219">
        <f>+'Purchased Power Model '!G193</f>
        <v>0</v>
      </c>
      <c r="V29" s="168">
        <f t="shared" si="3"/>
        <v>0</v>
      </c>
      <c r="W29" s="167">
        <f t="shared" si="4"/>
        <v>0</v>
      </c>
    </row>
    <row r="30" spans="1:23" x14ac:dyDescent="0.2">
      <c r="A30" s="165" t="s">
        <v>71</v>
      </c>
      <c r="B30" s="217">
        <v>0</v>
      </c>
      <c r="C30" s="217">
        <v>0</v>
      </c>
      <c r="D30" s="217">
        <v>0</v>
      </c>
      <c r="E30" s="217">
        <v>0</v>
      </c>
      <c r="F30" s="217">
        <f>+'Purchased Power Model '!G14</f>
        <v>0</v>
      </c>
      <c r="G30" s="217">
        <f>+'Purchased Power Model '!G26</f>
        <v>0</v>
      </c>
      <c r="H30" s="217">
        <f>+'Purchased Power Model '!G38</f>
        <v>0</v>
      </c>
      <c r="I30" s="217">
        <f>+'Purchased Power Model '!G50</f>
        <v>0</v>
      </c>
      <c r="J30" s="217">
        <f>+'Purchased Power Model '!G62</f>
        <v>0</v>
      </c>
      <c r="K30" s="217">
        <f>+'Purchased Power Model '!G74</f>
        <v>0</v>
      </c>
      <c r="L30" s="218">
        <f>+'Purchased Power Model '!G86</f>
        <v>0</v>
      </c>
      <c r="M30" s="218">
        <f>+'Purchased Power Model '!G98</f>
        <v>0</v>
      </c>
      <c r="N30" s="218">
        <f>+'Purchased Power Model '!G110</f>
        <v>0</v>
      </c>
      <c r="O30" s="218">
        <f>+'Purchased Power Model '!G122</f>
        <v>0</v>
      </c>
      <c r="P30" s="218">
        <f>+'Purchased Power Model '!G134</f>
        <v>0</v>
      </c>
      <c r="Q30" s="219">
        <f>+'Purchased Power Model '!G146</f>
        <v>0</v>
      </c>
      <c r="R30" s="219">
        <f>+'Purchased Power Model '!G158</f>
        <v>0</v>
      </c>
      <c r="S30" s="219">
        <f>+'Purchased Power Model '!G170</f>
        <v>0</v>
      </c>
      <c r="T30" s="219">
        <f>+'Purchased Power Model '!G182</f>
        <v>0</v>
      </c>
      <c r="U30" s="219">
        <f>+'Purchased Power Model '!G194</f>
        <v>0</v>
      </c>
      <c r="V30" s="168">
        <f t="shared" si="3"/>
        <v>0</v>
      </c>
      <c r="W30" s="167">
        <f t="shared" si="4"/>
        <v>0</v>
      </c>
    </row>
    <row r="31" spans="1:23" x14ac:dyDescent="0.2">
      <c r="A31" s="165"/>
      <c r="B31" s="165"/>
      <c r="C31" s="165"/>
      <c r="D31" s="165"/>
      <c r="E31" s="166"/>
      <c r="F31" s="166"/>
      <c r="V31" s="48">
        <f>SUM(V19:V30)</f>
        <v>207.44</v>
      </c>
      <c r="W31" s="48">
        <f>SUM(W19:W30)</f>
        <v>275.1904135338342</v>
      </c>
    </row>
    <row r="32" spans="1:23" x14ac:dyDescent="0.2">
      <c r="A32" s="165"/>
      <c r="B32" s="165"/>
      <c r="C32" s="165"/>
      <c r="D32" s="165"/>
      <c r="E32" s="166"/>
      <c r="F32" s="166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</sheetData>
  <pageMargins left="0.21" right="0.18" top="0.73" bottom="0.74" header="0.5" footer="0.5"/>
  <pageSetup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workbookViewId="0">
      <selection sqref="A1:F9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1.7109375" customWidth="1"/>
    <col min="4" max="4" width="13.42578125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2" t="s">
        <v>301</v>
      </c>
      <c r="B1" s="205" t="s">
        <v>106</v>
      </c>
      <c r="C1" s="205" t="s">
        <v>135</v>
      </c>
      <c r="D1" s="205" t="s">
        <v>154</v>
      </c>
      <c r="F1" s="283"/>
      <c r="G1" s="283"/>
    </row>
    <row r="2" spans="1:11" x14ac:dyDescent="0.2">
      <c r="A2" s="435" t="str">
        <f>'Rate Class Energy Model'!K2</f>
        <v xml:space="preserve">Residential </v>
      </c>
      <c r="B2" s="196">
        <f>Summary!O13</f>
        <v>649842566.90578818</v>
      </c>
      <c r="C2" s="195"/>
      <c r="D2" s="284">
        <v>0.93893975395513607</v>
      </c>
    </row>
    <row r="3" spans="1:11" x14ac:dyDescent="0.2">
      <c r="A3" s="435" t="str">
        <f>'Rate Class Energy Model'!L2</f>
        <v>General Service
&lt; 50 kW</v>
      </c>
      <c r="B3" s="196">
        <f>Summary!O17</f>
        <v>241914173.25771466</v>
      </c>
      <c r="C3" s="195"/>
      <c r="D3" s="284">
        <v>0.86067746631608777</v>
      </c>
      <c r="F3" s="283" t="s">
        <v>273</v>
      </c>
      <c r="G3" s="283"/>
    </row>
    <row r="4" spans="1:11" x14ac:dyDescent="0.2">
      <c r="A4" s="435" t="str">
        <f>'Rate Class Energy Model'!M2</f>
        <v>General Service
&gt; 50 kW</v>
      </c>
      <c r="B4" s="196">
        <f>Summary!O21</f>
        <v>849542539.05960453</v>
      </c>
      <c r="C4" s="204">
        <f>Summary!O22</f>
        <v>2179952.4585973085</v>
      </c>
      <c r="D4" s="284">
        <v>0.14149376128842736</v>
      </c>
      <c r="F4" s="37">
        <f>40285418.4544/2</f>
        <v>20142709.227200001</v>
      </c>
      <c r="G4" s="154"/>
    </row>
    <row r="5" spans="1:11" x14ac:dyDescent="0.2">
      <c r="A5" s="435" t="str">
        <f>'Rate Class Energy Model'!N2</f>
        <v>Large User</v>
      </c>
      <c r="B5" s="196">
        <f>Summary!O26</f>
        <v>66016828.655037299</v>
      </c>
      <c r="C5" s="204">
        <f>Summary!O27</f>
        <v>130795.77587097054</v>
      </c>
      <c r="D5" s="284">
        <v>0</v>
      </c>
      <c r="K5" s="154"/>
    </row>
    <row r="6" spans="1:11" x14ac:dyDescent="0.2">
      <c r="A6" s="435" t="str">
        <f>'Rate Class Customer Model'!F2</f>
        <v xml:space="preserve">Streetlights </v>
      </c>
      <c r="B6" s="196">
        <f>Summary!O31</f>
        <v>15898680.403048243</v>
      </c>
      <c r="C6" s="204">
        <f>Summary!O32</f>
        <v>44502.095867100063</v>
      </c>
      <c r="D6" s="284">
        <v>0</v>
      </c>
      <c r="F6" s="409"/>
    </row>
    <row r="7" spans="1:11" x14ac:dyDescent="0.2">
      <c r="A7" s="435" t="str">
        <f>'Rate Class Customer Model'!G2</f>
        <v xml:space="preserve">Unmetered Loads </v>
      </c>
      <c r="B7" s="196">
        <f>Summary!O36</f>
        <v>3612242.357049867</v>
      </c>
      <c r="C7" s="195"/>
      <c r="D7" s="284">
        <v>0</v>
      </c>
      <c r="F7" s="37"/>
    </row>
    <row r="8" spans="1:11" x14ac:dyDescent="0.2">
      <c r="A8" s="436" t="s">
        <v>204</v>
      </c>
      <c r="B8" s="196">
        <v>0</v>
      </c>
      <c r="C8" s="195">
        <v>0</v>
      </c>
      <c r="D8" s="284">
        <v>0</v>
      </c>
    </row>
    <row r="9" spans="1:11" x14ac:dyDescent="0.2">
      <c r="A9" s="437" t="s">
        <v>126</v>
      </c>
      <c r="B9" s="170">
        <f>SUM(B2:B8)</f>
        <v>1826827030.638243</v>
      </c>
      <c r="C9" s="170">
        <f>SUM(C2:C8)</f>
        <v>2355250.3303353791</v>
      </c>
      <c r="D9" s="170"/>
    </row>
    <row r="10" spans="1:11" x14ac:dyDescent="0.2">
      <c r="B10" s="64"/>
      <c r="C10" s="64"/>
    </row>
    <row r="12" spans="1:11" x14ac:dyDescent="0.2">
      <c r="A12" s="432" t="s">
        <v>142</v>
      </c>
      <c r="B12" s="593" t="s">
        <v>143</v>
      </c>
      <c r="C12" s="595" t="s">
        <v>144</v>
      </c>
      <c r="D12" s="171"/>
      <c r="E12" s="198"/>
      <c r="F12" s="197"/>
    </row>
    <row r="13" spans="1:11" x14ac:dyDescent="0.2">
      <c r="A13" s="180" t="s">
        <v>141</v>
      </c>
      <c r="B13" s="594"/>
      <c r="C13" s="596"/>
      <c r="D13" s="597">
        <v>2013</v>
      </c>
      <c r="E13" s="598"/>
      <c r="F13" s="599"/>
    </row>
    <row r="14" spans="1:11" x14ac:dyDescent="0.2">
      <c r="A14" s="435" t="str">
        <f t="shared" ref="A14:A20" si="0">A2</f>
        <v xml:space="preserve">Residential </v>
      </c>
      <c r="B14" s="196">
        <f t="shared" ref="B14:B20" si="1">B2*D2</f>
        <v>610163019.88009477</v>
      </c>
      <c r="C14" s="279">
        <v>1.0351420520000001</v>
      </c>
      <c r="D14" s="183">
        <f t="shared" ref="D14:D19" si="2">B14*C14</f>
        <v>631605400.45319819</v>
      </c>
      <c r="E14" s="294">
        <v>8.3949999999999997E-2</v>
      </c>
      <c r="F14" s="182">
        <f t="shared" ref="F14:F19" si="3">D14*E14</f>
        <v>53023273.368045986</v>
      </c>
    </row>
    <row r="15" spans="1:11" x14ac:dyDescent="0.2">
      <c r="A15" s="435" t="str">
        <f t="shared" si="0"/>
        <v>General Service
&lt; 50 kW</v>
      </c>
      <c r="B15" s="196">
        <f t="shared" si="1"/>
        <v>208210077.70540094</v>
      </c>
      <c r="C15" s="279">
        <v>1.0351420520000001</v>
      </c>
      <c r="D15" s="183">
        <f t="shared" si="2"/>
        <v>215527007.08304819</v>
      </c>
      <c r="E15" s="294">
        <f>E14</f>
        <v>8.3949999999999997E-2</v>
      </c>
      <c r="F15" s="182">
        <f t="shared" si="3"/>
        <v>18093492.244621895</v>
      </c>
    </row>
    <row r="16" spans="1:11" x14ac:dyDescent="0.2">
      <c r="A16" s="435" t="str">
        <f t="shared" si="0"/>
        <v>General Service
&gt; 50 kW</v>
      </c>
      <c r="B16" s="196">
        <f t="shared" si="1"/>
        <v>120204969.22606416</v>
      </c>
      <c r="C16" s="279">
        <v>1.0351420520000001</v>
      </c>
      <c r="D16" s="183">
        <f t="shared" si="2"/>
        <v>124429218.50526492</v>
      </c>
      <c r="E16" s="294">
        <f t="shared" ref="E16:E20" si="4">E15</f>
        <v>8.3949999999999997E-2</v>
      </c>
      <c r="F16" s="182">
        <f t="shared" si="3"/>
        <v>10445832.893516989</v>
      </c>
    </row>
    <row r="17" spans="1:10" x14ac:dyDescent="0.2">
      <c r="A17" s="435" t="str">
        <f t="shared" si="0"/>
        <v>Large User</v>
      </c>
      <c r="B17" s="196">
        <f t="shared" si="1"/>
        <v>0</v>
      </c>
      <c r="C17" s="279">
        <v>1.0351420520000001</v>
      </c>
      <c r="D17" s="183">
        <f t="shared" si="2"/>
        <v>0</v>
      </c>
      <c r="E17" s="294">
        <f t="shared" si="4"/>
        <v>8.3949999999999997E-2</v>
      </c>
      <c r="F17" s="182">
        <f t="shared" si="3"/>
        <v>0</v>
      </c>
    </row>
    <row r="18" spans="1:10" x14ac:dyDescent="0.2">
      <c r="A18" s="435" t="str">
        <f t="shared" si="0"/>
        <v xml:space="preserve">Streetlights </v>
      </c>
      <c r="B18" s="196">
        <f t="shared" si="1"/>
        <v>0</v>
      </c>
      <c r="C18" s="279">
        <v>1.0351420520000001</v>
      </c>
      <c r="D18" s="183">
        <f t="shared" si="2"/>
        <v>0</v>
      </c>
      <c r="E18" s="294">
        <f t="shared" si="4"/>
        <v>8.3949999999999997E-2</v>
      </c>
      <c r="F18" s="182">
        <f t="shared" si="3"/>
        <v>0</v>
      </c>
    </row>
    <row r="19" spans="1:10" x14ac:dyDescent="0.2">
      <c r="A19" s="435" t="str">
        <f t="shared" si="0"/>
        <v xml:space="preserve">Unmetered Loads </v>
      </c>
      <c r="B19" s="196">
        <f t="shared" si="1"/>
        <v>0</v>
      </c>
      <c r="C19" s="279">
        <v>1.0351420520000001</v>
      </c>
      <c r="D19" s="183">
        <f t="shared" si="2"/>
        <v>0</v>
      </c>
      <c r="E19" s="294">
        <f t="shared" si="4"/>
        <v>8.3949999999999997E-2</v>
      </c>
      <c r="F19" s="182">
        <f t="shared" si="3"/>
        <v>0</v>
      </c>
    </row>
    <row r="20" spans="1:10" x14ac:dyDescent="0.2">
      <c r="A20" s="435" t="str">
        <f t="shared" si="0"/>
        <v>Embedded Distributor</v>
      </c>
      <c r="B20" s="196">
        <f t="shared" si="1"/>
        <v>0</v>
      </c>
      <c r="C20" s="279">
        <v>1.0351420520000001</v>
      </c>
      <c r="D20" s="183">
        <f t="shared" ref="D20" si="5">B20*C20</f>
        <v>0</v>
      </c>
      <c r="E20" s="294">
        <f t="shared" si="4"/>
        <v>8.3949999999999997E-2</v>
      </c>
      <c r="F20" s="182">
        <f t="shared" ref="F20" si="6">D20*E20</f>
        <v>0</v>
      </c>
    </row>
    <row r="21" spans="1:10" x14ac:dyDescent="0.2">
      <c r="A21" s="437" t="s">
        <v>126</v>
      </c>
      <c r="B21" s="170">
        <f>SUM(B14:B19)</f>
        <v>938578066.81155992</v>
      </c>
      <c r="C21" s="180"/>
      <c r="D21" s="170">
        <f>SUM(D14:D19)</f>
        <v>971561626.0415113</v>
      </c>
      <c r="E21" s="179"/>
      <c r="F21" s="194">
        <f>SUM(F14:F19)</f>
        <v>81562598.506184876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2" t="s">
        <v>140</v>
      </c>
      <c r="B23" s="593" t="s">
        <v>143</v>
      </c>
      <c r="C23" s="595" t="s">
        <v>144</v>
      </c>
      <c r="D23" s="171"/>
      <c r="E23" s="198"/>
      <c r="F23" s="197"/>
    </row>
    <row r="24" spans="1:10" x14ac:dyDescent="0.2">
      <c r="A24" s="180" t="s">
        <v>132</v>
      </c>
      <c r="B24" s="594"/>
      <c r="C24" s="596"/>
      <c r="D24" s="597">
        <v>2013</v>
      </c>
      <c r="E24" s="598"/>
      <c r="F24" s="599"/>
    </row>
    <row r="25" spans="1:10" x14ac:dyDescent="0.2">
      <c r="A25" s="435" t="str">
        <f t="shared" ref="A25:A31" si="7">A14</f>
        <v xml:space="preserve">Residential </v>
      </c>
      <c r="B25" s="196">
        <f t="shared" ref="B25:B31" si="8">B2-B14</f>
        <v>39679547.025693417</v>
      </c>
      <c r="C25" s="279">
        <f t="shared" ref="C25:C31" si="9">C14</f>
        <v>1.0351420520000001</v>
      </c>
      <c r="D25" s="183">
        <f t="shared" ref="D25:D30" si="10">B25*C25</f>
        <v>41073967.730606787</v>
      </c>
      <c r="E25" s="293">
        <f>0.02105+0.06612</f>
        <v>8.7169999999999997E-2</v>
      </c>
      <c r="F25" s="182">
        <f t="shared" ref="F25:F30" si="11">D25*E25</f>
        <v>3580417.7670769934</v>
      </c>
    </row>
    <row r="26" spans="1:10" x14ac:dyDescent="0.2">
      <c r="A26" s="435" t="str">
        <f t="shared" si="7"/>
        <v>General Service
&lt; 50 kW</v>
      </c>
      <c r="B26" s="196">
        <f t="shared" si="8"/>
        <v>33704095.552313715</v>
      </c>
      <c r="C26" s="279">
        <f t="shared" si="9"/>
        <v>1.0351420520000001</v>
      </c>
      <c r="D26" s="183">
        <f t="shared" si="10"/>
        <v>34888526.630826093</v>
      </c>
      <c r="E26" s="293">
        <f>E25</f>
        <v>8.7169999999999997E-2</v>
      </c>
      <c r="F26" s="182">
        <f t="shared" si="11"/>
        <v>3041232.8664091104</v>
      </c>
    </row>
    <row r="27" spans="1:10" x14ac:dyDescent="0.2">
      <c r="A27" s="435" t="str">
        <f t="shared" si="7"/>
        <v>General Service
&gt; 50 kW</v>
      </c>
      <c r="B27" s="196">
        <f>B4-B16-F4</f>
        <v>709194860.60634029</v>
      </c>
      <c r="C27" s="279">
        <f t="shared" si="9"/>
        <v>1.0351420520000001</v>
      </c>
      <c r="D27" s="183">
        <f>B27*C27</f>
        <v>734117423.27590108</v>
      </c>
      <c r="E27" s="293">
        <f t="shared" ref="E27:E31" si="12">E26</f>
        <v>8.7169999999999997E-2</v>
      </c>
      <c r="F27" s="182">
        <f t="shared" si="11"/>
        <v>63993015.786960296</v>
      </c>
    </row>
    <row r="28" spans="1:10" x14ac:dyDescent="0.2">
      <c r="A28" s="435" t="str">
        <f t="shared" si="7"/>
        <v>Large User</v>
      </c>
      <c r="B28" s="196">
        <f t="shared" si="8"/>
        <v>66016828.655037299</v>
      </c>
      <c r="C28" s="279">
        <v>1.0053000000000001</v>
      </c>
      <c r="D28" s="183">
        <f t="shared" si="10"/>
        <v>66366717.846909001</v>
      </c>
      <c r="E28" s="293">
        <f t="shared" si="12"/>
        <v>8.7169999999999997E-2</v>
      </c>
      <c r="F28" s="182">
        <f t="shared" si="11"/>
        <v>5785186.7947150571</v>
      </c>
      <c r="J28">
        <v>5956918</v>
      </c>
    </row>
    <row r="29" spans="1:10" x14ac:dyDescent="0.2">
      <c r="A29" s="435" t="str">
        <f t="shared" si="7"/>
        <v xml:space="preserve">Streetlights </v>
      </c>
      <c r="B29" s="196">
        <f t="shared" si="8"/>
        <v>15898680.403048243</v>
      </c>
      <c r="C29" s="279">
        <f t="shared" si="9"/>
        <v>1.0351420520000001</v>
      </c>
      <c r="D29" s="183">
        <f t="shared" si="10"/>
        <v>16457392.656503547</v>
      </c>
      <c r="E29" s="293">
        <f t="shared" si="12"/>
        <v>8.7169999999999997E-2</v>
      </c>
      <c r="F29" s="182">
        <f t="shared" si="11"/>
        <v>1434590.9178674142</v>
      </c>
      <c r="J29">
        <v>5785186.7947150571</v>
      </c>
    </row>
    <row r="30" spans="1:10" x14ac:dyDescent="0.2">
      <c r="A30" s="435" t="str">
        <f t="shared" si="7"/>
        <v xml:space="preserve">Unmetered Loads </v>
      </c>
      <c r="B30" s="196">
        <f t="shared" si="8"/>
        <v>3612242.357049867</v>
      </c>
      <c r="C30" s="279">
        <f t="shared" si="9"/>
        <v>1.0351420520000001</v>
      </c>
      <c r="D30" s="183">
        <f t="shared" si="10"/>
        <v>3739183.9657979165</v>
      </c>
      <c r="E30" s="293">
        <f t="shared" si="12"/>
        <v>8.7169999999999997E-2</v>
      </c>
      <c r="F30" s="182">
        <f t="shared" si="11"/>
        <v>325944.6662986044</v>
      </c>
      <c r="J30">
        <f>+J28-J29</f>
        <v>171731.20528494287</v>
      </c>
    </row>
    <row r="31" spans="1:10" x14ac:dyDescent="0.2">
      <c r="A31" s="435" t="str">
        <f t="shared" si="7"/>
        <v>Embedded Distributor</v>
      </c>
      <c r="B31" s="196">
        <f t="shared" si="8"/>
        <v>0</v>
      </c>
      <c r="C31" s="279">
        <f t="shared" si="9"/>
        <v>1.0351420520000001</v>
      </c>
      <c r="D31" s="183">
        <f t="shared" ref="D31" si="13">B31*C31</f>
        <v>0</v>
      </c>
      <c r="E31" s="293">
        <f t="shared" si="12"/>
        <v>8.7169999999999997E-2</v>
      </c>
      <c r="F31" s="182">
        <f t="shared" ref="F31" si="14">D31*E31</f>
        <v>0</v>
      </c>
      <c r="J31">
        <f>+J30/12</f>
        <v>14310.933773745239</v>
      </c>
    </row>
    <row r="32" spans="1:10" x14ac:dyDescent="0.2">
      <c r="A32" s="437" t="s">
        <v>126</v>
      </c>
      <c r="B32" s="170">
        <f>SUM(B25:B30)</f>
        <v>868106254.59948277</v>
      </c>
      <c r="C32" s="180"/>
      <c r="D32" s="170">
        <f>SUM(D25:D30)</f>
        <v>896643212.10654449</v>
      </c>
      <c r="E32" s="179"/>
      <c r="F32" s="194">
        <f>SUM(F25:F30)</f>
        <v>78160388.799327463</v>
      </c>
    </row>
    <row r="34" spans="1:8" x14ac:dyDescent="0.2">
      <c r="A34" s="433" t="s">
        <v>139</v>
      </c>
      <c r="B34" s="188"/>
      <c r="C34" s="193" t="s">
        <v>137</v>
      </c>
      <c r="D34" s="190"/>
      <c r="E34" s="189"/>
      <c r="F34" s="188"/>
    </row>
    <row r="35" spans="1:8" x14ac:dyDescent="0.2">
      <c r="A35" s="180" t="s">
        <v>132</v>
      </c>
      <c r="B35" s="187"/>
      <c r="C35" s="192" t="s">
        <v>136</v>
      </c>
      <c r="D35" s="591">
        <v>2013</v>
      </c>
      <c r="E35" s="589"/>
      <c r="F35" s="590"/>
    </row>
    <row r="36" spans="1:8" x14ac:dyDescent="0.2">
      <c r="A36" s="435" t="str">
        <f t="shared" ref="A36:A41" si="15">A25</f>
        <v xml:space="preserve">Residential </v>
      </c>
      <c r="B36" s="183"/>
      <c r="C36" s="184" t="s">
        <v>106</v>
      </c>
      <c r="D36" s="183">
        <f>D14+D25</f>
        <v>672679368.18380499</v>
      </c>
      <c r="E36" s="278">
        <v>7.1999999999999998E-3</v>
      </c>
      <c r="F36" s="182">
        <f t="shared" ref="F36:F42" si="16">D36*E36</f>
        <v>4843291.4509233953</v>
      </c>
    </row>
    <row r="37" spans="1:8" x14ac:dyDescent="0.2">
      <c r="A37" s="435" t="str">
        <f t="shared" si="15"/>
        <v>General Service
&lt; 50 kW</v>
      </c>
      <c r="B37" s="183"/>
      <c r="C37" s="184" t="s">
        <v>106</v>
      </c>
      <c r="D37" s="183">
        <f>D15+D26</f>
        <v>250415533.71387428</v>
      </c>
      <c r="E37" s="278">
        <v>6.1999999999999998E-3</v>
      </c>
      <c r="F37" s="182">
        <f t="shared" si="16"/>
        <v>1552576.3090260206</v>
      </c>
    </row>
    <row r="38" spans="1:8" x14ac:dyDescent="0.2">
      <c r="A38" s="435" t="str">
        <f t="shared" si="15"/>
        <v>General Service
&gt; 50 kW</v>
      </c>
      <c r="B38" s="183"/>
      <c r="C38" s="184" t="s">
        <v>135</v>
      </c>
      <c r="D38" s="183">
        <f>+C4</f>
        <v>2179952.4585973085</v>
      </c>
      <c r="E38" s="278">
        <v>3.2835999999999999</v>
      </c>
      <c r="F38" s="182">
        <f t="shared" si="16"/>
        <v>7158091.8930501221</v>
      </c>
    </row>
    <row r="39" spans="1:8" x14ac:dyDescent="0.2">
      <c r="A39" s="435" t="str">
        <f t="shared" si="15"/>
        <v>Large User</v>
      </c>
      <c r="B39" s="183"/>
      <c r="C39" s="184" t="s">
        <v>135</v>
      </c>
      <c r="D39" s="183">
        <f>C5</f>
        <v>130795.77587097054</v>
      </c>
      <c r="E39" s="278">
        <v>3.0861999999999998</v>
      </c>
      <c r="F39" s="182">
        <f t="shared" si="16"/>
        <v>403661.92349298927</v>
      </c>
      <c r="H39" s="32"/>
    </row>
    <row r="40" spans="1:8" x14ac:dyDescent="0.2">
      <c r="A40" s="435" t="str">
        <f t="shared" si="15"/>
        <v xml:space="preserve">Streetlights </v>
      </c>
      <c r="B40" s="183"/>
      <c r="C40" s="184" t="s">
        <v>135</v>
      </c>
      <c r="D40" s="183">
        <f>C6</f>
        <v>44502.095867100063</v>
      </c>
      <c r="E40" s="278">
        <v>1.9966999999999999</v>
      </c>
      <c r="F40" s="182">
        <f t="shared" si="16"/>
        <v>88857.334817838695</v>
      </c>
    </row>
    <row r="41" spans="1:8" x14ac:dyDescent="0.2">
      <c r="A41" s="435" t="str">
        <f t="shared" si="15"/>
        <v xml:space="preserve">Unmetered Loads </v>
      </c>
      <c r="B41" s="183"/>
      <c r="C41" s="184" t="s">
        <v>106</v>
      </c>
      <c r="D41" s="183">
        <f>D19+D30</f>
        <v>3739183.9657979165</v>
      </c>
      <c r="E41" s="278">
        <v>6.1999999999999998E-3</v>
      </c>
      <c r="F41" s="182">
        <f t="shared" si="16"/>
        <v>23182.940587947083</v>
      </c>
    </row>
    <row r="42" spans="1:8" x14ac:dyDescent="0.2">
      <c r="A42" s="443" t="s">
        <v>204</v>
      </c>
      <c r="B42" s="444"/>
      <c r="C42" s="445" t="s">
        <v>135</v>
      </c>
      <c r="D42" s="444">
        <f>+ED!B20</f>
        <v>44673.767272727266</v>
      </c>
      <c r="E42" s="446">
        <v>3.0960000000000001</v>
      </c>
      <c r="F42" s="447">
        <f t="shared" si="16"/>
        <v>138309.98347636362</v>
      </c>
    </row>
    <row r="43" spans="1:8" x14ac:dyDescent="0.2">
      <c r="A43" s="437" t="s">
        <v>126</v>
      </c>
      <c r="B43" s="170"/>
      <c r="C43" s="180"/>
      <c r="D43" s="170"/>
      <c r="E43" s="179"/>
      <c r="F43" s="178">
        <f>SUM(F36:F42)</f>
        <v>14207971.835374676</v>
      </c>
    </row>
    <row r="45" spans="1:8" x14ac:dyDescent="0.2">
      <c r="A45" s="433" t="s">
        <v>138</v>
      </c>
      <c r="B45" s="188"/>
      <c r="C45" s="191" t="s">
        <v>137</v>
      </c>
      <c r="D45" s="190"/>
      <c r="E45" s="189"/>
      <c r="F45" s="188"/>
    </row>
    <row r="46" spans="1:8" x14ac:dyDescent="0.2">
      <c r="A46" s="180" t="s">
        <v>132</v>
      </c>
      <c r="B46" s="187"/>
      <c r="C46" s="186" t="s">
        <v>136</v>
      </c>
      <c r="D46" s="591">
        <v>2013</v>
      </c>
      <c r="E46" s="589"/>
      <c r="F46" s="590"/>
    </row>
    <row r="47" spans="1:8" x14ac:dyDescent="0.2">
      <c r="A47" s="435" t="str">
        <f t="shared" ref="A47:A52" si="17">A36</f>
        <v xml:space="preserve">Residential </v>
      </c>
      <c r="B47" s="183"/>
      <c r="C47" s="184" t="str">
        <f t="shared" ref="C47:D52" si="18">C36</f>
        <v>kWh</v>
      </c>
      <c r="D47" s="183">
        <f t="shared" si="18"/>
        <v>672679368.18380499</v>
      </c>
      <c r="E47" s="278">
        <v>1.4E-3</v>
      </c>
      <c r="F47" s="182">
        <f t="shared" ref="F47:F53" si="19">D47*E47</f>
        <v>941751.11545732699</v>
      </c>
    </row>
    <row r="48" spans="1:8" x14ac:dyDescent="0.2">
      <c r="A48" s="435" t="str">
        <f t="shared" si="17"/>
        <v>General Service
&lt; 50 kW</v>
      </c>
      <c r="B48" s="183"/>
      <c r="C48" s="184" t="str">
        <f t="shared" si="18"/>
        <v>kWh</v>
      </c>
      <c r="D48" s="183">
        <f t="shared" si="18"/>
        <v>250415533.71387428</v>
      </c>
      <c r="E48" s="278">
        <v>1.2999999999999999E-3</v>
      </c>
      <c r="F48" s="182">
        <f t="shared" si="19"/>
        <v>325540.19382803654</v>
      </c>
    </row>
    <row r="49" spans="1:6" x14ac:dyDescent="0.2">
      <c r="A49" s="435" t="str">
        <f t="shared" si="17"/>
        <v>General Service
&gt; 50 kW</v>
      </c>
      <c r="B49" s="183"/>
      <c r="C49" s="184" t="str">
        <f t="shared" si="18"/>
        <v>kW</v>
      </c>
      <c r="D49" s="183">
        <f t="shared" si="18"/>
        <v>2179952.4585973085</v>
      </c>
      <c r="E49" s="278">
        <v>0.68510000000000004</v>
      </c>
      <c r="F49" s="182">
        <f t="shared" si="19"/>
        <v>1493485.4293850162</v>
      </c>
    </row>
    <row r="50" spans="1:6" x14ac:dyDescent="0.2">
      <c r="A50" s="435" t="str">
        <f t="shared" si="17"/>
        <v>Large User</v>
      </c>
      <c r="B50" s="183"/>
      <c r="C50" s="184" t="str">
        <f t="shared" si="18"/>
        <v>kW</v>
      </c>
      <c r="D50" s="183">
        <f t="shared" si="18"/>
        <v>130795.77587097054</v>
      </c>
      <c r="E50" s="278">
        <v>0.64400000000000002</v>
      </c>
      <c r="F50" s="182">
        <f t="shared" si="19"/>
        <v>84232.479660905025</v>
      </c>
    </row>
    <row r="51" spans="1:6" x14ac:dyDescent="0.2">
      <c r="A51" s="435" t="str">
        <f t="shared" si="17"/>
        <v xml:space="preserve">Streetlights </v>
      </c>
      <c r="B51" s="183"/>
      <c r="C51" s="184" t="str">
        <f t="shared" si="18"/>
        <v>kW</v>
      </c>
      <c r="D51" s="183">
        <f t="shared" si="18"/>
        <v>44502.095867100063</v>
      </c>
      <c r="E51" s="278">
        <v>0.41689999999999999</v>
      </c>
      <c r="F51" s="182">
        <f t="shared" si="19"/>
        <v>18552.923766994016</v>
      </c>
    </row>
    <row r="52" spans="1:6" x14ac:dyDescent="0.2">
      <c r="A52" s="435" t="str">
        <f t="shared" si="17"/>
        <v xml:space="preserve">Unmetered Loads </v>
      </c>
      <c r="B52" s="183"/>
      <c r="C52" s="184" t="str">
        <f t="shared" si="18"/>
        <v>kWh</v>
      </c>
      <c r="D52" s="183">
        <f t="shared" si="18"/>
        <v>3739183.9657979165</v>
      </c>
      <c r="E52" s="278">
        <v>1.2999999999999999E-3</v>
      </c>
      <c r="F52" s="182">
        <f t="shared" si="19"/>
        <v>4860.9391555372913</v>
      </c>
    </row>
    <row r="53" spans="1:6" x14ac:dyDescent="0.2">
      <c r="A53" s="443" t="s">
        <v>204</v>
      </c>
      <c r="B53" s="444"/>
      <c r="C53" s="445" t="s">
        <v>135</v>
      </c>
      <c r="D53" s="444">
        <f>D42</f>
        <v>44673.767272727266</v>
      </c>
      <c r="E53" s="446">
        <v>0.64610000000000001</v>
      </c>
      <c r="F53" s="447">
        <f t="shared" si="19"/>
        <v>28863.721034909086</v>
      </c>
    </row>
    <row r="54" spans="1:6" x14ac:dyDescent="0.2">
      <c r="A54" s="437" t="s">
        <v>126</v>
      </c>
      <c r="B54" s="170"/>
      <c r="C54" s="180"/>
      <c r="D54" s="170"/>
      <c r="E54" s="179"/>
      <c r="F54" s="178">
        <f>SUM(F47:F53)</f>
        <v>2897286.802288725</v>
      </c>
    </row>
    <row r="56" spans="1:6" x14ac:dyDescent="0.2">
      <c r="A56" s="433" t="s">
        <v>134</v>
      </c>
      <c r="B56" s="188"/>
      <c r="C56" s="191"/>
      <c r="D56" s="190"/>
      <c r="E56" s="189"/>
      <c r="F56" s="188"/>
    </row>
    <row r="57" spans="1:6" x14ac:dyDescent="0.2">
      <c r="A57" s="180" t="s">
        <v>132</v>
      </c>
      <c r="B57" s="187"/>
      <c r="C57" s="186"/>
      <c r="D57" s="591" t="s">
        <v>233</v>
      </c>
      <c r="E57" s="589"/>
      <c r="F57" s="592"/>
    </row>
    <row r="58" spans="1:6" x14ac:dyDescent="0.2">
      <c r="A58" s="435" t="str">
        <f t="shared" ref="A58:A64" si="20">A47</f>
        <v xml:space="preserve">Residential </v>
      </c>
      <c r="B58" s="183"/>
      <c r="C58" s="184"/>
      <c r="D58" s="183">
        <f t="shared" ref="D58:D64" si="21">D14+D25</f>
        <v>672679368.18380499</v>
      </c>
      <c r="E58" s="278">
        <v>4.4000000000000003E-3</v>
      </c>
      <c r="F58" s="182">
        <f>((D58*E58)/12*8)+((D58*0.0052)/12*4)</f>
        <v>3139170.384857757</v>
      </c>
    </row>
    <row r="59" spans="1:6" x14ac:dyDescent="0.2">
      <c r="A59" s="435" t="str">
        <f t="shared" si="20"/>
        <v>General Service
&lt; 50 kW</v>
      </c>
      <c r="B59" s="183"/>
      <c r="C59" s="184"/>
      <c r="D59" s="183">
        <f t="shared" si="21"/>
        <v>250415533.71387428</v>
      </c>
      <c r="E59" s="278">
        <f>+E58</f>
        <v>4.4000000000000003E-3</v>
      </c>
      <c r="F59" s="182">
        <f t="shared" ref="F59:F63" si="22">((D59*E59)/12*8)+((D59*0.0052)/12*4)</f>
        <v>1168605.8239980799</v>
      </c>
    </row>
    <row r="60" spans="1:6" x14ac:dyDescent="0.2">
      <c r="A60" s="435" t="str">
        <f t="shared" si="20"/>
        <v>General Service
&gt; 50 kW</v>
      </c>
      <c r="B60" s="183"/>
      <c r="C60" s="184"/>
      <c r="D60" s="183">
        <f>D16+D27</f>
        <v>858546641.78116596</v>
      </c>
      <c r="E60" s="278">
        <f>+E58</f>
        <v>4.4000000000000003E-3</v>
      </c>
      <c r="F60" s="182">
        <f t="shared" si="22"/>
        <v>4006550.9949787743</v>
      </c>
    </row>
    <row r="61" spans="1:6" x14ac:dyDescent="0.2">
      <c r="A61" s="435" t="str">
        <f t="shared" si="20"/>
        <v>Large User</v>
      </c>
      <c r="B61" s="183"/>
      <c r="C61" s="184"/>
      <c r="D61" s="183">
        <f t="shared" si="21"/>
        <v>66366717.846909001</v>
      </c>
      <c r="E61" s="278">
        <f>+E58</f>
        <v>4.4000000000000003E-3</v>
      </c>
      <c r="F61" s="182">
        <f t="shared" si="22"/>
        <v>309711.34995224199</v>
      </c>
    </row>
    <row r="62" spans="1:6" x14ac:dyDescent="0.2">
      <c r="A62" s="435" t="str">
        <f t="shared" si="20"/>
        <v xml:space="preserve">Streetlights </v>
      </c>
      <c r="B62" s="183"/>
      <c r="C62" s="184"/>
      <c r="D62" s="183">
        <f t="shared" si="21"/>
        <v>16457392.656503547</v>
      </c>
      <c r="E62" s="278">
        <f>+E58</f>
        <v>4.4000000000000003E-3</v>
      </c>
      <c r="F62" s="182">
        <f t="shared" si="22"/>
        <v>76801.165730349894</v>
      </c>
    </row>
    <row r="63" spans="1:6" x14ac:dyDescent="0.2">
      <c r="A63" s="435" t="str">
        <f t="shared" si="20"/>
        <v xml:space="preserve">Unmetered Loads </v>
      </c>
      <c r="B63" s="183"/>
      <c r="C63" s="184"/>
      <c r="D63" s="183">
        <f t="shared" si="21"/>
        <v>3739183.9657979165</v>
      </c>
      <c r="E63" s="278">
        <f>+E58</f>
        <v>4.4000000000000003E-3</v>
      </c>
      <c r="F63" s="182">
        <f t="shared" si="22"/>
        <v>17449.52517372361</v>
      </c>
    </row>
    <row r="64" spans="1:6" x14ac:dyDescent="0.2">
      <c r="A64" s="436" t="str">
        <f t="shared" si="20"/>
        <v>Embedded Distributor</v>
      </c>
      <c r="B64" s="183"/>
      <c r="C64" s="184"/>
      <c r="D64" s="183">
        <f t="shared" si="21"/>
        <v>0</v>
      </c>
      <c r="E64" s="278">
        <f>+E58</f>
        <v>4.4000000000000003E-3</v>
      </c>
      <c r="F64" s="182">
        <f t="shared" ref="F64" si="23">D64*E64</f>
        <v>0</v>
      </c>
    </row>
    <row r="65" spans="1:8" x14ac:dyDescent="0.2">
      <c r="A65" s="437" t="s">
        <v>126</v>
      </c>
      <c r="B65" s="170"/>
      <c r="C65" s="180"/>
      <c r="D65" s="170">
        <f>SUM(D58:D64)</f>
        <v>1868204838.1480558</v>
      </c>
      <c r="E65" s="179"/>
      <c r="F65" s="178">
        <f>SUM(F58:F64)</f>
        <v>8718289.2446909267</v>
      </c>
    </row>
    <row r="67" spans="1:8" x14ac:dyDescent="0.2">
      <c r="A67" s="433" t="s">
        <v>133</v>
      </c>
      <c r="B67" s="188"/>
      <c r="C67" s="191"/>
      <c r="D67" s="190"/>
      <c r="E67" s="189"/>
      <c r="F67" s="188"/>
    </row>
    <row r="68" spans="1:8" x14ac:dyDescent="0.2">
      <c r="A68" s="180" t="s">
        <v>132</v>
      </c>
      <c r="B68" s="187"/>
      <c r="C68" s="186"/>
      <c r="D68" s="588">
        <v>2013</v>
      </c>
      <c r="E68" s="589"/>
      <c r="F68" s="590"/>
    </row>
    <row r="69" spans="1:8" x14ac:dyDescent="0.2">
      <c r="A69" s="435" t="str">
        <f>A58</f>
        <v xml:space="preserve">Residential </v>
      </c>
      <c r="B69" s="183"/>
      <c r="C69" s="184"/>
      <c r="D69" s="183">
        <f>D58</f>
        <v>672679368.18380499</v>
      </c>
      <c r="E69" s="278">
        <v>1.1999999999999999E-3</v>
      </c>
      <c r="F69" s="182">
        <f t="shared" ref="F69:F74" si="24">D69*E69</f>
        <v>807215.24182056589</v>
      </c>
    </row>
    <row r="70" spans="1:8" x14ac:dyDescent="0.2">
      <c r="A70" s="435" t="str">
        <f>A59</f>
        <v>General Service
&lt; 50 kW</v>
      </c>
      <c r="B70" s="183"/>
      <c r="C70" s="184"/>
      <c r="D70" s="183">
        <f>D59</f>
        <v>250415533.71387428</v>
      </c>
      <c r="E70" s="278">
        <v>1.1999999999999999E-3</v>
      </c>
      <c r="F70" s="182">
        <f t="shared" si="24"/>
        <v>300498.64045664913</v>
      </c>
      <c r="H70" s="163"/>
    </row>
    <row r="71" spans="1:8" x14ac:dyDescent="0.2">
      <c r="A71" s="435" t="str">
        <f>A60</f>
        <v>General Service
&gt; 50 kW</v>
      </c>
      <c r="B71" s="183"/>
      <c r="C71" s="184"/>
      <c r="D71" s="183">
        <f>D60</f>
        <v>858546641.78116596</v>
      </c>
      <c r="E71" s="278">
        <v>1.1999999999999999E-3</v>
      </c>
      <c r="F71" s="182">
        <f t="shared" si="24"/>
        <v>1030255.970137399</v>
      </c>
    </row>
    <row r="72" spans="1:8" x14ac:dyDescent="0.2">
      <c r="A72" s="435" t="str">
        <f>A61</f>
        <v>Large User</v>
      </c>
      <c r="B72" s="183"/>
      <c r="C72" s="184"/>
      <c r="D72" s="183">
        <f>D61</f>
        <v>66366717.846909001</v>
      </c>
      <c r="E72" s="278">
        <v>1.1999999999999999E-3</v>
      </c>
      <c r="F72" s="182">
        <f t="shared" si="24"/>
        <v>79640.061416290788</v>
      </c>
    </row>
    <row r="73" spans="1:8" x14ac:dyDescent="0.2">
      <c r="A73" s="435" t="str">
        <f>A62</f>
        <v xml:space="preserve">Streetlights </v>
      </c>
      <c r="B73" s="183"/>
      <c r="C73" s="184"/>
      <c r="D73" s="183">
        <f>D62</f>
        <v>16457392.656503547</v>
      </c>
      <c r="E73" s="278">
        <v>1.1999999999999999E-3</v>
      </c>
      <c r="F73" s="182">
        <f t="shared" si="24"/>
        <v>19748.871187804256</v>
      </c>
    </row>
    <row r="74" spans="1:8" x14ac:dyDescent="0.2">
      <c r="A74" s="435" t="str">
        <f t="shared" ref="A74:A75" si="25">A63</f>
        <v xml:space="preserve">Unmetered Loads </v>
      </c>
      <c r="B74" s="183"/>
      <c r="C74" s="184"/>
      <c r="D74" s="183">
        <f t="shared" ref="D74:D75" si="26">D63</f>
        <v>3739183.9657979165</v>
      </c>
      <c r="E74" s="278">
        <v>1.1999999999999999E-3</v>
      </c>
      <c r="F74" s="182">
        <f t="shared" si="24"/>
        <v>4487.0207589574993</v>
      </c>
    </row>
    <row r="75" spans="1:8" x14ac:dyDescent="0.2">
      <c r="A75" s="436" t="str">
        <f t="shared" si="25"/>
        <v>Embedded Distributor</v>
      </c>
      <c r="B75" s="183"/>
      <c r="C75" s="184"/>
      <c r="D75" s="183">
        <f t="shared" si="26"/>
        <v>0</v>
      </c>
      <c r="E75" s="278">
        <v>1.1999999999999999E-3</v>
      </c>
      <c r="F75" s="182">
        <f t="shared" ref="F75" si="27">D75*E75</f>
        <v>0</v>
      </c>
    </row>
    <row r="76" spans="1:8" x14ac:dyDescent="0.2">
      <c r="A76" s="437" t="s">
        <v>126</v>
      </c>
      <c r="B76" s="170"/>
      <c r="C76" s="180"/>
      <c r="D76" s="170">
        <f>SUM(D69:D75)</f>
        <v>1868204838.1480558</v>
      </c>
      <c r="E76" s="179"/>
      <c r="F76" s="178">
        <f>SUM(F69:F75)</f>
        <v>2241845.8057776666</v>
      </c>
    </row>
    <row r="78" spans="1:8" x14ac:dyDescent="0.2">
      <c r="A78" s="433" t="s">
        <v>231</v>
      </c>
      <c r="B78" s="188"/>
      <c r="C78" s="191"/>
      <c r="D78" s="190"/>
      <c r="E78" s="189"/>
      <c r="F78" s="188"/>
    </row>
    <row r="79" spans="1:8" x14ac:dyDescent="0.2">
      <c r="A79" s="180" t="s">
        <v>132</v>
      </c>
      <c r="B79" s="298"/>
      <c r="C79" s="186"/>
      <c r="D79" s="588">
        <v>2013</v>
      </c>
      <c r="E79" s="589"/>
      <c r="F79" s="590"/>
    </row>
    <row r="80" spans="1:8" x14ac:dyDescent="0.2">
      <c r="A80" s="435" t="str">
        <f>A69</f>
        <v xml:space="preserve">Residential </v>
      </c>
      <c r="B80" s="183"/>
      <c r="C80" s="184"/>
      <c r="D80" s="183">
        <f>+'Rate Class Customer Model'!B19*8</f>
        <v>650215.61600000004</v>
      </c>
      <c r="E80" s="278">
        <v>0.79</v>
      </c>
      <c r="F80" s="182">
        <f t="shared" ref="F80:F81" si="28">D80*E80</f>
        <v>513670.33664000005</v>
      </c>
    </row>
    <row r="81" spans="1:6" x14ac:dyDescent="0.2">
      <c r="A81" s="435" t="str">
        <f>A70</f>
        <v>General Service
&lt; 50 kW</v>
      </c>
      <c r="B81" s="183"/>
      <c r="C81" s="184"/>
      <c r="D81" s="183">
        <f>+'Rate Class Customer Model'!C19*8</f>
        <v>61895.972846218421</v>
      </c>
      <c r="E81" s="278">
        <f>+E80</f>
        <v>0.79</v>
      </c>
      <c r="F81" s="182">
        <f t="shared" si="28"/>
        <v>48897.818548512558</v>
      </c>
    </row>
    <row r="82" spans="1:6" x14ac:dyDescent="0.2">
      <c r="A82" s="437" t="s">
        <v>126</v>
      </c>
      <c r="B82" s="170"/>
      <c r="C82" s="180"/>
      <c r="D82" s="170">
        <f>SUM(D80:D81)</f>
        <v>712111.58884621842</v>
      </c>
      <c r="E82" s="179"/>
      <c r="F82" s="178">
        <f>SUM(F80:F81)</f>
        <v>562568.15518851264</v>
      </c>
    </row>
    <row r="83" spans="1:6" x14ac:dyDescent="0.2">
      <c r="A83" s="280"/>
      <c r="B83" s="177">
        <v>2013</v>
      </c>
    </row>
    <row r="84" spans="1:6" x14ac:dyDescent="0.2">
      <c r="A84" s="172" t="s">
        <v>131</v>
      </c>
      <c r="B84" s="174">
        <f>F21+F32</f>
        <v>159722987.30551234</v>
      </c>
    </row>
    <row r="85" spans="1:6" x14ac:dyDescent="0.2">
      <c r="A85" s="172" t="s">
        <v>130</v>
      </c>
      <c r="B85" s="173">
        <f>F65</f>
        <v>8718289.2446909267</v>
      </c>
    </row>
    <row r="86" spans="1:6" x14ac:dyDescent="0.2">
      <c r="A86" s="172" t="s">
        <v>129</v>
      </c>
      <c r="B86" s="173">
        <f>F43</f>
        <v>14207971.835374676</v>
      </c>
    </row>
    <row r="87" spans="1:6" x14ac:dyDescent="0.2">
      <c r="A87" s="172" t="s">
        <v>128</v>
      </c>
      <c r="B87" s="173">
        <f>F54</f>
        <v>2897286.802288725</v>
      </c>
    </row>
    <row r="88" spans="1:6" x14ac:dyDescent="0.2">
      <c r="A88" s="172" t="s">
        <v>127</v>
      </c>
      <c r="B88" s="173">
        <f>F76</f>
        <v>2241845.8057776666</v>
      </c>
    </row>
    <row r="89" spans="1:6" x14ac:dyDescent="0.2">
      <c r="A89" s="269" t="s">
        <v>232</v>
      </c>
      <c r="B89" s="174">
        <f>+F82</f>
        <v>562568.15518851264</v>
      </c>
    </row>
    <row r="90" spans="1:6" x14ac:dyDescent="0.2">
      <c r="A90" s="171" t="s">
        <v>126</v>
      </c>
      <c r="B90" s="178">
        <f>SUM(B84:B89)</f>
        <v>188350949.14883283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75" bottom="0.3" header="0.3" footer="0.17"/>
  <pageSetup scale="61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view="pageBreakPreview" zoomScaleNormal="100" zoomScaleSheetLayoutView="100" workbookViewId="0">
      <selection activeCell="K24" sqref="K24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2" t="s">
        <v>157</v>
      </c>
      <c r="B1" s="205" t="s">
        <v>106</v>
      </c>
      <c r="C1" s="205" t="s">
        <v>135</v>
      </c>
      <c r="D1" s="205" t="s">
        <v>154</v>
      </c>
    </row>
    <row r="2" spans="1:11" x14ac:dyDescent="0.2">
      <c r="A2" s="435" t="s">
        <v>72</v>
      </c>
      <c r="B2" s="196">
        <f>Summary!P13</f>
        <v>651926619.65833819</v>
      </c>
      <c r="C2" s="195"/>
      <c r="D2" s="284">
        <f>'2013 COP Forecast'!D2</f>
        <v>0.93893975395513607</v>
      </c>
    </row>
    <row r="3" spans="1:11" x14ac:dyDescent="0.2">
      <c r="A3" s="435" t="s">
        <v>73</v>
      </c>
      <c r="B3" s="196">
        <f>Summary!P17</f>
        <v>241614911.5490337</v>
      </c>
      <c r="C3" s="195"/>
      <c r="D3" s="284">
        <f>'2013 COP Forecast'!D3</f>
        <v>0.86067746631608777</v>
      </c>
      <c r="F3" s="283" t="s">
        <v>273</v>
      </c>
    </row>
    <row r="4" spans="1:11" x14ac:dyDescent="0.2">
      <c r="A4" s="435" t="s">
        <v>74</v>
      </c>
      <c r="B4" s="196">
        <f>Summary!P21</f>
        <v>844886400.47818482</v>
      </c>
      <c r="C4" s="204">
        <f>Summary!P22</f>
        <v>2183247.9865150913</v>
      </c>
      <c r="D4" s="284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5" t="s">
        <v>49</v>
      </c>
      <c r="B5" s="196">
        <f>Summary!P26</f>
        <v>31798990.292463161</v>
      </c>
      <c r="C5" s="204">
        <f>Summary!P27</f>
        <v>63001.717773348704</v>
      </c>
      <c r="D5" s="284">
        <v>0</v>
      </c>
      <c r="K5" s="154"/>
    </row>
    <row r="6" spans="1:11" x14ac:dyDescent="0.2">
      <c r="A6" s="435" t="s">
        <v>75</v>
      </c>
      <c r="B6" s="196">
        <f>Summary!P31</f>
        <v>16128464.711878158</v>
      </c>
      <c r="C6" s="204">
        <f>Summary!P32</f>
        <v>45145.286564759699</v>
      </c>
      <c r="D6" s="284">
        <v>0</v>
      </c>
    </row>
    <row r="7" spans="1:11" x14ac:dyDescent="0.2">
      <c r="A7" s="435" t="s">
        <v>76</v>
      </c>
      <c r="B7" s="196">
        <f>Summary!P36</f>
        <v>3417188.4429939534</v>
      </c>
      <c r="C7" s="195"/>
      <c r="D7" s="284">
        <v>0</v>
      </c>
    </row>
    <row r="8" spans="1:11" x14ac:dyDescent="0.2">
      <c r="A8" s="436" t="s">
        <v>204</v>
      </c>
      <c r="B8" s="196"/>
      <c r="C8" s="195"/>
      <c r="D8" s="284"/>
    </row>
    <row r="9" spans="1:11" x14ac:dyDescent="0.2">
      <c r="A9" s="437" t="s">
        <v>126</v>
      </c>
      <c r="B9" s="170">
        <f>SUM(B2:B7)</f>
        <v>1789772575.1328919</v>
      </c>
      <c r="C9" s="170">
        <f>SUM(C2:C7)</f>
        <v>2291394.9908531997</v>
      </c>
      <c r="D9" s="170"/>
    </row>
    <row r="10" spans="1:11" x14ac:dyDescent="0.2">
      <c r="B10" s="64"/>
      <c r="C10" s="64"/>
    </row>
    <row r="12" spans="1:11" x14ac:dyDescent="0.2">
      <c r="A12" s="432" t="s">
        <v>142</v>
      </c>
      <c r="B12" s="593" t="s">
        <v>155</v>
      </c>
      <c r="C12" s="595" t="s">
        <v>156</v>
      </c>
      <c r="D12" s="171"/>
      <c r="E12" s="198"/>
      <c r="F12" s="197"/>
    </row>
    <row r="13" spans="1:11" x14ac:dyDescent="0.2">
      <c r="A13" s="180" t="s">
        <v>141</v>
      </c>
      <c r="B13" s="594"/>
      <c r="C13" s="596"/>
      <c r="D13" s="597">
        <v>2014</v>
      </c>
      <c r="E13" s="598"/>
      <c r="F13" s="599"/>
    </row>
    <row r="14" spans="1:11" x14ac:dyDescent="0.2">
      <c r="A14" s="435" t="s">
        <v>72</v>
      </c>
      <c r="B14" s="196">
        <f t="shared" ref="B14:B19" si="0">B2*D2</f>
        <v>612119819.85880363</v>
      </c>
      <c r="C14" s="279">
        <f>'2013 COP Forecast'!C14</f>
        <v>1.0351420520000001</v>
      </c>
      <c r="D14" s="183">
        <f t="shared" ref="D14:D19" si="1">B14*C14</f>
        <v>633630966.39851236</v>
      </c>
      <c r="E14" s="293">
        <f>'2013 COP Forecast'!E14</f>
        <v>8.3949999999999997E-2</v>
      </c>
      <c r="F14" s="182">
        <f t="shared" ref="F14:F19" si="2">D14*E14</f>
        <v>53193319.629155114</v>
      </c>
    </row>
    <row r="15" spans="1:11" x14ac:dyDescent="0.2">
      <c r="A15" s="435" t="s">
        <v>73</v>
      </c>
      <c r="B15" s="196">
        <f t="shared" si="0"/>
        <v>207952509.89620799</v>
      </c>
      <c r="C15" s="279">
        <f>'2013 COP Forecast'!C15</f>
        <v>1.0351420520000001</v>
      </c>
      <c r="D15" s="183">
        <f t="shared" si="1"/>
        <v>215260387.81251106</v>
      </c>
      <c r="E15" s="293">
        <f>'2013 COP Forecast'!E15</f>
        <v>8.3949999999999997E-2</v>
      </c>
      <c r="F15" s="182">
        <f t="shared" si="2"/>
        <v>18071109.556860302</v>
      </c>
    </row>
    <row r="16" spans="1:11" x14ac:dyDescent="0.2">
      <c r="A16" s="435" t="s">
        <v>74</v>
      </c>
      <c r="B16" s="196">
        <f t="shared" si="0"/>
        <v>119546154.66509892</v>
      </c>
      <c r="C16" s="279">
        <f>'2013 COP Forecast'!C16</f>
        <v>1.0351420520000001</v>
      </c>
      <c r="D16" s="183">
        <f t="shared" si="1"/>
        <v>123747251.84873988</v>
      </c>
      <c r="E16" s="293">
        <f>'2013 COP Forecast'!E16</f>
        <v>8.3949999999999997E-2</v>
      </c>
      <c r="F16" s="182">
        <f t="shared" si="2"/>
        <v>10388581.792701712</v>
      </c>
    </row>
    <row r="17" spans="1:6" x14ac:dyDescent="0.2">
      <c r="A17" s="435" t="s">
        <v>49</v>
      </c>
      <c r="B17" s="196">
        <f t="shared" si="0"/>
        <v>0</v>
      </c>
      <c r="C17" s="279">
        <f>'2013 COP Forecast'!C17</f>
        <v>1.0351420520000001</v>
      </c>
      <c r="D17" s="183">
        <f t="shared" si="1"/>
        <v>0</v>
      </c>
      <c r="E17" s="293">
        <f>'2013 COP Forecast'!E17</f>
        <v>8.3949999999999997E-2</v>
      </c>
      <c r="F17" s="182">
        <f t="shared" si="2"/>
        <v>0</v>
      </c>
    </row>
    <row r="18" spans="1:6" x14ac:dyDescent="0.2">
      <c r="A18" s="435" t="s">
        <v>75</v>
      </c>
      <c r="B18" s="196">
        <f t="shared" si="0"/>
        <v>0</v>
      </c>
      <c r="C18" s="279">
        <f>'2013 COP Forecast'!C18</f>
        <v>1.0351420520000001</v>
      </c>
      <c r="D18" s="183">
        <f t="shared" si="1"/>
        <v>0</v>
      </c>
      <c r="E18" s="293">
        <f>'2013 COP Forecast'!E18</f>
        <v>8.3949999999999997E-2</v>
      </c>
      <c r="F18" s="182">
        <f t="shared" si="2"/>
        <v>0</v>
      </c>
    </row>
    <row r="19" spans="1:6" x14ac:dyDescent="0.2">
      <c r="A19" s="435" t="s">
        <v>76</v>
      </c>
      <c r="B19" s="196">
        <f t="shared" si="0"/>
        <v>0</v>
      </c>
      <c r="C19" s="279">
        <f>'2013 COP Forecast'!C19</f>
        <v>1.0351420520000001</v>
      </c>
      <c r="D19" s="183">
        <f t="shared" si="1"/>
        <v>0</v>
      </c>
      <c r="E19" s="293">
        <f>'2013 COP Forecast'!E19</f>
        <v>8.3949999999999997E-2</v>
      </c>
      <c r="F19" s="182">
        <f t="shared" si="2"/>
        <v>0</v>
      </c>
    </row>
    <row r="20" spans="1:6" x14ac:dyDescent="0.2">
      <c r="A20" s="436" t="s">
        <v>204</v>
      </c>
      <c r="B20" s="196">
        <v>0</v>
      </c>
      <c r="C20" s="279">
        <f>'2013 COP Forecast'!C20</f>
        <v>1.0351420520000001</v>
      </c>
      <c r="D20" s="183">
        <f t="shared" ref="D20" si="3">B20*C20</f>
        <v>0</v>
      </c>
      <c r="E20" s="293">
        <f>'2013 COP Forecast'!E20</f>
        <v>8.3949999999999997E-2</v>
      </c>
      <c r="F20" s="182">
        <f t="shared" ref="F20" si="4">D20*E20</f>
        <v>0</v>
      </c>
    </row>
    <row r="21" spans="1:6" x14ac:dyDescent="0.2">
      <c r="A21" s="437" t="s">
        <v>126</v>
      </c>
      <c r="B21" s="170">
        <f>SUM(B14:B19)</f>
        <v>939618484.42011046</v>
      </c>
      <c r="C21" s="180"/>
      <c r="D21" s="170">
        <f>SUM(D14:D19)</f>
        <v>972638606.05976331</v>
      </c>
      <c r="E21" s="179"/>
      <c r="F21" s="194">
        <f>SUM(F14:F20)</f>
        <v>81653010.978717119</v>
      </c>
    </row>
    <row r="22" spans="1:6" x14ac:dyDescent="0.2">
      <c r="A22" s="203"/>
      <c r="B22" s="201"/>
      <c r="C22" s="202"/>
      <c r="D22" s="201"/>
      <c r="E22" s="200"/>
      <c r="F22" s="199"/>
    </row>
    <row r="23" spans="1:6" x14ac:dyDescent="0.2">
      <c r="A23" s="432" t="s">
        <v>140</v>
      </c>
      <c r="B23" s="593" t="s">
        <v>155</v>
      </c>
      <c r="C23" s="595" t="s">
        <v>156</v>
      </c>
      <c r="D23" s="171"/>
      <c r="E23" s="198"/>
      <c r="F23" s="197"/>
    </row>
    <row r="24" spans="1:6" x14ac:dyDescent="0.2">
      <c r="A24" s="180" t="s">
        <v>132</v>
      </c>
      <c r="B24" s="594"/>
      <c r="C24" s="596"/>
      <c r="D24" s="597">
        <v>2014</v>
      </c>
      <c r="E24" s="598"/>
      <c r="F24" s="599"/>
    </row>
    <row r="25" spans="1:6" x14ac:dyDescent="0.2">
      <c r="A25" s="435" t="s">
        <v>72</v>
      </c>
      <c r="B25" s="196">
        <f>B2-B14</f>
        <v>39806799.799534559</v>
      </c>
      <c r="C25" s="279">
        <f t="shared" ref="C25:C31" si="5">C14</f>
        <v>1.0351420520000001</v>
      </c>
      <c r="D25" s="183">
        <f t="shared" ref="D25:D30" si="6">B25*C25</f>
        <v>41205692.428043395</v>
      </c>
      <c r="E25" s="293">
        <f>+'2013 COP Forecast'!E25</f>
        <v>8.7169999999999997E-2</v>
      </c>
      <c r="F25" s="182">
        <f t="shared" ref="F25:F30" si="7">D25*E25</f>
        <v>3591900.2089525429</v>
      </c>
    </row>
    <row r="26" spans="1:6" x14ac:dyDescent="0.2">
      <c r="A26" s="435" t="s">
        <v>73</v>
      </c>
      <c r="B26" s="196">
        <f>B3-B15</f>
        <v>33662401.652825713</v>
      </c>
      <c r="C26" s="279">
        <f t="shared" si="5"/>
        <v>1.0351420520000001</v>
      </c>
      <c r="D26" s="183">
        <f t="shared" si="6"/>
        <v>34845367.522154205</v>
      </c>
      <c r="E26" s="293">
        <f>E25</f>
        <v>8.7169999999999997E-2</v>
      </c>
      <c r="F26" s="182">
        <f t="shared" si="7"/>
        <v>3037470.6869061817</v>
      </c>
    </row>
    <row r="27" spans="1:6" x14ac:dyDescent="0.2">
      <c r="A27" s="435" t="s">
        <v>74</v>
      </c>
      <c r="B27" s="196">
        <f>B4-B16-F4</f>
        <v>705197536.58588588</v>
      </c>
      <c r="C27" s="279">
        <f t="shared" si="5"/>
        <v>1.0351420520000001</v>
      </c>
      <c r="D27" s="183">
        <f t="shared" si="6"/>
        <v>729979625.08685911</v>
      </c>
      <c r="E27" s="293">
        <f t="shared" ref="E27:E31" si="8">E26</f>
        <v>8.7169999999999997E-2</v>
      </c>
      <c r="F27" s="182">
        <f t="shared" si="7"/>
        <v>63632323.918821506</v>
      </c>
    </row>
    <row r="28" spans="1:6" x14ac:dyDescent="0.2">
      <c r="A28" s="435" t="s">
        <v>49</v>
      </c>
      <c r="B28" s="196">
        <f>B5-B17</f>
        <v>31798990.292463161</v>
      </c>
      <c r="C28" s="279">
        <v>1.0053000000000001</v>
      </c>
      <c r="D28" s="183">
        <f t="shared" si="6"/>
        <v>31967524.941013217</v>
      </c>
      <c r="E28" s="293">
        <f t="shared" si="8"/>
        <v>8.7169999999999997E-2</v>
      </c>
      <c r="F28" s="182">
        <f t="shared" si="7"/>
        <v>2786609.1491081221</v>
      </c>
    </row>
    <row r="29" spans="1:6" x14ac:dyDescent="0.2">
      <c r="A29" s="435" t="s">
        <v>75</v>
      </c>
      <c r="B29" s="196">
        <f>B6-B18</f>
        <v>16128464.711878158</v>
      </c>
      <c r="C29" s="279">
        <f t="shared" si="5"/>
        <v>1.0351420520000001</v>
      </c>
      <c r="D29" s="183">
        <f t="shared" si="6"/>
        <v>16695252.057463147</v>
      </c>
      <c r="E29" s="293">
        <f t="shared" si="8"/>
        <v>8.7169999999999997E-2</v>
      </c>
      <c r="F29" s="182">
        <f t="shared" si="7"/>
        <v>1455325.1218490624</v>
      </c>
    </row>
    <row r="30" spans="1:6" x14ac:dyDescent="0.2">
      <c r="A30" s="435" t="s">
        <v>76</v>
      </c>
      <c r="B30" s="196">
        <f>B7-B19</f>
        <v>3417188.4429939534</v>
      </c>
      <c r="C30" s="279">
        <f t="shared" si="5"/>
        <v>1.0351420520000001</v>
      </c>
      <c r="D30" s="183">
        <f t="shared" si="6"/>
        <v>3537275.4569514464</v>
      </c>
      <c r="E30" s="293">
        <f t="shared" si="8"/>
        <v>8.7169999999999997E-2</v>
      </c>
      <c r="F30" s="182">
        <f t="shared" si="7"/>
        <v>308344.30158245756</v>
      </c>
    </row>
    <row r="31" spans="1:6" x14ac:dyDescent="0.2">
      <c r="A31" s="436" t="s">
        <v>204</v>
      </c>
      <c r="B31" s="196">
        <v>0</v>
      </c>
      <c r="C31" s="279">
        <f t="shared" si="5"/>
        <v>1.0351420520000001</v>
      </c>
      <c r="D31" s="183">
        <f t="shared" ref="D31" si="9">B31*C31</f>
        <v>0</v>
      </c>
      <c r="E31" s="293">
        <f t="shared" si="8"/>
        <v>8.7169999999999997E-2</v>
      </c>
      <c r="F31" s="182">
        <f t="shared" ref="F31" si="10">D31*E31</f>
        <v>0</v>
      </c>
    </row>
    <row r="32" spans="1:6" x14ac:dyDescent="0.2">
      <c r="A32" s="437" t="s">
        <v>126</v>
      </c>
      <c r="B32" s="170">
        <f>SUM(B25:B30)</f>
        <v>830011381.48558152</v>
      </c>
      <c r="C32" s="180"/>
      <c r="D32" s="170">
        <f>SUM(D25:D30)</f>
        <v>858230737.49248457</v>
      </c>
      <c r="E32" s="179"/>
      <c r="F32" s="194">
        <f>SUM(F25:F31)</f>
        <v>74811973.387219876</v>
      </c>
    </row>
    <row r="34" spans="1:8" x14ac:dyDescent="0.2">
      <c r="A34" s="433" t="s">
        <v>139</v>
      </c>
      <c r="B34" s="188"/>
      <c r="C34" s="193" t="s">
        <v>137</v>
      </c>
      <c r="D34" s="190"/>
      <c r="E34" s="189"/>
      <c r="F34" s="188"/>
    </row>
    <row r="35" spans="1:8" x14ac:dyDescent="0.2">
      <c r="A35" s="180" t="s">
        <v>132</v>
      </c>
      <c r="B35" s="187"/>
      <c r="C35" s="192" t="s">
        <v>136</v>
      </c>
      <c r="D35" s="591">
        <v>2014</v>
      </c>
      <c r="E35" s="589"/>
      <c r="F35" s="590"/>
    </row>
    <row r="36" spans="1:8" x14ac:dyDescent="0.2">
      <c r="A36" s="435" t="str">
        <f t="shared" ref="A36:A41" si="11">A25</f>
        <v xml:space="preserve">Residential </v>
      </c>
      <c r="B36" s="183"/>
      <c r="C36" s="184" t="s">
        <v>106</v>
      </c>
      <c r="D36" s="183">
        <f>D14+D25</f>
        <v>674836658.82655573</v>
      </c>
      <c r="E36" s="278">
        <f>'2013 COP Forecast'!E36</f>
        <v>7.1999999999999998E-3</v>
      </c>
      <c r="F36" s="182">
        <f t="shared" ref="F36:F42" si="12">D36*E36</f>
        <v>4858823.9435512014</v>
      </c>
    </row>
    <row r="37" spans="1:8" x14ac:dyDescent="0.2">
      <c r="A37" s="435" t="str">
        <f t="shared" si="11"/>
        <v>General Service
&lt; 50 kW</v>
      </c>
      <c r="B37" s="183"/>
      <c r="C37" s="184" t="s">
        <v>106</v>
      </c>
      <c r="D37" s="183">
        <f>D15+D26</f>
        <v>250105755.33466527</v>
      </c>
      <c r="E37" s="278">
        <f>'2013 COP Forecast'!E37</f>
        <v>6.1999999999999998E-3</v>
      </c>
      <c r="F37" s="182">
        <f t="shared" si="12"/>
        <v>1550655.6830749246</v>
      </c>
    </row>
    <row r="38" spans="1:8" x14ac:dyDescent="0.2">
      <c r="A38" s="435" t="str">
        <f t="shared" si="11"/>
        <v>General Service
&gt; 50 kW</v>
      </c>
      <c r="B38" s="183"/>
      <c r="C38" s="184" t="s">
        <v>135</v>
      </c>
      <c r="D38" s="183">
        <f>+C4</f>
        <v>2183247.9865150913</v>
      </c>
      <c r="E38" s="278">
        <f>'2013 COP Forecast'!E38</f>
        <v>3.2835999999999999</v>
      </c>
      <c r="F38" s="182">
        <f t="shared" si="12"/>
        <v>7168913.0885209534</v>
      </c>
    </row>
    <row r="39" spans="1:8" x14ac:dyDescent="0.2">
      <c r="A39" s="435" t="str">
        <f t="shared" si="11"/>
        <v>Large User</v>
      </c>
      <c r="B39" s="183"/>
      <c r="C39" s="184" t="s">
        <v>135</v>
      </c>
      <c r="D39" s="183">
        <f>C5</f>
        <v>63001.717773348704</v>
      </c>
      <c r="E39" s="278">
        <f>'2013 COP Forecast'!E39</f>
        <v>3.0861999999999998</v>
      </c>
      <c r="F39" s="182">
        <f t="shared" si="12"/>
        <v>194435.90139210876</v>
      </c>
      <c r="H39" s="32"/>
    </row>
    <row r="40" spans="1:8" x14ac:dyDescent="0.2">
      <c r="A40" s="435" t="str">
        <f t="shared" si="11"/>
        <v xml:space="preserve">Streetlights </v>
      </c>
      <c r="B40" s="183"/>
      <c r="C40" s="184" t="s">
        <v>135</v>
      </c>
      <c r="D40" s="183">
        <f>C6</f>
        <v>45145.286564759699</v>
      </c>
      <c r="E40" s="278">
        <f>'2013 COP Forecast'!E40</f>
        <v>1.9966999999999999</v>
      </c>
      <c r="F40" s="182">
        <f t="shared" si="12"/>
        <v>90141.593683855681</v>
      </c>
    </row>
    <row r="41" spans="1:8" x14ac:dyDescent="0.2">
      <c r="A41" s="435" t="str">
        <f t="shared" si="11"/>
        <v xml:space="preserve">Unmetered Loads </v>
      </c>
      <c r="B41" s="183"/>
      <c r="C41" s="184" t="s">
        <v>106</v>
      </c>
      <c r="D41" s="183">
        <f>D19+D30</f>
        <v>3537275.4569514464</v>
      </c>
      <c r="E41" s="278">
        <f>'2013 COP Forecast'!E41</f>
        <v>6.1999999999999998E-3</v>
      </c>
      <c r="F41" s="182">
        <f t="shared" si="12"/>
        <v>21931.107833098966</v>
      </c>
    </row>
    <row r="42" spans="1:8" x14ac:dyDescent="0.2">
      <c r="A42" s="443" t="s">
        <v>204</v>
      </c>
      <c r="B42" s="444"/>
      <c r="C42" s="445" t="s">
        <v>135</v>
      </c>
      <c r="D42" s="444">
        <f>+ED!B20</f>
        <v>44673.767272727266</v>
      </c>
      <c r="E42" s="446">
        <f>'2013 COP Forecast'!E42</f>
        <v>3.0960000000000001</v>
      </c>
      <c r="F42" s="447">
        <f t="shared" si="12"/>
        <v>138309.98347636362</v>
      </c>
    </row>
    <row r="43" spans="1:8" x14ac:dyDescent="0.2">
      <c r="A43" s="437" t="s">
        <v>126</v>
      </c>
      <c r="B43" s="170"/>
      <c r="C43" s="180"/>
      <c r="D43" s="170"/>
      <c r="E43" s="179"/>
      <c r="F43" s="178">
        <f>SUM(F36:F42)</f>
        <v>14023211.301532505</v>
      </c>
    </row>
    <row r="45" spans="1:8" x14ac:dyDescent="0.2">
      <c r="A45" s="433" t="s">
        <v>138</v>
      </c>
      <c r="B45" s="188"/>
      <c r="C45" s="191" t="s">
        <v>137</v>
      </c>
      <c r="D45" s="190"/>
      <c r="E45" s="189"/>
      <c r="F45" s="188"/>
    </row>
    <row r="46" spans="1:8" x14ac:dyDescent="0.2">
      <c r="A46" s="180" t="s">
        <v>132</v>
      </c>
      <c r="B46" s="187"/>
      <c r="C46" s="186" t="s">
        <v>136</v>
      </c>
      <c r="D46" s="591">
        <v>2014</v>
      </c>
      <c r="E46" s="589"/>
      <c r="F46" s="590"/>
    </row>
    <row r="47" spans="1:8" x14ac:dyDescent="0.2">
      <c r="A47" s="435" t="str">
        <f t="shared" ref="A47:A52" si="13">A36</f>
        <v xml:space="preserve">Residential </v>
      </c>
      <c r="B47" s="183"/>
      <c r="C47" s="184" t="str">
        <f>C36</f>
        <v>kWh</v>
      </c>
      <c r="D47" s="183">
        <f>D36</f>
        <v>674836658.82655573</v>
      </c>
      <c r="E47" s="278">
        <f>'2013 COP Forecast'!E47</f>
        <v>1.4E-3</v>
      </c>
      <c r="F47" s="182">
        <f t="shared" ref="F47:F53" si="14">D47*E47</f>
        <v>944771.32235717797</v>
      </c>
    </row>
    <row r="48" spans="1:8" x14ac:dyDescent="0.2">
      <c r="A48" s="435" t="str">
        <f t="shared" si="13"/>
        <v>General Service
&lt; 50 kW</v>
      </c>
      <c r="B48" s="183"/>
      <c r="C48" s="184" t="str">
        <f>C37</f>
        <v>kWh</v>
      </c>
      <c r="D48" s="183">
        <f>D37</f>
        <v>250105755.33466527</v>
      </c>
      <c r="E48" s="278">
        <f>'2013 COP Forecast'!E48</f>
        <v>1.2999999999999999E-3</v>
      </c>
      <c r="F48" s="182">
        <f t="shared" si="14"/>
        <v>325137.48193506483</v>
      </c>
    </row>
    <row r="49" spans="1:6" x14ac:dyDescent="0.2">
      <c r="A49" s="435" t="str">
        <f t="shared" si="13"/>
        <v>General Service
&gt; 50 kW</v>
      </c>
      <c r="B49" s="183"/>
      <c r="C49" s="184" t="str">
        <f>C38</f>
        <v>kW</v>
      </c>
      <c r="D49" s="183">
        <f>+D38</f>
        <v>2183247.9865150913</v>
      </c>
      <c r="E49" s="278">
        <f>'2013 COP Forecast'!E49</f>
        <v>0.68510000000000004</v>
      </c>
      <c r="F49" s="182">
        <f t="shared" si="14"/>
        <v>1495743.1955614891</v>
      </c>
    </row>
    <row r="50" spans="1:6" x14ac:dyDescent="0.2">
      <c r="A50" s="435" t="str">
        <f t="shared" si="13"/>
        <v>Large User</v>
      </c>
      <c r="B50" s="183"/>
      <c r="C50" s="184" t="str">
        <f>C39</f>
        <v>kW</v>
      </c>
      <c r="D50" s="183">
        <f>D39</f>
        <v>63001.717773348704</v>
      </c>
      <c r="E50" s="278">
        <f>'2013 COP Forecast'!E50</f>
        <v>0.64400000000000002</v>
      </c>
      <c r="F50" s="182">
        <f t="shared" si="14"/>
        <v>40573.106246036565</v>
      </c>
    </row>
    <row r="51" spans="1:6" x14ac:dyDescent="0.2">
      <c r="A51" s="435" t="str">
        <f t="shared" si="13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8">
        <f>'2013 COP Forecast'!E51</f>
        <v>0.41689999999999999</v>
      </c>
      <c r="F51" s="182">
        <f t="shared" si="14"/>
        <v>18821.069968848318</v>
      </c>
    </row>
    <row r="52" spans="1:6" x14ac:dyDescent="0.2">
      <c r="A52" s="435" t="str">
        <f t="shared" si="13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8">
        <f>'2013 COP Forecast'!E52</f>
        <v>1.2999999999999999E-3</v>
      </c>
      <c r="F52" s="182">
        <f t="shared" si="14"/>
        <v>4598.4580940368796</v>
      </c>
    </row>
    <row r="53" spans="1:6" x14ac:dyDescent="0.2">
      <c r="A53" s="443" t="s">
        <v>204</v>
      </c>
      <c r="B53" s="444"/>
      <c r="C53" s="445" t="s">
        <v>135</v>
      </c>
      <c r="D53" s="444">
        <f>+D42</f>
        <v>44673.767272727266</v>
      </c>
      <c r="E53" s="446">
        <f>'2013 COP Forecast'!E53</f>
        <v>0.64610000000000001</v>
      </c>
      <c r="F53" s="447">
        <f t="shared" si="14"/>
        <v>28863.721034909086</v>
      </c>
    </row>
    <row r="54" spans="1:6" x14ac:dyDescent="0.2">
      <c r="A54" s="437" t="s">
        <v>126</v>
      </c>
      <c r="B54" s="170"/>
      <c r="C54" s="180"/>
      <c r="D54" s="183"/>
      <c r="E54" s="278"/>
      <c r="F54" s="178">
        <f>SUM(F47:F53)</f>
        <v>2858508.3551975628</v>
      </c>
    </row>
    <row r="56" spans="1:6" x14ac:dyDescent="0.2">
      <c r="A56" s="433" t="s">
        <v>134</v>
      </c>
      <c r="B56" s="188"/>
      <c r="C56" s="191"/>
      <c r="D56" s="190"/>
      <c r="E56" s="189"/>
      <c r="F56" s="188"/>
    </row>
    <row r="57" spans="1:6" x14ac:dyDescent="0.2">
      <c r="A57" s="180" t="s">
        <v>132</v>
      </c>
      <c r="B57" s="187"/>
      <c r="C57" s="186"/>
      <c r="D57" s="591">
        <v>2014</v>
      </c>
      <c r="E57" s="589"/>
      <c r="F57" s="592"/>
    </row>
    <row r="58" spans="1:6" x14ac:dyDescent="0.2">
      <c r="A58" s="435" t="str">
        <f t="shared" ref="A58:A63" si="15">A47</f>
        <v xml:space="preserve">Residential </v>
      </c>
      <c r="B58" s="183"/>
      <c r="C58" s="184"/>
      <c r="D58" s="183">
        <f t="shared" ref="D58:D63" si="16">D14+D25</f>
        <v>674836658.82655573</v>
      </c>
      <c r="E58" s="278">
        <v>4.4000000000000003E-3</v>
      </c>
      <c r="F58" s="182">
        <f t="shared" ref="F58:F64" si="17">D58*E58</f>
        <v>2969281.2988368454</v>
      </c>
    </row>
    <row r="59" spans="1:6" x14ac:dyDescent="0.2">
      <c r="A59" s="435" t="str">
        <f t="shared" si="15"/>
        <v>General Service
&lt; 50 kW</v>
      </c>
      <c r="B59" s="183"/>
      <c r="C59" s="184"/>
      <c r="D59" s="183">
        <f t="shared" si="16"/>
        <v>250105755.33466527</v>
      </c>
      <c r="E59" s="278">
        <f>+E58</f>
        <v>4.4000000000000003E-3</v>
      </c>
      <c r="F59" s="182">
        <f t="shared" si="17"/>
        <v>1100465.3234725273</v>
      </c>
    </row>
    <row r="60" spans="1:6" x14ac:dyDescent="0.2">
      <c r="A60" s="435" t="str">
        <f t="shared" si="15"/>
        <v>General Service
&gt; 50 kW</v>
      </c>
      <c r="B60" s="183"/>
      <c r="C60" s="184"/>
      <c r="D60" s="183">
        <f t="shared" si="16"/>
        <v>853726876.93559897</v>
      </c>
      <c r="E60" s="278">
        <f>+E58</f>
        <v>4.4000000000000003E-3</v>
      </c>
      <c r="F60" s="182">
        <f t="shared" si="17"/>
        <v>3756398.2585166357</v>
      </c>
    </row>
    <row r="61" spans="1:6" x14ac:dyDescent="0.2">
      <c r="A61" s="435" t="str">
        <f t="shared" si="15"/>
        <v>Large User</v>
      </c>
      <c r="B61" s="183"/>
      <c r="C61" s="184"/>
      <c r="D61" s="183">
        <f t="shared" si="16"/>
        <v>31967524.941013217</v>
      </c>
      <c r="E61" s="278">
        <f>+E58</f>
        <v>4.4000000000000003E-3</v>
      </c>
      <c r="F61" s="182">
        <f t="shared" si="17"/>
        <v>140657.10974045817</v>
      </c>
    </row>
    <row r="62" spans="1:6" x14ac:dyDescent="0.2">
      <c r="A62" s="435" t="str">
        <f t="shared" si="15"/>
        <v xml:space="preserve">Streetlights </v>
      </c>
      <c r="B62" s="183"/>
      <c r="C62" s="184"/>
      <c r="D62" s="183">
        <f t="shared" si="16"/>
        <v>16695252.057463147</v>
      </c>
      <c r="E62" s="278">
        <f>+E58</f>
        <v>4.4000000000000003E-3</v>
      </c>
      <c r="F62" s="182">
        <f t="shared" si="17"/>
        <v>73459.109052837855</v>
      </c>
    </row>
    <row r="63" spans="1:6" x14ac:dyDescent="0.2">
      <c r="A63" s="435" t="str">
        <f t="shared" si="15"/>
        <v xml:space="preserve">Unmetered Loads </v>
      </c>
      <c r="B63" s="183"/>
      <c r="C63" s="184"/>
      <c r="D63" s="183">
        <f t="shared" si="16"/>
        <v>3537275.4569514464</v>
      </c>
      <c r="E63" s="278">
        <f>+E58</f>
        <v>4.4000000000000003E-3</v>
      </c>
      <c r="F63" s="182">
        <f t="shared" si="17"/>
        <v>15564.012010586364</v>
      </c>
    </row>
    <row r="64" spans="1:6" x14ac:dyDescent="0.2">
      <c r="A64" s="436" t="s">
        <v>204</v>
      </c>
      <c r="B64" s="183"/>
      <c r="C64" s="184"/>
      <c r="D64" s="183">
        <v>0</v>
      </c>
      <c r="E64" s="278">
        <f>+E59</f>
        <v>4.4000000000000003E-3</v>
      </c>
      <c r="F64" s="182">
        <f t="shared" si="17"/>
        <v>0</v>
      </c>
    </row>
    <row r="65" spans="1:6" x14ac:dyDescent="0.2">
      <c r="A65" s="437" t="s">
        <v>126</v>
      </c>
      <c r="B65" s="170"/>
      <c r="C65" s="180"/>
      <c r="D65" s="170">
        <f>SUM(D58:D63)</f>
        <v>1830869343.5522478</v>
      </c>
      <c r="E65" s="179"/>
      <c r="F65" s="178">
        <f>SUM(F58:F64)</f>
        <v>8055825.1116298912</v>
      </c>
    </row>
    <row r="67" spans="1:6" x14ac:dyDescent="0.2">
      <c r="A67" s="433" t="s">
        <v>133</v>
      </c>
      <c r="B67" s="188"/>
      <c r="C67" s="191"/>
      <c r="D67" s="190"/>
      <c r="E67" s="189"/>
      <c r="F67" s="188"/>
    </row>
    <row r="68" spans="1:6" x14ac:dyDescent="0.2">
      <c r="A68" s="180" t="s">
        <v>132</v>
      </c>
      <c r="B68" s="187"/>
      <c r="C68" s="186"/>
      <c r="D68" s="588">
        <v>2014</v>
      </c>
      <c r="E68" s="589"/>
      <c r="F68" s="590"/>
    </row>
    <row r="69" spans="1:6" x14ac:dyDescent="0.2">
      <c r="A69" s="435" t="str">
        <f t="shared" ref="A69:A74" si="18">A58</f>
        <v xml:space="preserve">Residential </v>
      </c>
      <c r="B69" s="183"/>
      <c r="C69" s="184"/>
      <c r="D69" s="183">
        <f>D58</f>
        <v>674836658.82655573</v>
      </c>
      <c r="E69" s="278">
        <v>1.1999999999999999E-3</v>
      </c>
      <c r="F69" s="182">
        <f t="shared" ref="F69:F75" si="19">D69*E69</f>
        <v>809803.99059186678</v>
      </c>
    </row>
    <row r="70" spans="1:6" x14ac:dyDescent="0.2">
      <c r="A70" s="435" t="str">
        <f t="shared" si="18"/>
        <v>General Service
&lt; 50 kW</v>
      </c>
      <c r="B70" s="183"/>
      <c r="C70" s="184"/>
      <c r="D70" s="183">
        <f>D59</f>
        <v>250105755.33466527</v>
      </c>
      <c r="E70" s="278">
        <v>1.1999999999999999E-3</v>
      </c>
      <c r="F70" s="182">
        <f t="shared" si="19"/>
        <v>300126.9064015983</v>
      </c>
    </row>
    <row r="71" spans="1:6" x14ac:dyDescent="0.2">
      <c r="A71" s="435" t="str">
        <f t="shared" si="18"/>
        <v>General Service
&gt; 50 kW</v>
      </c>
      <c r="B71" s="183"/>
      <c r="C71" s="184"/>
      <c r="D71" s="183">
        <f>D60</f>
        <v>853726876.93559897</v>
      </c>
      <c r="E71" s="278">
        <v>1.1999999999999999E-3</v>
      </c>
      <c r="F71" s="182">
        <f t="shared" si="19"/>
        <v>1024472.2523227186</v>
      </c>
    </row>
    <row r="72" spans="1:6" x14ac:dyDescent="0.2">
      <c r="A72" s="435" t="str">
        <f t="shared" si="18"/>
        <v>Large User</v>
      </c>
      <c r="B72" s="183"/>
      <c r="C72" s="184"/>
      <c r="D72" s="183">
        <f>D61</f>
        <v>31967524.941013217</v>
      </c>
      <c r="E72" s="278">
        <v>1.1999999999999999E-3</v>
      </c>
      <c r="F72" s="182">
        <f t="shared" si="19"/>
        <v>38361.02992921586</v>
      </c>
    </row>
    <row r="73" spans="1:6" x14ac:dyDescent="0.2">
      <c r="A73" s="435" t="str">
        <f t="shared" si="18"/>
        <v xml:space="preserve">Streetlights </v>
      </c>
      <c r="B73" s="183"/>
      <c r="C73" s="184"/>
      <c r="D73" s="183">
        <f>D62</f>
        <v>16695252.057463147</v>
      </c>
      <c r="E73" s="278">
        <v>1.1999999999999999E-3</v>
      </c>
      <c r="F73" s="182">
        <f t="shared" si="19"/>
        <v>20034.302468955775</v>
      </c>
    </row>
    <row r="74" spans="1:6" x14ac:dyDescent="0.2">
      <c r="A74" s="435" t="str">
        <f t="shared" si="18"/>
        <v xml:space="preserve">Unmetered Loads </v>
      </c>
      <c r="B74" s="183"/>
      <c r="C74" s="184"/>
      <c r="D74" s="183">
        <f t="shared" ref="D74" si="20">D63</f>
        <v>3537275.4569514464</v>
      </c>
      <c r="E74" s="278">
        <v>1.1999999999999999E-3</v>
      </c>
      <c r="F74" s="182">
        <f t="shared" si="19"/>
        <v>4244.7305483417349</v>
      </c>
    </row>
    <row r="75" spans="1:6" x14ac:dyDescent="0.2">
      <c r="A75" s="436" t="s">
        <v>204</v>
      </c>
      <c r="B75" s="183"/>
      <c r="C75" s="184"/>
      <c r="D75" s="183">
        <v>0</v>
      </c>
      <c r="E75" s="278">
        <v>1.1999999999999999E-3</v>
      </c>
      <c r="F75" s="182">
        <f t="shared" si="19"/>
        <v>0</v>
      </c>
    </row>
    <row r="76" spans="1:6" x14ac:dyDescent="0.2">
      <c r="A76" s="437" t="s">
        <v>126</v>
      </c>
      <c r="B76" s="170"/>
      <c r="C76" s="180"/>
      <c r="D76" s="170">
        <f>SUM(D69:D74)</f>
        <v>1830869343.5522478</v>
      </c>
      <c r="E76" s="179"/>
      <c r="F76" s="178">
        <f>SUM(F69:F75)</f>
        <v>2197043.2122626975</v>
      </c>
    </row>
    <row r="77" spans="1:6" x14ac:dyDescent="0.2">
      <c r="A77" s="203"/>
      <c r="B77" s="201"/>
      <c r="C77" s="202"/>
      <c r="D77" s="201"/>
      <c r="E77" s="200"/>
      <c r="F77" s="303"/>
    </row>
    <row r="78" spans="1:6" x14ac:dyDescent="0.2">
      <c r="A78" s="433" t="s">
        <v>231</v>
      </c>
      <c r="B78" s="188"/>
      <c r="C78" s="191"/>
      <c r="D78" s="190"/>
      <c r="E78" s="189"/>
      <c r="F78" s="188"/>
    </row>
    <row r="79" spans="1:6" x14ac:dyDescent="0.2">
      <c r="A79" s="180" t="s">
        <v>132</v>
      </c>
      <c r="B79" s="298"/>
      <c r="C79" s="186"/>
      <c r="D79" s="588">
        <v>2014</v>
      </c>
      <c r="E79" s="589"/>
      <c r="F79" s="590"/>
    </row>
    <row r="80" spans="1:6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8">
        <v>0.79</v>
      </c>
      <c r="F80" s="182">
        <f t="shared" ref="F80:F81" si="21">D80*E80</f>
        <v>782833.59303936013</v>
      </c>
    </row>
    <row r="81" spans="1:6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8">
        <f>+E80</f>
        <v>0.79</v>
      </c>
      <c r="F81" s="182">
        <f t="shared" si="21"/>
        <v>74226.114083924942</v>
      </c>
    </row>
    <row r="82" spans="1:6" x14ac:dyDescent="0.2">
      <c r="A82" s="181" t="s">
        <v>126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</row>
    <row r="83" spans="1:6" x14ac:dyDescent="0.2">
      <c r="A83" s="203"/>
      <c r="B83" s="201"/>
      <c r="C83" s="202"/>
      <c r="D83" s="201"/>
      <c r="E83" s="200"/>
      <c r="F83" s="303"/>
    </row>
    <row r="84" spans="1:6" x14ac:dyDescent="0.2">
      <c r="A84" s="176"/>
      <c r="B84" s="177">
        <v>2014</v>
      </c>
    </row>
    <row r="85" spans="1:6" x14ac:dyDescent="0.2">
      <c r="A85" s="176"/>
      <c r="B85" s="175"/>
    </row>
    <row r="86" spans="1:6" x14ac:dyDescent="0.2">
      <c r="A86" s="172" t="s">
        <v>131</v>
      </c>
      <c r="B86" s="174">
        <f>F21+F32</f>
        <v>156464984.36593699</v>
      </c>
    </row>
    <row r="87" spans="1:6" x14ac:dyDescent="0.2">
      <c r="A87" s="172" t="s">
        <v>130</v>
      </c>
      <c r="B87" s="173">
        <f>F65</f>
        <v>8055825.1116298912</v>
      </c>
    </row>
    <row r="88" spans="1:6" x14ac:dyDescent="0.2">
      <c r="A88" s="172" t="s">
        <v>129</v>
      </c>
      <c r="B88" s="173">
        <f>F43</f>
        <v>14023211.301532505</v>
      </c>
    </row>
    <row r="89" spans="1:6" x14ac:dyDescent="0.2">
      <c r="A89" s="172" t="s">
        <v>128</v>
      </c>
      <c r="B89" s="173">
        <f>F54</f>
        <v>2858508.3551975628</v>
      </c>
    </row>
    <row r="90" spans="1:6" x14ac:dyDescent="0.2">
      <c r="A90" s="172" t="s">
        <v>127</v>
      </c>
      <c r="B90" s="173">
        <f>F76</f>
        <v>2197043.2122626975</v>
      </c>
    </row>
    <row r="91" spans="1:6" x14ac:dyDescent="0.2">
      <c r="A91" s="269" t="s">
        <v>232</v>
      </c>
      <c r="B91" s="174">
        <f>+F82</f>
        <v>857059.70712328504</v>
      </c>
    </row>
    <row r="92" spans="1:6" x14ac:dyDescent="0.2">
      <c r="A92" s="171" t="s">
        <v>126</v>
      </c>
      <c r="B92" s="178">
        <f>SUM(B86:B91)</f>
        <v>184456632.05368292</v>
      </c>
    </row>
  </sheetData>
  <mergeCells count="11">
    <mergeCell ref="B12:B13"/>
    <mergeCell ref="C12:C13"/>
    <mergeCell ref="D13:F13"/>
    <mergeCell ref="B23:B24"/>
    <mergeCell ref="C23:C24"/>
    <mergeCell ref="D24:F24"/>
    <mergeCell ref="D79:F79"/>
    <mergeCell ref="D35:F35"/>
    <mergeCell ref="D46:F46"/>
    <mergeCell ref="D57:F57"/>
    <mergeCell ref="D68:F68"/>
  </mergeCells>
  <pageMargins left="0.7" right="0.18" top="0.27" bottom="0.28999999999999998" header="0.21" footer="0.17"/>
  <pageSetup scale="64" orientation="portrait" r:id="rId1"/>
  <headerFooter alignWithMargins="0"/>
  <ignoredErrors>
    <ignoredError sqref="B88:B89 B92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2013 COP Forecast</vt:lpstr>
      <vt:lpstr>2014 COP Forecast</vt:lpstr>
      <vt:lpstr>CDM Forecast</vt:lpstr>
      <vt:lpstr>Exibit 3 Tables</vt:lpstr>
      <vt:lpstr>ED</vt:lpstr>
      <vt:lpstr>IR Chart</vt:lpstr>
      <vt:lpstr>Third Tranche</vt:lpstr>
      <vt:lpstr>Chart1</vt:lpstr>
      <vt:lpstr>'2013 COP Forecast'!Print_Area</vt:lpstr>
      <vt:lpstr>'CDM Activity'!Print_Area</vt:lpstr>
      <vt:lpstr>ED!Print_Area</vt:lpstr>
      <vt:lpstr>'HDD and CDD'!Print_Area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Blakeman, Kelly</cp:lastModifiedBy>
  <cp:lastPrinted>2013-10-25T13:49:44Z</cp:lastPrinted>
  <dcterms:created xsi:type="dcterms:W3CDTF">2008-02-06T18:24:44Z</dcterms:created>
  <dcterms:modified xsi:type="dcterms:W3CDTF">2013-10-25T13:49:48Z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