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01" windowWidth="12120" windowHeight="879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Analysis'!$A$1:$O$24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<sst xmlns="http://schemas.openxmlformats.org/spreadsheetml/2006/main" count="1027" uniqueCount="611">
  <si>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</si>
  <si>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</si>
  <si>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</si>
  <si>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</si>
  <si>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</si>
  <si>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</si>
  <si>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</si>
  <si>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</si>
  <si>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</si>
  <si>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</si>
  <si>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</si>
  <si>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</si>
  <si>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</si>
  <si>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</si>
  <si>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</si>
  <si>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</si>
  <si>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</si>
  <si>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</si>
  <si>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</si>
  <si>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</si>
  <si>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</si>
  <si>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</si>
  <si>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</si>
  <si>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</si>
  <si>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</si>
  <si>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</si>
  <si>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</si>
  <si>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</si>
  <si>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</si>
  <si>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</si>
  <si>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</si>
  <si>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</si>
  <si>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</si>
  <si>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</si>
  <si>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</si>
  <si>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</si>
  <si>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</si>
  <si>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</si>
  <si>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</si>
  <si>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</si>
  <si>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</si>
  <si>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</si>
  <si>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</si>
  <si>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</si>
  <si>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</si>
  <si>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</si>
  <si>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</si>
  <si>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</si>
  <si>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</si>
  <si>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</si>
  <si>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</si>
  <si>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</si>
  <si>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</si>
  <si>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</si>
  <si>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</si>
  <si>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</si>
  <si>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</si>
  <si>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</si>
  <si>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</si>
  <si>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</si>
  <si>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</si>
  <si>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</si>
  <si>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</si>
  <si>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</si>
  <si>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</si>
  <si>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</si>
  <si>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</si>
  <si>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</si>
  <si>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</si>
  <si>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</si>
  <si>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</si>
  <si>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</si>
  <si>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</si>
  <si>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</si>
  <si>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</si>
  <si>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</si>
  <si>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</si>
  <si>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</si>
  <si>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</si>
  <si>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</si>
  <si>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</si>
  <si>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</si>
  <si>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</si>
  <si>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</si>
  <si>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</si>
  <si>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</si>
  <si>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</si>
  <si>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</si>
  <si>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</si>
  <si>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</si>
  <si>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</si>
  <si>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</si>
  <si>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</si>
  <si>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</si>
  <si>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</si>
  <si>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</si>
  <si>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</si>
  <si>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</si>
  <si>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</si>
  <si>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</si>
  <si>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</si>
  <si>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</si>
  <si>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</si>
  <si>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</si>
  <si>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</si>
  <si>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</si>
  <si>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</si>
  <si>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</si>
  <si>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</si>
  <si>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</si>
  <si>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</si>
  <si>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</si>
  <si>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</si>
  <si>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</si>
  <si>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</si>
  <si>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</si>
  <si>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</si>
  <si>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</si>
  <si>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</si>
  <si>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</si>
  <si>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</si>
  <si>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</si>
  <si>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</si>
  <si>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</si>
  <si>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</si>
  <si>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</si>
  <si>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</si>
  <si>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</si>
  <si>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</si>
  <si>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</si>
  <si>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</si>
  <si>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</si>
  <si>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</si>
  <si>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</si>
  <si>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</si>
  <si>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</si>
  <si>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</si>
  <si>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</si>
  <si>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</si>
  <si>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</si>
  <si>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</si>
  <si>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</si>
  <si>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</si>
  <si>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</si>
  <si>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</si>
  <si>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</si>
  <si>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</si>
  <si>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</si>
  <si>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</si>
  <si>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</si>
  <si>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</si>
  <si>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</si>
  <si>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</si>
  <si>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</si>
  <si>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</si>
  <si>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</si>
  <si>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</si>
  <si>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</si>
  <si>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</si>
  <si>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</si>
  <si>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</si>
  <si>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</si>
  <si>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</si>
  <si>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</si>
  <si>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</si>
  <si>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</si>
  <si>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</si>
  <si>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</si>
  <si>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</si>
  <si>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</si>
  <si>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</si>
  <si>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</si>
  <si>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</si>
  <si>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</si>
  <si>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</si>
  <si>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</si>
  <si>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</si>
  <si>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</si>
  <si>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</si>
  <si>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</si>
  <si>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</si>
  <si>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</si>
  <si>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</si>
  <si>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</si>
  <si>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</si>
  <si>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</si>
  <si>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</si>
  <si>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</si>
  <si>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</si>
  <si>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</si>
  <si>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</si>
  <si>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</si>
  <si>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</si>
  <si>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</si>
  <si>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</si>
  <si>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</si>
  <si>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</si>
  <si>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</si>
  <si>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</si>
  <si>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</si>
  <si>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</si>
  <si>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</si>
  <si>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</si>
  <si>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</si>
  <si>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</si>
  <si>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</si>
  <si>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</si>
  <si>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</si>
  <si>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</si>
  <si>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</si>
  <si>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</si>
  <si>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</si>
  <si>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</si>
  <si>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</si>
  <si>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</si>
  <si>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</si>
  <si>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</si>
  <si>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</si>
  <si>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</si>
  <si>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</si>
  <si>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</si>
  <si>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</si>
  <si>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</si>
  <si>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</si>
  <si>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</si>
  <si>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</si>
  <si>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</si>
  <si>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</si>
  <si>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</si>
  <si>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</si>
  <si>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</si>
  <si>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</si>
  <si>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</si>
  <si>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</si>
  <si>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</si>
  <si>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</si>
  <si>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</si>
  <si>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</si>
  <si>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</si>
  <si>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</si>
  <si>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</si>
  <si>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</si>
  <si>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</si>
  <si>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</si>
  <si>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</si>
  <si>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</si>
  <si>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</si>
  <si>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</si>
  <si>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</si>
  <si>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</si>
  <si>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</si>
  <si>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</si>
  <si>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</si>
  <si>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</si>
  <si>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</si>
  <si>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</si>
  <si>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</si>
  <si>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</si>
  <si>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</si>
  <si>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</si>
  <si>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</si>
  <si>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</si>
  <si>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</si>
  <si>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</si>
  <si>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</si>
  <si>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</si>
  <si>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</si>
  <si>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</si>
  <si>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</si>
  <si>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</si>
  <si>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</si>
  <si>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</si>
  <si>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</si>
  <si>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</si>
  <si>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</si>
  <si>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</si>
  <si>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</si>
  <si>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</si>
  <si>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</si>
  <si>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</si>
  <si>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</si>
  <si>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</si>
  <si>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</si>
  <si>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</si>
  <si>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</si>
  <si>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</si>
  <si>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</si>
  <si>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</si>
  <si>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</si>
  <si>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</si>
  <si>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</si>
  <si>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</si>
  <si>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</si>
  <si>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</si>
  <si>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</si>
  <si>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</si>
  <si>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</si>
  <si>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</si>
  <si>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</si>
  <si>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</si>
  <si>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</si>
  <si>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</si>
  <si>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</si>
  <si>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</si>
  <si>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</si>
  <si>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</si>
  <si>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</si>
  <si>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</si>
  <si>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</si>
  <si>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</si>
  <si>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</si>
  <si>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</si>
  <si>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</si>
  <si>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</si>
  <si>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</si>
  <si>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</si>
  <si>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</si>
  <si>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</si>
  <si>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</si>
  <si>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</si>
  <si>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</si>
  <si>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</si>
  <si>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</si>
  <si>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</si>
  <si>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</si>
  <si>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</si>
  <si>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</si>
  <si>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</si>
  <si>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</si>
  <si>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</si>
  <si>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</si>
  <si>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</si>
  <si>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</si>
  <si>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</si>
  <si>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</si>
  <si>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</si>
  <si>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</si>
  <si>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</si>
  <si>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</si>
  <si>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</si>
  <si>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</si>
  <si>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</si>
  <si>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</si>
  <si>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</si>
  <si>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</si>
  <si>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</si>
  <si>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</si>
  <si>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</si>
  <si>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</si>
  <si>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</si>
  <si>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</si>
  <si>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</si>
  <si>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</si>
  <si>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</si>
  <si>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</si>
  <si>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</si>
  <si>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</si>
  <si>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</si>
  <si>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</si>
  <si>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</si>
  <si>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</si>
  <si>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</si>
  <si>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</si>
  <si>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</si>
  <si>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</si>
  <si>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</si>
  <si>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</si>
  <si>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</si>
  <si>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</si>
  <si>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</si>
  <si>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</si>
  <si>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</si>
  <si>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</si>
  <si>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</si>
  <si>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</si>
  <si>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</si>
  <si>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</si>
  <si>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</si>
  <si>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</si>
  <si>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</si>
  <si>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</si>
  <si>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</si>
  <si>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</si>
  <si>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</si>
  <si>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</si>
  <si>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</si>
  <si>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</si>
  <si>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</si>
  <si>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</si>
  <si>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</si>
  <si>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</si>
  <si>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</si>
  <si>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</si>
  <si>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</si>
  <si>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</si>
  <si>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</si>
  <si>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</si>
  <si>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</si>
  <si>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</si>
  <si>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</si>
  <si>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</si>
  <si>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</si>
  <si>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</si>
  <si>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</si>
  <si>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</si>
  <si>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</si>
  <si>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</si>
  <si>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</si>
  <si>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</si>
  <si>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</si>
  <si>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</si>
  <si>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</si>
  <si>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</si>
  <si>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</si>
  <si>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</si>
  <si>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</si>
  <si>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</si>
  <si>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</si>
  <si>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</si>
  <si>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</si>
  <si>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</si>
  <si>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</si>
  <si>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</si>
  <si>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</si>
  <si>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</si>
  <si>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</si>
  <si>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</si>
  <si>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</si>
  <si>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</si>
  <si>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</si>
  <si>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</si>
  <si>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</si>
  <si>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</si>
  <si>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</si>
  <si>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</si>
  <si>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</si>
  <si>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</si>
  <si>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</si>
  <si>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</si>
  <si>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</si>
  <si>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</si>
  <si>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</si>
  <si>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</si>
  <si>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</si>
  <si>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</si>
  <si>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</si>
  <si>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</si>
  <si>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</si>
  <si>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</si>
  <si>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</si>
  <si>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</si>
  <si>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</si>
  <si>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</si>
  <si>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</si>
  <si>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</si>
  <si>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</si>
  <si>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</si>
  <si>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</si>
  <si>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</si>
  <si>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</si>
  <si>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</si>
  <si>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</si>
  <si>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</si>
  <si>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</si>
  <si>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</si>
  <si>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</si>
  <si>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</si>
  <si>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</si>
  <si>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</si>
  <si>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</si>
  <si>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</si>
  <si>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</si>
  <si>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</si>
  <si>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</si>
  <si>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</si>
  <si>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</si>
  <si>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</si>
  <si>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</si>
  <si>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</si>
  <si>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</si>
  <si>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</si>
  <si>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</si>
  <si>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</si>
  <si>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</si>
  <si>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</si>
  <si>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</si>
  <si>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</si>
  <si>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</si>
  <si>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</si>
  <si>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</si>
  <si>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</si>
  <si>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</si>
  <si>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</si>
  <si>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</si>
  <si>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</si>
  <si>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</si>
  <si>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</si>
  <si>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</si>
  <si>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</si>
  <si>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</si>
  <si>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</si>
  <si>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</si>
  <si>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</si>
  <si>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</si>
  <si>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</si>
  <si>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</si>
  <si>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</si>
  <si>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</si>
  <si>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</si>
  <si>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</si>
  <si>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</si>
  <si>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</si>
  <si>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</si>
  <si>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</si>
  <si>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</si>
  <si>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</si>
  <si>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</si>
  <si>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</si>
  <si>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</si>
  <si>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</si>
  <si>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</si>
  <si>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</si>
  <si>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</si>
  <si>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</si>
  <si>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</si>
  <si>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</si>
  <si>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</si>
  <si>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</si>
  <si>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</si>
  <si>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</si>
  <si>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</si>
  <si>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</si>
  <si>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</si>
  <si>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</si>
  <si>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</si>
  <si>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</si>
  <si>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</si>
  <si>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</si>
  <si>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</si>
  <si>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</si>
  <si>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</si>
  <si>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</si>
  <si>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</si>
  <si>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</si>
  <si>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</si>
  <si>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</si>
  <si>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</si>
  <si>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</si>
  <si>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</si>
  <si>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</si>
  <si>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</si>
  <si>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</si>
  <si>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</si>
  <si>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</si>
  <si>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</si>
  <si>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</si>
  <si>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</si>
  <si>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</si>
  <si>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</si>
  <si>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</si>
  <si>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</si>
  <si>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</si>
  <si>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</si>
  <si>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</si>
  <si>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</si>
  <si>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</si>
  <si>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</si>
  <si>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</si>
  <si>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</si>
  <si>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</si>
  <si>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</si>
  <si>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</si>
  <si>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</si>
  <si>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</si>
  <si>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</si>
  <si>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</si>
  <si>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</si>
  <si>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</si>
  <si>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</si>
  <si>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</si>
  <si>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</si>
  <si>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</si>
  <si>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</si>
  <si>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</si>
  <si>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</si>
  <si>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</si>
  <si>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</si>
  <si>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</si>
  <si>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</si>
  <si>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</si>
  <si>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</si>
  <si>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</si>
  <si>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</si>
  <si>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</si>
  <si>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</si>
  <si>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</si>
  <si>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</si>
  <si>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</si>
  <si>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</si>
  <si>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</si>
  <si>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</si>
  <si>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</si>
  <si>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</si>
  <si>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</si>
  <si>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</si>
  <si>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 xml:space="preserve">Utility Name:  HYDRONAME  </t>
  </si>
  <si>
    <t xml:space="preserve">Reporting period:  Dec. 31, 2001 Revised </t>
  </si>
  <si>
    <t>Employee Future benefits</t>
  </si>
  <si>
    <t>Employee Future Benefits</t>
  </si>
  <si>
    <t>Y</t>
  </si>
  <si>
    <t>N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</si>
</sst>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53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8" fontId="0" fillId="36" borderId="25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8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56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5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0" fontId="0" fillId="40" borderId="50" xfId="0" applyFill="1" applyBorder="1" applyAlignment="1" applyProtection="1">
      <alignment horizontal="center" vertical="top"/>
      <protection locked="0"/>
    </xf>
    <xf numFmtId="0" fontId="0" fillId="40" borderId="57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51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52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52" xfId="42" applyNumberFormat="1" applyFont="1" applyFill="1" applyBorder="1" applyAlignment="1" applyProtection="1">
      <alignment horizontal="center" vertical="top"/>
      <protection locked="0"/>
    </xf>
    <xf numFmtId="3" fontId="3" fillId="41" borderId="58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51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52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52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9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1" xfId="0" applyNumberFormat="1" applyFill="1" applyBorder="1" applyAlignment="1">
      <alignment/>
    </xf>
    <xf numFmtId="3" fontId="0" fillId="36" borderId="61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/>
      <c r="H1" s="8"/>
    </row>
    <row r="2" spans="1:8" ht="12.75">
      <c r="A2" s="2" t="s">
        <v>131</v>
      </c>
      <c r="B2" s="8"/>
      <c r="C2" s="8"/>
      <c r="E2" s="27"/>
      <c r="H2" s="8"/>
    </row>
    <row r="3" spans="1:8" ht="12.75">
      <c r="A3" s="2" t="s">
        <v>605</v>
      </c>
      <c r="C3" s="8"/>
      <c r="E3" s="8"/>
      <c r="F3" s="8"/>
      <c r="G3" s="8"/>
      <c r="H3" s="8"/>
    </row>
    <row r="4" spans="1:8" ht="12.75">
      <c r="A4" s="2" t="s">
        <v>606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6">
        <v>92</v>
      </c>
      <c r="C6" s="8" t="s">
        <v>210</v>
      </c>
      <c r="D6" s="27"/>
      <c r="H6" s="8"/>
    </row>
    <row r="7" spans="1:8" ht="13.5" thickBot="1">
      <c r="A7" s="58" t="s">
        <v>384</v>
      </c>
      <c r="B7" s="289">
        <v>365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8" t="s">
        <v>609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8" t="s">
        <v>610</v>
      </c>
    </row>
    <row r="16" spans="1:4" ht="7.5" customHeight="1">
      <c r="A16" s="51"/>
      <c r="C16" s="8"/>
      <c r="D16" s="8"/>
    </row>
    <row r="17" spans="1:4" ht="13.5" thickBot="1">
      <c r="A17" s="51" t="s">
        <v>271</v>
      </c>
      <c r="C17" s="8" t="s">
        <v>136</v>
      </c>
      <c r="D17" s="298" t="s">
        <v>610</v>
      </c>
    </row>
    <row r="18" spans="1:4" ht="15" customHeight="1">
      <c r="A18" s="457" t="s">
        <v>464</v>
      </c>
      <c r="C18" s="8"/>
      <c r="D18" s="8"/>
    </row>
    <row r="19" spans="1:4" ht="15" customHeight="1">
      <c r="A19" s="522" t="s">
        <v>465</v>
      </c>
      <c r="B19" s="8" t="s">
        <v>462</v>
      </c>
      <c r="C19" s="8" t="s">
        <v>136</v>
      </c>
      <c r="D19" s="456" t="s">
        <v>610</v>
      </c>
    </row>
    <row r="20" spans="1:4" ht="13.5" thickBot="1">
      <c r="A20" s="523"/>
      <c r="B20" s="8" t="s">
        <v>463</v>
      </c>
      <c r="C20" s="8" t="s">
        <v>136</v>
      </c>
      <c r="D20" s="298" t="s">
        <v>610</v>
      </c>
    </row>
    <row r="21" spans="1:4" ht="12.75">
      <c r="A21" s="522" t="s">
        <v>461</v>
      </c>
      <c r="B21" s="8" t="s">
        <v>462</v>
      </c>
      <c r="C21" s="8"/>
      <c r="D21" s="497"/>
    </row>
    <row r="22" spans="1:4" ht="12.75">
      <c r="A22" s="522"/>
      <c r="B22" s="8" t="s">
        <v>463</v>
      </c>
      <c r="C22" s="8"/>
      <c r="D22" s="497"/>
    </row>
    <row r="23" spans="1:4" ht="7.5" customHeight="1">
      <c r="A23" s="51"/>
      <c r="C23" s="8"/>
      <c r="D23" s="456"/>
    </row>
    <row r="24" spans="1:4" ht="12.75">
      <c r="A24" s="51" t="s">
        <v>329</v>
      </c>
      <c r="C24" s="8" t="s">
        <v>330</v>
      </c>
      <c r="D24" s="498">
        <v>37256</v>
      </c>
    </row>
    <row r="25" ht="6.75" customHeight="1" thickBot="1">
      <c r="A25" s="12"/>
    </row>
    <row r="26" spans="1:5" ht="12.75">
      <c r="A26" s="295" t="s">
        <v>139</v>
      </c>
      <c r="C26" s="8"/>
      <c r="E26" s="519" t="s">
        <v>430</v>
      </c>
    </row>
    <row r="27" spans="1:5" ht="12.75">
      <c r="A27" s="296" t="s">
        <v>140</v>
      </c>
      <c r="C27" s="8"/>
      <c r="E27" s="520" t="s">
        <v>431</v>
      </c>
    </row>
    <row r="28" spans="1:3" ht="12.75">
      <c r="A28" s="296" t="s">
        <v>141</v>
      </c>
      <c r="C28" s="44"/>
    </row>
    <row r="29" ht="12.75">
      <c r="A29" s="297" t="s">
        <v>142</v>
      </c>
    </row>
    <row r="30" ht="12.75">
      <c r="A30" s="41"/>
    </row>
    <row r="31" spans="1:8" ht="12.75">
      <c r="A31" t="s">
        <v>420</v>
      </c>
      <c r="D31" s="495">
        <v>11068045</v>
      </c>
      <c r="H31" s="5"/>
    </row>
    <row r="32" ht="6" customHeight="1"/>
    <row r="33" spans="1:8" ht="12.75">
      <c r="A33" t="s">
        <v>143</v>
      </c>
      <c r="D33" s="496">
        <v>0.5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0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6">
        <v>0.0988</v>
      </c>
      <c r="H37" s="47"/>
    </row>
    <row r="38" ht="4.5" customHeight="1">
      <c r="H38" s="40"/>
    </row>
    <row r="39" spans="1:8" ht="12.75">
      <c r="A39" t="s">
        <v>146</v>
      </c>
      <c r="D39" s="496">
        <v>0.0725</v>
      </c>
      <c r="H39" s="47"/>
    </row>
    <row r="40" ht="6" customHeight="1">
      <c r="H40" s="40"/>
    </row>
    <row r="41" spans="1:8" ht="12.75">
      <c r="A41" t="s">
        <v>147</v>
      </c>
      <c r="D41" s="291">
        <f>D31*((D33*D37)+(D35*D39))</f>
        <v>947978.05425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99">
        <v>255161</v>
      </c>
      <c r="E43" s="455">
        <f>D43</f>
        <v>255161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1">
        <f>D41-D43</f>
        <v>692817.05425</v>
      </c>
      <c r="H45" s="46"/>
      <c r="J45" s="5"/>
      <c r="K45" s="5"/>
    </row>
    <row r="46" spans="1:11" ht="12.75">
      <c r="A46" s="2" t="s">
        <v>421</v>
      </c>
      <c r="D46" s="46"/>
      <c r="H46" s="46"/>
      <c r="J46" s="5"/>
      <c r="K46" s="5"/>
    </row>
    <row r="47" spans="1:11" ht="12.75">
      <c r="A47" t="s">
        <v>422</v>
      </c>
      <c r="D47" s="500">
        <v>230939</v>
      </c>
      <c r="E47" s="455">
        <f aca="true" t="shared" si="0" ref="E47:E52">D47</f>
        <v>230939</v>
      </c>
      <c r="H47" s="46"/>
      <c r="J47" s="5"/>
      <c r="K47" s="5"/>
    </row>
    <row r="48" spans="1:11" ht="12.75">
      <c r="A48" t="s">
        <v>423</v>
      </c>
      <c r="D48" s="500">
        <v>230939</v>
      </c>
      <c r="E48" s="455">
        <f t="shared" si="0"/>
        <v>230939</v>
      </c>
      <c r="F48" s="28"/>
      <c r="H48" s="46"/>
      <c r="J48" s="5"/>
      <c r="K48" s="5"/>
    </row>
    <row r="49" spans="1:11" ht="12.75">
      <c r="A49" t="s">
        <v>424</v>
      </c>
      <c r="D49" s="501">
        <v>230939</v>
      </c>
      <c r="E49" s="455">
        <f t="shared" si="0"/>
        <v>230939</v>
      </c>
      <c r="F49" s="28"/>
      <c r="H49" s="46"/>
      <c r="J49" s="5"/>
      <c r="K49" s="5"/>
    </row>
    <row r="50" spans="1:11" ht="12.75">
      <c r="A50" t="s">
        <v>425</v>
      </c>
      <c r="D50" s="502"/>
      <c r="E50" s="455">
        <f t="shared" si="0"/>
        <v>0</v>
      </c>
      <c r="H50" s="46"/>
      <c r="J50" s="5"/>
      <c r="K50" s="5"/>
    </row>
    <row r="51" spans="4:11" ht="12.75">
      <c r="D51" s="502"/>
      <c r="E51" s="455">
        <f t="shared" si="0"/>
        <v>0</v>
      </c>
      <c r="H51" s="46"/>
      <c r="J51" s="5"/>
      <c r="K51" s="5"/>
    </row>
    <row r="52" spans="4:11" ht="12.75">
      <c r="D52" s="502"/>
      <c r="E52" s="455">
        <f t="shared" si="0"/>
        <v>0</v>
      </c>
      <c r="H52" s="46"/>
      <c r="J52" s="5"/>
      <c r="K52" s="5"/>
    </row>
    <row r="53" spans="1:11" ht="12.75">
      <c r="A53" s="2" t="s">
        <v>426</v>
      </c>
      <c r="E53" s="294">
        <f>SUM(E43:E52)</f>
        <v>947978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2">
        <f>D31*D33</f>
        <v>5534022.5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2">
        <f>D55*D37</f>
        <v>546761.423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2">
        <f>D31*D35</f>
        <v>5534022.5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460</v>
      </c>
      <c r="B61" s="5"/>
      <c r="C61" s="5"/>
      <c r="D61" s="292">
        <f>D59*D39</f>
        <v>401216.63125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427</v>
      </c>
      <c r="B63" s="5"/>
      <c r="C63" s="5"/>
      <c r="D63" s="293">
        <f>IF(D41&gt;0,(((D43+D47)/D41)*D61),0)</f>
        <v>205734.09223584353</v>
      </c>
      <c r="F63" s="5"/>
      <c r="H63" s="38"/>
      <c r="J63" s="5"/>
      <c r="K63" s="5"/>
    </row>
    <row r="64" spans="1:11" ht="12.75">
      <c r="A64" s="39" t="s">
        <v>579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428</v>
      </c>
      <c r="B65" s="5"/>
      <c r="C65" s="5"/>
      <c r="D65" s="293">
        <f>IF(D41&gt;0,(((D43+D47+D48)/D41)*D61),0)</f>
        <v>303475.350262697</v>
      </c>
      <c r="F65" s="5"/>
      <c r="H65" s="38"/>
      <c r="J65" s="5"/>
      <c r="K65" s="5"/>
    </row>
    <row r="66" spans="1:11" ht="12.75">
      <c r="A66" s="39" t="s">
        <v>580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429</v>
      </c>
      <c r="B67" s="5"/>
      <c r="C67" s="5"/>
      <c r="D67" s="293">
        <f>IF(D41&gt;0,(((D43+D47+D48)/D41)*D61),0)</f>
        <v>303475.350262697</v>
      </c>
      <c r="F67" s="5"/>
      <c r="H67" s="38"/>
      <c r="J67" s="5"/>
    </row>
    <row r="68" spans="1:10" ht="12.75">
      <c r="A68" s="39" t="s">
        <v>581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74" right="0.88" top="0.99" bottom="0.3" header="0.5" footer="0.12"/>
  <pageSetup fitToHeight="1" fitToWidth="1" horizontalDpi="600" verticalDpi="600" orientation="portrait" scale="80" r:id="rId1"/>
  <headerFooter alignWithMargins="0">
    <oddFooter>&amp;L&amp;F&amp;C&amp;P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tabSelected="1" zoomScale="90" zoomScaleNormal="90" zoomScalePageLayoutView="0" workbookViewId="0" topLeftCell="A158">
      <selection activeCell="K52" sqref="K5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164</v>
      </c>
      <c r="B1" s="227" t="s">
        <v>211</v>
      </c>
      <c r="C1" s="228" t="s">
        <v>44</v>
      </c>
      <c r="D1" s="229"/>
      <c r="E1" s="229"/>
      <c r="F1" s="229"/>
      <c r="G1" s="230"/>
      <c r="H1" s="230"/>
      <c r="I1" s="231" t="s">
        <v>33</v>
      </c>
      <c r="J1" s="232" t="s">
        <v>33</v>
      </c>
      <c r="K1" s="233" t="s">
        <v>33</v>
      </c>
      <c r="L1" s="234"/>
    </row>
    <row r="2" spans="1:12" ht="12.75">
      <c r="A2" s="235" t="s">
        <v>117</v>
      </c>
      <c r="B2" s="236"/>
      <c r="C2" s="237" t="s">
        <v>45</v>
      </c>
      <c r="D2" s="238"/>
      <c r="E2" s="238"/>
      <c r="F2" s="238"/>
      <c r="G2" s="239"/>
      <c r="H2" s="239"/>
      <c r="I2" s="240" t="s">
        <v>34</v>
      </c>
      <c r="J2" s="241" t="s">
        <v>34</v>
      </c>
      <c r="K2" s="205" t="s">
        <v>34</v>
      </c>
      <c r="L2" s="242"/>
    </row>
    <row r="3" spans="1:12" ht="12.75">
      <c r="A3" s="235" t="s">
        <v>116</v>
      </c>
      <c r="B3" s="243"/>
      <c r="C3" s="244"/>
      <c r="D3" s="238"/>
      <c r="E3" s="238"/>
      <c r="F3" s="238"/>
      <c r="G3" s="239"/>
      <c r="H3" s="239"/>
      <c r="I3" s="158" t="s">
        <v>31</v>
      </c>
      <c r="J3" s="245" t="s">
        <v>31</v>
      </c>
      <c r="K3" s="158"/>
      <c r="L3" s="242"/>
    </row>
    <row r="4" spans="1:12" ht="12.75">
      <c r="A4" s="246" t="s">
        <v>52</v>
      </c>
      <c r="B4" s="247"/>
      <c r="C4" s="244"/>
      <c r="D4" s="239"/>
      <c r="E4" s="239"/>
      <c r="F4" s="239"/>
      <c r="G4" s="239"/>
      <c r="H4" s="239"/>
      <c r="I4" s="158" t="s">
        <v>376</v>
      </c>
      <c r="J4" s="245" t="s">
        <v>32</v>
      </c>
      <c r="K4" s="158" t="s">
        <v>48</v>
      </c>
      <c r="L4" s="242"/>
    </row>
    <row r="5" spans="1:12" ht="12.75">
      <c r="A5" s="235">
        <f>REGINFO!E2</f>
        <v>0</v>
      </c>
      <c r="B5" s="247"/>
      <c r="C5" s="244"/>
      <c r="D5" s="239"/>
      <c r="E5" s="239"/>
      <c r="F5" s="239"/>
      <c r="G5" s="239"/>
      <c r="H5" s="239"/>
      <c r="I5" s="158"/>
      <c r="J5" s="245"/>
      <c r="K5" s="205">
        <f>REGINFO!E1</f>
        <v>0</v>
      </c>
      <c r="L5" s="242"/>
    </row>
    <row r="6" spans="1:12" ht="13.5" thickBot="1">
      <c r="A6" s="235"/>
      <c r="B6" s="247"/>
      <c r="C6" s="244" t="s">
        <v>35</v>
      </c>
      <c r="D6" s="238"/>
      <c r="E6" s="238"/>
      <c r="F6" s="238"/>
      <c r="G6" s="239"/>
      <c r="H6" s="239"/>
      <c r="I6" s="244" t="s">
        <v>35</v>
      </c>
      <c r="J6" s="245"/>
      <c r="K6" s="244" t="s">
        <v>35</v>
      </c>
      <c r="L6" s="242"/>
    </row>
    <row r="7" spans="1:12" ht="13.5" thickTop="1">
      <c r="A7" s="235" t="str">
        <f>REGINFO!A3</f>
        <v>Utility Name:  HYDRONAME  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Dec. 31, 2001 Revised 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159</v>
      </c>
      <c r="L8" s="242"/>
      <c r="N8" s="53" t="s">
        <v>212</v>
      </c>
      <c r="O8" s="53"/>
      <c r="P8" s="53"/>
    </row>
    <row r="9" spans="1:12" ht="12.75">
      <c r="A9" s="235" t="s">
        <v>209</v>
      </c>
      <c r="B9" s="503">
        <f>REGINFO!B6</f>
        <v>92</v>
      </c>
      <c r="C9" s="257" t="s">
        <v>210</v>
      </c>
      <c r="D9" s="238"/>
      <c r="E9" s="238"/>
      <c r="F9" s="238"/>
      <c r="G9" s="239"/>
      <c r="H9" s="239"/>
      <c r="I9" s="158"/>
      <c r="J9" s="245"/>
      <c r="K9" s="205" t="s">
        <v>162</v>
      </c>
      <c r="L9" s="242"/>
    </row>
    <row r="10" spans="1:12" ht="12.75">
      <c r="A10" s="235" t="s">
        <v>384</v>
      </c>
      <c r="B10" s="503">
        <f>REGINFO!B7</f>
        <v>365</v>
      </c>
      <c r="C10" s="257" t="s">
        <v>210</v>
      </c>
      <c r="D10" s="238"/>
      <c r="E10" s="238"/>
      <c r="F10" s="238"/>
      <c r="G10" s="239"/>
      <c r="H10" s="239"/>
      <c r="I10" s="258"/>
      <c r="J10" s="245"/>
      <c r="K10" s="259" t="s">
        <v>160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161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40</v>
      </c>
      <c r="B13" s="138" t="s">
        <v>177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503</v>
      </c>
      <c r="B15" s="143">
        <v>1</v>
      </c>
      <c r="C15" s="300">
        <v>63790</v>
      </c>
      <c r="D15" s="18"/>
      <c r="E15" s="18"/>
      <c r="F15" s="18"/>
      <c r="G15" s="22"/>
      <c r="H15" s="22"/>
      <c r="I15" s="308">
        <f>K15-C15</f>
        <v>-63790</v>
      </c>
      <c r="J15" s="3"/>
      <c r="K15" s="308">
        <f>TAXREC!E50</f>
        <v>0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325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2">
        <v>165876</v>
      </c>
      <c r="D20" s="20"/>
      <c r="E20" s="20"/>
      <c r="F20" s="20"/>
      <c r="G20" s="23"/>
      <c r="H20" s="23"/>
      <c r="I20" s="308">
        <f>K20-C20</f>
        <v>-25397</v>
      </c>
      <c r="J20" s="6"/>
      <c r="K20" s="308">
        <f>TAXREC!E61</f>
        <v>140479</v>
      </c>
      <c r="L20" s="172"/>
    </row>
    <row r="21" spans="1:12" ht="12.75">
      <c r="A21" s="179" t="s">
        <v>128</v>
      </c>
      <c r="B21" s="145">
        <v>3</v>
      </c>
      <c r="C21" s="302"/>
      <c r="D21" s="17"/>
      <c r="E21" s="17"/>
      <c r="F21" s="17"/>
      <c r="G21" s="23"/>
      <c r="H21" s="23"/>
      <c r="I21" s="308">
        <f>K21-C21</f>
        <v>123643</v>
      </c>
      <c r="J21" s="6"/>
      <c r="K21" s="308">
        <f>TAXREC!E62</f>
        <v>123643</v>
      </c>
      <c r="L21" s="172"/>
    </row>
    <row r="22" spans="1:12" ht="12.75">
      <c r="A22" s="179" t="s">
        <v>395</v>
      </c>
      <c r="B22" s="145">
        <v>4</v>
      </c>
      <c r="C22" s="302"/>
      <c r="D22" s="20"/>
      <c r="E22" s="20"/>
      <c r="F22" s="20"/>
      <c r="G22" s="23"/>
      <c r="H22" s="23"/>
      <c r="I22" s="308">
        <f>K22-C22</f>
        <v>0</v>
      </c>
      <c r="J22" s="6"/>
      <c r="K22" s="308">
        <f>TAXREC!E63</f>
        <v>0</v>
      </c>
      <c r="L22" s="172"/>
    </row>
    <row r="23" spans="1:12" ht="12.75">
      <c r="A23" s="179" t="s">
        <v>394</v>
      </c>
      <c r="B23" s="145">
        <v>4</v>
      </c>
      <c r="C23" s="302"/>
      <c r="D23" s="20"/>
      <c r="E23" s="20"/>
      <c r="F23" s="20"/>
      <c r="G23" s="23"/>
      <c r="H23" s="23"/>
      <c r="I23" s="308">
        <f>K23-C23</f>
        <v>0</v>
      </c>
      <c r="J23" s="6"/>
      <c r="K23" s="308">
        <f>TAXREC!E64</f>
        <v>0</v>
      </c>
      <c r="L23" s="172"/>
    </row>
    <row r="24" spans="1:12" ht="12.75">
      <c r="A24" s="179" t="s">
        <v>396</v>
      </c>
      <c r="B24" s="145">
        <v>5</v>
      </c>
      <c r="C24" s="302">
        <v>0</v>
      </c>
      <c r="D24" s="20"/>
      <c r="E24" s="20"/>
      <c r="F24" s="20"/>
      <c r="G24" s="23"/>
      <c r="H24" s="23"/>
      <c r="I24" s="308">
        <f>K24-C24</f>
        <v>0</v>
      </c>
      <c r="J24" s="6"/>
      <c r="K24" s="308">
        <f>TAXREC!E65</f>
        <v>0</v>
      </c>
      <c r="L24" s="172"/>
    </row>
    <row r="25" spans="1:12" ht="12.75">
      <c r="A25" s="179" t="s">
        <v>125</v>
      </c>
      <c r="B25" s="145"/>
      <c r="C25" s="121" t="s">
        <v>177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242</v>
      </c>
      <c r="B26" s="145">
        <v>6</v>
      </c>
      <c r="C26" s="302"/>
      <c r="D26" s="20"/>
      <c r="E26" s="20"/>
      <c r="F26" s="20"/>
      <c r="G26" s="23"/>
      <c r="H26" s="23"/>
      <c r="I26" s="308">
        <f>K26-C26</f>
        <v>0</v>
      </c>
      <c r="J26" s="6"/>
      <c r="K26" s="308">
        <f>TAXREC!E91</f>
        <v>0</v>
      </c>
      <c r="L26" s="172"/>
    </row>
    <row r="27" spans="1:12" ht="12.75">
      <c r="A27" s="179" t="s">
        <v>245</v>
      </c>
      <c r="B27" s="145">
        <v>6</v>
      </c>
      <c r="C27" s="302"/>
      <c r="D27" s="20"/>
      <c r="E27" s="20"/>
      <c r="F27" s="20"/>
      <c r="G27" s="23"/>
      <c r="H27" s="23"/>
      <c r="I27" s="308">
        <f>K27-C27</f>
        <v>453</v>
      </c>
      <c r="J27" s="6"/>
      <c r="K27" s="308">
        <f>TAXREC!E92</f>
        <v>453</v>
      </c>
      <c r="L27" s="172"/>
    </row>
    <row r="28" spans="1:12" ht="12.75">
      <c r="A28" s="179" t="s">
        <v>244</v>
      </c>
      <c r="B28" s="145">
        <v>6</v>
      </c>
      <c r="C28" s="302"/>
      <c r="D28" s="20"/>
      <c r="E28" s="20"/>
      <c r="F28" s="20"/>
      <c r="G28" s="23"/>
      <c r="H28" s="23"/>
      <c r="I28" s="308">
        <f>K28-C28</f>
        <v>0</v>
      </c>
      <c r="J28" s="6"/>
      <c r="K28" s="308">
        <f>TAXREC!E66</f>
        <v>0</v>
      </c>
      <c r="L28" s="172"/>
    </row>
    <row r="29" spans="1:12" ht="12.75">
      <c r="A29" s="179" t="s">
        <v>243</v>
      </c>
      <c r="B29" s="145">
        <v>6</v>
      </c>
      <c r="C29" s="302"/>
      <c r="D29" s="20"/>
      <c r="E29" s="20"/>
      <c r="F29" s="20"/>
      <c r="G29" s="23"/>
      <c r="H29" s="23"/>
      <c r="I29" s="308">
        <f>K29-C29</f>
        <v>100</v>
      </c>
      <c r="J29" s="6"/>
      <c r="K29" s="308">
        <f>TAXREC!E67</f>
        <v>100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504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178</v>
      </c>
      <c r="B32" s="145">
        <v>7</v>
      </c>
      <c r="C32" s="302">
        <v>57506</v>
      </c>
      <c r="D32" s="20"/>
      <c r="E32" s="20"/>
      <c r="F32" s="20"/>
      <c r="G32" s="150"/>
      <c r="H32" s="150"/>
      <c r="I32" s="308">
        <f aca="true" t="shared" si="0" ref="I32:I41">K32-C32</f>
        <v>93771</v>
      </c>
      <c r="J32" s="6"/>
      <c r="K32" s="308">
        <f>TAXREC!E96+TAXREC!E97</f>
        <v>151277</v>
      </c>
      <c r="L32" s="172"/>
    </row>
    <row r="33" spans="1:12" ht="12.75">
      <c r="A33" s="179" t="s">
        <v>129</v>
      </c>
      <c r="B33" s="145">
        <v>8</v>
      </c>
      <c r="C33" s="302"/>
      <c r="D33" s="20"/>
      <c r="E33" s="20"/>
      <c r="F33" s="20"/>
      <c r="G33" s="150"/>
      <c r="H33" s="150"/>
      <c r="I33" s="308">
        <f t="shared" si="0"/>
        <v>34846</v>
      </c>
      <c r="J33" s="6"/>
      <c r="K33" s="308">
        <f>TAXREC!E98</f>
        <v>34846</v>
      </c>
      <c r="L33" s="172"/>
    </row>
    <row r="34" spans="1:12" ht="12.75">
      <c r="A34" s="179" t="s">
        <v>56</v>
      </c>
      <c r="B34" s="145">
        <v>9</v>
      </c>
      <c r="C34" s="302">
        <v>0</v>
      </c>
      <c r="D34" s="20"/>
      <c r="E34" s="20"/>
      <c r="F34" s="20"/>
      <c r="G34" s="150"/>
      <c r="H34" s="150"/>
      <c r="I34" s="308">
        <f t="shared" si="0"/>
        <v>0</v>
      </c>
      <c r="J34" s="6"/>
      <c r="K34" s="308">
        <f>TAXREC!E99</f>
        <v>0</v>
      </c>
      <c r="L34" s="172"/>
    </row>
    <row r="35" spans="1:12" ht="12.75">
      <c r="A35" s="179" t="s">
        <v>397</v>
      </c>
      <c r="B35" s="145">
        <v>10</v>
      </c>
      <c r="C35" s="302">
        <v>0</v>
      </c>
      <c r="D35" s="20"/>
      <c r="E35" s="20"/>
      <c r="F35" s="20"/>
      <c r="G35" s="150"/>
      <c r="H35" s="150"/>
      <c r="I35" s="308">
        <f t="shared" si="0"/>
        <v>0</v>
      </c>
      <c r="J35" s="6"/>
      <c r="K35" s="308">
        <f>TAXREC!E101+TAXREC!E102</f>
        <v>0</v>
      </c>
      <c r="L35" s="172"/>
    </row>
    <row r="36" spans="1:12" ht="12.75">
      <c r="A36" s="176" t="s">
        <v>158</v>
      </c>
      <c r="B36" s="143">
        <v>11</v>
      </c>
      <c r="C36" s="301">
        <v>51434</v>
      </c>
      <c r="D36" s="20"/>
      <c r="E36" s="20"/>
      <c r="F36" s="20"/>
      <c r="G36" s="150"/>
      <c r="H36" s="150"/>
      <c r="I36" s="308">
        <f t="shared" si="0"/>
        <v>-51434</v>
      </c>
      <c r="J36" s="6"/>
      <c r="K36" s="308">
        <f>TAXREC!E51</f>
        <v>0</v>
      </c>
      <c r="L36" s="172"/>
    </row>
    <row r="37" spans="1:12" ht="12.75">
      <c r="A37" s="176" t="s">
        <v>393</v>
      </c>
      <c r="B37" s="143">
        <v>4</v>
      </c>
      <c r="C37" s="302"/>
      <c r="D37" s="20"/>
      <c r="E37" s="20"/>
      <c r="F37" s="20"/>
      <c r="G37" s="150"/>
      <c r="H37" s="150"/>
      <c r="I37" s="308">
        <f t="shared" si="0"/>
        <v>0</v>
      </c>
      <c r="J37" s="6"/>
      <c r="K37" s="308">
        <f>TAXREC!E103</f>
        <v>0</v>
      </c>
      <c r="L37" s="172"/>
    </row>
    <row r="38" spans="1:12" ht="12.75">
      <c r="A38" s="176" t="s">
        <v>392</v>
      </c>
      <c r="B38" s="143">
        <v>4</v>
      </c>
      <c r="C38" s="302"/>
      <c r="D38" s="20"/>
      <c r="E38" s="20"/>
      <c r="F38" s="20"/>
      <c r="G38" s="150"/>
      <c r="H38" s="150"/>
      <c r="I38" s="308">
        <f t="shared" si="0"/>
        <v>0</v>
      </c>
      <c r="J38" s="6"/>
      <c r="K38" s="308">
        <f>TAXREC!E104</f>
        <v>0</v>
      </c>
      <c r="L38" s="172"/>
    </row>
    <row r="39" spans="1:12" ht="12.75">
      <c r="A39" s="176" t="s">
        <v>22</v>
      </c>
      <c r="B39" s="143">
        <v>3</v>
      </c>
      <c r="C39" s="302"/>
      <c r="D39" s="20"/>
      <c r="E39" s="20"/>
      <c r="F39" s="20"/>
      <c r="G39" s="150"/>
      <c r="H39" s="150"/>
      <c r="I39" s="308">
        <f t="shared" si="0"/>
        <v>0</v>
      </c>
      <c r="J39" s="6"/>
      <c r="K39" s="308">
        <f>TAXREC!E105</f>
        <v>0</v>
      </c>
      <c r="L39" s="172"/>
    </row>
    <row r="40" spans="1:12" ht="12.75">
      <c r="A40" s="176" t="s">
        <v>23</v>
      </c>
      <c r="B40" s="143">
        <v>3</v>
      </c>
      <c r="C40" s="302"/>
      <c r="D40" s="20"/>
      <c r="E40" s="20"/>
      <c r="F40" s="20"/>
      <c r="G40" s="150"/>
      <c r="H40" s="150"/>
      <c r="I40" s="308">
        <f t="shared" si="0"/>
        <v>0</v>
      </c>
      <c r="J40" s="6"/>
      <c r="K40" s="308">
        <f>TAXREC!E106</f>
        <v>0</v>
      </c>
      <c r="L40" s="172"/>
    </row>
    <row r="41" spans="1:12" ht="12.75">
      <c r="A41" s="176" t="s">
        <v>270</v>
      </c>
      <c r="B41" s="143">
        <v>11</v>
      </c>
      <c r="C41" s="302"/>
      <c r="D41" s="20"/>
      <c r="E41" s="20"/>
      <c r="F41" s="20"/>
      <c r="G41" s="150"/>
      <c r="H41" s="150"/>
      <c r="I41" s="308">
        <f t="shared" si="0"/>
        <v>0</v>
      </c>
      <c r="J41" s="6"/>
      <c r="K41" s="308">
        <f>TAXREC!E107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242</v>
      </c>
      <c r="B43" s="145">
        <v>12</v>
      </c>
      <c r="C43" s="302"/>
      <c r="D43" s="20"/>
      <c r="E43" s="20"/>
      <c r="F43" s="20"/>
      <c r="G43" s="150"/>
      <c r="H43" s="150"/>
      <c r="I43" s="308">
        <f>K43-C43</f>
        <v>0</v>
      </c>
      <c r="J43" s="6"/>
      <c r="K43" s="291">
        <f>TAXREC!E128</f>
        <v>0</v>
      </c>
      <c r="L43" s="172"/>
    </row>
    <row r="44" spans="1:12" ht="12.75">
      <c r="A44" s="179" t="s">
        <v>239</v>
      </c>
      <c r="B44" s="145">
        <v>12</v>
      </c>
      <c r="C44" s="302"/>
      <c r="D44" s="20"/>
      <c r="E44" s="20"/>
      <c r="F44" s="20"/>
      <c r="G44" s="150"/>
      <c r="H44" s="150"/>
      <c r="I44" s="308">
        <f>K44-C44</f>
        <v>0</v>
      </c>
      <c r="J44" s="6"/>
      <c r="K44" s="291">
        <f>TAXREC!E129</f>
        <v>0</v>
      </c>
      <c r="L44" s="172"/>
    </row>
    <row r="45" spans="1:12" ht="12.75">
      <c r="A45" s="179" t="s">
        <v>241</v>
      </c>
      <c r="B45" s="145">
        <v>12</v>
      </c>
      <c r="C45" s="302"/>
      <c r="D45" s="20"/>
      <c r="E45" s="20"/>
      <c r="F45" s="20"/>
      <c r="G45" s="150"/>
      <c r="H45" s="150"/>
      <c r="I45" s="308">
        <f>K45-C45</f>
        <v>0</v>
      </c>
      <c r="J45" s="6"/>
      <c r="K45" s="291">
        <f>TAXREC!E108</f>
        <v>0</v>
      </c>
      <c r="L45" s="172"/>
    </row>
    <row r="46" spans="1:12" ht="12.75">
      <c r="A46" s="179" t="s">
        <v>240</v>
      </c>
      <c r="B46" s="145">
        <v>12</v>
      </c>
      <c r="C46" s="302"/>
      <c r="D46" s="20"/>
      <c r="E46" s="20"/>
      <c r="F46" s="20"/>
      <c r="G46" s="150"/>
      <c r="H46" s="150"/>
      <c r="I46" s="308">
        <f>K46-C46</f>
        <v>0</v>
      </c>
      <c r="J46" s="6"/>
      <c r="K46" s="291">
        <f>TAXREC!E109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483</v>
      </c>
      <c r="B48" s="143"/>
      <c r="C48" s="304">
        <f>C15+SUM(C20:C29)-SUM(C32:C46)</f>
        <v>120726</v>
      </c>
      <c r="D48" s="24"/>
      <c r="E48" s="24"/>
      <c r="F48" s="24"/>
      <c r="G48" s="117"/>
      <c r="H48" s="117"/>
      <c r="I48" s="304">
        <f>SUM(I15:I47)</f>
        <v>112192</v>
      </c>
      <c r="J48" s="505" t="s">
        <v>554</v>
      </c>
      <c r="K48" s="304">
        <f>K15+SUM(K20:K29)-SUM(K32:K46)</f>
        <v>78552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498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502</v>
      </c>
      <c r="B51" s="145">
        <v>13</v>
      </c>
      <c r="C51" s="303">
        <v>0.3412</v>
      </c>
      <c r="D51" s="116"/>
      <c r="E51" s="116"/>
      <c r="F51" s="116"/>
      <c r="G51" s="117"/>
      <c r="H51" s="117"/>
      <c r="I51" s="309">
        <f>+K51-C51</f>
        <v>-0.021799999999999986</v>
      </c>
      <c r="J51" s="130"/>
      <c r="K51" s="303">
        <v>0.3194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5">
        <f>ROUND(IF(C48&gt;0,C48*C51,0),2)</f>
        <v>41191.71</v>
      </c>
      <c r="D53" s="24"/>
      <c r="E53" s="24"/>
      <c r="F53" s="24"/>
      <c r="G53" s="117"/>
      <c r="H53" s="117"/>
      <c r="I53" s="308">
        <f>K53-C53</f>
        <v>-41191.71</v>
      </c>
      <c r="J53" s="505" t="s">
        <v>555</v>
      </c>
      <c r="K53" s="305">
        <f>TAXREC!E142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6"/>
      <c r="D56" s="20"/>
      <c r="E56" s="20"/>
      <c r="F56" s="20"/>
      <c r="G56" s="150"/>
      <c r="H56" s="150"/>
      <c r="I56" s="308">
        <f>+K56-C56</f>
        <v>0</v>
      </c>
      <c r="J56" s="505" t="s">
        <v>555</v>
      </c>
      <c r="K56" s="311">
        <f>TAXREC!E143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7">
        <f>+C53-C56</f>
        <v>41191.71</v>
      </c>
      <c r="D58" s="151"/>
      <c r="E58" s="151"/>
      <c r="F58" s="151"/>
      <c r="G58" s="152"/>
      <c r="H58" s="152"/>
      <c r="I58" s="310">
        <f>+I53-I56</f>
        <v>-41191.71</v>
      </c>
      <c r="J58" s="505" t="s">
        <v>555</v>
      </c>
      <c r="K58" s="310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5">
        <f>Ratebase</f>
        <v>11068045</v>
      </c>
      <c r="D64" s="116"/>
      <c r="E64" s="116"/>
      <c r="F64" s="116"/>
      <c r="G64" s="117"/>
      <c r="H64" s="117"/>
      <c r="I64" s="308">
        <f>K64-C64</f>
        <v>5642059</v>
      </c>
      <c r="J64" s="6"/>
      <c r="K64" s="308">
        <f>TAXREC!E217</f>
        <v>16710104</v>
      </c>
      <c r="L64" s="172"/>
    </row>
    <row r="65" spans="1:12" ht="12.75">
      <c r="A65" s="173" t="s">
        <v>546</v>
      </c>
      <c r="B65" s="143">
        <v>16</v>
      </c>
      <c r="C65" s="301">
        <f>IF(C64&gt;0,'Tax Rates'!C21,0)</f>
        <v>5000000</v>
      </c>
      <c r="D65" s="116"/>
      <c r="E65" s="116"/>
      <c r="F65" s="116"/>
      <c r="G65" s="117"/>
      <c r="H65" s="117"/>
      <c r="I65" s="308">
        <f>K65-C65</f>
        <v>0</v>
      </c>
      <c r="J65" s="6"/>
      <c r="K65" s="308">
        <f>TAXREC!E220</f>
        <v>5000000</v>
      </c>
      <c r="L65" s="172"/>
    </row>
    <row r="66" spans="1:12" ht="12.75">
      <c r="A66" s="173" t="s">
        <v>53</v>
      </c>
      <c r="B66" s="143"/>
      <c r="C66" s="305">
        <f>IF((C64-C65)&gt;0,C64-C65,0)</f>
        <v>6068045</v>
      </c>
      <c r="D66" s="116"/>
      <c r="E66" s="116"/>
      <c r="F66" s="116"/>
      <c r="G66" s="117"/>
      <c r="H66" s="117"/>
      <c r="I66" s="308">
        <f>SUM(I64:I65)</f>
        <v>5642059</v>
      </c>
      <c r="J66" s="130"/>
      <c r="K66" s="305">
        <f>IF((K64-K65)&gt;0,K64-K65,0)</f>
        <v>11710104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547</v>
      </c>
      <c r="B68" s="143">
        <v>17</v>
      </c>
      <c r="C68" s="356">
        <f>'Tax Rates'!C18</f>
        <v>0.003</v>
      </c>
      <c r="D68" s="116"/>
      <c r="E68" s="116"/>
      <c r="F68" s="116"/>
      <c r="G68" s="117"/>
      <c r="H68" s="117"/>
      <c r="I68" s="309">
        <f>+K68-C68</f>
        <v>0</v>
      </c>
      <c r="J68" s="6"/>
      <c r="K68" s="356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2" ht="12.75">
      <c r="A70" s="173" t="s">
        <v>466</v>
      </c>
      <c r="B70" s="143"/>
      <c r="C70" s="305">
        <f>IF(C66&gt;0,C66*C68,0)*0.25</f>
        <v>4551.0337500000005</v>
      </c>
      <c r="D70" s="114"/>
      <c r="E70" s="114"/>
      <c r="F70" s="114"/>
      <c r="G70" s="115"/>
      <c r="H70" s="115"/>
      <c r="I70" s="308">
        <f>+K70-C70</f>
        <v>4303.72982260274</v>
      </c>
      <c r="J70" s="130"/>
      <c r="K70" s="305">
        <f>TAXREC!E229</f>
        <v>8854.76357260274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335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5">
        <f>Ratebase</f>
        <v>11068045</v>
      </c>
      <c r="D73" s="116"/>
      <c r="E73" s="116"/>
      <c r="F73" s="116"/>
      <c r="G73" s="117"/>
      <c r="H73" s="117"/>
      <c r="I73" s="308">
        <f>+K73-C73</f>
        <v>3167494</v>
      </c>
      <c r="J73" s="6"/>
      <c r="K73" s="308">
        <f>TAXREC!E280</f>
        <v>14235539</v>
      </c>
      <c r="L73" s="172"/>
    </row>
    <row r="74" spans="1:12" ht="12.75">
      <c r="A74" s="173" t="s">
        <v>546</v>
      </c>
      <c r="B74" s="143">
        <v>19</v>
      </c>
      <c r="C74" s="301">
        <f>IF(C73&gt;0,'Tax Rates'!C22,0)</f>
        <v>10000000</v>
      </c>
      <c r="D74" s="20"/>
      <c r="E74" s="20"/>
      <c r="F74" s="20"/>
      <c r="G74" s="23"/>
      <c r="H74" s="23"/>
      <c r="I74" s="308">
        <f>+K74-C74</f>
        <v>0</v>
      </c>
      <c r="J74" s="6"/>
      <c r="K74" s="308">
        <f>TAXREC!E282</f>
        <v>10000000</v>
      </c>
      <c r="L74" s="172"/>
    </row>
    <row r="75" spans="1:12" ht="12.75">
      <c r="A75" s="173" t="s">
        <v>53</v>
      </c>
      <c r="B75" s="143"/>
      <c r="C75" s="305">
        <f>IF((C73-C74)&gt;0,C73-C74,0)</f>
        <v>1068045</v>
      </c>
      <c r="D75" s="24"/>
      <c r="E75" s="24"/>
      <c r="F75" s="24"/>
      <c r="G75" s="25"/>
      <c r="H75" s="25"/>
      <c r="I75" s="308">
        <f>SUM(I73:I74)</f>
        <v>3167494</v>
      </c>
      <c r="J75" s="130"/>
      <c r="K75" s="305">
        <f>IF((K73-K74)&gt;0,K73-K74,0)</f>
        <v>4235539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547</v>
      </c>
      <c r="B77" s="143">
        <v>20</v>
      </c>
      <c r="C77" s="356">
        <f>'Tax Rates'!C19</f>
        <v>0.00225</v>
      </c>
      <c r="D77" s="116"/>
      <c r="E77" s="116"/>
      <c r="F77" s="116"/>
      <c r="G77" s="117"/>
      <c r="H77" s="117"/>
      <c r="I77" s="309">
        <f>K77-C77</f>
        <v>0</v>
      </c>
      <c r="J77" s="6"/>
      <c r="K77" s="309">
        <f>TAXREC!E286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467</v>
      </c>
      <c r="B79" s="143"/>
      <c r="C79" s="305">
        <f>IF(C75&gt;0,C75*C77,0)</f>
        <v>2403.1012499999997</v>
      </c>
      <c r="D79" s="116"/>
      <c r="E79" s="116"/>
      <c r="F79" s="116"/>
      <c r="G79" s="117"/>
      <c r="H79" s="117"/>
      <c r="I79" s="308">
        <f>+K79-C79</f>
        <v>-1.0284472602738788</v>
      </c>
      <c r="J79" s="6"/>
      <c r="K79" s="305">
        <f>TAXREC!E291</f>
        <v>2402.072802739726</v>
      </c>
      <c r="L79" s="172"/>
    </row>
    <row r="80" spans="1:12" ht="12.75">
      <c r="A80" s="173" t="s">
        <v>468</v>
      </c>
      <c r="B80" s="143">
        <v>21</v>
      </c>
      <c r="C80" s="355">
        <f>IF(C75&gt;0,IF(C58&gt;0,C48*'Tax Rates'!C20,0),0)</f>
        <v>1352.1312</v>
      </c>
      <c r="D80" s="116"/>
      <c r="E80" s="116"/>
      <c r="F80" s="116"/>
      <c r="G80" s="117"/>
      <c r="H80" s="117"/>
      <c r="I80" s="308">
        <f>+K80-C80</f>
        <v>-1352.1312</v>
      </c>
      <c r="J80" s="6"/>
      <c r="K80" s="305">
        <f>TAXREC!E295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5">
        <v>0</v>
      </c>
      <c r="D82" s="21"/>
      <c r="E82" s="114"/>
      <c r="F82" s="21"/>
      <c r="G82" s="16"/>
      <c r="H82" s="16"/>
      <c r="I82" s="308">
        <f>SUM(I79:I81)</f>
        <v>-1353.159647260274</v>
      </c>
      <c r="J82" s="118"/>
      <c r="K82" s="305">
        <f>K79-K80</f>
        <v>2402.072802739726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198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352</v>
      </c>
      <c r="B86" s="143"/>
      <c r="C86" s="303">
        <f>C51</f>
        <v>0.3412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556</v>
      </c>
      <c r="B88" s="145">
        <v>22</v>
      </c>
      <c r="C88" s="305">
        <f>ROUND(C58/(1-C86),0)</f>
        <v>62525</v>
      </c>
      <c r="D88" s="113"/>
      <c r="E88" s="113"/>
      <c r="F88" s="113"/>
      <c r="G88" s="26"/>
      <c r="H88" s="26"/>
      <c r="I88" s="160"/>
      <c r="J88" s="504" t="s">
        <v>548</v>
      </c>
      <c r="K88" s="311">
        <f>TAXREC!E303</f>
        <v>0</v>
      </c>
      <c r="L88" s="172"/>
    </row>
    <row r="89" spans="1:12" ht="12.75">
      <c r="A89" s="179" t="s">
        <v>557</v>
      </c>
      <c r="B89" s="145">
        <v>23</v>
      </c>
      <c r="C89" s="305">
        <f>C82/(1-C86)</f>
        <v>0</v>
      </c>
      <c r="D89" s="113"/>
      <c r="E89" s="113"/>
      <c r="F89" s="113"/>
      <c r="G89" s="26"/>
      <c r="H89" s="26"/>
      <c r="I89" s="160"/>
      <c r="J89" s="504" t="s">
        <v>548</v>
      </c>
      <c r="K89" s="311">
        <f>TAXREC!E305</f>
        <v>2402.072802739726</v>
      </c>
      <c r="L89" s="172"/>
    </row>
    <row r="90" spans="1:12" ht="12.75">
      <c r="A90" s="179" t="s">
        <v>513</v>
      </c>
      <c r="B90" s="145">
        <v>24</v>
      </c>
      <c r="C90" s="305">
        <f>C70</f>
        <v>4551.0337500000005</v>
      </c>
      <c r="D90" s="113"/>
      <c r="E90" s="113"/>
      <c r="F90" s="113"/>
      <c r="G90" s="26"/>
      <c r="H90" s="26"/>
      <c r="I90" s="160"/>
      <c r="J90" s="504" t="s">
        <v>548</v>
      </c>
      <c r="K90" s="311">
        <f>TAXREC!E304</f>
        <v>8854.76357260274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482</v>
      </c>
      <c r="B93" s="143">
        <v>25</v>
      </c>
      <c r="C93" s="310">
        <f>SUM(C88:C91)</f>
        <v>67076.03375</v>
      </c>
      <c r="D93" s="99"/>
      <c r="E93" s="99"/>
      <c r="F93" s="99"/>
      <c r="G93" s="6"/>
      <c r="H93" s="6"/>
      <c r="I93" s="160"/>
      <c r="J93" s="504" t="s">
        <v>548</v>
      </c>
      <c r="K93" s="484">
        <f>SUM(K88:K92)</f>
        <v>11256.836375342466</v>
      </c>
      <c r="L93" s="185"/>
    </row>
    <row r="94" spans="1:12" ht="12.75">
      <c r="A94" s="473" t="s">
        <v>452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440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5">
      <c r="A98" s="187" t="s">
        <v>373</v>
      </c>
      <c r="B98" s="140"/>
      <c r="C98" s="128"/>
      <c r="D98" s="3"/>
      <c r="E98" s="3"/>
      <c r="F98" s="3"/>
      <c r="G98" s="3"/>
      <c r="H98" s="3"/>
      <c r="I98" s="164" t="s">
        <v>375</v>
      </c>
      <c r="J98" s="43"/>
      <c r="K98" s="223"/>
      <c r="L98" s="185"/>
    </row>
    <row r="99" spans="1:12" ht="12.75">
      <c r="A99" s="177" t="s">
        <v>511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1">
        <f>I21</f>
        <v>123643</v>
      </c>
      <c r="J100" s="43"/>
      <c r="K100" s="224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1">
        <f>I22</f>
        <v>0</v>
      </c>
      <c r="J101" s="43"/>
      <c r="K101" s="224"/>
      <c r="L101" s="185"/>
    </row>
    <row r="102" spans="1:12" ht="12.75">
      <c r="A102" s="179" t="s">
        <v>175</v>
      </c>
      <c r="B102" s="145">
        <v>4</v>
      </c>
      <c r="C102" s="128"/>
      <c r="D102" s="3"/>
      <c r="E102" s="3"/>
      <c r="F102" s="3"/>
      <c r="G102" s="3"/>
      <c r="H102" s="3"/>
      <c r="I102" s="291">
        <f>I23</f>
        <v>0</v>
      </c>
      <c r="J102" s="43"/>
      <c r="K102" s="224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1">
        <f>I24</f>
        <v>0</v>
      </c>
      <c r="J103" s="43"/>
      <c r="K103" s="224"/>
      <c r="L103" s="185"/>
    </row>
    <row r="104" spans="1:12" ht="12.75">
      <c r="A104" s="179" t="s">
        <v>550</v>
      </c>
      <c r="B104" s="145">
        <v>6</v>
      </c>
      <c r="C104" s="128"/>
      <c r="D104" s="3"/>
      <c r="E104" s="3"/>
      <c r="F104" s="3"/>
      <c r="G104" s="3"/>
      <c r="H104" s="3"/>
      <c r="I104" s="291">
        <f>I26</f>
        <v>0</v>
      </c>
      <c r="J104" s="43"/>
      <c r="K104" s="224"/>
      <c r="L104" s="185"/>
    </row>
    <row r="105" spans="1:12" ht="12.75">
      <c r="A105" s="179" t="s">
        <v>551</v>
      </c>
      <c r="B105" s="145">
        <v>6</v>
      </c>
      <c r="C105" s="128"/>
      <c r="D105" s="3"/>
      <c r="E105" s="3"/>
      <c r="F105" s="3"/>
      <c r="G105" s="3"/>
      <c r="H105" s="3"/>
      <c r="I105" s="291">
        <f>I28</f>
        <v>0</v>
      </c>
      <c r="J105" s="43"/>
      <c r="K105" s="224"/>
      <c r="L105" s="185"/>
    </row>
    <row r="106" spans="1:12" ht="12.75">
      <c r="A106" s="177" t="s">
        <v>549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1">
        <f>I33</f>
        <v>34846</v>
      </c>
      <c r="J107" s="43"/>
      <c r="K107" s="224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1">
        <f>I34</f>
        <v>0</v>
      </c>
      <c r="J108" s="43"/>
      <c r="K108" s="224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1">
        <f>I35</f>
        <v>0</v>
      </c>
      <c r="J109" s="43"/>
      <c r="K109" s="224"/>
      <c r="L109" s="185"/>
    </row>
    <row r="110" spans="1:12" ht="12.75">
      <c r="A110" s="176" t="s">
        <v>471</v>
      </c>
      <c r="B110" s="145">
        <v>11</v>
      </c>
      <c r="C110" s="128"/>
      <c r="D110" s="3"/>
      <c r="E110" s="3"/>
      <c r="F110" s="3"/>
      <c r="G110" s="3"/>
      <c r="H110" s="3"/>
      <c r="I110" s="291">
        <f>I204</f>
        <v>0</v>
      </c>
      <c r="J110" s="210"/>
      <c r="K110" s="224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1">
        <f>I37</f>
        <v>0</v>
      </c>
      <c r="J111" s="43"/>
      <c r="K111" s="224"/>
      <c r="L111" s="185"/>
    </row>
    <row r="112" spans="1:12" ht="12.75">
      <c r="A112" s="176" t="s">
        <v>176</v>
      </c>
      <c r="B112" s="143">
        <v>4</v>
      </c>
      <c r="C112" s="128"/>
      <c r="D112" s="3"/>
      <c r="E112" s="3"/>
      <c r="F112" s="3"/>
      <c r="G112" s="3"/>
      <c r="H112" s="3"/>
      <c r="I112" s="291">
        <f>I38</f>
        <v>0</v>
      </c>
      <c r="J112" s="43"/>
      <c r="K112" s="224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1">
        <f>I39</f>
        <v>0</v>
      </c>
      <c r="J113" s="43"/>
      <c r="K113" s="224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1">
        <f>I40</f>
        <v>0</v>
      </c>
      <c r="J114" s="43"/>
      <c r="K114" s="224"/>
      <c r="L114" s="185"/>
    </row>
    <row r="115" spans="1:12" ht="12.75">
      <c r="A115" s="179" t="s">
        <v>552</v>
      </c>
      <c r="B115" s="145">
        <v>12</v>
      </c>
      <c r="C115" s="128"/>
      <c r="D115" s="3"/>
      <c r="E115" s="3"/>
      <c r="F115" s="3"/>
      <c r="G115" s="3"/>
      <c r="H115" s="3"/>
      <c r="I115" s="291">
        <f>I43</f>
        <v>0</v>
      </c>
      <c r="J115" s="43"/>
      <c r="K115" s="224"/>
      <c r="L115" s="185"/>
    </row>
    <row r="116" spans="1:12" ht="12.75">
      <c r="A116" s="179" t="s">
        <v>553</v>
      </c>
      <c r="B116" s="145">
        <v>12</v>
      </c>
      <c r="C116" s="128"/>
      <c r="D116" s="3"/>
      <c r="E116" s="3"/>
      <c r="F116" s="3"/>
      <c r="G116" s="3"/>
      <c r="H116" s="3"/>
      <c r="I116" s="291">
        <f>I45</f>
        <v>0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337</v>
      </c>
      <c r="B118" s="145">
        <v>26</v>
      </c>
      <c r="C118" s="128"/>
      <c r="D118" s="3"/>
      <c r="E118" s="3"/>
      <c r="F118" s="3"/>
      <c r="G118" s="133"/>
      <c r="H118" s="133" t="s">
        <v>280</v>
      </c>
      <c r="I118" s="305">
        <f>SUM(I100:I105)-SUM(I107:I116)</f>
        <v>88797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453</v>
      </c>
      <c r="B120" s="145"/>
      <c r="C120" s="128"/>
      <c r="D120" s="3"/>
      <c r="E120" s="3"/>
      <c r="F120" s="3"/>
      <c r="G120" s="3"/>
      <c r="H120" s="3" t="s">
        <v>357</v>
      </c>
      <c r="I120" s="367">
        <f>K51</f>
        <v>0.3194</v>
      </c>
      <c r="J120" s="134"/>
      <c r="K120" s="224" t="s">
        <v>177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177</v>
      </c>
      <c r="L121" s="185"/>
    </row>
    <row r="122" spans="1:12" ht="12.75">
      <c r="A122" s="179" t="s">
        <v>372</v>
      </c>
      <c r="B122" s="145"/>
      <c r="C122" s="128"/>
      <c r="D122" s="3"/>
      <c r="E122" s="3"/>
      <c r="F122" s="3"/>
      <c r="G122" s="3"/>
      <c r="H122" s="3" t="s">
        <v>280</v>
      </c>
      <c r="I122" s="305">
        <f>I118*I120</f>
        <v>28361.7618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192</v>
      </c>
      <c r="B124" s="145">
        <v>14</v>
      </c>
      <c r="C124" s="128"/>
      <c r="D124" s="3"/>
      <c r="E124" s="3"/>
      <c r="F124" s="3"/>
      <c r="G124" s="3"/>
      <c r="H124" s="3"/>
      <c r="I124" s="305">
        <f>I56</f>
        <v>0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197</v>
      </c>
      <c r="B126" s="145"/>
      <c r="C126" s="128"/>
      <c r="D126" s="3"/>
      <c r="E126" s="3"/>
      <c r="F126" s="3"/>
      <c r="G126" s="3"/>
      <c r="H126" s="3"/>
      <c r="I126" s="305">
        <f>I122-I124</f>
        <v>28361.7618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301</v>
      </c>
      <c r="B128" s="145"/>
      <c r="C128" s="128"/>
      <c r="D128" s="3"/>
      <c r="E128" s="3"/>
      <c r="F128" s="3"/>
      <c r="G128" s="3"/>
      <c r="H128" s="3"/>
      <c r="I128" s="367">
        <f>I120-0.0112</f>
        <v>0.30820000000000003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535</v>
      </c>
      <c r="B130" s="148"/>
      <c r="C130" s="128"/>
      <c r="D130" s="3"/>
      <c r="E130" s="3"/>
      <c r="F130" s="3"/>
      <c r="G130" s="3"/>
      <c r="H130" s="3"/>
      <c r="I130" s="304">
        <f>I126/(1-I128)</f>
        <v>40997.053772766696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30">
      <c r="A132" s="190" t="s">
        <v>538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5.5">
      <c r="A134" s="192" t="s">
        <v>361</v>
      </c>
      <c r="B134" s="148"/>
      <c r="C134" s="128"/>
      <c r="D134" s="3"/>
      <c r="E134" s="3"/>
      <c r="F134" s="3"/>
      <c r="G134" s="135"/>
      <c r="H134" s="135" t="s">
        <v>280</v>
      </c>
      <c r="I134" s="357">
        <f>C48</f>
        <v>120726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363</v>
      </c>
      <c r="B136" s="148"/>
      <c r="C136" s="128"/>
      <c r="D136" s="3"/>
      <c r="E136" s="3"/>
      <c r="F136" s="3"/>
      <c r="G136" s="136"/>
      <c r="H136" s="136" t="s">
        <v>357</v>
      </c>
      <c r="I136" s="367">
        <f>I120</f>
        <v>0.3194</v>
      </c>
      <c r="J136" s="220" t="s">
        <v>177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355</v>
      </c>
      <c r="B138" s="148"/>
      <c r="C138" s="128"/>
      <c r="D138" s="3"/>
      <c r="E138" s="3"/>
      <c r="F138" s="3"/>
      <c r="G138" s="135"/>
      <c r="H138" s="135" t="s">
        <v>280</v>
      </c>
      <c r="I138" s="358">
        <f>IF(I134&gt;0,I134*I136,0)</f>
        <v>38559.8844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364</v>
      </c>
      <c r="B140" s="148"/>
      <c r="C140" s="128"/>
      <c r="D140" s="3"/>
      <c r="E140" s="3"/>
      <c r="F140" s="3"/>
      <c r="G140" s="135"/>
      <c r="H140" s="135" t="s">
        <v>278</v>
      </c>
      <c r="I140" s="359">
        <v>1436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356</v>
      </c>
      <c r="B142" s="148"/>
      <c r="C142" s="128"/>
      <c r="D142" s="3"/>
      <c r="E142" s="3"/>
      <c r="F142" s="3"/>
      <c r="G142" s="136"/>
      <c r="H142" s="136" t="s">
        <v>280</v>
      </c>
      <c r="I142" s="357">
        <f>I138-I140</f>
        <v>37123.8844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5.5">
      <c r="A144" s="192" t="s">
        <v>365</v>
      </c>
      <c r="B144" s="148"/>
      <c r="C144" s="128"/>
      <c r="D144" s="3"/>
      <c r="E144" s="3"/>
      <c r="F144" s="3"/>
      <c r="G144" s="135"/>
      <c r="H144" s="135" t="s">
        <v>278</v>
      </c>
      <c r="I144" s="357">
        <f>C58</f>
        <v>41191.71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358</v>
      </c>
      <c r="B146" s="148"/>
      <c r="C146" s="128"/>
      <c r="D146" s="3"/>
      <c r="E146" s="3"/>
      <c r="F146" s="3"/>
      <c r="G146" s="135"/>
      <c r="H146" s="135" t="s">
        <v>280</v>
      </c>
      <c r="I146" s="357">
        <f>I142-I144</f>
        <v>-4067.8255999999965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4" t="s">
        <v>30</v>
      </c>
      <c r="B148" s="148"/>
      <c r="C148" s="128"/>
      <c r="D148" s="3"/>
      <c r="E148" s="3"/>
      <c r="F148" s="3"/>
      <c r="G148" s="136"/>
      <c r="H148" s="136"/>
      <c r="I148" s="359"/>
      <c r="J148" s="43"/>
      <c r="K148" s="224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280</v>
      </c>
      <c r="I149" s="357">
        <f>C64</f>
        <v>11068045</v>
      </c>
      <c r="J149" s="43"/>
      <c r="K149" s="224"/>
      <c r="L149" s="185"/>
    </row>
    <row r="150" spans="1:12" ht="12.75">
      <c r="A150" s="192" t="s">
        <v>544</v>
      </c>
      <c r="B150" s="148"/>
      <c r="C150" s="128"/>
      <c r="D150" s="3"/>
      <c r="E150" s="3"/>
      <c r="F150" s="3"/>
      <c r="G150" s="135"/>
      <c r="H150" s="135" t="s">
        <v>278</v>
      </c>
      <c r="I150" s="360">
        <f>IF(I149&gt;0,'Tax Rates'!C39,0)</f>
        <v>5000000</v>
      </c>
      <c r="J150" s="43"/>
      <c r="K150" s="224"/>
      <c r="L150" s="185"/>
    </row>
    <row r="151" spans="1:12" ht="12.75">
      <c r="A151" s="192" t="s">
        <v>359</v>
      </c>
      <c r="B151" s="148"/>
      <c r="C151" s="128"/>
      <c r="D151" s="3"/>
      <c r="E151" s="3"/>
      <c r="F151" s="3"/>
      <c r="G151" s="135"/>
      <c r="H151" s="135" t="s">
        <v>280</v>
      </c>
      <c r="I151" s="357">
        <f>I149-I150</f>
        <v>6068045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545</v>
      </c>
      <c r="B153" s="148"/>
      <c r="C153" s="128"/>
      <c r="D153" s="3"/>
      <c r="E153" s="3"/>
      <c r="F153" s="3"/>
      <c r="G153" s="136"/>
      <c r="H153" s="136" t="s">
        <v>357</v>
      </c>
      <c r="I153" s="361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360</v>
      </c>
      <c r="B155" s="148"/>
      <c r="C155" s="128"/>
      <c r="D155" s="3"/>
      <c r="E155" s="3"/>
      <c r="F155" s="3"/>
      <c r="G155" s="136"/>
      <c r="H155" s="136" t="s">
        <v>280</v>
      </c>
      <c r="I155" s="357">
        <f>I151*I153*REGINFO!B6/REGINFO!B7</f>
        <v>4588.439506849316</v>
      </c>
      <c r="J155" s="43"/>
      <c r="K155" s="224"/>
      <c r="L155" s="185"/>
    </row>
    <row r="156" spans="1:12" ht="25.5">
      <c r="A156" s="192" t="s">
        <v>454</v>
      </c>
      <c r="B156" s="148"/>
      <c r="C156" s="128"/>
      <c r="D156" s="3"/>
      <c r="E156" s="3"/>
      <c r="F156" s="3"/>
      <c r="G156" s="135"/>
      <c r="H156" s="135" t="s">
        <v>278</v>
      </c>
      <c r="I156" s="360">
        <f>C70</f>
        <v>4551.0337500000005</v>
      </c>
      <c r="J156" s="43"/>
      <c r="K156" s="224"/>
      <c r="L156" s="185"/>
    </row>
    <row r="157" spans="1:12" ht="12.75" customHeight="1">
      <c r="A157" s="193" t="s">
        <v>370</v>
      </c>
      <c r="B157" s="148"/>
      <c r="C157" s="128"/>
      <c r="D157" s="3"/>
      <c r="E157" s="3"/>
      <c r="F157" s="3"/>
      <c r="G157" s="135"/>
      <c r="H157" s="135" t="s">
        <v>280</v>
      </c>
      <c r="I157" s="357">
        <f>I155-I156</f>
        <v>37.40575684931537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4" t="s">
        <v>362</v>
      </c>
      <c r="B159" s="148"/>
      <c r="C159" s="128"/>
      <c r="D159" s="3"/>
      <c r="E159" s="3"/>
      <c r="F159" s="3"/>
      <c r="G159" s="136"/>
      <c r="H159" s="136"/>
      <c r="I159" s="359"/>
      <c r="J159" s="43"/>
      <c r="K159" s="224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7">
        <f>C73</f>
        <v>11068045</v>
      </c>
      <c r="J160" s="43"/>
      <c r="K160" s="224"/>
      <c r="L160" s="185"/>
    </row>
    <row r="161" spans="1:12" ht="12.75">
      <c r="A161" s="192" t="s">
        <v>543</v>
      </c>
      <c r="B161" s="148"/>
      <c r="C161" s="128"/>
      <c r="D161" s="3"/>
      <c r="E161" s="3"/>
      <c r="F161" s="3"/>
      <c r="G161" s="135"/>
      <c r="H161" s="135" t="s">
        <v>278</v>
      </c>
      <c r="I161" s="360">
        <v>10000000</v>
      </c>
      <c r="J161" s="43"/>
      <c r="K161" s="224"/>
      <c r="L161" s="185"/>
    </row>
    <row r="162" spans="1:12" ht="12.75">
      <c r="A162" s="192" t="s">
        <v>366</v>
      </c>
      <c r="B162" s="148"/>
      <c r="C162" s="128"/>
      <c r="D162" s="3"/>
      <c r="E162" s="3"/>
      <c r="F162" s="3"/>
      <c r="G162" s="136"/>
      <c r="H162" s="136" t="s">
        <v>280</v>
      </c>
      <c r="I162" s="357">
        <f>I160-I161</f>
        <v>1068045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455</v>
      </c>
      <c r="B164" s="148"/>
      <c r="C164" s="128"/>
      <c r="D164" s="3"/>
      <c r="E164" s="3"/>
      <c r="F164" s="3"/>
      <c r="G164" s="136"/>
      <c r="H164" s="136"/>
      <c r="I164" s="361">
        <f>'Tax Rates'!C55</f>
        <v>0.00225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367</v>
      </c>
      <c r="B166" s="148"/>
      <c r="C166" s="128"/>
      <c r="D166" s="3"/>
      <c r="E166" s="3"/>
      <c r="F166" s="3"/>
      <c r="G166" s="136"/>
      <c r="H166" s="136"/>
      <c r="I166" s="357">
        <f>I162*I164*REGINFO!B6/REGINFO!B7</f>
        <v>605.7131917808218</v>
      </c>
      <c r="J166" s="43"/>
      <c r="K166" s="224"/>
      <c r="L166" s="185"/>
    </row>
    <row r="167" spans="1:12" ht="12.75">
      <c r="A167" s="192" t="s">
        <v>469</v>
      </c>
      <c r="B167" s="148"/>
      <c r="C167" s="128"/>
      <c r="D167" s="3"/>
      <c r="E167" s="3"/>
      <c r="F167" s="3"/>
      <c r="G167" s="135"/>
      <c r="H167" s="135" t="s">
        <v>278</v>
      </c>
      <c r="I167" s="362">
        <f>IF(I162&gt;0,IF(I142&gt;0,I134*'Tax Rates'!C56,0),0)</f>
        <v>1352.1312</v>
      </c>
      <c r="J167" s="43"/>
      <c r="K167" s="224"/>
      <c r="L167" s="185"/>
    </row>
    <row r="168" spans="1:12" ht="12.75">
      <c r="A168" s="192" t="s">
        <v>368</v>
      </c>
      <c r="B168" s="148"/>
      <c r="C168" s="128"/>
      <c r="D168" s="3"/>
      <c r="E168" s="3"/>
      <c r="F168" s="3"/>
      <c r="G168" s="136"/>
      <c r="H168" s="136" t="s">
        <v>280</v>
      </c>
      <c r="I168" s="357">
        <f>IF(I166-I167&lt;0,0,I166-I167)</f>
        <v>0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1"/>
      <c r="J169" s="43"/>
      <c r="K169" s="224"/>
      <c r="L169" s="185"/>
    </row>
    <row r="170" spans="1:12" ht="12.75">
      <c r="A170" s="485" t="s">
        <v>512</v>
      </c>
      <c r="B170" s="148"/>
      <c r="C170" s="128"/>
      <c r="D170" s="3"/>
      <c r="E170" s="3"/>
      <c r="F170" s="3"/>
      <c r="G170" s="135"/>
      <c r="H170" s="135" t="s">
        <v>278</v>
      </c>
      <c r="I170" s="360">
        <f>C82</f>
        <v>0</v>
      </c>
      <c r="J170" s="43"/>
      <c r="K170" s="224"/>
      <c r="L170" s="185"/>
    </row>
    <row r="171" spans="1:12" ht="12.75">
      <c r="A171" s="176" t="s">
        <v>371</v>
      </c>
      <c r="B171" s="148"/>
      <c r="C171" s="128"/>
      <c r="D171" s="3"/>
      <c r="E171" s="3"/>
      <c r="F171" s="3"/>
      <c r="G171" s="136"/>
      <c r="H171" s="136" t="s">
        <v>280</v>
      </c>
      <c r="I171" s="357">
        <f>I168-I170</f>
        <v>0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509</v>
      </c>
      <c r="B173" s="148"/>
      <c r="C173" s="128"/>
      <c r="D173" s="3"/>
      <c r="E173" s="3"/>
      <c r="F173" s="3"/>
      <c r="G173" s="136"/>
      <c r="H173" s="136"/>
      <c r="I173" s="367">
        <f>I128</f>
        <v>0.30820000000000003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369</v>
      </c>
      <c r="B175" s="148"/>
      <c r="C175" s="128"/>
      <c r="D175" s="3"/>
      <c r="E175" s="3"/>
      <c r="F175" s="3"/>
      <c r="G175" s="136"/>
      <c r="H175" s="136" t="s">
        <v>277</v>
      </c>
      <c r="I175" s="357">
        <f>I146/(1-I173)</f>
        <v>-5880.060132986408</v>
      </c>
      <c r="J175" s="43"/>
      <c r="K175" s="224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277</v>
      </c>
      <c r="I176" s="357">
        <f>I171/(1-I173)</f>
        <v>0</v>
      </c>
      <c r="J176" s="43"/>
      <c r="K176" s="224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277</v>
      </c>
      <c r="I177" s="357">
        <f>I157</f>
        <v>37.40575684931537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536</v>
      </c>
      <c r="B179" s="148"/>
      <c r="C179" s="128"/>
      <c r="D179" s="3"/>
      <c r="E179" s="3"/>
      <c r="F179" s="3"/>
      <c r="G179" s="136"/>
      <c r="H179" s="136" t="s">
        <v>280</v>
      </c>
      <c r="I179" s="357">
        <f>SUM(I175:I177)</f>
        <v>-5842.654376137092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510</v>
      </c>
      <c r="B181" s="148"/>
      <c r="C181" s="128"/>
      <c r="D181" s="3"/>
      <c r="E181" s="3"/>
      <c r="F181" s="3"/>
      <c r="G181" s="136"/>
      <c r="H181" s="136" t="s">
        <v>277</v>
      </c>
      <c r="I181" s="357">
        <f>I130</f>
        <v>40997.053772766696</v>
      </c>
      <c r="J181" s="43" t="s">
        <v>177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5">
      <c r="A183" s="194" t="s">
        <v>537</v>
      </c>
      <c r="B183" s="148"/>
      <c r="C183" s="128"/>
      <c r="D183" s="3"/>
      <c r="E183" s="3"/>
      <c r="F183" s="3"/>
      <c r="G183" s="136"/>
      <c r="H183" s="136" t="s">
        <v>280</v>
      </c>
      <c r="I183" s="357">
        <f>I179+I181</f>
        <v>35154.399396629604</v>
      </c>
      <c r="J183" s="43"/>
      <c r="K183" s="224"/>
      <c r="L183" s="185"/>
    </row>
    <row r="184" spans="1:12" ht="12.75">
      <c r="A184" s="183" t="s">
        <v>374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346</v>
      </c>
      <c r="B191" s="145"/>
      <c r="C191" s="128"/>
      <c r="D191" s="118"/>
      <c r="E191" s="118"/>
      <c r="F191" s="118"/>
      <c r="G191" s="137"/>
      <c r="H191" s="137"/>
      <c r="I191" s="363">
        <f>REGINFO!D61</f>
        <v>401216.63125</v>
      </c>
      <c r="J191" s="3"/>
      <c r="K191" s="140"/>
      <c r="L191" s="185"/>
    </row>
    <row r="192" spans="1:12" ht="12.75">
      <c r="A192" s="176" t="s">
        <v>377</v>
      </c>
      <c r="B192" s="145"/>
      <c r="C192" s="128"/>
      <c r="D192" s="118"/>
      <c r="E192" s="118"/>
      <c r="F192" s="118"/>
      <c r="G192" s="137"/>
      <c r="H192" s="137"/>
      <c r="I192" s="363">
        <f>C36</f>
        <v>51434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506</v>
      </c>
      <c r="B194" s="145"/>
      <c r="C194" s="128"/>
      <c r="D194" s="118"/>
      <c r="E194" s="118"/>
      <c r="F194" s="118"/>
      <c r="G194" s="137"/>
      <c r="H194" s="137"/>
      <c r="I194" s="363">
        <f>I191-I192</f>
        <v>349782.63125</v>
      </c>
      <c r="J194" s="3"/>
      <c r="K194" s="140"/>
      <c r="L194" s="185"/>
    </row>
    <row r="195" spans="1:12" ht="12.75">
      <c r="A195" s="176" t="s">
        <v>507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385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378</v>
      </c>
      <c r="B199" s="145"/>
      <c r="C199" s="128"/>
      <c r="D199" s="118"/>
      <c r="E199" s="118"/>
      <c r="F199" s="118"/>
      <c r="G199" s="137"/>
      <c r="H199" s="137"/>
      <c r="I199" s="363">
        <f>K36+K41</f>
        <v>0</v>
      </c>
      <c r="J199" s="3"/>
      <c r="K199" s="140"/>
      <c r="L199" s="185"/>
    </row>
    <row r="200" spans="1:12" ht="12.75">
      <c r="A200" s="176" t="s">
        <v>508</v>
      </c>
      <c r="B200" s="145"/>
      <c r="C200" s="128"/>
      <c r="D200" s="118"/>
      <c r="E200" s="118"/>
      <c r="F200" s="118"/>
      <c r="G200" s="137"/>
      <c r="H200" s="137"/>
      <c r="I200" s="363">
        <f>REGINFO!D61</f>
        <v>401216.63125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8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470</v>
      </c>
      <c r="B204" s="145"/>
      <c r="C204" s="128"/>
      <c r="D204" s="118"/>
      <c r="E204" s="118"/>
      <c r="F204" s="118"/>
      <c r="G204" s="137"/>
      <c r="H204" s="137"/>
      <c r="I204" s="358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347</v>
      </c>
      <c r="B206" s="199"/>
      <c r="C206" s="200"/>
      <c r="D206" s="201"/>
      <c r="E206" s="201"/>
      <c r="F206" s="201"/>
      <c r="G206" s="202"/>
      <c r="H206" s="202"/>
      <c r="I206" s="364">
        <f>+I194-I202</f>
        <v>349782.63125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177</v>
      </c>
      <c r="G219" s="96"/>
      <c r="H219" s="96"/>
      <c r="I219" s="83"/>
    </row>
    <row r="220" spans="3:9" ht="12.75">
      <c r="C220" t="s">
        <v>177</v>
      </c>
      <c r="G220" s="96"/>
      <c r="H220" s="96"/>
      <c r="I220" s="83"/>
    </row>
    <row r="221" spans="3:9" ht="12.75">
      <c r="C221" t="s">
        <v>177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92" bottom="0.39" header="0.51" footer="0.1"/>
  <pageSetup horizontalDpi="600" verticalDpi="600" orientation="portrait" scale="60" r:id="rId1"/>
  <headerFooter alignWithMargins="0">
    <oddFooter>&amp;L&amp;F&amp;C&amp;P of &amp;N&amp;R&amp;A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="80" zoomScaleNormal="80" zoomScalePageLayoutView="0" workbookViewId="0" topLeftCell="A106">
      <selection activeCell="C63" sqref="C63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>
        <f>REGINFO!E2</f>
        <v>0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>
        <f>REGINFO!E1</f>
        <v>0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HYDRONAME  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 Revised 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332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333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21">
        <v>92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334</v>
      </c>
      <c r="C13" s="299">
        <f>Ratebase*REGINFO!D33*0.25%</f>
        <v>13835.05625</v>
      </c>
      <c r="D13" s="94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177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177</v>
      </c>
      <c r="D15" s="31"/>
      <c r="E15" s="31"/>
      <c r="F15" s="26"/>
      <c r="G15" s="3"/>
      <c r="H15" s="3"/>
      <c r="I15" s="3"/>
    </row>
    <row r="16" spans="1:9" ht="12.75">
      <c r="A16" s="354" t="s">
        <v>354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417</v>
      </c>
      <c r="B17" s="26" t="s">
        <v>136</v>
      </c>
      <c r="C17" s="8"/>
      <c r="E17" s="32"/>
      <c r="F17" s="8"/>
    </row>
    <row r="18" spans="1:6" ht="12.75">
      <c r="A18" s="61" t="s">
        <v>386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9" t="s">
        <v>480</v>
      </c>
      <c r="B23" s="470"/>
      <c r="C23" s="471"/>
      <c r="D23" s="472"/>
      <c r="E23" s="34"/>
      <c r="F23" s="11"/>
      <c r="G23" s="11"/>
      <c r="H23" s="6"/>
      <c r="I23" s="6"/>
    </row>
    <row r="24" spans="1:9" ht="12.75">
      <c r="A24" s="469" t="s">
        <v>387</v>
      </c>
      <c r="B24" s="470"/>
      <c r="C24" s="471"/>
      <c r="D24" s="472"/>
      <c r="E24" s="34"/>
      <c r="F24" s="11"/>
      <c r="G24" s="11"/>
      <c r="H24" s="6"/>
      <c r="I24" s="6"/>
    </row>
    <row r="25" spans="1:9" ht="12.75">
      <c r="A25" s="469" t="s">
        <v>345</v>
      </c>
      <c r="B25" s="470"/>
      <c r="C25" s="471"/>
      <c r="D25" s="47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9" t="s">
        <v>478</v>
      </c>
      <c r="B27" s="470"/>
      <c r="C27" s="471"/>
      <c r="D27" s="472"/>
      <c r="E27" s="34"/>
      <c r="F27" s="11"/>
      <c r="G27" s="11"/>
      <c r="H27" s="6"/>
      <c r="I27" s="6"/>
    </row>
    <row r="28" spans="1:9" ht="12.75">
      <c r="A28" s="469" t="s">
        <v>479</v>
      </c>
      <c r="B28" s="470"/>
      <c r="C28" s="471"/>
      <c r="D28" s="47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8" t="s">
        <v>406</v>
      </c>
      <c r="B31" s="29" t="s">
        <v>277</v>
      </c>
      <c r="C31" s="327">
        <v>0</v>
      </c>
      <c r="D31" s="328"/>
      <c r="E31" s="326">
        <f>C31-D31</f>
        <v>0</v>
      </c>
      <c r="F31" s="11"/>
      <c r="G31" s="11"/>
      <c r="H31" s="6"/>
      <c r="I31" s="6"/>
    </row>
    <row r="32" spans="1:9" ht="12.75">
      <c r="A32" s="4" t="s">
        <v>343</v>
      </c>
      <c r="B32" s="29" t="s">
        <v>277</v>
      </c>
      <c r="C32" s="327"/>
      <c r="D32" s="328"/>
      <c r="E32" s="326">
        <f>C32-D32</f>
        <v>0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7"/>
      <c r="D33" s="328"/>
      <c r="E33" s="326">
        <f>C33-D33</f>
        <v>0</v>
      </c>
      <c r="F33" s="11"/>
      <c r="G33" s="11"/>
      <c r="H33" s="6"/>
      <c r="I33" s="6"/>
    </row>
    <row r="34" spans="1:9" ht="12.75">
      <c r="A34" s="4" t="s">
        <v>348</v>
      </c>
      <c r="B34" s="29" t="s">
        <v>277</v>
      </c>
      <c r="C34" s="327"/>
      <c r="D34" s="328"/>
      <c r="E34" s="326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7"/>
      <c r="D35" s="328"/>
      <c r="E35" s="326">
        <f>C35-D35</f>
        <v>0</v>
      </c>
      <c r="F35" s="11"/>
      <c r="G35" s="11"/>
      <c r="H35" s="6"/>
      <c r="I35" s="6"/>
    </row>
    <row r="36" spans="1:9" ht="12.75">
      <c r="A36" s="63" t="s">
        <v>267</v>
      </c>
      <c r="B36" s="29"/>
      <c r="C36" s="48"/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418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7"/>
      <c r="D39" s="328"/>
      <c r="E39" s="326">
        <f>C39-D39</f>
        <v>0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7"/>
      <c r="D40" s="328"/>
      <c r="E40" s="326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407</v>
      </c>
      <c r="B41" s="29" t="s">
        <v>278</v>
      </c>
      <c r="C41" s="327"/>
      <c r="D41" s="328"/>
      <c r="E41" s="326">
        <f t="shared" si="0"/>
        <v>0</v>
      </c>
      <c r="F41" s="11"/>
      <c r="G41" s="11"/>
      <c r="H41" s="6"/>
      <c r="I41" s="6"/>
    </row>
    <row r="42" spans="1:9" ht="12.75">
      <c r="A42" s="4" t="s">
        <v>408</v>
      </c>
      <c r="B42" s="29" t="s">
        <v>278</v>
      </c>
      <c r="C42" s="327"/>
      <c r="D42" s="328"/>
      <c r="E42" s="326">
        <f t="shared" si="0"/>
        <v>0</v>
      </c>
      <c r="F42" s="11"/>
      <c r="G42" s="11"/>
      <c r="H42" s="6"/>
      <c r="I42" s="6"/>
    </row>
    <row r="43" spans="1:9" ht="12.75">
      <c r="A43" s="4" t="s">
        <v>409</v>
      </c>
      <c r="B43" s="29" t="s">
        <v>278</v>
      </c>
      <c r="C43" s="327"/>
      <c r="D43" s="328"/>
      <c r="E43" s="326">
        <f t="shared" si="0"/>
        <v>0</v>
      </c>
      <c r="F43" s="11"/>
      <c r="G43" s="11"/>
      <c r="H43" s="6"/>
      <c r="I43" s="6"/>
    </row>
    <row r="44" spans="1:9" ht="12.75">
      <c r="A44" s="4" t="s">
        <v>410</v>
      </c>
      <c r="B44" s="29" t="s">
        <v>278</v>
      </c>
      <c r="C44" s="327"/>
      <c r="D44" s="328"/>
      <c r="E44" s="326">
        <f t="shared" si="0"/>
        <v>0</v>
      </c>
      <c r="F44" s="11"/>
      <c r="G44" s="11"/>
      <c r="H44" s="6"/>
      <c r="I44" s="6"/>
    </row>
    <row r="45" spans="2:11" ht="12.75">
      <c r="B45" s="29" t="s">
        <v>278</v>
      </c>
      <c r="C45" s="327"/>
      <c r="D45" s="328"/>
      <c r="E45" s="326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278</v>
      </c>
      <c r="C46" s="327"/>
      <c r="D46" s="328"/>
      <c r="E46" s="326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278</v>
      </c>
      <c r="C47" s="327"/>
      <c r="D47" s="328"/>
      <c r="E47" s="32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7"/>
      <c r="D48" s="328"/>
      <c r="E48" s="32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3">
        <v>-371600</v>
      </c>
      <c r="D50" s="323">
        <f>SUM(D31:D36)-SUM(D39:D49)</f>
        <v>0</v>
      </c>
      <c r="E50" s="323">
        <f>SUM(E31:E35)-SUM(E39:E48)</f>
        <v>0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7"/>
      <c r="D51" s="327"/>
      <c r="E51" s="324">
        <f>+C51-D51</f>
        <v>0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7">
        <v>-858800</v>
      </c>
      <c r="D52" s="327"/>
      <c r="E52" s="325">
        <f>+C52-D52</f>
        <v>-858800</v>
      </c>
      <c r="F52" s="8"/>
    </row>
    <row r="53" spans="1:6" ht="12.75">
      <c r="A53" s="2" t="s">
        <v>214</v>
      </c>
      <c r="B53" s="8" t="s">
        <v>280</v>
      </c>
      <c r="C53" s="323">
        <f>C50-C51-C52</f>
        <v>487200</v>
      </c>
      <c r="D53" s="323">
        <f>D50-D51-D52</f>
        <v>0</v>
      </c>
      <c r="E53" s="323">
        <f>E50-E51-E52</f>
        <v>858800</v>
      </c>
      <c r="F53" s="8"/>
    </row>
    <row r="54" spans="1:6" ht="36">
      <c r="A54" s="98" t="s">
        <v>331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29">
        <f>C52</f>
        <v>-858800</v>
      </c>
      <c r="D59" s="329">
        <f>D52</f>
        <v>0</v>
      </c>
      <c r="E59" s="313">
        <f>+C59-D59</f>
        <v>-858800</v>
      </c>
      <c r="F59" s="8"/>
    </row>
    <row r="60" spans="1:6" ht="12.75">
      <c r="A60" s="4" t="s">
        <v>481</v>
      </c>
      <c r="B60" s="8" t="s">
        <v>277</v>
      </c>
      <c r="C60" s="373"/>
      <c r="D60" s="373"/>
      <c r="E60" s="313">
        <f>+C60-D60</f>
        <v>0</v>
      </c>
      <c r="F60" s="8"/>
    </row>
    <row r="61" spans="1:6" ht="12.75">
      <c r="A61" t="s">
        <v>14</v>
      </c>
      <c r="B61" s="8" t="s">
        <v>277</v>
      </c>
      <c r="C61" s="329">
        <v>140479</v>
      </c>
      <c r="D61" s="329">
        <f>D43</f>
        <v>0</v>
      </c>
      <c r="E61" s="313">
        <f>+C61-D61</f>
        <v>140479</v>
      </c>
      <c r="F61" s="8"/>
    </row>
    <row r="62" spans="1:6" ht="12.75">
      <c r="A62" t="s">
        <v>16</v>
      </c>
      <c r="B62" s="8" t="s">
        <v>277</v>
      </c>
      <c r="C62" s="373">
        <f>123643</f>
        <v>123643</v>
      </c>
      <c r="D62" s="329">
        <v>0</v>
      </c>
      <c r="E62" s="313">
        <f>+C62-D62</f>
        <v>123643</v>
      </c>
      <c r="F62" s="8"/>
    </row>
    <row r="63" spans="1:6" ht="12.75">
      <c r="A63" s="37" t="s">
        <v>411</v>
      </c>
      <c r="B63" s="8" t="s">
        <v>277</v>
      </c>
      <c r="C63" s="371">
        <f>'Tax Reserves'!C22</f>
        <v>0</v>
      </c>
      <c r="D63" s="372">
        <f>'Tax Reserves'!D22</f>
        <v>0</v>
      </c>
      <c r="E63" s="313">
        <f>C63-D63</f>
        <v>0</v>
      </c>
      <c r="F63" s="8"/>
    </row>
    <row r="64" spans="1:6" ht="12.75">
      <c r="A64" s="4" t="s">
        <v>122</v>
      </c>
      <c r="B64" s="8" t="s">
        <v>277</v>
      </c>
      <c r="C64" s="371">
        <f>'Tax Reserves'!C63</f>
        <v>0</v>
      </c>
      <c r="D64" s="372">
        <f>'Tax Reserves'!D63</f>
        <v>0</v>
      </c>
      <c r="E64" s="313">
        <f>+C64-D64</f>
        <v>0</v>
      </c>
      <c r="F64" s="8"/>
    </row>
    <row r="65" spans="1:6" ht="12.75">
      <c r="A65" t="s">
        <v>389</v>
      </c>
      <c r="B65" s="8" t="s">
        <v>277</v>
      </c>
      <c r="C65" s="328">
        <v>0</v>
      </c>
      <c r="D65" s="328">
        <v>0</v>
      </c>
      <c r="E65" s="313">
        <f>+C65-D65</f>
        <v>0</v>
      </c>
      <c r="F65" s="8"/>
    </row>
    <row r="66" spans="1:6" ht="12.75">
      <c r="A66" t="s">
        <v>246</v>
      </c>
      <c r="B66" s="8" t="s">
        <v>277</v>
      </c>
      <c r="C66" s="291">
        <f>'TAXREC 2'!C95</f>
        <v>0</v>
      </c>
      <c r="D66" s="291">
        <f>'TAXREC 2'!D95</f>
        <v>0</v>
      </c>
      <c r="E66" s="313">
        <f>+C66-D66</f>
        <v>0</v>
      </c>
      <c r="F66" s="8"/>
    </row>
    <row r="67" spans="1:11" ht="12.75">
      <c r="A67" t="s">
        <v>247</v>
      </c>
      <c r="B67" s="8" t="s">
        <v>277</v>
      </c>
      <c r="C67" s="291">
        <f>'TAXREC 2'!C96</f>
        <v>100</v>
      </c>
      <c r="D67" s="291">
        <f>'TAXREC 2'!D96</f>
        <v>0</v>
      </c>
      <c r="E67" s="313">
        <f>+C67-D67</f>
        <v>100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8"/>
      <c r="F68" s="8"/>
      <c r="G68" s="51"/>
      <c r="H68" s="51"/>
      <c r="I68" s="29"/>
      <c r="J68" s="29"/>
      <c r="K68" s="86"/>
    </row>
    <row r="69" spans="1:11" ht="12.75">
      <c r="A69" s="10" t="s">
        <v>182</v>
      </c>
      <c r="B69" s="8"/>
      <c r="C69" s="313">
        <f>SUM(C59:C67)</f>
        <v>-594578</v>
      </c>
      <c r="D69" s="313">
        <f>SUM(D59:D67)</f>
        <v>0</v>
      </c>
      <c r="E69" s="313">
        <f>SUM(E59:E67)</f>
        <v>-594578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8"/>
      <c r="D72" s="338"/>
      <c r="E72" s="313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234</v>
      </c>
      <c r="B73" s="8" t="s">
        <v>277</v>
      </c>
      <c r="C73" s="338">
        <v>453</v>
      </c>
      <c r="D73" s="338"/>
      <c r="E73" s="313">
        <f t="shared" si="1"/>
        <v>453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277</v>
      </c>
      <c r="C74" s="338"/>
      <c r="D74" s="338"/>
      <c r="E74" s="31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277</v>
      </c>
      <c r="C75" s="338"/>
      <c r="D75" s="338"/>
      <c r="E75" s="313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277</v>
      </c>
      <c r="C76" s="338"/>
      <c r="D76" s="338"/>
      <c r="E76" s="31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277</v>
      </c>
      <c r="C77" s="338"/>
      <c r="D77" s="338"/>
      <c r="E77" s="313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277</v>
      </c>
      <c r="C78" s="338"/>
      <c r="D78" s="338"/>
      <c r="E78" s="313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280</v>
      </c>
      <c r="C79" s="291">
        <f>SUM(C72:C78)</f>
        <v>453</v>
      </c>
      <c r="D79" s="291">
        <f>SUM(D72:D78)</f>
        <v>0</v>
      </c>
      <c r="E79" s="291">
        <f>SUM(E72:E78)</f>
        <v>453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280</v>
      </c>
      <c r="C81" s="291">
        <f>C69+C79</f>
        <v>-594125</v>
      </c>
      <c r="D81" s="291">
        <f>D69+D79</f>
        <v>0</v>
      </c>
      <c r="E81" s="291">
        <f>E69+E79</f>
        <v>-594125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2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0" t="str">
        <f aca="true" t="shared" si="2" ref="A84:A90">IF($E72&gt;$C$13,A72," ")</f>
        <v> </v>
      </c>
      <c r="B84" s="314"/>
      <c r="C84" s="332">
        <f aca="true" t="shared" si="3" ref="C84:E88">IF($E72&gt;$C$13,C72,)</f>
        <v>0</v>
      </c>
      <c r="D84" s="332">
        <f t="shared" si="3"/>
        <v>0</v>
      </c>
      <c r="E84" s="332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0" t="str">
        <f t="shared" si="2"/>
        <v> </v>
      </c>
      <c r="B85" s="314"/>
      <c r="C85" s="332">
        <f t="shared" si="3"/>
        <v>0</v>
      </c>
      <c r="D85" s="332">
        <f t="shared" si="3"/>
        <v>0</v>
      </c>
      <c r="E85" s="33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0" t="str">
        <f t="shared" si="2"/>
        <v> </v>
      </c>
      <c r="B86" s="314"/>
      <c r="C86" s="332">
        <f t="shared" si="3"/>
        <v>0</v>
      </c>
      <c r="D86" s="332">
        <f t="shared" si="3"/>
        <v>0</v>
      </c>
      <c r="E86" s="33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0" t="str">
        <f t="shared" si="2"/>
        <v> </v>
      </c>
      <c r="B87" s="314"/>
      <c r="C87" s="332">
        <f t="shared" si="3"/>
        <v>0</v>
      </c>
      <c r="D87" s="332">
        <f t="shared" si="3"/>
        <v>0</v>
      </c>
      <c r="E87" s="332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0" t="str">
        <f t="shared" si="2"/>
        <v> </v>
      </c>
      <c r="B88" s="314"/>
      <c r="C88" s="332">
        <f t="shared" si="3"/>
        <v>0</v>
      </c>
      <c r="D88" s="332">
        <f t="shared" si="3"/>
        <v>0</v>
      </c>
      <c r="E88" s="33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0" t="str">
        <f t="shared" si="2"/>
        <v> </v>
      </c>
      <c r="B89" s="314"/>
      <c r="C89" s="332">
        <f aca="true" t="shared" si="4" ref="C89:E90">IF($E77&gt;$C$13,C77,)</f>
        <v>0</v>
      </c>
      <c r="D89" s="332">
        <f t="shared" si="4"/>
        <v>0</v>
      </c>
      <c r="E89" s="332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0" t="str">
        <f t="shared" si="2"/>
        <v> </v>
      </c>
      <c r="B90" s="314"/>
      <c r="C90" s="332">
        <f t="shared" si="4"/>
        <v>0</v>
      </c>
      <c r="D90" s="332">
        <f t="shared" si="4"/>
        <v>0</v>
      </c>
      <c r="E90" s="332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1" t="s">
        <v>237</v>
      </c>
      <c r="B91" s="314"/>
      <c r="C91" s="321">
        <f>SUM(C84:C90)</f>
        <v>0</v>
      </c>
      <c r="D91" s="321">
        <f>SUM(D84:D90)</f>
        <v>0</v>
      </c>
      <c r="E91" s="321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4" t="s">
        <v>302</v>
      </c>
      <c r="B92" s="314"/>
      <c r="C92" s="291">
        <f>C79-C91</f>
        <v>453</v>
      </c>
      <c r="D92" s="291">
        <f>D79-D91</f>
        <v>0</v>
      </c>
      <c r="E92" s="291">
        <f>E79-E91</f>
        <v>453</v>
      </c>
      <c r="F92" s="8"/>
      <c r="G92" s="51"/>
      <c r="H92" s="51"/>
      <c r="I92" s="51"/>
      <c r="J92" s="51"/>
      <c r="K92" s="51"/>
    </row>
    <row r="93" spans="1:11" ht="12.75">
      <c r="A93" s="314" t="s">
        <v>303</v>
      </c>
      <c r="B93" s="314"/>
      <c r="C93" s="291">
        <f>C91+C92</f>
        <v>453</v>
      </c>
      <c r="D93" s="291">
        <f>D91+D92</f>
        <v>0</v>
      </c>
      <c r="E93" s="291">
        <f>E91+E92</f>
        <v>453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8">
        <v>136815</v>
      </c>
      <c r="D96" s="338"/>
      <c r="E96" s="313">
        <f>+C96-D96</f>
        <v>136815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8">
        <v>14462</v>
      </c>
      <c r="D97" s="338"/>
      <c r="E97" s="313">
        <f>+C97-D97</f>
        <v>14462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8">
        <v>34846</v>
      </c>
      <c r="D98" s="338"/>
      <c r="E98" s="313">
        <f>+C98-D98</f>
        <v>34846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8"/>
      <c r="D99" s="338"/>
      <c r="E99" s="31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8"/>
      <c r="D100" s="338"/>
      <c r="E100" s="329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8"/>
      <c r="D101" s="338"/>
      <c r="E101" s="313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8">
        <v>0</v>
      </c>
      <c r="D102" s="338">
        <v>0</v>
      </c>
      <c r="E102" s="325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393</v>
      </c>
      <c r="B103" s="8" t="s">
        <v>278</v>
      </c>
      <c r="C103" s="374">
        <f>'Tax Reserves'!C35</f>
        <v>0</v>
      </c>
      <c r="D103" s="374">
        <f>'Tax Reserves'!D35</f>
        <v>0</v>
      </c>
      <c r="E103" s="313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412</v>
      </c>
      <c r="B104" s="8" t="s">
        <v>278</v>
      </c>
      <c r="C104" s="374">
        <f>'Tax Reserves'!C50</f>
        <v>0</v>
      </c>
      <c r="D104" s="374">
        <f>'Tax Reserves'!D50</f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8"/>
      <c r="D105" s="338"/>
      <c r="E105" s="31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8"/>
      <c r="D106" s="338"/>
      <c r="E106" s="31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8">
        <v>0</v>
      </c>
      <c r="D107" s="338">
        <v>0</v>
      </c>
      <c r="E107" s="32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1">
        <f>'TAXREC 2'!C146</f>
        <v>0</v>
      </c>
      <c r="D108" s="291">
        <f>'TAXREC 2'!D146</f>
        <v>0</v>
      </c>
      <c r="E108" s="291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1">
        <f>'TAXREC 2'!C147</f>
        <v>0</v>
      </c>
      <c r="D109" s="291">
        <f>'TAXREC 2'!D147</f>
        <v>0</v>
      </c>
      <c r="E109" s="291">
        <f>'TAXREC 2'!E147</f>
        <v>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7"/>
      <c r="F110" s="8"/>
      <c r="G110" s="51"/>
      <c r="H110" s="51"/>
      <c r="I110" s="29"/>
      <c r="J110" s="51"/>
      <c r="K110" s="86"/>
    </row>
    <row r="111" spans="1:11" ht="12.75">
      <c r="A111" s="4" t="s">
        <v>250</v>
      </c>
      <c r="B111" s="8" t="s">
        <v>280</v>
      </c>
      <c r="C111" s="291">
        <f>SUM(C96:C109)</f>
        <v>186123</v>
      </c>
      <c r="D111" s="291">
        <f>SUM(D96:D109)</f>
        <v>0</v>
      </c>
      <c r="E111" s="291">
        <f>SUM(E96:E109)</f>
        <v>186123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8"/>
      <c r="D113" s="338">
        <v>0</v>
      </c>
      <c r="E113" s="313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 t="s">
        <v>344</v>
      </c>
      <c r="B114" s="8" t="s">
        <v>278</v>
      </c>
      <c r="C114" s="338"/>
      <c r="D114" s="338"/>
      <c r="E114" s="313">
        <f>+C114-D114</f>
        <v>0</v>
      </c>
      <c r="F114" s="8"/>
      <c r="G114" s="87"/>
      <c r="H114" s="88"/>
      <c r="I114" s="88"/>
      <c r="J114" s="88"/>
      <c r="K114" s="88"/>
    </row>
    <row r="115" spans="1:11" ht="12.75">
      <c r="A115" s="79" t="s">
        <v>603</v>
      </c>
      <c r="B115" s="8" t="s">
        <v>278</v>
      </c>
      <c r="C115" s="338"/>
      <c r="D115" s="338"/>
      <c r="E115" s="313">
        <f>+C115-D115</f>
        <v>0</v>
      </c>
      <c r="F115" s="8"/>
      <c r="G115" s="87"/>
      <c r="H115" s="88"/>
      <c r="I115" s="88"/>
      <c r="J115" s="88"/>
      <c r="K115" s="88"/>
    </row>
    <row r="116" spans="1:11" ht="12.75">
      <c r="A116" s="79"/>
      <c r="B116" s="8"/>
      <c r="C116" s="338"/>
      <c r="D116" s="338"/>
      <c r="E116" s="313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278</v>
      </c>
      <c r="C117" s="338"/>
      <c r="D117" s="338"/>
      <c r="E117" s="313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119</v>
      </c>
      <c r="B118" s="8" t="s">
        <v>280</v>
      </c>
      <c r="C118" s="291">
        <f>SUM(C112:C117)</f>
        <v>0</v>
      </c>
      <c r="D118" s="291">
        <f>SUM(D112:D117)</f>
        <v>0</v>
      </c>
      <c r="E118" s="291">
        <f>SUM(E112:E117)</f>
        <v>0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29</v>
      </c>
      <c r="B120" s="8" t="s">
        <v>280</v>
      </c>
      <c r="C120" s="291">
        <f>C111+C118</f>
        <v>186123</v>
      </c>
      <c r="D120" s="291">
        <f>D111+D118</f>
        <v>0</v>
      </c>
      <c r="E120" s="291">
        <f>+E111+E118</f>
        <v>186123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3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0" t="str">
        <f>IF($E113&gt;$C$13,A113," ")</f>
        <v> </v>
      </c>
      <c r="B123" s="314"/>
      <c r="C123" s="332">
        <f aca="true" t="shared" si="6" ref="C123:E127">IF($E113&gt;$C$13,C113,)</f>
        <v>0</v>
      </c>
      <c r="D123" s="332">
        <f>IF($E113&gt;$C$13,D113,)</f>
        <v>0</v>
      </c>
      <c r="E123" s="332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0" t="str">
        <f>IF($E114&gt;$C$13,A114," ")</f>
        <v> </v>
      </c>
      <c r="B124" s="314"/>
      <c r="C124" s="332">
        <f t="shared" si="6"/>
        <v>0</v>
      </c>
      <c r="D124" s="332">
        <f>IF($E114&gt;$C$13,D114,)</f>
        <v>0</v>
      </c>
      <c r="E124" s="332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0" t="str">
        <f>IF($E115&gt;$C$13,A115," ")</f>
        <v> </v>
      </c>
      <c r="B125" s="314"/>
      <c r="C125" s="332">
        <f t="shared" si="6"/>
        <v>0</v>
      </c>
      <c r="D125" s="332">
        <f t="shared" si="6"/>
        <v>0</v>
      </c>
      <c r="E125" s="332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0"/>
      <c r="B126" s="314"/>
      <c r="C126" s="332">
        <f t="shared" si="6"/>
        <v>0</v>
      </c>
      <c r="D126" s="332">
        <f t="shared" si="6"/>
        <v>0</v>
      </c>
      <c r="E126" s="332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0" t="str">
        <f>IF($E117&gt;$C$13,A117," ")</f>
        <v> </v>
      </c>
      <c r="B127" s="314"/>
      <c r="C127" s="332">
        <f t="shared" si="6"/>
        <v>0</v>
      </c>
      <c r="D127" s="332">
        <f t="shared" si="6"/>
        <v>0</v>
      </c>
      <c r="E127" s="332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1" t="s">
        <v>305</v>
      </c>
      <c r="B128" s="314"/>
      <c r="C128" s="291">
        <f>SUM(C123:C127)</f>
        <v>0</v>
      </c>
      <c r="D128" s="291">
        <f>SUM(D123:D127)</f>
        <v>0</v>
      </c>
      <c r="E128" s="291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4" t="s">
        <v>306</v>
      </c>
      <c r="B129" s="314"/>
      <c r="C129" s="291">
        <f>C118-C128</f>
        <v>0</v>
      </c>
      <c r="D129" s="291">
        <f>D118-D128</f>
        <v>0</v>
      </c>
      <c r="E129" s="291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4" t="s">
        <v>304</v>
      </c>
      <c r="B130" s="314"/>
      <c r="C130" s="291">
        <f>C128+C129</f>
        <v>0</v>
      </c>
      <c r="D130" s="291">
        <f>D128+D129</f>
        <v>0</v>
      </c>
      <c r="E130" s="291">
        <f>E128+E129</f>
        <v>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1">
        <f>+C53+C81-C120</f>
        <v>-293048</v>
      </c>
      <c r="D132" s="291">
        <f>D53+D81-D120</f>
        <v>0</v>
      </c>
      <c r="E132" s="291">
        <f>E53+E81-E120</f>
        <v>78552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576</v>
      </c>
      <c r="B134" s="8" t="s">
        <v>278</v>
      </c>
      <c r="C134" s="338"/>
      <c r="D134" s="338"/>
      <c r="E134" s="305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577</v>
      </c>
      <c r="B135" s="8" t="s">
        <v>278</v>
      </c>
      <c r="C135" s="365"/>
      <c r="D135" s="365"/>
      <c r="E135" s="462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5"/>
      <c r="D136" s="365"/>
      <c r="E136" s="462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2">
        <f>C132-C134-C135-C136</f>
        <v>-293048</v>
      </c>
      <c r="D137" s="292">
        <f>D132-D134-D135-D136</f>
        <v>0</v>
      </c>
      <c r="E137" s="292">
        <f>E132-E134-E135-E136</f>
        <v>78552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444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477</v>
      </c>
      <c r="B140" s="8" t="s">
        <v>277</v>
      </c>
      <c r="C140" s="349"/>
      <c r="D140" s="349"/>
      <c r="E140" s="292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52" t="s">
        <v>476</v>
      </c>
      <c r="B141" s="8" t="s">
        <v>277</v>
      </c>
      <c r="C141" s="349"/>
      <c r="D141" s="349"/>
      <c r="E141" s="334">
        <f>C141-D141</f>
        <v>0</v>
      </c>
      <c r="F141" s="8"/>
      <c r="G141" s="51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2">
        <f>C140+C141</f>
        <v>0</v>
      </c>
      <c r="D142" s="292">
        <f>D140+D141</f>
        <v>0</v>
      </c>
      <c r="E142" s="292">
        <f>E140+E141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493</v>
      </c>
      <c r="B143" s="8" t="s">
        <v>278</v>
      </c>
      <c r="C143" s="349"/>
      <c r="D143" s="349"/>
      <c r="E143" s="335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1" t="s">
        <v>174</v>
      </c>
      <c r="B144" s="8" t="s">
        <v>280</v>
      </c>
      <c r="C144" s="292">
        <f>C142-C143</f>
        <v>0</v>
      </c>
      <c r="D144" s="292">
        <f>D142-D143</f>
        <v>0</v>
      </c>
      <c r="E144" s="292">
        <f>E142-E143</f>
        <v>0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444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484</v>
      </c>
      <c r="B147" s="8"/>
      <c r="C147" s="474">
        <v>0.2812</v>
      </c>
      <c r="D147" s="5"/>
      <c r="E147" s="475">
        <f>C147</f>
        <v>0.2812</v>
      </c>
      <c r="F147" s="8"/>
      <c r="G147" s="51"/>
      <c r="H147" s="51"/>
      <c r="I147" s="51"/>
      <c r="J147" s="51"/>
      <c r="K147" s="51"/>
    </row>
    <row r="148" spans="1:11" ht="12.75">
      <c r="A148" s="52" t="s">
        <v>485</v>
      </c>
      <c r="B148" s="8"/>
      <c r="C148" s="474">
        <v>0.125</v>
      </c>
      <c r="D148" s="5"/>
      <c r="E148" s="475">
        <f>C148</f>
        <v>0.125</v>
      </c>
      <c r="F148" s="8"/>
      <c r="G148" s="51"/>
      <c r="H148" s="51"/>
      <c r="I148" s="51"/>
      <c r="J148" s="51"/>
      <c r="K148" s="51"/>
    </row>
    <row r="149" spans="1:11" ht="12.75">
      <c r="A149" t="s">
        <v>486</v>
      </c>
      <c r="B149" s="8"/>
      <c r="C149" s="475">
        <f>SUM(C147:C148)</f>
        <v>0.4062</v>
      </c>
      <c r="D149" s="5"/>
      <c r="E149" s="475">
        <f>SUM(E147:E148)</f>
        <v>0.4062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541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341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342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5" t="s">
        <v>277</v>
      </c>
      <c r="C157" s="338">
        <v>100</v>
      </c>
      <c r="D157" s="338"/>
      <c r="E157" s="313">
        <f>C157-D157</f>
        <v>100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5" t="s">
        <v>283</v>
      </c>
      <c r="C158" s="338">
        <v>8566527</v>
      </c>
      <c r="D158" s="338"/>
      <c r="E158" s="313">
        <f aca="true" t="shared" si="7" ref="E158:E170">C158-D158</f>
        <v>8566527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5" t="s">
        <v>277</v>
      </c>
      <c r="C159" s="338">
        <v>4402373</v>
      </c>
      <c r="D159" s="338"/>
      <c r="E159" s="313">
        <f t="shared" si="7"/>
        <v>4402373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5" t="s">
        <v>277</v>
      </c>
      <c r="C160" s="338"/>
      <c r="D160" s="338"/>
      <c r="E160" s="313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5" t="s">
        <v>277</v>
      </c>
      <c r="C161" s="338"/>
      <c r="D161" s="338"/>
      <c r="E161" s="313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5" t="s">
        <v>277</v>
      </c>
      <c r="C162" s="338"/>
      <c r="D162" s="338"/>
      <c r="E162" s="313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5" t="s">
        <v>277</v>
      </c>
      <c r="C163" s="338"/>
      <c r="D163" s="338"/>
      <c r="E163" s="313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5" t="s">
        <v>277</v>
      </c>
      <c r="C164" s="338">
        <v>0</v>
      </c>
      <c r="D164" s="338"/>
      <c r="E164" s="313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388</v>
      </c>
      <c r="B165" s="75" t="s">
        <v>277</v>
      </c>
      <c r="C165" s="338"/>
      <c r="D165" s="338"/>
      <c r="E165" s="31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5" t="s">
        <v>277</v>
      </c>
      <c r="C166" s="338"/>
      <c r="D166" s="338"/>
      <c r="E166" s="31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5" t="s">
        <v>277</v>
      </c>
      <c r="C167" s="338">
        <v>-865000</v>
      </c>
      <c r="D167" s="338"/>
      <c r="E167" s="313">
        <f t="shared" si="7"/>
        <v>-865000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5" t="s">
        <v>277</v>
      </c>
      <c r="C168" s="338">
        <v>4606104</v>
      </c>
      <c r="D168" s="338"/>
      <c r="E168" s="313">
        <f t="shared" si="7"/>
        <v>4606104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5" t="s">
        <v>277</v>
      </c>
      <c r="C169" s="338"/>
      <c r="D169" s="338"/>
      <c r="E169" s="313">
        <f t="shared" si="7"/>
        <v>0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5" t="s">
        <v>277</v>
      </c>
      <c r="C170" s="338"/>
      <c r="D170" s="338"/>
      <c r="E170" s="313">
        <f t="shared" si="7"/>
        <v>0</v>
      </c>
      <c r="F170" s="8"/>
    </row>
    <row r="171" spans="1:6" ht="12.75">
      <c r="A171" t="s">
        <v>69</v>
      </c>
      <c r="B171" s="75" t="s">
        <v>280</v>
      </c>
      <c r="C171" s="291">
        <f>SUM(C157:C170)</f>
        <v>16710104</v>
      </c>
      <c r="D171" s="291">
        <f>SUM(D157:D170)</f>
        <v>0</v>
      </c>
      <c r="E171" s="291">
        <f>SUM(E157:E170)</f>
        <v>16710104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4" t="s">
        <v>285</v>
      </c>
      <c r="B173" s="75" t="s">
        <v>278</v>
      </c>
      <c r="C173" s="339"/>
      <c r="D173" s="339"/>
      <c r="E173" s="336">
        <f>C173-D173</f>
        <v>0</v>
      </c>
      <c r="F173" s="8"/>
    </row>
    <row r="174" spans="1:6" ht="25.5">
      <c r="A174" s="91" t="s">
        <v>273</v>
      </c>
      <c r="B174" s="75" t="s">
        <v>278</v>
      </c>
      <c r="C174" s="339"/>
      <c r="D174" s="339"/>
      <c r="E174" s="336">
        <f>C174-D174</f>
        <v>0</v>
      </c>
      <c r="F174" s="8"/>
    </row>
    <row r="175" spans="1:6" ht="12.75">
      <c r="A175" s="2" t="s">
        <v>114</v>
      </c>
      <c r="B175" s="75" t="s">
        <v>280</v>
      </c>
      <c r="C175" s="337">
        <f>C171-C173-C174</f>
        <v>16710104</v>
      </c>
      <c r="D175" s="337">
        <f>D171-D173-D174</f>
        <v>0</v>
      </c>
      <c r="E175" s="291">
        <f>E171-E173-E174</f>
        <v>16710104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5" t="s">
        <v>277</v>
      </c>
      <c r="C179" s="338"/>
      <c r="D179" s="338"/>
      <c r="E179" s="313">
        <f aca="true" t="shared" si="8" ref="E179:E184">C179-D179</f>
        <v>0</v>
      </c>
      <c r="F179" s="8"/>
    </row>
    <row r="180" spans="1:6" ht="12.75">
      <c r="A180" t="s">
        <v>73</v>
      </c>
      <c r="B180" s="75" t="s">
        <v>277</v>
      </c>
      <c r="C180" s="338"/>
      <c r="D180" s="338"/>
      <c r="E180" s="313">
        <f t="shared" si="8"/>
        <v>0</v>
      </c>
      <c r="F180" s="8"/>
    </row>
    <row r="181" spans="1:6" ht="12.75">
      <c r="A181" t="s">
        <v>74</v>
      </c>
      <c r="B181" s="75" t="s">
        <v>277</v>
      </c>
      <c r="C181" s="338"/>
      <c r="D181" s="338"/>
      <c r="E181" s="313">
        <f t="shared" si="8"/>
        <v>0</v>
      </c>
      <c r="F181" s="8"/>
    </row>
    <row r="182" spans="1:6" ht="12.75">
      <c r="A182" t="s">
        <v>75</v>
      </c>
      <c r="B182" s="75" t="s">
        <v>277</v>
      </c>
      <c r="C182" s="338"/>
      <c r="D182" s="338"/>
      <c r="E182" s="313">
        <f t="shared" si="8"/>
        <v>0</v>
      </c>
      <c r="F182" s="8"/>
    </row>
    <row r="183" spans="1:6" ht="12.75">
      <c r="A183" t="s">
        <v>281</v>
      </c>
      <c r="B183" s="75" t="s">
        <v>277</v>
      </c>
      <c r="C183" s="338"/>
      <c r="D183" s="338"/>
      <c r="E183" s="313">
        <f t="shared" si="8"/>
        <v>0</v>
      </c>
      <c r="F183" s="8"/>
    </row>
    <row r="184" spans="1:6" ht="12.75">
      <c r="A184" t="s">
        <v>287</v>
      </c>
      <c r="B184" s="75" t="s">
        <v>277</v>
      </c>
      <c r="C184" s="338"/>
      <c r="D184" s="338"/>
      <c r="E184" s="313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76</v>
      </c>
      <c r="B186" s="75" t="s">
        <v>280</v>
      </c>
      <c r="C186" s="291">
        <f>SUM(C179:C184)</f>
        <v>0</v>
      </c>
      <c r="D186" s="291">
        <f>SUM(D179:D185)</f>
        <v>0</v>
      </c>
      <c r="E186" s="291">
        <f>SUM(E179:E184)</f>
        <v>0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5" t="s">
        <v>277</v>
      </c>
      <c r="C191" s="338">
        <v>16179739</v>
      </c>
      <c r="D191" s="338"/>
      <c r="E191" s="313">
        <f>C191-D191</f>
        <v>16179739</v>
      </c>
      <c r="F191" s="8"/>
    </row>
    <row r="192" spans="1:6" ht="12.75">
      <c r="A192" t="s">
        <v>274</v>
      </c>
      <c r="B192" s="75" t="s">
        <v>277</v>
      </c>
      <c r="C192" s="338"/>
      <c r="D192" s="338"/>
      <c r="E192" s="313">
        <f>C192-D192</f>
        <v>0</v>
      </c>
      <c r="F192" s="8"/>
    </row>
    <row r="193" spans="1:7" ht="12.75">
      <c r="A193" t="s">
        <v>275</v>
      </c>
      <c r="B193" s="75" t="s">
        <v>277</v>
      </c>
      <c r="C193" s="338"/>
      <c r="D193" s="338"/>
      <c r="E193" s="313">
        <f>C193-D193</f>
        <v>0</v>
      </c>
      <c r="F193" s="8"/>
      <c r="G193" s="28" t="s">
        <v>177</v>
      </c>
    </row>
    <row r="194" spans="1:6" ht="12.75">
      <c r="A194" t="s">
        <v>276</v>
      </c>
      <c r="B194" s="75" t="s">
        <v>278</v>
      </c>
      <c r="C194" s="338"/>
      <c r="D194" s="338"/>
      <c r="E194" s="313">
        <f>C194-D194</f>
        <v>0</v>
      </c>
      <c r="F194" s="8"/>
    </row>
    <row r="195" spans="2:6" ht="12.75">
      <c r="B195" s="8"/>
      <c r="C195" s="350"/>
      <c r="D195" s="350"/>
      <c r="E195" s="209"/>
      <c r="F195" s="8"/>
    </row>
    <row r="196" spans="1:6" ht="12.75">
      <c r="A196" s="2" t="s">
        <v>79</v>
      </c>
      <c r="B196" s="75" t="s">
        <v>280</v>
      </c>
      <c r="C196" s="291">
        <f>C191+C192+C193-C194</f>
        <v>16179739</v>
      </c>
      <c r="D196" s="291">
        <f>D191+D192+D193-D194</f>
        <v>0</v>
      </c>
      <c r="E196" s="291">
        <f>E191+E192+E193-E194</f>
        <v>16179739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5" t="s">
        <v>277</v>
      </c>
      <c r="C199" s="338"/>
      <c r="D199" s="338"/>
      <c r="E199" s="313">
        <f aca="true" t="shared" si="9" ref="E199:E205">C199-D199</f>
        <v>0</v>
      </c>
      <c r="F199" s="8"/>
    </row>
    <row r="200" spans="1:6" ht="12.75">
      <c r="A200" t="s">
        <v>81</v>
      </c>
      <c r="B200" s="75" t="s">
        <v>277</v>
      </c>
      <c r="C200" s="338"/>
      <c r="D200" s="338"/>
      <c r="E200" s="313">
        <f t="shared" si="9"/>
        <v>0</v>
      </c>
      <c r="F200" s="8"/>
    </row>
    <row r="201" spans="1:6" ht="12.75">
      <c r="A201" t="s">
        <v>82</v>
      </c>
      <c r="B201" s="8"/>
      <c r="C201" s="338"/>
      <c r="D201" s="338"/>
      <c r="E201" s="313">
        <f t="shared" si="9"/>
        <v>0</v>
      </c>
      <c r="F201" s="8"/>
    </row>
    <row r="202" spans="1:6" ht="25.5">
      <c r="A202" s="74" t="s">
        <v>285</v>
      </c>
      <c r="B202" s="77" t="s">
        <v>278</v>
      </c>
      <c r="C202" s="339"/>
      <c r="D202" s="339"/>
      <c r="E202" s="336">
        <f t="shared" si="9"/>
        <v>0</v>
      </c>
      <c r="F202" s="8"/>
    </row>
    <row r="203" spans="1:6" ht="25.5">
      <c r="A203" s="74" t="s">
        <v>284</v>
      </c>
      <c r="B203" s="75" t="s">
        <v>278</v>
      </c>
      <c r="C203" s="338"/>
      <c r="D203" s="338"/>
      <c r="E203" s="313">
        <f t="shared" si="9"/>
        <v>0</v>
      </c>
      <c r="F203" s="8"/>
    </row>
    <row r="204" spans="1:5" ht="12.75">
      <c r="A204" t="s">
        <v>83</v>
      </c>
      <c r="B204" s="75" t="s">
        <v>278</v>
      </c>
      <c r="C204" s="338"/>
      <c r="D204" s="338"/>
      <c r="E204" s="313">
        <f t="shared" si="9"/>
        <v>0</v>
      </c>
    </row>
    <row r="205" spans="1:5" ht="12.75">
      <c r="A205" t="s">
        <v>84</v>
      </c>
      <c r="B205" s="75" t="s">
        <v>283</v>
      </c>
      <c r="C205" s="338"/>
      <c r="D205" s="338"/>
      <c r="E205" s="313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85</v>
      </c>
      <c r="B207" s="8" t="s">
        <v>280</v>
      </c>
      <c r="C207" s="337">
        <f>C196+C199+C200-C202-C203-C204+C205</f>
        <v>16179739</v>
      </c>
      <c r="D207" s="337">
        <f>D196+D199+D200-D202-D203-D204+D205</f>
        <v>0</v>
      </c>
      <c r="E207" s="291">
        <f>E196+E199+E200-E202-E203-E204+E205</f>
        <v>16179739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1">
        <f>IF(C207=0,0,IF(((C186/C207)*C175)&lt;0,0,IF((C186/C207)*C175&gt;C186,C186,C186/C207*C175)))</f>
        <v>0</v>
      </c>
      <c r="D210" s="291">
        <f>IF(D207=0,0,IF(((D186/D207)*D175)&lt;0,0,IF((D186/D207)*D175&gt;D186,D186,D186/D207*D175)))</f>
        <v>0</v>
      </c>
      <c r="E210" s="291">
        <f>IF(E207=0,0,IF(((E186/E207)*E175)&lt;0,0,IF((E186/E207)*E175&gt;E186,E186,E186/E207*E175)))</f>
        <v>0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5" t="s">
        <v>277</v>
      </c>
      <c r="C214" s="321">
        <f>+C175</f>
        <v>16710104</v>
      </c>
      <c r="D214" s="321">
        <f>+D175</f>
        <v>0</v>
      </c>
      <c r="E214" s="325">
        <f>+C214-D214</f>
        <v>16710104</v>
      </c>
      <c r="F214" s="8"/>
    </row>
    <row r="215" spans="1:6" ht="12.75">
      <c r="A215" s="4" t="s">
        <v>88</v>
      </c>
      <c r="B215" s="75" t="s">
        <v>278</v>
      </c>
      <c r="C215" s="291">
        <f>C210</f>
        <v>0</v>
      </c>
      <c r="D215" s="291">
        <f>D210</f>
        <v>0</v>
      </c>
      <c r="E215" s="291">
        <f>C215-D215</f>
        <v>0</v>
      </c>
      <c r="F215" s="8"/>
    </row>
    <row r="216" spans="1:6" ht="12.75">
      <c r="A216" s="4"/>
      <c r="B216" s="26"/>
      <c r="C216" s="84"/>
      <c r="D216" s="84"/>
      <c r="E216" s="102" t="s">
        <v>177</v>
      </c>
      <c r="F216" s="8"/>
    </row>
    <row r="217" spans="1:6" ht="12.75">
      <c r="A217" s="4" t="s">
        <v>89</v>
      </c>
      <c r="B217" s="8" t="s">
        <v>280</v>
      </c>
      <c r="C217" s="291">
        <f>IF(C214&gt;C215,C214-C215,0)</f>
        <v>16710104</v>
      </c>
      <c r="D217" s="291">
        <f>IF(D214&gt;D215,D214-D215,0)</f>
        <v>0</v>
      </c>
      <c r="E217" s="291">
        <f>IF(E214&gt;E215,E214-E215,0)</f>
        <v>16710104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449</v>
      </c>
      <c r="B220" s="8"/>
      <c r="C220" s="294">
        <v>5000000</v>
      </c>
      <c r="D220" s="294">
        <v>0</v>
      </c>
      <c r="E220" s="313">
        <f>+C220-D220</f>
        <v>5000000</v>
      </c>
      <c r="F220" s="8"/>
    </row>
    <row r="221" spans="1:6" ht="12.75">
      <c r="A221" s="2" t="s">
        <v>488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1">
        <f>C217-C220</f>
        <v>11710104</v>
      </c>
      <c r="D222" s="291">
        <f>D217-D220</f>
        <v>0</v>
      </c>
      <c r="E222" s="291">
        <f>E217-E220</f>
        <v>11710104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473</v>
      </c>
      <c r="B224" s="8"/>
      <c r="C224" s="340">
        <f>'Tax Rates'!C54</f>
        <v>0.003</v>
      </c>
      <c r="D224" s="340">
        <f>C224</f>
        <v>0.003</v>
      </c>
      <c r="E224" s="340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2">
        <f>C11</f>
        <v>92</v>
      </c>
      <c r="D226" s="292">
        <f>C226</f>
        <v>92</v>
      </c>
      <c r="E226" s="292">
        <f>C226</f>
        <v>92</v>
      </c>
      <c r="F226" s="8"/>
    </row>
    <row r="227" spans="1:6" ht="12.75">
      <c r="A227" s="4" t="s">
        <v>604</v>
      </c>
      <c r="B227" s="8"/>
      <c r="C227" s="341">
        <f>+C226/REGINFO!B7</f>
        <v>0.25205479452054796</v>
      </c>
      <c r="D227" s="341">
        <f>+D226/REGINFO!B7</f>
        <v>0.25205479452054796</v>
      </c>
      <c r="E227" s="341">
        <f>+E226/REGINFO!B7</f>
        <v>0.25205479452054796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487</v>
      </c>
      <c r="B229" s="8"/>
      <c r="C229" s="291">
        <f>+C222*C224*C227</f>
        <v>8854.76357260274</v>
      </c>
      <c r="D229" s="291">
        <f>+D222*D224*D227</f>
        <v>0</v>
      </c>
      <c r="E229" s="291">
        <f>+E222*E224*E227</f>
        <v>8854.76357260274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539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339</v>
      </c>
      <c r="B233" s="8"/>
      <c r="C233" s="5"/>
      <c r="D233" s="5"/>
      <c r="E233" s="5"/>
      <c r="F233" s="8"/>
    </row>
    <row r="234" spans="1:6" ht="12.75">
      <c r="A234" s="101" t="s">
        <v>340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4" t="s">
        <v>288</v>
      </c>
      <c r="B237" s="77" t="s">
        <v>277</v>
      </c>
      <c r="C237" s="342">
        <v>2131539</v>
      </c>
      <c r="D237" s="342"/>
      <c r="E237" s="336">
        <f>+C237-D237</f>
        <v>2131539</v>
      </c>
      <c r="F237" s="8"/>
    </row>
    <row r="238" spans="1:6" ht="12.75">
      <c r="A238" s="74" t="s">
        <v>94</v>
      </c>
      <c r="B238" s="77" t="s">
        <v>277</v>
      </c>
      <c r="C238" s="346">
        <v>100</v>
      </c>
      <c r="D238" s="346"/>
      <c r="E238" s="313">
        <f aca="true" t="shared" si="10" ref="E238:E246">+C238-D238</f>
        <v>100</v>
      </c>
      <c r="F238" s="8"/>
    </row>
    <row r="239" spans="1:6" ht="12.75">
      <c r="A239" s="74" t="s">
        <v>95</v>
      </c>
      <c r="B239" s="77" t="s">
        <v>277</v>
      </c>
      <c r="C239" s="343">
        <v>8566527</v>
      </c>
      <c r="D239" s="343"/>
      <c r="E239" s="313">
        <f t="shared" si="10"/>
        <v>8566527</v>
      </c>
      <c r="F239" s="8"/>
    </row>
    <row r="240" spans="1:6" ht="12.75">
      <c r="A240" s="74" t="s">
        <v>96</v>
      </c>
      <c r="B240" s="77" t="s">
        <v>277</v>
      </c>
      <c r="C240" s="344">
        <v>4402373</v>
      </c>
      <c r="D240" s="344"/>
      <c r="E240" s="313">
        <f t="shared" si="10"/>
        <v>4402373</v>
      </c>
      <c r="F240" s="8"/>
    </row>
    <row r="241" spans="1:6" ht="12.75">
      <c r="A241" s="74" t="s">
        <v>97</v>
      </c>
      <c r="B241" s="77" t="s">
        <v>277</v>
      </c>
      <c r="C241" s="344"/>
      <c r="D241" s="344"/>
      <c r="E241" s="313">
        <f t="shared" si="10"/>
        <v>0</v>
      </c>
      <c r="F241" s="8"/>
    </row>
    <row r="242" spans="1:6" ht="12.75">
      <c r="A242" s="74" t="s">
        <v>98</v>
      </c>
      <c r="B242" s="77" t="s">
        <v>277</v>
      </c>
      <c r="C242" s="344"/>
      <c r="D242" s="344"/>
      <c r="E242" s="313">
        <f t="shared" si="10"/>
        <v>0</v>
      </c>
      <c r="F242" s="8"/>
    </row>
    <row r="243" spans="1:6" ht="12.75">
      <c r="A243" s="74" t="s">
        <v>99</v>
      </c>
      <c r="B243" s="77" t="s">
        <v>277</v>
      </c>
      <c r="C243" s="344"/>
      <c r="D243" s="344"/>
      <c r="E243" s="313">
        <f t="shared" si="10"/>
        <v>0</v>
      </c>
      <c r="F243" s="8"/>
    </row>
    <row r="244" spans="1:6" ht="25.5">
      <c r="A244" s="74" t="s">
        <v>291</v>
      </c>
      <c r="B244" s="77" t="s">
        <v>277</v>
      </c>
      <c r="C244" s="342"/>
      <c r="D244" s="342"/>
      <c r="E244" s="336">
        <f t="shared" si="10"/>
        <v>0</v>
      </c>
      <c r="F244" s="8"/>
    </row>
    <row r="245" spans="1:6" ht="12.75">
      <c r="A245" s="74" t="s">
        <v>100</v>
      </c>
      <c r="B245" s="77" t="s">
        <v>277</v>
      </c>
      <c r="C245" s="344"/>
      <c r="D245" s="344"/>
      <c r="E245" s="313">
        <f t="shared" si="10"/>
        <v>0</v>
      </c>
      <c r="F245" s="8"/>
    </row>
    <row r="246" spans="1:6" ht="12.75">
      <c r="A246" s="74" t="s">
        <v>292</v>
      </c>
      <c r="B246" s="77" t="s">
        <v>277</v>
      </c>
      <c r="C246" s="344"/>
      <c r="D246" s="344"/>
      <c r="E246" s="313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1">
        <f>SUM(C237:C247)</f>
        <v>15100539</v>
      </c>
      <c r="D248" s="291">
        <f>SUM(D237:D247)</f>
        <v>0</v>
      </c>
      <c r="E248" s="291">
        <f>SUM(E237:E247)</f>
        <v>15100539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5" t="s">
        <v>278</v>
      </c>
      <c r="C251" s="338">
        <v>865000</v>
      </c>
      <c r="D251" s="338"/>
      <c r="E251" s="313">
        <f>+C251-D251</f>
        <v>865000</v>
      </c>
      <c r="F251" s="8"/>
    </row>
    <row r="252" spans="1:6" ht="12.75">
      <c r="A252" t="s">
        <v>289</v>
      </c>
      <c r="B252" s="75" t="s">
        <v>278</v>
      </c>
      <c r="C252" s="338"/>
      <c r="D252" s="338"/>
      <c r="E252" s="313">
        <f>+C252-D252</f>
        <v>0</v>
      </c>
      <c r="F252" s="8"/>
    </row>
    <row r="253" spans="1:6" ht="25.5">
      <c r="A253" s="76" t="s">
        <v>290</v>
      </c>
      <c r="B253" s="75" t="s">
        <v>278</v>
      </c>
      <c r="C253" s="339"/>
      <c r="D253" s="339"/>
      <c r="E253" s="336">
        <f>+C253-D253</f>
        <v>0</v>
      </c>
      <c r="F253" s="8"/>
    </row>
    <row r="254" spans="1:6" ht="12.75">
      <c r="A254" t="s">
        <v>103</v>
      </c>
      <c r="B254" s="75" t="s">
        <v>278</v>
      </c>
      <c r="C254" s="338"/>
      <c r="D254" s="338"/>
      <c r="E254" s="313">
        <f>+C254-D254</f>
        <v>0</v>
      </c>
      <c r="F254" s="8"/>
    </row>
    <row r="255" spans="2:6" ht="12.75">
      <c r="B255" s="8"/>
      <c r="C255" s="28"/>
      <c r="D255" s="28"/>
      <c r="E255" s="291"/>
      <c r="F255" s="8"/>
    </row>
    <row r="256" spans="1:6" ht="12.75">
      <c r="A256" t="s">
        <v>3</v>
      </c>
      <c r="B256" s="8" t="s">
        <v>280</v>
      </c>
      <c r="C256" s="291">
        <f>SUM(C251:C255)</f>
        <v>865000</v>
      </c>
      <c r="D256" s="291">
        <f>SUM(D251:D255)</f>
        <v>0</v>
      </c>
      <c r="E256" s="291">
        <f>SUM(E251:E255)</f>
        <v>865000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1">
        <f>+C248-C256</f>
        <v>14235539</v>
      </c>
      <c r="D258" s="291">
        <f>+D248-D256</f>
        <v>0</v>
      </c>
      <c r="E258" s="291">
        <f>+E248-E256</f>
        <v>14235539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5" t="s">
        <v>277</v>
      </c>
      <c r="C262" s="338"/>
      <c r="D262" s="338"/>
      <c r="E262" s="313">
        <f>C262-D262</f>
        <v>0</v>
      </c>
      <c r="F262" s="8"/>
    </row>
    <row r="263" spans="1:6" ht="12.75">
      <c r="A263" s="4" t="s">
        <v>106</v>
      </c>
      <c r="B263" s="75" t="s">
        <v>277</v>
      </c>
      <c r="C263" s="338"/>
      <c r="D263" s="338"/>
      <c r="E263" s="313">
        <f aca="true" t="shared" si="11" ref="E263:E269">C263-D263</f>
        <v>0</v>
      </c>
      <c r="F263" s="8"/>
    </row>
    <row r="264" spans="1:6" ht="12.75">
      <c r="A264" s="4" t="s">
        <v>107</v>
      </c>
      <c r="B264" s="75" t="s">
        <v>277</v>
      </c>
      <c r="C264" s="338"/>
      <c r="D264" s="338"/>
      <c r="E264" s="313">
        <f t="shared" si="11"/>
        <v>0</v>
      </c>
      <c r="F264" s="8"/>
    </row>
    <row r="265" spans="1:6" ht="12.75">
      <c r="A265" s="4" t="s">
        <v>108</v>
      </c>
      <c r="B265" s="75" t="s">
        <v>277</v>
      </c>
      <c r="C265" s="338"/>
      <c r="D265" s="338"/>
      <c r="E265" s="313">
        <f t="shared" si="11"/>
        <v>0</v>
      </c>
      <c r="F265" s="8"/>
    </row>
    <row r="266" spans="1:6" ht="12.75">
      <c r="A266" s="4" t="s">
        <v>109</v>
      </c>
      <c r="B266" s="75" t="s">
        <v>277</v>
      </c>
      <c r="C266" s="338"/>
      <c r="D266" s="338"/>
      <c r="E266" s="313">
        <f t="shared" si="11"/>
        <v>0</v>
      </c>
      <c r="F266" s="8"/>
    </row>
    <row r="267" spans="1:6" ht="12.75">
      <c r="A267" s="4" t="s">
        <v>110</v>
      </c>
      <c r="B267" s="75" t="s">
        <v>277</v>
      </c>
      <c r="C267" s="338"/>
      <c r="D267" s="338"/>
      <c r="E267" s="313">
        <f t="shared" si="11"/>
        <v>0</v>
      </c>
      <c r="F267" s="8"/>
    </row>
    <row r="268" spans="1:6" ht="25.5">
      <c r="A268" s="78" t="s">
        <v>293</v>
      </c>
      <c r="B268" s="77" t="s">
        <v>277</v>
      </c>
      <c r="C268" s="339"/>
      <c r="D268" s="339"/>
      <c r="E268" s="336">
        <f t="shared" si="11"/>
        <v>0</v>
      </c>
      <c r="F268" s="8"/>
    </row>
    <row r="269" spans="1:6" ht="12.75">
      <c r="A269" s="4" t="s">
        <v>111</v>
      </c>
      <c r="B269" s="75" t="s">
        <v>277</v>
      </c>
      <c r="C269" s="338"/>
      <c r="D269" s="338"/>
      <c r="E269" s="313">
        <f t="shared" si="11"/>
        <v>0</v>
      </c>
      <c r="F269" s="8"/>
    </row>
    <row r="270" spans="1:6" ht="12.75">
      <c r="A270" s="4"/>
      <c r="B270" s="8"/>
      <c r="C270" s="28"/>
      <c r="D270" s="28"/>
      <c r="E270" s="291"/>
      <c r="F270" s="8"/>
    </row>
    <row r="271" spans="1:6" ht="12.75">
      <c r="A271" s="2" t="s">
        <v>4</v>
      </c>
      <c r="B271" s="8" t="s">
        <v>280</v>
      </c>
      <c r="C271" s="337">
        <f>SUM(C262:C270)</f>
        <v>0</v>
      </c>
      <c r="D271" s="345">
        <f>SUM(D262:D270)</f>
        <v>0</v>
      </c>
      <c r="E271" s="291">
        <f>SUM(E262:E270)</f>
        <v>0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1">
        <f>+C258</f>
        <v>14235539</v>
      </c>
      <c r="D276" s="291">
        <f>+D258</f>
        <v>0</v>
      </c>
      <c r="E276" s="313">
        <f>+E258</f>
        <v>14235539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8</v>
      </c>
      <c r="B278" s="8" t="s">
        <v>278</v>
      </c>
      <c r="C278" s="291">
        <f>+C271</f>
        <v>0</v>
      </c>
      <c r="D278" s="291">
        <f>+D271</f>
        <v>0</v>
      </c>
      <c r="E278" s="313">
        <f>+C278-D278</f>
        <v>0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9</v>
      </c>
      <c r="B280" s="75" t="s">
        <v>280</v>
      </c>
      <c r="C280" s="291">
        <f>IF(C276&gt;C278,C276-C278,0)</f>
        <v>14235539</v>
      </c>
      <c r="D280" s="291">
        <f>IF(D276&gt;D278,D276-D278,0)</f>
        <v>0</v>
      </c>
      <c r="E280" s="291">
        <f>IF(E276&gt;E278,E276-E278,0)</f>
        <v>14235539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450</v>
      </c>
      <c r="B282" s="75" t="s">
        <v>278</v>
      </c>
      <c r="C282" s="445">
        <f>'Tax Rates'!C58</f>
        <v>10000000</v>
      </c>
      <c r="D282" s="291">
        <v>0</v>
      </c>
      <c r="E282" s="313">
        <f>+C282-D282</f>
        <v>10000000</v>
      </c>
      <c r="F282" s="8"/>
    </row>
    <row r="283" spans="1:6" ht="12.75">
      <c r="A283" s="4" t="s">
        <v>451</v>
      </c>
      <c r="B283" s="8"/>
      <c r="C283" s="71"/>
      <c r="D283" s="71"/>
      <c r="E283" s="71"/>
      <c r="F283" s="8"/>
    </row>
    <row r="284" spans="1:6" ht="12.75">
      <c r="A284" s="2" t="s">
        <v>6</v>
      </c>
      <c r="B284" s="8" t="s">
        <v>280</v>
      </c>
      <c r="C284" s="291">
        <f>IF(C280&gt;C282,C280-C282,0)</f>
        <v>4235539</v>
      </c>
      <c r="D284" s="291">
        <f>IF(D280&gt;D282,D280-D282,0)</f>
        <v>0</v>
      </c>
      <c r="E284" s="291">
        <f>IF(E280&gt;E282,E280-E282,0)</f>
        <v>4235539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445</v>
      </c>
      <c r="B286" s="8"/>
      <c r="C286" s="351">
        <f>'Tax Rates'!C55</f>
        <v>0.00225</v>
      </c>
      <c r="D286" s="351">
        <f>C286</f>
        <v>0.00225</v>
      </c>
      <c r="E286" s="352">
        <f>C286</f>
        <v>0.00225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121</v>
      </c>
      <c r="B288" s="8"/>
      <c r="C288" s="292">
        <f>C11</f>
        <v>92</v>
      </c>
      <c r="D288" s="292">
        <f>C11</f>
        <v>92</v>
      </c>
      <c r="E288" s="292">
        <f>C11</f>
        <v>92</v>
      </c>
      <c r="F288" s="8"/>
    </row>
    <row r="289" spans="1:6" ht="12.75">
      <c r="A289" s="4" t="s">
        <v>540</v>
      </c>
      <c r="B289" s="8"/>
      <c r="C289" s="353">
        <f>+C288/REGINFO!B7</f>
        <v>0.25205479452054796</v>
      </c>
      <c r="D289" s="353">
        <f>+D288/REGINFO!B7</f>
        <v>0.25205479452054796</v>
      </c>
      <c r="E289" s="353">
        <f>+E288/REGINFO!B7</f>
        <v>0.25205479452054796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474</v>
      </c>
      <c r="B291" s="8" t="s">
        <v>280</v>
      </c>
      <c r="C291" s="291">
        <f>C284*C286*C289</f>
        <v>2402.072802739726</v>
      </c>
      <c r="D291" s="291">
        <f>D284*D286*D289</f>
        <v>0</v>
      </c>
      <c r="E291" s="291">
        <f>E284*E286*E289</f>
        <v>2402.072802739726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123</v>
      </c>
      <c r="B293" s="8"/>
      <c r="C293" s="340">
        <f>'Tax Rates'!C56</f>
        <v>0.0112</v>
      </c>
      <c r="D293" s="340">
        <f>C293</f>
        <v>0.0112</v>
      </c>
      <c r="E293" s="340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505</v>
      </c>
      <c r="B295" s="75" t="s">
        <v>278</v>
      </c>
      <c r="C295" s="346">
        <v>0</v>
      </c>
      <c r="D295" s="346"/>
      <c r="E295" s="291">
        <f>C295-D295</f>
        <v>0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475</v>
      </c>
      <c r="B297" s="8" t="s">
        <v>280</v>
      </c>
      <c r="C297" s="291">
        <f>IF(C291&gt;C295,C291-C295,0)</f>
        <v>2402.072802739726</v>
      </c>
      <c r="D297" s="291">
        <f>IF(D291&gt;D295,D291-D295,0)</f>
        <v>0</v>
      </c>
      <c r="E297" s="291">
        <f>IF(E291&gt;E295,E291-E295,0)</f>
        <v>2402.072802739726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542</v>
      </c>
      <c r="B300" s="8"/>
    </row>
    <row r="301" spans="1:2" ht="12.75">
      <c r="A301" s="14"/>
      <c r="B301" s="8"/>
    </row>
    <row r="302" spans="1:2" ht="12.75">
      <c r="A302" s="2" t="s">
        <v>494</v>
      </c>
      <c r="B302" s="8"/>
    </row>
    <row r="303" spans="1:5" ht="12.75">
      <c r="A303" t="s">
        <v>336</v>
      </c>
      <c r="B303" s="97" t="s">
        <v>277</v>
      </c>
      <c r="C303" s="291">
        <f>C144</f>
        <v>0</v>
      </c>
      <c r="D303" s="291">
        <f>D144</f>
        <v>0</v>
      </c>
      <c r="E303" s="291">
        <f>E144</f>
        <v>0</v>
      </c>
    </row>
    <row r="304" spans="1:5" ht="12.75">
      <c r="A304" t="s">
        <v>30</v>
      </c>
      <c r="B304" s="97" t="s">
        <v>277</v>
      </c>
      <c r="C304" s="291">
        <f>C229</f>
        <v>8854.76357260274</v>
      </c>
      <c r="D304" s="291">
        <f>D229</f>
        <v>0</v>
      </c>
      <c r="E304" s="291">
        <f>E229</f>
        <v>8854.76357260274</v>
      </c>
    </row>
    <row r="305" spans="1:5" ht="12.75">
      <c r="A305" t="s">
        <v>335</v>
      </c>
      <c r="B305" s="97" t="s">
        <v>277</v>
      </c>
      <c r="C305" s="291">
        <f>C297</f>
        <v>2402.072802739726</v>
      </c>
      <c r="D305" s="291">
        <f>D297</f>
        <v>0</v>
      </c>
      <c r="E305" s="291">
        <f>E297</f>
        <v>2402.072802739726</v>
      </c>
    </row>
    <row r="306" ht="12.75">
      <c r="B306" s="8"/>
    </row>
    <row r="307" spans="1:5" ht="12.75">
      <c r="A307" s="2" t="s">
        <v>437</v>
      </c>
      <c r="B307" s="75" t="s">
        <v>280</v>
      </c>
      <c r="C307" s="291">
        <f>C303+C304+C305</f>
        <v>11256.836375342466</v>
      </c>
      <c r="D307" s="291">
        <f>D303+D304+D305</f>
        <v>0</v>
      </c>
      <c r="E307" s="291">
        <f>E303+E304+E305</f>
        <v>11256.836375342466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25" bottom="0.25" header="0.17" footer="0.13"/>
  <pageSetup horizontalDpi="600" verticalDpi="600" orientation="portrait" scale="59" r:id="rId1"/>
  <headerFooter alignWithMargins="0">
    <oddFooter>&amp;L&amp;F&amp;C&amp;P of &amp;N&amp;R&amp;A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37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435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436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104">
        <f>REGINFO!E1</f>
        <v>0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HYDRONAME  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 Revised 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7" t="s">
        <v>405</v>
      </c>
      <c r="B12" s="67"/>
      <c r="C12" s="366"/>
      <c r="D12" s="366"/>
      <c r="E12" s="67"/>
    </row>
    <row r="13" spans="1:5" ht="12.75">
      <c r="A13" s="67"/>
      <c r="B13" s="67"/>
      <c r="C13" s="338"/>
      <c r="D13" s="338"/>
      <c r="E13" s="291">
        <f>C13-D13</f>
        <v>0</v>
      </c>
    </row>
    <row r="14" spans="1:5" ht="12.75">
      <c r="A14" s="67" t="s">
        <v>413</v>
      </c>
      <c r="B14" s="67"/>
      <c r="C14" s="338">
        <v>0</v>
      </c>
      <c r="D14" s="338"/>
      <c r="E14" s="291">
        <f aca="true" t="shared" si="0" ref="E14:E21">C14-D14</f>
        <v>0</v>
      </c>
    </row>
    <row r="15" spans="1:5" ht="12.75">
      <c r="A15" s="67" t="s">
        <v>414</v>
      </c>
      <c r="B15" s="67"/>
      <c r="C15" s="338"/>
      <c r="D15" s="338"/>
      <c r="E15" s="291">
        <f t="shared" si="0"/>
        <v>0</v>
      </c>
    </row>
    <row r="16" spans="1:5" ht="12.75">
      <c r="A16" s="67" t="s">
        <v>415</v>
      </c>
      <c r="B16" s="67"/>
      <c r="C16" s="338"/>
      <c r="D16" s="338"/>
      <c r="E16" s="291">
        <f t="shared" si="0"/>
        <v>0</v>
      </c>
    </row>
    <row r="17" spans="1:5" ht="12.75">
      <c r="A17" s="67" t="s">
        <v>416</v>
      </c>
      <c r="B17" s="67"/>
      <c r="C17" s="338"/>
      <c r="D17" s="338"/>
      <c r="E17" s="291">
        <f t="shared" si="0"/>
        <v>0</v>
      </c>
    </row>
    <row r="18" spans="1:5" ht="12.75">
      <c r="A18" s="67" t="s">
        <v>402</v>
      </c>
      <c r="B18" s="67"/>
      <c r="C18" s="338"/>
      <c r="D18" s="338"/>
      <c r="E18" s="291">
        <f t="shared" si="0"/>
        <v>0</v>
      </c>
    </row>
    <row r="19" spans="1:5" ht="12.75">
      <c r="A19" s="67" t="s">
        <v>402</v>
      </c>
      <c r="B19" s="67"/>
      <c r="C19" s="338"/>
      <c r="D19" s="338"/>
      <c r="E19" s="291">
        <f t="shared" si="0"/>
        <v>0</v>
      </c>
    </row>
    <row r="20" spans="1:5" ht="12.75">
      <c r="A20" s="67"/>
      <c r="B20" s="67"/>
      <c r="C20" s="338"/>
      <c r="D20" s="338"/>
      <c r="E20" s="291">
        <f t="shared" si="0"/>
        <v>0</v>
      </c>
    </row>
    <row r="21" spans="1:5" ht="12.75">
      <c r="A21" s="67"/>
      <c r="B21" s="67"/>
      <c r="C21" s="365"/>
      <c r="D21" s="365"/>
      <c r="E21" s="321">
        <f t="shared" si="0"/>
        <v>0</v>
      </c>
    </row>
    <row r="22" spans="1:5" ht="12.75">
      <c r="A22" s="2" t="s">
        <v>266</v>
      </c>
      <c r="C22" s="291">
        <f>SUM(C13:C21)</f>
        <v>0</v>
      </c>
      <c r="D22" s="291">
        <f>SUM(D13:D21)</f>
        <v>0</v>
      </c>
      <c r="E22" s="291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7" t="s">
        <v>404</v>
      </c>
      <c r="B24" s="67"/>
      <c r="C24" s="103"/>
      <c r="D24" s="103"/>
      <c r="E24" s="103"/>
    </row>
    <row r="25" spans="1:5" ht="12.75">
      <c r="A25" s="67"/>
      <c r="B25" s="67"/>
      <c r="C25" s="338"/>
      <c r="D25" s="338"/>
      <c r="E25" s="291">
        <f>C25-D25</f>
        <v>0</v>
      </c>
    </row>
    <row r="26" spans="1:5" ht="12.75">
      <c r="A26" s="67" t="s">
        <v>413</v>
      </c>
      <c r="B26" s="67"/>
      <c r="C26" s="338">
        <v>0</v>
      </c>
      <c r="D26" s="338"/>
      <c r="E26" s="291">
        <f aca="true" t="shared" si="1" ref="E26:E33">C26-D26</f>
        <v>0</v>
      </c>
    </row>
    <row r="27" spans="1:5" ht="12.75">
      <c r="A27" s="67" t="s">
        <v>414</v>
      </c>
      <c r="B27" s="67"/>
      <c r="C27" s="338"/>
      <c r="D27" s="338"/>
      <c r="E27" s="291">
        <f t="shared" si="1"/>
        <v>0</v>
      </c>
    </row>
    <row r="28" spans="1:5" ht="12.75">
      <c r="A28" s="67" t="s">
        <v>415</v>
      </c>
      <c r="B28" s="67"/>
      <c r="C28" s="338"/>
      <c r="D28" s="338"/>
      <c r="E28" s="291">
        <f t="shared" si="1"/>
        <v>0</v>
      </c>
    </row>
    <row r="29" spans="1:5" ht="12.75">
      <c r="A29" s="67" t="s">
        <v>416</v>
      </c>
      <c r="B29" s="67"/>
      <c r="C29" s="338"/>
      <c r="D29" s="338"/>
      <c r="E29" s="291">
        <f t="shared" si="1"/>
        <v>0</v>
      </c>
    </row>
    <row r="30" spans="1:5" ht="12.75">
      <c r="A30" s="67" t="s">
        <v>402</v>
      </c>
      <c r="B30" s="67"/>
      <c r="C30" s="338"/>
      <c r="D30" s="338"/>
      <c r="E30" s="291">
        <f t="shared" si="1"/>
        <v>0</v>
      </c>
    </row>
    <row r="31" spans="1:5" ht="12.75">
      <c r="A31" s="67" t="s">
        <v>402</v>
      </c>
      <c r="B31" s="67"/>
      <c r="C31" s="338"/>
      <c r="D31" s="338"/>
      <c r="E31" s="291">
        <f t="shared" si="1"/>
        <v>0</v>
      </c>
    </row>
    <row r="32" spans="1:5" ht="12.75">
      <c r="A32" s="67"/>
      <c r="B32" s="67"/>
      <c r="C32" s="338"/>
      <c r="D32" s="338"/>
      <c r="E32" s="291">
        <f t="shared" si="1"/>
        <v>0</v>
      </c>
    </row>
    <row r="33" spans="1:5" ht="13.5" thickBot="1">
      <c r="A33" s="68"/>
      <c r="B33" s="67"/>
      <c r="C33" s="338"/>
      <c r="D33" s="338"/>
      <c r="E33" s="291">
        <f t="shared" si="1"/>
        <v>0</v>
      </c>
    </row>
    <row r="34" spans="1:5" ht="12.75">
      <c r="A34" s="62" t="s">
        <v>215</v>
      </c>
      <c r="C34" s="28"/>
      <c r="D34" s="28"/>
      <c r="E34" s="321"/>
    </row>
    <row r="35" spans="1:5" ht="12.75">
      <c r="A35" s="2" t="s">
        <v>266</v>
      </c>
      <c r="C35" s="291">
        <f>SUM(C25:C33)</f>
        <v>0</v>
      </c>
      <c r="D35" s="291">
        <f>SUM(D25:D33)</f>
        <v>0</v>
      </c>
      <c r="E35" s="291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403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7" t="s">
        <v>405</v>
      </c>
      <c r="B40" s="67"/>
      <c r="C40" s="103"/>
      <c r="D40" s="103"/>
      <c r="E40" s="103"/>
    </row>
    <row r="41" spans="1:5" ht="12.75">
      <c r="A41" s="67"/>
      <c r="B41" s="67"/>
      <c r="C41" s="338"/>
      <c r="D41" s="338"/>
      <c r="E41" s="291">
        <f>C41-D41</f>
        <v>0</v>
      </c>
    </row>
    <row r="42" spans="1:5" ht="12.75">
      <c r="A42" s="67"/>
      <c r="B42" s="67"/>
      <c r="C42" s="338"/>
      <c r="D42" s="338"/>
      <c r="E42" s="291">
        <f aca="true" t="shared" si="2" ref="E42:E49">C42-D42</f>
        <v>0</v>
      </c>
    </row>
    <row r="43" spans="1:5" ht="12.75">
      <c r="A43" s="67" t="s">
        <v>398</v>
      </c>
      <c r="B43" s="67"/>
      <c r="C43" s="338"/>
      <c r="D43" s="338"/>
      <c r="E43" s="291">
        <f t="shared" si="2"/>
        <v>0</v>
      </c>
    </row>
    <row r="44" spans="1:5" ht="12.75">
      <c r="A44" s="67" t="s">
        <v>399</v>
      </c>
      <c r="B44" s="67"/>
      <c r="C44" s="338">
        <v>0</v>
      </c>
      <c r="D44" s="338"/>
      <c r="E44" s="291">
        <f t="shared" si="2"/>
        <v>0</v>
      </c>
    </row>
    <row r="45" spans="1:5" ht="12.75">
      <c r="A45" s="67" t="s">
        <v>400</v>
      </c>
      <c r="B45" s="67"/>
      <c r="C45" s="338"/>
      <c r="D45" s="338"/>
      <c r="E45" s="291">
        <f t="shared" si="2"/>
        <v>0</v>
      </c>
    </row>
    <row r="46" spans="1:5" ht="12.75">
      <c r="A46" s="67" t="s">
        <v>401</v>
      </c>
      <c r="B46" s="67"/>
      <c r="C46" s="338"/>
      <c r="D46" s="338"/>
      <c r="E46" s="291">
        <f t="shared" si="2"/>
        <v>0</v>
      </c>
    </row>
    <row r="47" spans="1:5" ht="12.75">
      <c r="A47" s="67" t="s">
        <v>607</v>
      </c>
      <c r="B47" s="67"/>
      <c r="C47" s="338"/>
      <c r="D47" s="338"/>
      <c r="E47" s="291">
        <f t="shared" si="2"/>
        <v>0</v>
      </c>
    </row>
    <row r="48" spans="1:5" ht="12.75">
      <c r="A48" s="67" t="s">
        <v>402</v>
      </c>
      <c r="B48" s="67"/>
      <c r="C48" s="338"/>
      <c r="D48" s="338"/>
      <c r="E48" s="291">
        <f t="shared" si="2"/>
        <v>0</v>
      </c>
    </row>
    <row r="49" spans="1:5" ht="12.75">
      <c r="A49" s="67"/>
      <c r="B49" s="67"/>
      <c r="C49" s="365"/>
      <c r="D49" s="365"/>
      <c r="E49" s="321">
        <f t="shared" si="2"/>
        <v>0</v>
      </c>
    </row>
    <row r="50" spans="1:5" ht="12.75">
      <c r="A50" s="2" t="s">
        <v>266</v>
      </c>
      <c r="C50" s="291">
        <f>SUM(C41:C49)</f>
        <v>0</v>
      </c>
      <c r="D50" s="291">
        <f>SUM(D41:D49)</f>
        <v>0</v>
      </c>
      <c r="E50" s="291">
        <f>SUM(E41:E49)</f>
        <v>0</v>
      </c>
    </row>
    <row r="51" spans="3:5" ht="12.75">
      <c r="C51" s="28"/>
      <c r="D51" s="28"/>
      <c r="E51" s="28"/>
    </row>
    <row r="52" spans="1:5" ht="12.75">
      <c r="A52" s="287" t="s">
        <v>404</v>
      </c>
      <c r="B52" s="67"/>
      <c r="C52" s="103"/>
      <c r="D52" s="103"/>
      <c r="E52" s="103"/>
    </row>
    <row r="53" spans="1:5" ht="12.75">
      <c r="A53" s="67"/>
      <c r="B53" s="67"/>
      <c r="C53" s="338"/>
      <c r="D53" s="338"/>
      <c r="E53" s="291">
        <f>C53-D53</f>
        <v>0</v>
      </c>
    </row>
    <row r="54" spans="1:5" ht="12.75">
      <c r="A54" s="286"/>
      <c r="B54" s="67"/>
      <c r="C54" s="338"/>
      <c r="D54" s="338"/>
      <c r="E54" s="291">
        <f aca="true" t="shared" si="3" ref="E54:E61">C54-D54</f>
        <v>0</v>
      </c>
    </row>
    <row r="55" spans="1:5" ht="12.75">
      <c r="A55" s="286" t="s">
        <v>398</v>
      </c>
      <c r="B55" s="67"/>
      <c r="C55" s="338"/>
      <c r="D55" s="338"/>
      <c r="E55" s="291">
        <f t="shared" si="3"/>
        <v>0</v>
      </c>
    </row>
    <row r="56" spans="1:5" ht="12.75">
      <c r="A56" s="286" t="s">
        <v>399</v>
      </c>
      <c r="B56" s="67"/>
      <c r="C56" s="338">
        <v>0</v>
      </c>
      <c r="D56" s="338"/>
      <c r="E56" s="291">
        <f t="shared" si="3"/>
        <v>0</v>
      </c>
    </row>
    <row r="57" spans="1:5" ht="12.75">
      <c r="A57" s="286" t="s">
        <v>400</v>
      </c>
      <c r="B57" s="67"/>
      <c r="C57" s="338"/>
      <c r="D57" s="338"/>
      <c r="E57" s="291">
        <f t="shared" si="3"/>
        <v>0</v>
      </c>
    </row>
    <row r="58" spans="1:5" ht="12.75">
      <c r="A58" s="286" t="s">
        <v>401</v>
      </c>
      <c r="B58" s="67"/>
      <c r="C58" s="338"/>
      <c r="D58" s="338"/>
      <c r="E58" s="291">
        <f t="shared" si="3"/>
        <v>0</v>
      </c>
    </row>
    <row r="59" spans="1:5" ht="12.75">
      <c r="A59" s="67" t="s">
        <v>608</v>
      </c>
      <c r="B59" s="67"/>
      <c r="C59" s="338"/>
      <c r="D59" s="338"/>
      <c r="E59" s="291">
        <f t="shared" si="3"/>
        <v>0</v>
      </c>
    </row>
    <row r="60" spans="1:5" ht="12.75">
      <c r="A60" s="67" t="s">
        <v>402</v>
      </c>
      <c r="B60" s="67"/>
      <c r="C60" s="338"/>
      <c r="D60" s="338"/>
      <c r="E60" s="291">
        <f t="shared" si="3"/>
        <v>0</v>
      </c>
    </row>
    <row r="61" spans="1:5" ht="13.5" thickBot="1">
      <c r="A61" s="68"/>
      <c r="B61" s="67"/>
      <c r="C61" s="338"/>
      <c r="D61" s="338"/>
      <c r="E61" s="291">
        <f t="shared" si="3"/>
        <v>0</v>
      </c>
    </row>
    <row r="62" spans="1:5" ht="12.75">
      <c r="A62" s="62" t="s">
        <v>215</v>
      </c>
      <c r="C62" s="28"/>
      <c r="D62" s="28"/>
      <c r="E62" s="321"/>
    </row>
    <row r="63" spans="1:5" ht="12.75">
      <c r="A63" s="2" t="s">
        <v>266</v>
      </c>
      <c r="C63" s="291">
        <f>SUM(C53:C61)</f>
        <v>0</v>
      </c>
      <c r="D63" s="291">
        <f>SUM(D53:D61)</f>
        <v>0</v>
      </c>
      <c r="E63" s="291">
        <f>SUM(E53:E61)</f>
        <v>0</v>
      </c>
    </row>
  </sheetData>
  <sheetProtection/>
  <printOptions gridLines="1" headings="1"/>
  <pageMargins left="0.75" right="0.25" top="0.78" bottom="0.5" header="0.33" footer="0.21"/>
  <pageSetup horizontalDpi="600" verticalDpi="600" orientation="portrait" scale="80" r:id="rId1"/>
  <headerFooter alignWithMargins="0">
    <oddFooter>&amp;L&amp;F&amp;C&amp;P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1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4" sqref="C11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4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379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>
        <f>REGINFO!E2</f>
        <v>0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>
        <f>REGINFO!E1</f>
        <v>0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HYDRONAME  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 Revised 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2">
        <f>TAXREC!C11</f>
        <v>92</v>
      </c>
      <c r="D10" s="66"/>
      <c r="E10" s="31"/>
      <c r="F10" s="26"/>
    </row>
    <row r="11" spans="1:6" ht="12.75">
      <c r="A11" s="2" t="s">
        <v>199</v>
      </c>
      <c r="B11" s="26"/>
      <c r="C11" s="313">
        <f>TAXREC!C13</f>
        <v>13835.05625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8" t="s">
        <v>216</v>
      </c>
      <c r="B15" t="s">
        <v>277</v>
      </c>
      <c r="C15" s="339"/>
      <c r="D15" s="339"/>
      <c r="E15" s="368">
        <f>C15-D15</f>
        <v>0</v>
      </c>
    </row>
    <row r="16" spans="1:5" ht="12.75">
      <c r="A16" s="78" t="s">
        <v>380</v>
      </c>
      <c r="B16" t="s">
        <v>277</v>
      </c>
      <c r="C16" s="339"/>
      <c r="D16" s="339"/>
      <c r="E16" s="368">
        <f aca="true" t="shared" si="0" ref="E16:E52">C16-D16</f>
        <v>0</v>
      </c>
    </row>
    <row r="17" spans="1:5" ht="12.75">
      <c r="A17" s="78" t="s">
        <v>294</v>
      </c>
      <c r="B17" t="s">
        <v>277</v>
      </c>
      <c r="C17" s="339">
        <v>0</v>
      </c>
      <c r="D17" s="339"/>
      <c r="E17" s="368">
        <f t="shared" si="0"/>
        <v>0</v>
      </c>
    </row>
    <row r="18" spans="1:5" ht="12.75">
      <c r="A18" s="78" t="s">
        <v>217</v>
      </c>
      <c r="B18" t="s">
        <v>277</v>
      </c>
      <c r="C18" s="339"/>
      <c r="D18" s="369"/>
      <c r="E18" s="368">
        <f t="shared" si="0"/>
        <v>0</v>
      </c>
    </row>
    <row r="19" spans="1:5" ht="12.75">
      <c r="A19" s="78" t="s">
        <v>218</v>
      </c>
      <c r="B19" t="s">
        <v>277</v>
      </c>
      <c r="C19" s="339"/>
      <c r="D19" s="339"/>
      <c r="E19" s="368">
        <f t="shared" si="0"/>
        <v>0</v>
      </c>
    </row>
    <row r="20" spans="1:5" ht="12.75">
      <c r="A20" s="78" t="s">
        <v>219</v>
      </c>
      <c r="B20" t="s">
        <v>277</v>
      </c>
      <c r="C20" s="339">
        <v>100</v>
      </c>
      <c r="D20" s="339"/>
      <c r="E20" s="368">
        <f t="shared" si="0"/>
        <v>100</v>
      </c>
    </row>
    <row r="21" spans="1:5" ht="12.75">
      <c r="A21" s="78" t="s">
        <v>18</v>
      </c>
      <c r="B21" t="s">
        <v>277</v>
      </c>
      <c r="C21" s="339"/>
      <c r="D21" s="339"/>
      <c r="E21" s="368">
        <f t="shared" si="0"/>
        <v>0</v>
      </c>
    </row>
    <row r="22" spans="1:5" ht="12.75">
      <c r="A22" s="78" t="s">
        <v>220</v>
      </c>
      <c r="B22" t="s">
        <v>277</v>
      </c>
      <c r="C22" s="339"/>
      <c r="D22" s="339"/>
      <c r="E22" s="368">
        <f t="shared" si="0"/>
        <v>0</v>
      </c>
    </row>
    <row r="23" spans="1:5" ht="12.75">
      <c r="A23" s="78" t="s">
        <v>221</v>
      </c>
      <c r="B23" t="s">
        <v>277</v>
      </c>
      <c r="C23" s="339"/>
      <c r="D23" s="339"/>
      <c r="E23" s="368">
        <f t="shared" si="0"/>
        <v>0</v>
      </c>
    </row>
    <row r="24" spans="1:5" ht="12.75">
      <c r="A24" s="78" t="s">
        <v>222</v>
      </c>
      <c r="B24" t="s">
        <v>277</v>
      </c>
      <c r="C24" s="339"/>
      <c r="D24" s="339"/>
      <c r="E24" s="368">
        <f t="shared" si="0"/>
        <v>0</v>
      </c>
    </row>
    <row r="25" spans="1:5" ht="12.75">
      <c r="A25" s="78" t="s">
        <v>19</v>
      </c>
      <c r="B25" t="s">
        <v>277</v>
      </c>
      <c r="C25" s="339"/>
      <c r="D25" s="339"/>
      <c r="E25" s="368">
        <f t="shared" si="0"/>
        <v>0</v>
      </c>
    </row>
    <row r="26" spans="1:5" ht="12.75">
      <c r="A26" s="78" t="s">
        <v>223</v>
      </c>
      <c r="B26" t="s">
        <v>277</v>
      </c>
      <c r="C26" s="339"/>
      <c r="D26" s="339"/>
      <c r="E26" s="368">
        <f t="shared" si="0"/>
        <v>0</v>
      </c>
    </row>
    <row r="27" spans="1:5" ht="12.75">
      <c r="A27" s="78" t="s">
        <v>224</v>
      </c>
      <c r="B27" t="s">
        <v>277</v>
      </c>
      <c r="C27" s="339"/>
      <c r="D27" s="339"/>
      <c r="E27" s="368">
        <f t="shared" si="0"/>
        <v>0</v>
      </c>
    </row>
    <row r="28" spans="1:5" ht="12.75">
      <c r="A28" s="78" t="s">
        <v>381</v>
      </c>
      <c r="B28" t="s">
        <v>277</v>
      </c>
      <c r="C28" s="339"/>
      <c r="D28" s="339"/>
      <c r="E28" s="368">
        <f t="shared" si="0"/>
        <v>0</v>
      </c>
    </row>
    <row r="29" spans="1:5" ht="12.75">
      <c r="A29" s="78" t="s">
        <v>295</v>
      </c>
      <c r="B29" t="s">
        <v>277</v>
      </c>
      <c r="C29" s="339"/>
      <c r="D29" s="339"/>
      <c r="E29" s="368">
        <f t="shared" si="0"/>
        <v>0</v>
      </c>
    </row>
    <row r="30" spans="1:5" ht="12.75">
      <c r="A30" s="78" t="s">
        <v>441</v>
      </c>
      <c r="B30" t="s">
        <v>277</v>
      </c>
      <c r="C30" s="339"/>
      <c r="D30" s="339"/>
      <c r="E30" s="368">
        <f t="shared" si="0"/>
        <v>0</v>
      </c>
    </row>
    <row r="31" spans="1:5" ht="12.75">
      <c r="A31" s="78" t="s">
        <v>296</v>
      </c>
      <c r="B31" t="s">
        <v>277</v>
      </c>
      <c r="C31" s="339"/>
      <c r="D31" s="339"/>
      <c r="E31" s="368">
        <f t="shared" si="0"/>
        <v>0</v>
      </c>
    </row>
    <row r="32" spans="1:5" ht="12.75">
      <c r="A32" s="78" t="s">
        <v>17</v>
      </c>
      <c r="B32" t="s">
        <v>277</v>
      </c>
      <c r="C32" s="339"/>
      <c r="D32" s="339"/>
      <c r="E32" s="368">
        <f t="shared" si="0"/>
        <v>0</v>
      </c>
    </row>
    <row r="33" spans="1:5" ht="12.75">
      <c r="A33" s="78" t="s">
        <v>207</v>
      </c>
      <c r="B33" t="s">
        <v>277</v>
      </c>
      <c r="C33" s="339"/>
      <c r="D33" s="339"/>
      <c r="E33" s="368">
        <f t="shared" si="0"/>
        <v>0</v>
      </c>
    </row>
    <row r="34" spans="1:5" ht="12.75">
      <c r="A34" s="78" t="s">
        <v>208</v>
      </c>
      <c r="B34" t="s">
        <v>277</v>
      </c>
      <c r="C34" s="339"/>
      <c r="D34" s="339"/>
      <c r="E34" s="368">
        <f t="shared" si="0"/>
        <v>0</v>
      </c>
    </row>
    <row r="35" spans="1:5" ht="12.75">
      <c r="A35" s="78" t="s">
        <v>297</v>
      </c>
      <c r="B35" t="s">
        <v>277</v>
      </c>
      <c r="C35" s="339"/>
      <c r="D35" s="339"/>
      <c r="E35" s="368">
        <f t="shared" si="0"/>
        <v>0</v>
      </c>
    </row>
    <row r="36" spans="1:5" ht="12.75">
      <c r="A36" s="78" t="s">
        <v>225</v>
      </c>
      <c r="B36" t="s">
        <v>277</v>
      </c>
      <c r="C36" s="339"/>
      <c r="D36" s="339"/>
      <c r="E36" s="291">
        <f t="shared" si="0"/>
        <v>0</v>
      </c>
    </row>
    <row r="37" spans="1:5" ht="12.75">
      <c r="A37" s="78" t="s">
        <v>226</v>
      </c>
      <c r="B37" t="s">
        <v>277</v>
      </c>
      <c r="C37" s="339"/>
      <c r="D37" s="339"/>
      <c r="E37" s="291">
        <f t="shared" si="0"/>
        <v>0</v>
      </c>
    </row>
    <row r="38" spans="1:5" ht="12.75">
      <c r="A38" s="78" t="s">
        <v>382</v>
      </c>
      <c r="B38" t="s">
        <v>277</v>
      </c>
      <c r="C38" s="339"/>
      <c r="D38" s="339"/>
      <c r="E38" s="291">
        <f t="shared" si="0"/>
        <v>0</v>
      </c>
    </row>
    <row r="39" spans="1:5" ht="12.75">
      <c r="A39" s="78" t="s">
        <v>227</v>
      </c>
      <c r="B39" t="s">
        <v>277</v>
      </c>
      <c r="C39" s="339"/>
      <c r="D39" s="339"/>
      <c r="E39" s="291">
        <f t="shared" si="0"/>
        <v>0</v>
      </c>
    </row>
    <row r="40" spans="1:5" ht="12.75">
      <c r="A40" s="78" t="s">
        <v>228</v>
      </c>
      <c r="B40" t="s">
        <v>277</v>
      </c>
      <c r="C40" s="339"/>
      <c r="D40" s="339"/>
      <c r="E40" s="291">
        <f t="shared" si="0"/>
        <v>0</v>
      </c>
    </row>
    <row r="41" spans="1:5" ht="12.75">
      <c r="A41" s="78" t="s">
        <v>229</v>
      </c>
      <c r="B41" t="s">
        <v>277</v>
      </c>
      <c r="C41" s="338"/>
      <c r="D41" s="339"/>
      <c r="E41" s="291">
        <f t="shared" si="0"/>
        <v>0</v>
      </c>
    </row>
    <row r="42" spans="1:5" ht="12.75">
      <c r="A42" s="78" t="s">
        <v>298</v>
      </c>
      <c r="B42" t="s">
        <v>277</v>
      </c>
      <c r="C42" s="338"/>
      <c r="D42" s="339"/>
      <c r="E42" s="291">
        <f t="shared" si="0"/>
        <v>0</v>
      </c>
    </row>
    <row r="43" spans="1:5" ht="12.75">
      <c r="A43" s="79" t="s">
        <v>310</v>
      </c>
      <c r="B43" t="s">
        <v>277</v>
      </c>
      <c r="C43" s="338"/>
      <c r="D43" s="338"/>
      <c r="E43" s="291">
        <f t="shared" si="0"/>
        <v>0</v>
      </c>
    </row>
    <row r="44" spans="1:5" ht="12.75">
      <c r="A44" s="78" t="s">
        <v>442</v>
      </c>
      <c r="B44" t="s">
        <v>277</v>
      </c>
      <c r="C44" s="338"/>
      <c r="D44" s="338"/>
      <c r="E44" s="291">
        <f t="shared" si="0"/>
        <v>0</v>
      </c>
    </row>
    <row r="45" spans="1:5" ht="12.75">
      <c r="A45" s="78" t="s">
        <v>593</v>
      </c>
      <c r="B45" t="s">
        <v>277</v>
      </c>
      <c r="C45" s="338">
        <v>0</v>
      </c>
      <c r="D45" s="338"/>
      <c r="E45" s="291">
        <f t="shared" si="0"/>
        <v>0</v>
      </c>
    </row>
    <row r="46" spans="1:5" ht="12.75">
      <c r="A46" s="78"/>
      <c r="B46" t="s">
        <v>277</v>
      </c>
      <c r="C46" s="338"/>
      <c r="D46" s="338"/>
      <c r="E46" s="291">
        <f t="shared" si="0"/>
        <v>0</v>
      </c>
    </row>
    <row r="47" spans="1:5" ht="12.75">
      <c r="A47" s="78"/>
      <c r="B47" t="s">
        <v>277</v>
      </c>
      <c r="C47" s="338"/>
      <c r="D47" s="338"/>
      <c r="E47" s="291">
        <f t="shared" si="0"/>
        <v>0</v>
      </c>
    </row>
    <row r="48" spans="1:5" ht="12.75">
      <c r="A48" s="78"/>
      <c r="B48" t="s">
        <v>277</v>
      </c>
      <c r="C48" s="338"/>
      <c r="D48" s="338"/>
      <c r="E48" s="291">
        <f t="shared" si="0"/>
        <v>0</v>
      </c>
    </row>
    <row r="49" spans="1:5" ht="12.75">
      <c r="A49" s="78"/>
      <c r="B49" t="s">
        <v>277</v>
      </c>
      <c r="C49" s="338"/>
      <c r="D49" s="338"/>
      <c r="E49" s="291">
        <f t="shared" si="0"/>
        <v>0</v>
      </c>
    </row>
    <row r="50" spans="1:5" ht="12.75">
      <c r="A50" s="78"/>
      <c r="B50" t="s">
        <v>277</v>
      </c>
      <c r="C50" s="338"/>
      <c r="D50" s="338"/>
      <c r="E50" s="291">
        <f t="shared" si="0"/>
        <v>0</v>
      </c>
    </row>
    <row r="51" spans="1:5" ht="12.75">
      <c r="A51" s="78"/>
      <c r="B51" t="s">
        <v>277</v>
      </c>
      <c r="C51" s="338"/>
      <c r="D51" s="338"/>
      <c r="E51" s="291">
        <f t="shared" si="0"/>
        <v>0</v>
      </c>
    </row>
    <row r="52" spans="1:5" ht="12.75">
      <c r="A52" s="78"/>
      <c r="B52" t="s">
        <v>277</v>
      </c>
      <c r="C52" s="338"/>
      <c r="D52" s="338"/>
      <c r="E52" s="291">
        <f t="shared" si="0"/>
        <v>0</v>
      </c>
    </row>
    <row r="53" spans="1:5" ht="12.75">
      <c r="A53" s="78"/>
      <c r="B53" t="s">
        <v>277</v>
      </c>
      <c r="C53" s="338"/>
      <c r="D53" s="338"/>
      <c r="E53" s="321"/>
    </row>
    <row r="54" spans="1:5" ht="12.75">
      <c r="A54" s="81" t="s">
        <v>256</v>
      </c>
      <c r="B54" t="s">
        <v>280</v>
      </c>
      <c r="C54" s="291">
        <f>SUM(C15:C53)</f>
        <v>100</v>
      </c>
      <c r="D54" s="291">
        <f>SUM(D15:D53)</f>
        <v>0</v>
      </c>
      <c r="E54" s="291">
        <f>SUM(E15:E53)</f>
        <v>100</v>
      </c>
    </row>
    <row r="55" ht="12.75">
      <c r="A55" s="78"/>
    </row>
    <row r="56" ht="12.75">
      <c r="A56" s="78" t="s">
        <v>258</v>
      </c>
    </row>
    <row r="57" spans="1:5" ht="12.75">
      <c r="A57" s="316" t="str">
        <f aca="true" t="shared" si="1" ref="A57:A71">IF($E15&gt;$C$11,A15," ")</f>
        <v> </v>
      </c>
      <c r="B57" s="314"/>
      <c r="C57" s="291">
        <f aca="true" t="shared" si="2" ref="C57:E71">IF($E15&gt;$C$11,C15,)</f>
        <v>0</v>
      </c>
      <c r="D57" s="291">
        <f t="shared" si="2"/>
        <v>0</v>
      </c>
      <c r="E57" s="291">
        <f t="shared" si="2"/>
        <v>0</v>
      </c>
    </row>
    <row r="58" spans="1:5" ht="12.75">
      <c r="A58" s="316" t="str">
        <f t="shared" si="1"/>
        <v> </v>
      </c>
      <c r="B58" s="314"/>
      <c r="C58" s="291">
        <f t="shared" si="2"/>
        <v>0</v>
      </c>
      <c r="D58" s="291">
        <f t="shared" si="2"/>
        <v>0</v>
      </c>
      <c r="E58" s="291">
        <f t="shared" si="2"/>
        <v>0</v>
      </c>
    </row>
    <row r="59" spans="1:5" ht="12.75">
      <c r="A59" s="316" t="str">
        <f t="shared" si="1"/>
        <v> </v>
      </c>
      <c r="B59" s="314"/>
      <c r="C59" s="291">
        <f t="shared" si="2"/>
        <v>0</v>
      </c>
      <c r="D59" s="291">
        <f t="shared" si="2"/>
        <v>0</v>
      </c>
      <c r="E59" s="291">
        <f t="shared" si="2"/>
        <v>0</v>
      </c>
    </row>
    <row r="60" spans="1:5" ht="12.75">
      <c r="A60" s="316" t="str">
        <f t="shared" si="1"/>
        <v> </v>
      </c>
      <c r="B60" s="314"/>
      <c r="C60" s="291">
        <f t="shared" si="2"/>
        <v>0</v>
      </c>
      <c r="D60" s="291">
        <f t="shared" si="2"/>
        <v>0</v>
      </c>
      <c r="E60" s="291">
        <f t="shared" si="2"/>
        <v>0</v>
      </c>
    </row>
    <row r="61" spans="1:5" ht="12.75">
      <c r="A61" s="316" t="str">
        <f t="shared" si="1"/>
        <v> </v>
      </c>
      <c r="B61" s="314"/>
      <c r="C61" s="291">
        <f t="shared" si="2"/>
        <v>0</v>
      </c>
      <c r="D61" s="291">
        <f t="shared" si="2"/>
        <v>0</v>
      </c>
      <c r="E61" s="291">
        <f t="shared" si="2"/>
        <v>0</v>
      </c>
    </row>
    <row r="62" spans="1:5" ht="12.75">
      <c r="A62" s="316" t="str">
        <f t="shared" si="1"/>
        <v> </v>
      </c>
      <c r="B62" s="314"/>
      <c r="C62" s="291">
        <f t="shared" si="2"/>
        <v>0</v>
      </c>
      <c r="D62" s="291">
        <f t="shared" si="2"/>
        <v>0</v>
      </c>
      <c r="E62" s="291">
        <f t="shared" si="2"/>
        <v>0</v>
      </c>
    </row>
    <row r="63" spans="1:5" ht="12.75">
      <c r="A63" s="316" t="str">
        <f t="shared" si="1"/>
        <v> </v>
      </c>
      <c r="B63" s="314"/>
      <c r="C63" s="291">
        <f t="shared" si="2"/>
        <v>0</v>
      </c>
      <c r="D63" s="291">
        <f t="shared" si="2"/>
        <v>0</v>
      </c>
      <c r="E63" s="291">
        <f t="shared" si="2"/>
        <v>0</v>
      </c>
    </row>
    <row r="64" spans="1:5" ht="12.75">
      <c r="A64" s="316" t="str">
        <f t="shared" si="1"/>
        <v> </v>
      </c>
      <c r="B64" s="314"/>
      <c r="C64" s="291">
        <f t="shared" si="2"/>
        <v>0</v>
      </c>
      <c r="D64" s="291">
        <f t="shared" si="2"/>
        <v>0</v>
      </c>
      <c r="E64" s="291">
        <f t="shared" si="2"/>
        <v>0</v>
      </c>
    </row>
    <row r="65" spans="1:5" ht="12.75">
      <c r="A65" s="316" t="str">
        <f t="shared" si="1"/>
        <v> </v>
      </c>
      <c r="B65" s="314"/>
      <c r="C65" s="291">
        <f t="shared" si="2"/>
        <v>0</v>
      </c>
      <c r="D65" s="291">
        <f t="shared" si="2"/>
        <v>0</v>
      </c>
      <c r="E65" s="291">
        <f t="shared" si="2"/>
        <v>0</v>
      </c>
    </row>
    <row r="66" spans="1:5" ht="12.75">
      <c r="A66" s="316" t="str">
        <f t="shared" si="1"/>
        <v> </v>
      </c>
      <c r="B66" s="314"/>
      <c r="C66" s="291">
        <f t="shared" si="2"/>
        <v>0</v>
      </c>
      <c r="D66" s="291">
        <f t="shared" si="2"/>
        <v>0</v>
      </c>
      <c r="E66" s="291">
        <f t="shared" si="2"/>
        <v>0</v>
      </c>
    </row>
    <row r="67" spans="1:5" ht="12.75">
      <c r="A67" s="316" t="str">
        <f t="shared" si="1"/>
        <v> </v>
      </c>
      <c r="B67" s="314"/>
      <c r="C67" s="291">
        <f t="shared" si="2"/>
        <v>0</v>
      </c>
      <c r="D67" s="291">
        <f t="shared" si="2"/>
        <v>0</v>
      </c>
      <c r="E67" s="291">
        <f t="shared" si="2"/>
        <v>0</v>
      </c>
    </row>
    <row r="68" spans="1:5" ht="12.75">
      <c r="A68" s="316" t="str">
        <f t="shared" si="1"/>
        <v> </v>
      </c>
      <c r="B68" s="314"/>
      <c r="C68" s="291">
        <f t="shared" si="2"/>
        <v>0</v>
      </c>
      <c r="D68" s="291">
        <f t="shared" si="2"/>
        <v>0</v>
      </c>
      <c r="E68" s="291">
        <f t="shared" si="2"/>
        <v>0</v>
      </c>
    </row>
    <row r="69" spans="1:5" ht="12.75">
      <c r="A69" s="316" t="str">
        <f t="shared" si="1"/>
        <v> </v>
      </c>
      <c r="B69" s="314"/>
      <c r="C69" s="291">
        <f t="shared" si="2"/>
        <v>0</v>
      </c>
      <c r="D69" s="291">
        <f t="shared" si="2"/>
        <v>0</v>
      </c>
      <c r="E69" s="291">
        <f t="shared" si="2"/>
        <v>0</v>
      </c>
    </row>
    <row r="70" spans="1:5" ht="12.75">
      <c r="A70" s="316" t="str">
        <f t="shared" si="1"/>
        <v> </v>
      </c>
      <c r="B70" s="314"/>
      <c r="C70" s="291">
        <f t="shared" si="2"/>
        <v>0</v>
      </c>
      <c r="D70" s="291">
        <f t="shared" si="2"/>
        <v>0</v>
      </c>
      <c r="E70" s="291">
        <f t="shared" si="2"/>
        <v>0</v>
      </c>
    </row>
    <row r="71" spans="1:5" ht="12.75">
      <c r="A71" s="316" t="str">
        <f t="shared" si="1"/>
        <v> </v>
      </c>
      <c r="B71" s="314"/>
      <c r="C71" s="291">
        <f t="shared" si="2"/>
        <v>0</v>
      </c>
      <c r="D71" s="291">
        <f t="shared" si="2"/>
        <v>0</v>
      </c>
      <c r="E71" s="291">
        <f t="shared" si="2"/>
        <v>0</v>
      </c>
    </row>
    <row r="72" spans="1:5" ht="12.75">
      <c r="A72" s="316" t="str">
        <f aca="true" t="shared" si="3" ref="A72:A93">IF($E31&gt;$C$11,A31," ")</f>
        <v> </v>
      </c>
      <c r="B72" s="314"/>
      <c r="C72" s="291">
        <f aca="true" t="shared" si="4" ref="C72:E76">IF($E31&gt;$C$11,C31,)</f>
        <v>0</v>
      </c>
      <c r="D72" s="291">
        <f t="shared" si="4"/>
        <v>0</v>
      </c>
      <c r="E72" s="291">
        <f t="shared" si="4"/>
        <v>0</v>
      </c>
    </row>
    <row r="73" spans="1:5" ht="12.75">
      <c r="A73" s="316" t="str">
        <f t="shared" si="3"/>
        <v> </v>
      </c>
      <c r="B73" s="314"/>
      <c r="C73" s="291">
        <f t="shared" si="4"/>
        <v>0</v>
      </c>
      <c r="D73" s="291">
        <f t="shared" si="4"/>
        <v>0</v>
      </c>
      <c r="E73" s="291">
        <f t="shared" si="4"/>
        <v>0</v>
      </c>
    </row>
    <row r="74" spans="1:5" ht="12.75">
      <c r="A74" s="316" t="str">
        <f t="shared" si="3"/>
        <v> </v>
      </c>
      <c r="B74" s="314"/>
      <c r="C74" s="291">
        <f t="shared" si="4"/>
        <v>0</v>
      </c>
      <c r="D74" s="291">
        <f t="shared" si="4"/>
        <v>0</v>
      </c>
      <c r="E74" s="291">
        <f t="shared" si="4"/>
        <v>0</v>
      </c>
    </row>
    <row r="75" spans="1:5" ht="12.75">
      <c r="A75" s="316" t="str">
        <f t="shared" si="3"/>
        <v> </v>
      </c>
      <c r="B75" s="314"/>
      <c r="C75" s="291">
        <f t="shared" si="4"/>
        <v>0</v>
      </c>
      <c r="D75" s="291">
        <f t="shared" si="4"/>
        <v>0</v>
      </c>
      <c r="E75" s="291">
        <f t="shared" si="4"/>
        <v>0</v>
      </c>
    </row>
    <row r="76" spans="1:5" ht="12.75">
      <c r="A76" s="316" t="str">
        <f t="shared" si="3"/>
        <v> </v>
      </c>
      <c r="B76" s="314"/>
      <c r="C76" s="291">
        <f t="shared" si="4"/>
        <v>0</v>
      </c>
      <c r="D76" s="291">
        <f t="shared" si="4"/>
        <v>0</v>
      </c>
      <c r="E76" s="291">
        <f t="shared" si="4"/>
        <v>0</v>
      </c>
    </row>
    <row r="77" spans="1:5" ht="12.75">
      <c r="A77" s="316" t="str">
        <f t="shared" si="3"/>
        <v> </v>
      </c>
      <c r="B77" s="314"/>
      <c r="C77" s="291">
        <f aca="true" t="shared" si="5" ref="C77:E91">IF($E36&gt;$C$11,C36,)</f>
        <v>0</v>
      </c>
      <c r="D77" s="291">
        <f t="shared" si="5"/>
        <v>0</v>
      </c>
      <c r="E77" s="291">
        <f t="shared" si="5"/>
        <v>0</v>
      </c>
    </row>
    <row r="78" spans="1:5" ht="12.75">
      <c r="A78" s="316" t="str">
        <f t="shared" si="3"/>
        <v> </v>
      </c>
      <c r="B78" s="314"/>
      <c r="C78" s="291">
        <f t="shared" si="5"/>
        <v>0</v>
      </c>
      <c r="D78" s="291">
        <f t="shared" si="5"/>
        <v>0</v>
      </c>
      <c r="E78" s="291">
        <f t="shared" si="5"/>
        <v>0</v>
      </c>
    </row>
    <row r="79" spans="1:5" ht="12.75">
      <c r="A79" s="316" t="str">
        <f t="shared" si="3"/>
        <v> </v>
      </c>
      <c r="B79" s="314"/>
      <c r="C79" s="291">
        <f t="shared" si="5"/>
        <v>0</v>
      </c>
      <c r="D79" s="291">
        <f t="shared" si="5"/>
        <v>0</v>
      </c>
      <c r="E79" s="291">
        <f t="shared" si="5"/>
        <v>0</v>
      </c>
    </row>
    <row r="80" spans="1:5" ht="12.75">
      <c r="A80" s="316" t="str">
        <f t="shared" si="3"/>
        <v> </v>
      </c>
      <c r="B80" s="314"/>
      <c r="C80" s="291">
        <f t="shared" si="5"/>
        <v>0</v>
      </c>
      <c r="D80" s="291">
        <f t="shared" si="5"/>
        <v>0</v>
      </c>
      <c r="E80" s="291">
        <f t="shared" si="5"/>
        <v>0</v>
      </c>
    </row>
    <row r="81" spans="1:5" ht="12.75">
      <c r="A81" s="316" t="str">
        <f t="shared" si="3"/>
        <v> </v>
      </c>
      <c r="B81" s="314"/>
      <c r="C81" s="291">
        <f t="shared" si="5"/>
        <v>0</v>
      </c>
      <c r="D81" s="291">
        <f t="shared" si="5"/>
        <v>0</v>
      </c>
      <c r="E81" s="291">
        <f t="shared" si="5"/>
        <v>0</v>
      </c>
    </row>
    <row r="82" spans="1:5" ht="12.75">
      <c r="A82" s="316" t="str">
        <f t="shared" si="3"/>
        <v> </v>
      </c>
      <c r="B82" s="314"/>
      <c r="C82" s="291">
        <f t="shared" si="5"/>
        <v>0</v>
      </c>
      <c r="D82" s="291">
        <f t="shared" si="5"/>
        <v>0</v>
      </c>
      <c r="E82" s="291">
        <f t="shared" si="5"/>
        <v>0</v>
      </c>
    </row>
    <row r="83" spans="1:5" ht="12.75">
      <c r="A83" s="316" t="str">
        <f t="shared" si="3"/>
        <v> </v>
      </c>
      <c r="B83" s="314"/>
      <c r="C83" s="291">
        <f t="shared" si="5"/>
        <v>0</v>
      </c>
      <c r="D83" s="291">
        <f t="shared" si="5"/>
        <v>0</v>
      </c>
      <c r="E83" s="291">
        <f t="shared" si="5"/>
        <v>0</v>
      </c>
    </row>
    <row r="84" spans="1:5" ht="12.75">
      <c r="A84" s="316" t="str">
        <f t="shared" si="3"/>
        <v> </v>
      </c>
      <c r="B84" s="314"/>
      <c r="C84" s="291">
        <f t="shared" si="5"/>
        <v>0</v>
      </c>
      <c r="D84" s="291">
        <f t="shared" si="5"/>
        <v>0</v>
      </c>
      <c r="E84" s="291">
        <f t="shared" si="5"/>
        <v>0</v>
      </c>
    </row>
    <row r="85" spans="1:5" ht="12.75">
      <c r="A85" s="316" t="str">
        <f t="shared" si="3"/>
        <v> </v>
      </c>
      <c r="B85" s="314"/>
      <c r="C85" s="291">
        <f t="shared" si="5"/>
        <v>0</v>
      </c>
      <c r="D85" s="291">
        <f t="shared" si="5"/>
        <v>0</v>
      </c>
      <c r="E85" s="291">
        <f t="shared" si="5"/>
        <v>0</v>
      </c>
    </row>
    <row r="86" spans="1:5" ht="12.75">
      <c r="A86" s="316" t="str">
        <f t="shared" si="3"/>
        <v> </v>
      </c>
      <c r="B86" s="314"/>
      <c r="C86" s="291">
        <f t="shared" si="5"/>
        <v>0</v>
      </c>
      <c r="D86" s="291">
        <f t="shared" si="5"/>
        <v>0</v>
      </c>
      <c r="E86" s="291">
        <f t="shared" si="5"/>
        <v>0</v>
      </c>
    </row>
    <row r="87" spans="1:5" ht="12.75">
      <c r="A87" s="316" t="str">
        <f t="shared" si="3"/>
        <v> </v>
      </c>
      <c r="B87" s="314"/>
      <c r="C87" s="291">
        <f t="shared" si="5"/>
        <v>0</v>
      </c>
      <c r="D87" s="291">
        <f t="shared" si="5"/>
        <v>0</v>
      </c>
      <c r="E87" s="291">
        <f t="shared" si="5"/>
        <v>0</v>
      </c>
    </row>
    <row r="88" spans="1:5" ht="12.75">
      <c r="A88" s="316" t="str">
        <f t="shared" si="3"/>
        <v> </v>
      </c>
      <c r="B88" s="314"/>
      <c r="C88" s="291">
        <f t="shared" si="5"/>
        <v>0</v>
      </c>
      <c r="D88" s="291">
        <f t="shared" si="5"/>
        <v>0</v>
      </c>
      <c r="E88" s="291">
        <f t="shared" si="5"/>
        <v>0</v>
      </c>
    </row>
    <row r="89" spans="1:5" ht="12.75">
      <c r="A89" s="316" t="str">
        <f t="shared" si="3"/>
        <v> </v>
      </c>
      <c r="B89" s="314"/>
      <c r="C89" s="291">
        <f t="shared" si="5"/>
        <v>0</v>
      </c>
      <c r="D89" s="291">
        <f t="shared" si="5"/>
        <v>0</v>
      </c>
      <c r="E89" s="291">
        <f t="shared" si="5"/>
        <v>0</v>
      </c>
    </row>
    <row r="90" spans="1:5" ht="12.75">
      <c r="A90" s="316" t="str">
        <f t="shared" si="3"/>
        <v> </v>
      </c>
      <c r="B90" s="314"/>
      <c r="C90" s="291">
        <f t="shared" si="5"/>
        <v>0</v>
      </c>
      <c r="D90" s="291">
        <f t="shared" si="5"/>
        <v>0</v>
      </c>
      <c r="E90" s="291">
        <f t="shared" si="5"/>
        <v>0</v>
      </c>
    </row>
    <row r="91" spans="1:5" ht="12.75">
      <c r="A91" s="316" t="str">
        <f t="shared" si="3"/>
        <v> </v>
      </c>
      <c r="B91" s="314"/>
      <c r="C91" s="291">
        <f t="shared" si="5"/>
        <v>0</v>
      </c>
      <c r="D91" s="291">
        <f t="shared" si="5"/>
        <v>0</v>
      </c>
      <c r="E91" s="291">
        <f t="shared" si="5"/>
        <v>0</v>
      </c>
    </row>
    <row r="92" spans="1:5" ht="12.75">
      <c r="A92" s="316" t="str">
        <f t="shared" si="3"/>
        <v> </v>
      </c>
      <c r="B92" s="314"/>
      <c r="C92" s="291">
        <f aca="true" t="shared" si="6" ref="C92:E93">IF($E51&gt;$C$11,C51,)</f>
        <v>0</v>
      </c>
      <c r="D92" s="291">
        <f t="shared" si="6"/>
        <v>0</v>
      </c>
      <c r="E92" s="291">
        <f t="shared" si="6"/>
        <v>0</v>
      </c>
    </row>
    <row r="93" spans="1:5" ht="12.75">
      <c r="A93" s="316" t="str">
        <f t="shared" si="3"/>
        <v> </v>
      </c>
      <c r="B93" s="314"/>
      <c r="C93" s="291">
        <f t="shared" si="6"/>
        <v>0</v>
      </c>
      <c r="D93" s="291">
        <f t="shared" si="6"/>
        <v>0</v>
      </c>
      <c r="E93" s="291">
        <f t="shared" si="6"/>
        <v>0</v>
      </c>
    </row>
    <row r="94" spans="1:5" ht="12.75">
      <c r="A94" s="317"/>
      <c r="B94" s="315"/>
      <c r="C94" s="321"/>
      <c r="D94" s="321"/>
      <c r="E94" s="321"/>
    </row>
    <row r="95" spans="1:5" ht="12.75">
      <c r="A95" s="318" t="s">
        <v>230</v>
      </c>
      <c r="B95" s="314"/>
      <c r="C95" s="291">
        <f>SUM(C57:C93)</f>
        <v>0</v>
      </c>
      <c r="D95" s="291">
        <f>SUM(D57:D93)</f>
        <v>0</v>
      </c>
      <c r="E95" s="291">
        <f>SUM(E57:E93)</f>
        <v>0</v>
      </c>
    </row>
    <row r="96" spans="1:5" ht="12.75">
      <c r="A96" s="318" t="s">
        <v>309</v>
      </c>
      <c r="B96" s="319"/>
      <c r="C96" s="370">
        <f>C54-C95</f>
        <v>100</v>
      </c>
      <c r="D96" s="370">
        <f>D54-D95</f>
        <v>0</v>
      </c>
      <c r="E96" s="370">
        <f>E54-E95</f>
        <v>100</v>
      </c>
    </row>
    <row r="97" spans="1:5" ht="12.75">
      <c r="A97" s="318" t="s">
        <v>256</v>
      </c>
      <c r="B97" s="319"/>
      <c r="C97" s="370">
        <f>C95+C96</f>
        <v>100</v>
      </c>
      <c r="D97" s="370">
        <f>D95+D96</f>
        <v>0</v>
      </c>
      <c r="E97" s="370">
        <f>E95+E96</f>
        <v>100</v>
      </c>
    </row>
    <row r="98" ht="12.75">
      <c r="A98" s="78"/>
    </row>
    <row r="99" ht="12.75">
      <c r="A99" s="78" t="s">
        <v>231</v>
      </c>
    </row>
    <row r="100" spans="1:5" ht="12.75">
      <c r="A100" s="78" t="s">
        <v>232</v>
      </c>
      <c r="B100" s="8" t="s">
        <v>278</v>
      </c>
      <c r="C100" s="338"/>
      <c r="D100" s="338"/>
      <c r="E100" s="291">
        <f>C100-D100</f>
        <v>0</v>
      </c>
    </row>
    <row r="101" spans="1:5" ht="12.75">
      <c r="A101" s="82" t="s">
        <v>238</v>
      </c>
      <c r="B101" s="8" t="s">
        <v>278</v>
      </c>
      <c r="C101" s="338"/>
      <c r="D101" s="338"/>
      <c r="E101" s="291">
        <f aca="true" t="shared" si="7" ref="E101:E121">C101-D101</f>
        <v>0</v>
      </c>
    </row>
    <row r="102" spans="1:5" ht="12.75">
      <c r="A102" s="82" t="s">
        <v>233</v>
      </c>
      <c r="B102" s="8" t="s">
        <v>278</v>
      </c>
      <c r="C102" s="338"/>
      <c r="D102" s="338"/>
      <c r="E102" s="291">
        <f t="shared" si="7"/>
        <v>0</v>
      </c>
    </row>
    <row r="103" spans="1:5" ht="12.75">
      <c r="A103" s="82" t="s">
        <v>383</v>
      </c>
      <c r="B103" s="8" t="s">
        <v>278</v>
      </c>
      <c r="C103" s="338"/>
      <c r="D103" s="338"/>
      <c r="E103" s="291">
        <f t="shared" si="7"/>
        <v>0</v>
      </c>
    </row>
    <row r="104" spans="1:5" ht="12.75">
      <c r="A104" s="78" t="s">
        <v>299</v>
      </c>
      <c r="B104" s="8" t="s">
        <v>278</v>
      </c>
      <c r="C104" s="338"/>
      <c r="D104" s="338"/>
      <c r="E104" s="291">
        <f t="shared" si="7"/>
        <v>0</v>
      </c>
    </row>
    <row r="105" spans="1:5" ht="12.75">
      <c r="A105" s="78" t="s">
        <v>578</v>
      </c>
      <c r="B105" s="8" t="s">
        <v>278</v>
      </c>
      <c r="C105" s="338"/>
      <c r="D105" s="338"/>
      <c r="E105" s="291">
        <f t="shared" si="7"/>
        <v>0</v>
      </c>
    </row>
    <row r="106" spans="1:5" ht="12.75">
      <c r="A106" s="78" t="s">
        <v>300</v>
      </c>
      <c r="B106" s="8" t="s">
        <v>278</v>
      </c>
      <c r="C106" s="338"/>
      <c r="D106" s="338"/>
      <c r="E106" s="291">
        <f t="shared" si="7"/>
        <v>0</v>
      </c>
    </row>
    <row r="107" spans="1:5" ht="12.75">
      <c r="A107" s="78" t="s">
        <v>253</v>
      </c>
      <c r="B107" s="8" t="s">
        <v>278</v>
      </c>
      <c r="C107" s="338"/>
      <c r="D107" s="338"/>
      <c r="E107" s="291">
        <f t="shared" si="7"/>
        <v>0</v>
      </c>
    </row>
    <row r="108" spans="1:5" ht="12.75">
      <c r="A108" s="78" t="s">
        <v>254</v>
      </c>
      <c r="B108" s="8" t="s">
        <v>278</v>
      </c>
      <c r="C108" s="338"/>
      <c r="D108" s="338"/>
      <c r="E108" s="291">
        <f t="shared" si="7"/>
        <v>0</v>
      </c>
    </row>
    <row r="109" spans="1:5" ht="12.75">
      <c r="A109" s="78" t="s">
        <v>255</v>
      </c>
      <c r="B109" s="8" t="s">
        <v>278</v>
      </c>
      <c r="C109" s="338"/>
      <c r="D109" s="338"/>
      <c r="E109" s="291">
        <f t="shared" si="7"/>
        <v>0</v>
      </c>
    </row>
    <row r="110" spans="1:5" ht="12.75">
      <c r="A110" s="79" t="s">
        <v>311</v>
      </c>
      <c r="B110" s="8" t="s">
        <v>278</v>
      </c>
      <c r="C110" s="338"/>
      <c r="D110" s="338"/>
      <c r="E110" s="291"/>
    </row>
    <row r="111" spans="1:5" ht="12.75">
      <c r="A111" s="78" t="s">
        <v>443</v>
      </c>
      <c r="B111" s="8" t="s">
        <v>278</v>
      </c>
      <c r="C111" s="338"/>
      <c r="D111" s="338"/>
      <c r="E111" s="291">
        <f t="shared" si="7"/>
        <v>0</v>
      </c>
    </row>
    <row r="112" spans="1:5" ht="12.75">
      <c r="A112" s="78" t="s">
        <v>594</v>
      </c>
      <c r="B112" s="8" t="s">
        <v>278</v>
      </c>
      <c r="C112" s="338">
        <v>0</v>
      </c>
      <c r="D112" s="338">
        <v>0</v>
      </c>
      <c r="E112" s="291">
        <f t="shared" si="7"/>
        <v>0</v>
      </c>
    </row>
    <row r="113" spans="1:5" ht="12.75">
      <c r="A113" s="78" t="s">
        <v>595</v>
      </c>
      <c r="B113" s="8" t="s">
        <v>278</v>
      </c>
      <c r="C113" s="338"/>
      <c r="D113" s="338"/>
      <c r="E113" s="291">
        <f t="shared" si="7"/>
        <v>0</v>
      </c>
    </row>
    <row r="114" spans="1:5" ht="12.75">
      <c r="A114" s="78"/>
      <c r="B114" s="8" t="s">
        <v>278</v>
      </c>
      <c r="C114" s="338"/>
      <c r="D114" s="338"/>
      <c r="E114" s="291">
        <f t="shared" si="7"/>
        <v>0</v>
      </c>
    </row>
    <row r="115" spans="1:5" ht="12.75">
      <c r="A115" s="78"/>
      <c r="B115" s="8" t="s">
        <v>278</v>
      </c>
      <c r="C115" s="338"/>
      <c r="D115" s="338"/>
      <c r="E115" s="291">
        <f t="shared" si="7"/>
        <v>0</v>
      </c>
    </row>
    <row r="116" spans="1:5" ht="12.75">
      <c r="A116" s="78"/>
      <c r="B116" s="8" t="s">
        <v>278</v>
      </c>
      <c r="C116" s="338"/>
      <c r="D116" s="338"/>
      <c r="E116" s="291">
        <f t="shared" si="7"/>
        <v>0</v>
      </c>
    </row>
    <row r="117" spans="1:5" ht="12.75">
      <c r="A117" s="78"/>
      <c r="B117" s="8" t="s">
        <v>278</v>
      </c>
      <c r="C117" s="338"/>
      <c r="D117" s="338"/>
      <c r="E117" s="291">
        <f t="shared" si="7"/>
        <v>0</v>
      </c>
    </row>
    <row r="118" spans="1:5" ht="12.75">
      <c r="A118" s="78"/>
      <c r="B118" s="8" t="s">
        <v>278</v>
      </c>
      <c r="C118" s="338"/>
      <c r="D118" s="338"/>
      <c r="E118" s="291">
        <f t="shared" si="7"/>
        <v>0</v>
      </c>
    </row>
    <row r="119" spans="1:5" ht="12.75">
      <c r="A119" s="78"/>
      <c r="B119" s="8" t="s">
        <v>278</v>
      </c>
      <c r="C119" s="338"/>
      <c r="D119" s="338"/>
      <c r="E119" s="291">
        <f t="shared" si="7"/>
        <v>0</v>
      </c>
    </row>
    <row r="120" spans="1:5" ht="12.75">
      <c r="A120" s="78"/>
      <c r="B120" s="8" t="s">
        <v>278</v>
      </c>
      <c r="C120" s="338"/>
      <c r="D120" s="338"/>
      <c r="E120" s="291">
        <f t="shared" si="7"/>
        <v>0</v>
      </c>
    </row>
    <row r="121" spans="1:5" ht="12.75">
      <c r="A121" s="78"/>
      <c r="B121" s="8" t="s">
        <v>278</v>
      </c>
      <c r="C121" s="338"/>
      <c r="D121" s="338"/>
      <c r="E121" s="321">
        <f t="shared" si="7"/>
        <v>0</v>
      </c>
    </row>
    <row r="122" spans="1:5" ht="12.75">
      <c r="A122" s="78" t="s">
        <v>257</v>
      </c>
      <c r="B122" s="8" t="s">
        <v>280</v>
      </c>
      <c r="C122" s="291">
        <f>SUM(C100:C121)</f>
        <v>0</v>
      </c>
      <c r="D122" s="291">
        <f>SUM(D100:D121)</f>
        <v>0</v>
      </c>
      <c r="E122" s="291">
        <f>SUM(E100:E121)</f>
        <v>0</v>
      </c>
    </row>
    <row r="123" ht="12.75">
      <c r="A123" s="78"/>
    </row>
    <row r="124" ht="12.75">
      <c r="A124" s="78" t="s">
        <v>260</v>
      </c>
    </row>
    <row r="125" spans="1:5" ht="12.75">
      <c r="A125" s="316" t="str">
        <f>IF($E100&gt;$C$11,A100," ")</f>
        <v> </v>
      </c>
      <c r="B125" s="314"/>
      <c r="C125" s="291">
        <f aca="true" t="shared" si="8" ref="C125:E143">IF($E100&gt;$C$11,C100,)</f>
        <v>0</v>
      </c>
      <c r="D125" s="291">
        <f t="shared" si="8"/>
        <v>0</v>
      </c>
      <c r="E125" s="291">
        <f t="shared" si="8"/>
        <v>0</v>
      </c>
    </row>
    <row r="126" spans="1:5" ht="12.75">
      <c r="A126" s="316" t="str">
        <f aca="true" t="shared" si="9" ref="A126:A145">IF($E101&gt;$C$11,A101," ")</f>
        <v> </v>
      </c>
      <c r="B126" s="314"/>
      <c r="C126" s="291">
        <f t="shared" si="8"/>
        <v>0</v>
      </c>
      <c r="D126" s="291">
        <f t="shared" si="8"/>
        <v>0</v>
      </c>
      <c r="E126" s="291">
        <f t="shared" si="8"/>
        <v>0</v>
      </c>
    </row>
    <row r="127" spans="1:5" ht="12.75">
      <c r="A127" s="316" t="str">
        <f t="shared" si="9"/>
        <v> </v>
      </c>
      <c r="B127" s="314"/>
      <c r="C127" s="291">
        <f t="shared" si="8"/>
        <v>0</v>
      </c>
      <c r="D127" s="291">
        <f t="shared" si="8"/>
        <v>0</v>
      </c>
      <c r="E127" s="291">
        <f t="shared" si="8"/>
        <v>0</v>
      </c>
    </row>
    <row r="128" spans="1:5" ht="12.75">
      <c r="A128" s="316" t="str">
        <f t="shared" si="9"/>
        <v> </v>
      </c>
      <c r="B128" s="314"/>
      <c r="C128" s="291">
        <f t="shared" si="8"/>
        <v>0</v>
      </c>
      <c r="D128" s="291">
        <f t="shared" si="8"/>
        <v>0</v>
      </c>
      <c r="E128" s="291">
        <f t="shared" si="8"/>
        <v>0</v>
      </c>
    </row>
    <row r="129" spans="1:5" ht="12.75">
      <c r="A129" s="316" t="str">
        <f t="shared" si="9"/>
        <v> </v>
      </c>
      <c r="B129" s="314"/>
      <c r="C129" s="291">
        <f t="shared" si="8"/>
        <v>0</v>
      </c>
      <c r="D129" s="291">
        <f t="shared" si="8"/>
        <v>0</v>
      </c>
      <c r="E129" s="291">
        <f t="shared" si="8"/>
        <v>0</v>
      </c>
    </row>
    <row r="130" spans="1:5" ht="12.75">
      <c r="A130" s="316" t="str">
        <f t="shared" si="9"/>
        <v> </v>
      </c>
      <c r="B130" s="314"/>
      <c r="C130" s="291">
        <f t="shared" si="8"/>
        <v>0</v>
      </c>
      <c r="D130" s="291">
        <f t="shared" si="8"/>
        <v>0</v>
      </c>
      <c r="E130" s="291">
        <f t="shared" si="8"/>
        <v>0</v>
      </c>
    </row>
    <row r="131" spans="1:5" ht="12.75">
      <c r="A131" s="316" t="str">
        <f t="shared" si="9"/>
        <v> </v>
      </c>
      <c r="B131" s="314"/>
      <c r="C131" s="291">
        <f t="shared" si="8"/>
        <v>0</v>
      </c>
      <c r="D131" s="291">
        <f t="shared" si="8"/>
        <v>0</v>
      </c>
      <c r="E131" s="291">
        <f t="shared" si="8"/>
        <v>0</v>
      </c>
    </row>
    <row r="132" spans="1:5" ht="12.75">
      <c r="A132" s="316" t="str">
        <f t="shared" si="9"/>
        <v> </v>
      </c>
      <c r="B132" s="314"/>
      <c r="C132" s="291">
        <f t="shared" si="8"/>
        <v>0</v>
      </c>
      <c r="D132" s="291">
        <f t="shared" si="8"/>
        <v>0</v>
      </c>
      <c r="E132" s="291">
        <f t="shared" si="8"/>
        <v>0</v>
      </c>
    </row>
    <row r="133" spans="1:5" ht="12.75">
      <c r="A133" s="316" t="str">
        <f t="shared" si="9"/>
        <v> </v>
      </c>
      <c r="B133" s="314"/>
      <c r="C133" s="291">
        <f t="shared" si="8"/>
        <v>0</v>
      </c>
      <c r="D133" s="291">
        <f t="shared" si="8"/>
        <v>0</v>
      </c>
      <c r="E133" s="291">
        <f t="shared" si="8"/>
        <v>0</v>
      </c>
    </row>
    <row r="134" spans="1:5" ht="12.75">
      <c r="A134" s="316" t="str">
        <f t="shared" si="9"/>
        <v> </v>
      </c>
      <c r="B134" s="314"/>
      <c r="C134" s="291">
        <f t="shared" si="8"/>
        <v>0</v>
      </c>
      <c r="D134" s="291">
        <f t="shared" si="8"/>
        <v>0</v>
      </c>
      <c r="E134" s="291">
        <f t="shared" si="8"/>
        <v>0</v>
      </c>
    </row>
    <row r="135" spans="1:5" ht="12.75">
      <c r="A135" s="316" t="str">
        <f t="shared" si="9"/>
        <v> </v>
      </c>
      <c r="B135" s="314"/>
      <c r="C135" s="291">
        <f t="shared" si="8"/>
        <v>0</v>
      </c>
      <c r="D135" s="291">
        <f t="shared" si="8"/>
        <v>0</v>
      </c>
      <c r="E135" s="291">
        <f t="shared" si="8"/>
        <v>0</v>
      </c>
    </row>
    <row r="136" spans="1:5" ht="12.75">
      <c r="A136" s="316" t="str">
        <f>IF($E111&gt;$C$11,#REF!," ")</f>
        <v> </v>
      </c>
      <c r="B136" s="314"/>
      <c r="C136" s="291">
        <f t="shared" si="8"/>
        <v>0</v>
      </c>
      <c r="D136" s="291">
        <f t="shared" si="8"/>
        <v>0</v>
      </c>
      <c r="E136" s="291">
        <f t="shared" si="8"/>
        <v>0</v>
      </c>
    </row>
    <row r="137" spans="1:5" ht="12.75">
      <c r="A137" s="316" t="str">
        <f t="shared" si="9"/>
        <v> </v>
      </c>
      <c r="B137" s="314"/>
      <c r="C137" s="291">
        <f t="shared" si="8"/>
        <v>0</v>
      </c>
      <c r="D137" s="291">
        <f t="shared" si="8"/>
        <v>0</v>
      </c>
      <c r="E137" s="291">
        <f t="shared" si="8"/>
        <v>0</v>
      </c>
    </row>
    <row r="138" spans="1:5" ht="12.75">
      <c r="A138" s="316" t="str">
        <f>IF($E113&gt;$C$11,A111," ")</f>
        <v> </v>
      </c>
      <c r="B138" s="314"/>
      <c r="C138" s="291">
        <f t="shared" si="8"/>
        <v>0</v>
      </c>
      <c r="D138" s="291">
        <f t="shared" si="8"/>
        <v>0</v>
      </c>
      <c r="E138" s="291">
        <f t="shared" si="8"/>
        <v>0</v>
      </c>
    </row>
    <row r="139" spans="1:5" ht="12.75">
      <c r="A139" s="316" t="str">
        <f t="shared" si="9"/>
        <v> </v>
      </c>
      <c r="B139" s="314"/>
      <c r="C139" s="291">
        <f t="shared" si="8"/>
        <v>0</v>
      </c>
      <c r="D139" s="291">
        <f t="shared" si="8"/>
        <v>0</v>
      </c>
      <c r="E139" s="291">
        <f t="shared" si="8"/>
        <v>0</v>
      </c>
    </row>
    <row r="140" spans="1:5" ht="12.75">
      <c r="A140" s="316" t="str">
        <f t="shared" si="9"/>
        <v> </v>
      </c>
      <c r="B140" s="314"/>
      <c r="C140" s="291">
        <f t="shared" si="8"/>
        <v>0</v>
      </c>
      <c r="D140" s="291">
        <f t="shared" si="8"/>
        <v>0</v>
      </c>
      <c r="E140" s="291">
        <f t="shared" si="8"/>
        <v>0</v>
      </c>
    </row>
    <row r="141" spans="1:5" ht="12.75">
      <c r="A141" s="316" t="str">
        <f t="shared" si="9"/>
        <v> </v>
      </c>
      <c r="B141" s="314"/>
      <c r="C141" s="291">
        <f t="shared" si="8"/>
        <v>0</v>
      </c>
      <c r="D141" s="291">
        <f t="shared" si="8"/>
        <v>0</v>
      </c>
      <c r="E141" s="291">
        <f t="shared" si="8"/>
        <v>0</v>
      </c>
    </row>
    <row r="142" spans="1:5" ht="12.75">
      <c r="A142" s="316" t="str">
        <f t="shared" si="9"/>
        <v> </v>
      </c>
      <c r="B142" s="314"/>
      <c r="C142" s="291">
        <f t="shared" si="8"/>
        <v>0</v>
      </c>
      <c r="D142" s="291">
        <f t="shared" si="8"/>
        <v>0</v>
      </c>
      <c r="E142" s="291">
        <f t="shared" si="8"/>
        <v>0</v>
      </c>
    </row>
    <row r="143" spans="1:5" ht="12.75">
      <c r="A143" s="316" t="str">
        <f t="shared" si="9"/>
        <v> </v>
      </c>
      <c r="B143" s="314"/>
      <c r="C143" s="291">
        <f t="shared" si="8"/>
        <v>0</v>
      </c>
      <c r="D143" s="291">
        <f t="shared" si="8"/>
        <v>0</v>
      </c>
      <c r="E143" s="291">
        <f t="shared" si="8"/>
        <v>0</v>
      </c>
    </row>
    <row r="144" spans="1:5" ht="12.75">
      <c r="A144" s="316" t="str">
        <f t="shared" si="9"/>
        <v> </v>
      </c>
      <c r="B144" s="314"/>
      <c r="C144" s="291">
        <f aca="true" t="shared" si="10" ref="C144:E145">IF($E119&gt;$C$11,C119,)</f>
        <v>0</v>
      </c>
      <c r="D144" s="291">
        <f t="shared" si="10"/>
        <v>0</v>
      </c>
      <c r="E144" s="291">
        <f t="shared" si="10"/>
        <v>0</v>
      </c>
    </row>
    <row r="145" spans="1:5" ht="12.75">
      <c r="A145" s="316" t="str">
        <f t="shared" si="9"/>
        <v> </v>
      </c>
      <c r="B145" s="314"/>
      <c r="C145" s="291">
        <f t="shared" si="10"/>
        <v>0</v>
      </c>
      <c r="D145" s="291">
        <f t="shared" si="10"/>
        <v>0</v>
      </c>
      <c r="E145" s="291">
        <f t="shared" si="10"/>
        <v>0</v>
      </c>
    </row>
    <row r="146" spans="1:5" ht="12.75">
      <c r="A146" s="320" t="s">
        <v>308</v>
      </c>
      <c r="B146" s="314"/>
      <c r="C146" s="291">
        <f>SUM(C125:C145)</f>
        <v>0</v>
      </c>
      <c r="D146" s="291">
        <f>SUM(D125:D145)</f>
        <v>0</v>
      </c>
      <c r="E146" s="291">
        <f>SUM(E125:E145)</f>
        <v>0</v>
      </c>
    </row>
    <row r="147" spans="1:5" ht="12.75">
      <c r="A147" s="320" t="s">
        <v>307</v>
      </c>
      <c r="B147" s="314"/>
      <c r="C147" s="291">
        <f>C122-C146</f>
        <v>0</v>
      </c>
      <c r="D147" s="291">
        <f>D122-D146</f>
        <v>0</v>
      </c>
      <c r="E147" s="291">
        <f>E122-E146</f>
        <v>0</v>
      </c>
    </row>
    <row r="148" spans="1:5" ht="12.75">
      <c r="A148" s="320" t="s">
        <v>257</v>
      </c>
      <c r="B148" s="314"/>
      <c r="C148" s="291">
        <f>C146+C147</f>
        <v>0</v>
      </c>
      <c r="D148" s="291">
        <f>D146+D147</f>
        <v>0</v>
      </c>
      <c r="E148" s="291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1.14" top="0.59" bottom="0.25" header="0.25" footer="0.11"/>
  <pageSetup horizontalDpi="600" verticalDpi="600" orientation="portrait" scale="70" r:id="rId1"/>
  <headerFooter alignWithMargins="0">
    <oddFooter>&amp;L&amp;F&amp;C&amp;P of &amp;N&amp;R&amp;A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8">
      <selection activeCell="C21" sqref="C21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52" t="s">
        <v>164</v>
      </c>
      <c r="B1" s="453"/>
      <c r="C1" s="407"/>
      <c r="D1" s="407"/>
      <c r="E1" s="407"/>
      <c r="F1" s="407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8" t="s">
        <v>184</v>
      </c>
      <c r="B2" s="407"/>
      <c r="C2" s="407"/>
      <c r="D2" s="407"/>
      <c r="E2" s="407"/>
      <c r="F2" s="409">
        <f>REGINFO!E1</f>
        <v>0</v>
      </c>
      <c r="G2" s="212"/>
      <c r="H2" s="212"/>
      <c r="I2" s="212"/>
      <c r="J2" s="212"/>
      <c r="K2" s="279"/>
      <c r="L2" s="212"/>
      <c r="M2" s="212"/>
      <c r="N2" s="212"/>
      <c r="O2" s="212"/>
      <c r="P2" s="212"/>
      <c r="Q2" s="40"/>
      <c r="R2" s="40"/>
    </row>
    <row r="3" spans="1:18" ht="12.75">
      <c r="A3" s="408" t="s">
        <v>448</v>
      </c>
      <c r="B3" s="407"/>
      <c r="C3" s="407"/>
      <c r="D3" s="407"/>
      <c r="E3" s="407"/>
      <c r="F3" s="409">
        <f>REGINFO!E2</f>
        <v>0</v>
      </c>
      <c r="G3" s="212"/>
      <c r="H3" s="212"/>
      <c r="I3" s="212"/>
      <c r="J3" s="212"/>
      <c r="K3" s="279"/>
      <c r="L3" s="212"/>
      <c r="M3" s="212"/>
      <c r="N3" s="212"/>
      <c r="O3" s="212"/>
      <c r="P3" s="212"/>
      <c r="Q3" s="40"/>
      <c r="R3" s="40"/>
    </row>
    <row r="4" spans="1:18" ht="12.75">
      <c r="A4" s="279" t="str">
        <f>REGINFO!A3</f>
        <v>Utility Name:  HYDRONAME  </v>
      </c>
      <c r="B4" s="407"/>
      <c r="C4" s="407"/>
      <c r="D4" s="407"/>
      <c r="E4" s="407"/>
      <c r="F4" s="407"/>
      <c r="G4" s="212"/>
      <c r="H4" s="212"/>
      <c r="I4" s="212"/>
      <c r="J4" s="212"/>
      <c r="K4" s="279"/>
      <c r="L4" s="212"/>
      <c r="M4" s="212"/>
      <c r="N4" s="212"/>
      <c r="O4" s="212"/>
      <c r="P4" s="212"/>
      <c r="Q4" s="40"/>
      <c r="R4" s="40"/>
    </row>
    <row r="5" spans="1:18" ht="12.75">
      <c r="A5" s="279" t="str">
        <f>REGINFO!A4</f>
        <v>Reporting period:  Dec. 31, 2001 Revised </v>
      </c>
      <c r="B5" s="407"/>
      <c r="C5" s="407"/>
      <c r="D5" s="407"/>
      <c r="E5" s="407"/>
      <c r="F5" s="407"/>
      <c r="G5" s="212"/>
      <c r="H5" s="212"/>
      <c r="I5" s="212"/>
      <c r="J5" s="212"/>
      <c r="K5" s="279"/>
      <c r="L5" s="212"/>
      <c r="M5" s="212"/>
      <c r="N5" s="212"/>
      <c r="O5" s="212"/>
      <c r="P5" s="212"/>
      <c r="Q5" s="40"/>
      <c r="R5" s="40"/>
    </row>
    <row r="6" spans="1:18" ht="12.75">
      <c r="A6" s="408"/>
      <c r="B6" s="407"/>
      <c r="C6" s="407"/>
      <c r="D6" s="407"/>
      <c r="E6" s="407"/>
      <c r="F6" s="407"/>
      <c r="G6" s="212"/>
      <c r="H6" s="212"/>
      <c r="I6" s="212"/>
      <c r="J6" s="212"/>
      <c r="K6" s="279"/>
      <c r="L6" s="212"/>
      <c r="M6" s="212"/>
      <c r="N6" s="212"/>
      <c r="O6" s="212"/>
      <c r="P6" s="212"/>
      <c r="Q6" s="40"/>
      <c r="R6" s="40"/>
    </row>
    <row r="7" spans="1:18" ht="12.75">
      <c r="A7" s="408"/>
      <c r="B7" s="407"/>
      <c r="C7" s="407"/>
      <c r="D7" s="407"/>
      <c r="E7" s="407"/>
      <c r="F7" s="481" t="s">
        <v>499</v>
      </c>
      <c r="G7" s="212"/>
      <c r="H7" s="212"/>
      <c r="I7" s="212"/>
      <c r="J7" s="212"/>
      <c r="K7" s="279"/>
      <c r="L7" s="212"/>
      <c r="M7" s="212"/>
      <c r="N7" s="212"/>
      <c r="O7" s="212"/>
      <c r="P7" s="212"/>
      <c r="Q7" s="40"/>
      <c r="R7" s="40"/>
    </row>
    <row r="8" spans="1:18" ht="13.5" thickBot="1">
      <c r="A8" s="401" t="s">
        <v>447</v>
      </c>
      <c r="B8" s="402"/>
      <c r="C8" s="402"/>
      <c r="D8" s="407"/>
      <c r="E8" s="407"/>
      <c r="F8" s="449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5" t="s">
        <v>189</v>
      </c>
      <c r="B9" s="380"/>
      <c r="C9" s="381">
        <v>0</v>
      </c>
      <c r="D9" s="381"/>
      <c r="E9" s="381">
        <v>200001</v>
      </c>
      <c r="F9" s="382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6" t="s">
        <v>434</v>
      </c>
      <c r="B10" s="383"/>
      <c r="C10" s="383" t="s">
        <v>188</v>
      </c>
      <c r="D10" s="383"/>
      <c r="E10" s="383" t="s">
        <v>188</v>
      </c>
      <c r="F10" s="384" t="s">
        <v>438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6"/>
      <c r="B11" s="383" t="s">
        <v>196</v>
      </c>
      <c r="C11" s="385">
        <v>200000</v>
      </c>
      <c r="D11" s="385"/>
      <c r="E11" s="385">
        <v>700000</v>
      </c>
      <c r="F11" s="386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7" t="s">
        <v>185</v>
      </c>
      <c r="B12" s="262"/>
      <c r="C12" s="263"/>
      <c r="D12" s="263"/>
      <c r="E12" s="282"/>
      <c r="F12" s="282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8" t="s">
        <v>433</v>
      </c>
      <c r="B13" s="480">
        <v>2002</v>
      </c>
      <c r="C13" s="264"/>
      <c r="D13" s="264"/>
      <c r="E13" s="283"/>
      <c r="F13" s="283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8" t="s">
        <v>432</v>
      </c>
      <c r="B14" s="285"/>
      <c r="C14" s="387">
        <v>0</v>
      </c>
      <c r="D14" s="387"/>
      <c r="E14" s="388"/>
      <c r="F14" s="388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8" t="s">
        <v>439</v>
      </c>
      <c r="B15" s="285"/>
      <c r="C15" s="389">
        <v>0.1912</v>
      </c>
      <c r="D15" s="389"/>
      <c r="E15" s="390">
        <v>0.3412</v>
      </c>
      <c r="F15" s="390">
        <v>0.4062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8" t="s">
        <v>391</v>
      </c>
      <c r="B16" s="285"/>
      <c r="C16" s="391">
        <f>SUM(C14:C15)</f>
        <v>0.1912</v>
      </c>
      <c r="D16" s="391">
        <f>SUM(D14:D15)</f>
        <v>0</v>
      </c>
      <c r="E16" s="392">
        <f>SUM(E14:E15)</f>
        <v>0.3412</v>
      </c>
      <c r="F16" s="392">
        <f>SUM(F14:F15)</f>
        <v>0.4062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8"/>
      <c r="B17" s="285"/>
      <c r="C17" s="387"/>
      <c r="D17" s="387"/>
      <c r="E17" s="388"/>
      <c r="F17" s="388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7" t="s">
        <v>186</v>
      </c>
      <c r="B18" s="284"/>
      <c r="C18" s="393">
        <v>0.003</v>
      </c>
      <c r="D18" s="387"/>
      <c r="E18" s="388"/>
      <c r="F18" s="388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7" t="s">
        <v>187</v>
      </c>
      <c r="B19" s="265"/>
      <c r="C19" s="394">
        <v>0.00225</v>
      </c>
      <c r="D19" s="395"/>
      <c r="E19" s="396"/>
      <c r="F19" s="396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7" t="s">
        <v>190</v>
      </c>
      <c r="B20" s="265"/>
      <c r="C20" s="395">
        <v>0.0112</v>
      </c>
      <c r="D20" s="397"/>
      <c r="E20" s="398"/>
      <c r="F20" s="398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6.25" thickBot="1">
      <c r="A21" s="379" t="s">
        <v>491</v>
      </c>
      <c r="B21" s="476" t="s">
        <v>456</v>
      </c>
      <c r="C21" s="426">
        <v>5000000</v>
      </c>
      <c r="D21" s="397"/>
      <c r="E21" s="398"/>
      <c r="F21" s="398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" thickBot="1">
      <c r="A22" s="379" t="s">
        <v>492</v>
      </c>
      <c r="B22" s="477" t="s">
        <v>457</v>
      </c>
      <c r="C22" s="427">
        <v>10000000</v>
      </c>
      <c r="D22" s="399"/>
      <c r="E22" s="400"/>
      <c r="F22" s="400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24" t="s">
        <v>489</v>
      </c>
      <c r="B23" s="525"/>
      <c r="C23" s="525"/>
      <c r="D23" s="525"/>
      <c r="E23" s="525"/>
      <c r="F23" s="525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82"/>
      <c r="B24" s="483"/>
      <c r="C24" s="483"/>
      <c r="D24" s="483"/>
      <c r="E24" s="483"/>
      <c r="F24" s="483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6"/>
      <c r="B25" s="447"/>
      <c r="C25" s="450"/>
      <c r="D25" s="407"/>
      <c r="E25" s="407"/>
      <c r="F25" s="481" t="s">
        <v>500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5" t="s">
        <v>516</v>
      </c>
      <c r="B26" s="404"/>
      <c r="C26" s="403"/>
      <c r="D26" s="447"/>
      <c r="E26" s="447"/>
      <c r="F26" s="451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5" t="s">
        <v>189</v>
      </c>
      <c r="B27" s="380"/>
      <c r="C27" s="439">
        <v>0</v>
      </c>
      <c r="D27" s="439">
        <v>250001</v>
      </c>
      <c r="E27" s="439">
        <v>400001</v>
      </c>
      <c r="F27" s="440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6" t="s">
        <v>446</v>
      </c>
      <c r="B28" s="383"/>
      <c r="C28" s="441" t="s">
        <v>188</v>
      </c>
      <c r="D28" s="441" t="s">
        <v>188</v>
      </c>
      <c r="E28" s="441" t="s">
        <v>188</v>
      </c>
      <c r="F28" s="442" t="s">
        <v>390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6"/>
      <c r="B29" s="383" t="s">
        <v>196</v>
      </c>
      <c r="C29" s="443">
        <v>250000</v>
      </c>
      <c r="D29" s="443">
        <v>400000</v>
      </c>
      <c r="E29" s="443">
        <v>1128000</v>
      </c>
      <c r="F29" s="444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7" t="s">
        <v>185</v>
      </c>
      <c r="B30" s="262"/>
      <c r="C30" s="263"/>
      <c r="D30" s="263"/>
      <c r="E30" s="282"/>
      <c r="F30" s="282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8" t="s">
        <v>195</v>
      </c>
      <c r="B31" s="480">
        <v>2004</v>
      </c>
      <c r="C31" s="264"/>
      <c r="D31" s="264"/>
      <c r="E31" s="283"/>
      <c r="F31" s="283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8" t="s">
        <v>432</v>
      </c>
      <c r="B32" s="285"/>
      <c r="C32" s="387">
        <v>0.1312</v>
      </c>
      <c r="D32" s="387">
        <v>0.2212</v>
      </c>
      <c r="E32" s="388">
        <v>0.2212</v>
      </c>
      <c r="F32" s="388">
        <v>0.2212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8" t="s">
        <v>39</v>
      </c>
      <c r="B33" s="285"/>
      <c r="C33" s="389">
        <v>0.055</v>
      </c>
      <c r="D33" s="389">
        <v>0.055</v>
      </c>
      <c r="E33" s="390">
        <f>5.5%+4.25%</f>
        <v>0.0975</v>
      </c>
      <c r="F33" s="390">
        <v>0.14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8" t="s">
        <v>391</v>
      </c>
      <c r="B34" s="285"/>
      <c r="C34" s="391">
        <f>SUM(C32:C33)</f>
        <v>0.1862</v>
      </c>
      <c r="D34" s="391">
        <f>SUM(D32:D33)</f>
        <v>0.2762</v>
      </c>
      <c r="E34" s="392">
        <f>SUM(E32:E33)</f>
        <v>0.3187</v>
      </c>
      <c r="F34" s="392">
        <f>SUM(F32:F33)</f>
        <v>0.3612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8"/>
      <c r="B35" s="285"/>
      <c r="C35" s="387"/>
      <c r="D35" s="387"/>
      <c r="E35" s="388"/>
      <c r="F35" s="388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7" t="s">
        <v>186</v>
      </c>
      <c r="B36" s="284"/>
      <c r="C36" s="393">
        <v>0.003</v>
      </c>
      <c r="D36" s="387"/>
      <c r="E36" s="388"/>
      <c r="F36" s="388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7" t="s">
        <v>187</v>
      </c>
      <c r="B37" s="265"/>
      <c r="C37" s="394">
        <v>0.002</v>
      </c>
      <c r="D37" s="395"/>
      <c r="E37" s="396"/>
      <c r="F37" s="396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7" t="s">
        <v>190</v>
      </c>
      <c r="B38" s="265"/>
      <c r="C38" s="395">
        <v>0.0112</v>
      </c>
      <c r="D38" s="397"/>
      <c r="E38" s="398"/>
      <c r="F38" s="398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6.25" thickBot="1">
      <c r="A39" s="379" t="s">
        <v>496</v>
      </c>
      <c r="B39" s="478" t="s">
        <v>458</v>
      </c>
      <c r="C39" s="426">
        <v>5000000</v>
      </c>
      <c r="D39" s="397"/>
      <c r="E39" s="398"/>
      <c r="F39" s="398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" thickBot="1">
      <c r="A40" s="379" t="s">
        <v>497</v>
      </c>
      <c r="B40" s="477" t="s">
        <v>459</v>
      </c>
      <c r="C40" s="427">
        <v>50000000</v>
      </c>
      <c r="D40" s="399"/>
      <c r="E40" s="400"/>
      <c r="F40" s="400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26" t="s">
        <v>495</v>
      </c>
      <c r="B41" s="527"/>
      <c r="C41" s="527"/>
      <c r="D41" s="527"/>
      <c r="E41" s="527"/>
      <c r="F41" s="527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28"/>
      <c r="B42" s="528"/>
      <c r="C42" s="528"/>
      <c r="D42" s="528"/>
      <c r="E42" s="528"/>
      <c r="F42" s="528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6"/>
      <c r="B43" s="447"/>
      <c r="C43" s="448"/>
      <c r="D43" s="447"/>
      <c r="E43" s="447"/>
      <c r="F43" s="481" t="s">
        <v>501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9" t="s">
        <v>490</v>
      </c>
      <c r="B44" s="430"/>
      <c r="C44" s="431"/>
      <c r="D44" s="430"/>
      <c r="E44" s="407"/>
      <c r="F44" s="449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5" t="s">
        <v>189</v>
      </c>
      <c r="B45" s="380"/>
      <c r="C45" s="432">
        <v>0</v>
      </c>
      <c r="D45" s="432">
        <v>250001</v>
      </c>
      <c r="E45" s="432">
        <v>400001</v>
      </c>
      <c r="F45" s="433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6"/>
      <c r="B46" s="383"/>
      <c r="C46" s="434" t="s">
        <v>188</v>
      </c>
      <c r="D46" s="434" t="s">
        <v>188</v>
      </c>
      <c r="E46" s="434" t="s">
        <v>188</v>
      </c>
      <c r="F46" s="435" t="s">
        <v>390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6"/>
      <c r="B47" s="406" t="s">
        <v>196</v>
      </c>
      <c r="C47" s="436">
        <v>250000</v>
      </c>
      <c r="D47" s="436">
        <v>400000</v>
      </c>
      <c r="E47" s="437">
        <v>1128000</v>
      </c>
      <c r="F47" s="438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7" t="s">
        <v>185</v>
      </c>
      <c r="B48" s="262"/>
      <c r="C48" s="263"/>
      <c r="D48" s="263"/>
      <c r="E48" s="282"/>
      <c r="F48" s="282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8" t="s">
        <v>195</v>
      </c>
      <c r="B49" s="480">
        <v>2004</v>
      </c>
      <c r="C49" s="264"/>
      <c r="D49" s="264"/>
      <c r="E49" s="283"/>
      <c r="F49" s="283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8" t="s">
        <v>432</v>
      </c>
      <c r="B50" s="285"/>
      <c r="C50" s="416">
        <v>0.1312</v>
      </c>
      <c r="D50" s="416">
        <v>0.2212</v>
      </c>
      <c r="E50" s="417">
        <v>0.2212</v>
      </c>
      <c r="F50" s="417">
        <v>0.2212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8" t="s">
        <v>39</v>
      </c>
      <c r="B51" s="285"/>
      <c r="C51" s="418">
        <v>0.055</v>
      </c>
      <c r="D51" s="418">
        <v>0.055</v>
      </c>
      <c r="E51" s="419">
        <v>0.0975</v>
      </c>
      <c r="F51" s="419">
        <v>0.14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8" t="s">
        <v>391</v>
      </c>
      <c r="B52" s="285"/>
      <c r="C52" s="391">
        <f>SUM(C50:C51)</f>
        <v>0.1862</v>
      </c>
      <c r="D52" s="391">
        <f>SUM(D50:D51)</f>
        <v>0.2762</v>
      </c>
      <c r="E52" s="392">
        <f>SUM(E50:E51)</f>
        <v>0.3187</v>
      </c>
      <c r="F52" s="392">
        <f>SUM(F50:F51)</f>
        <v>0.3612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8"/>
      <c r="B53" s="285"/>
      <c r="C53" s="416"/>
      <c r="D53" s="416"/>
      <c r="E53" s="417"/>
      <c r="F53" s="417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7" t="s">
        <v>186</v>
      </c>
      <c r="B54" s="284"/>
      <c r="C54" s="420">
        <v>0.003</v>
      </c>
      <c r="D54" s="416"/>
      <c r="E54" s="417"/>
      <c r="F54" s="417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7" t="s">
        <v>187</v>
      </c>
      <c r="B55" s="265"/>
      <c r="C55" s="421">
        <v>0.00225</v>
      </c>
      <c r="D55" s="422"/>
      <c r="E55" s="423"/>
      <c r="F55" s="423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7" t="s">
        <v>190</v>
      </c>
      <c r="B56" s="265"/>
      <c r="C56" s="422">
        <v>0.0112</v>
      </c>
      <c r="D56" s="424"/>
      <c r="E56" s="425"/>
      <c r="F56" s="425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6.25" thickBot="1">
      <c r="A57" s="379" t="s">
        <v>514</v>
      </c>
      <c r="B57" s="478" t="s">
        <v>458</v>
      </c>
      <c r="C57" s="426">
        <v>4969248</v>
      </c>
      <c r="D57" s="424"/>
      <c r="E57" s="425"/>
      <c r="F57" s="425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" thickBot="1">
      <c r="A58" s="379" t="s">
        <v>515</v>
      </c>
      <c r="B58" s="477" t="s">
        <v>459</v>
      </c>
      <c r="C58" s="427">
        <v>10000000</v>
      </c>
      <c r="D58" s="428"/>
      <c r="E58" s="429"/>
      <c r="F58" s="429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24" t="s">
        <v>517</v>
      </c>
      <c r="B59" s="529"/>
      <c r="C59" s="529"/>
      <c r="D59" s="529"/>
      <c r="E59" s="529"/>
      <c r="F59" s="529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30"/>
      <c r="B60" s="530"/>
      <c r="C60" s="530"/>
      <c r="D60" s="530"/>
      <c r="E60" s="530"/>
      <c r="F60" s="530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8"/>
      <c r="B61" s="409"/>
      <c r="C61" s="409"/>
      <c r="D61" s="409"/>
      <c r="E61" s="409"/>
      <c r="F61" s="411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8"/>
      <c r="B62" s="409"/>
      <c r="C62" s="410"/>
      <c r="D62" s="410"/>
      <c r="E62" s="410"/>
      <c r="F62" s="412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8"/>
      <c r="B63" s="407"/>
      <c r="C63" s="407"/>
      <c r="D63" s="407"/>
      <c r="E63" s="407"/>
      <c r="F63" s="407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3"/>
      <c r="B64" s="414"/>
      <c r="C64" s="415"/>
      <c r="D64" s="415"/>
      <c r="E64" s="415"/>
      <c r="F64" s="415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80"/>
      <c r="C66" s="280"/>
      <c r="D66" s="280"/>
      <c r="E66" s="280"/>
      <c r="F66" s="280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80"/>
      <c r="C67" s="280"/>
      <c r="D67" s="280"/>
      <c r="E67" s="280"/>
      <c r="F67" s="280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80"/>
      <c r="C68" s="280"/>
      <c r="D68" s="280"/>
      <c r="E68" s="280"/>
      <c r="F68" s="280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80"/>
      <c r="C69" s="280"/>
      <c r="D69" s="280"/>
      <c r="E69" s="280"/>
      <c r="F69" s="280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80"/>
      <c r="C70" s="280"/>
      <c r="D70" s="280"/>
      <c r="E70" s="280"/>
      <c r="F70" s="280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80"/>
      <c r="C71" s="280"/>
      <c r="D71" s="280"/>
      <c r="E71" s="280"/>
      <c r="F71" s="280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80"/>
      <c r="C72" s="280"/>
      <c r="D72" s="280"/>
      <c r="E72" s="280"/>
      <c r="F72" s="280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80"/>
      <c r="C73" s="280"/>
      <c r="D73" s="280"/>
      <c r="E73" s="280"/>
      <c r="F73" s="280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80"/>
      <c r="C74" s="280"/>
      <c r="D74" s="280"/>
      <c r="E74" s="280"/>
      <c r="F74" s="280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80"/>
      <c r="C75" s="280"/>
      <c r="D75" s="280"/>
      <c r="E75" s="280"/>
      <c r="F75" s="280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80"/>
      <c r="C76" s="280"/>
      <c r="D76" s="280"/>
      <c r="E76" s="280"/>
      <c r="F76" s="280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80"/>
      <c r="C77" s="280"/>
      <c r="D77" s="280"/>
      <c r="E77" s="280"/>
      <c r="F77" s="280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80"/>
      <c r="C78" s="280"/>
      <c r="D78" s="280"/>
      <c r="E78" s="280"/>
      <c r="F78" s="280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80"/>
      <c r="C79" s="280"/>
      <c r="D79" s="280"/>
      <c r="E79" s="280"/>
      <c r="F79" s="280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80"/>
      <c r="C80" s="280"/>
      <c r="D80" s="280"/>
      <c r="E80" s="280"/>
      <c r="F80" s="280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80"/>
      <c r="C81" s="280"/>
      <c r="D81" s="280"/>
      <c r="E81" s="280"/>
      <c r="F81" s="280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80"/>
      <c r="C82" s="280"/>
      <c r="D82" s="280"/>
      <c r="E82" s="280"/>
      <c r="F82" s="280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80"/>
      <c r="C83" s="280"/>
      <c r="D83" s="280"/>
      <c r="E83" s="280"/>
      <c r="F83" s="280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80"/>
      <c r="C84" s="280"/>
      <c r="D84" s="280"/>
      <c r="E84" s="280"/>
      <c r="F84" s="280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80"/>
      <c r="C85" s="280"/>
      <c r="D85" s="280"/>
      <c r="E85" s="280"/>
      <c r="F85" s="280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80"/>
      <c r="C86" s="280"/>
      <c r="D86" s="280"/>
      <c r="E86" s="280"/>
      <c r="F86" s="280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80"/>
      <c r="C87" s="280"/>
      <c r="D87" s="280"/>
      <c r="E87" s="280"/>
      <c r="F87" s="280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80"/>
      <c r="C88" s="280"/>
      <c r="D88" s="280"/>
      <c r="E88" s="280"/>
      <c r="F88" s="280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80"/>
      <c r="C89" s="280"/>
      <c r="D89" s="280"/>
      <c r="E89" s="280"/>
      <c r="F89" s="280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80"/>
      <c r="C90" s="280"/>
      <c r="D90" s="280"/>
      <c r="E90" s="280"/>
      <c r="F90" s="280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80"/>
      <c r="C91" s="280"/>
      <c r="D91" s="280"/>
      <c r="E91" s="280"/>
      <c r="F91" s="280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80"/>
      <c r="C92" s="280"/>
      <c r="D92" s="280"/>
      <c r="E92" s="280"/>
      <c r="F92" s="280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80"/>
      <c r="C93" s="280"/>
      <c r="D93" s="280"/>
      <c r="E93" s="280"/>
      <c r="F93" s="280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80"/>
      <c r="C94" s="280"/>
      <c r="D94" s="280"/>
      <c r="E94" s="280"/>
      <c r="F94" s="280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80"/>
      <c r="C95" s="280"/>
      <c r="D95" s="280"/>
      <c r="E95" s="280"/>
      <c r="F95" s="280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80"/>
      <c r="C96" s="280"/>
      <c r="D96" s="280"/>
      <c r="E96" s="280"/>
      <c r="F96" s="280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80"/>
      <c r="C97" s="280"/>
      <c r="D97" s="280"/>
      <c r="E97" s="280"/>
      <c r="F97" s="280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80"/>
      <c r="C98" s="280"/>
      <c r="D98" s="280"/>
      <c r="E98" s="280"/>
      <c r="F98" s="280"/>
    </row>
  </sheetData>
  <sheetProtection/>
  <mergeCells count="3">
    <mergeCell ref="A23:F23"/>
    <mergeCell ref="A41:F42"/>
    <mergeCell ref="A59:F60"/>
  </mergeCells>
  <printOptions gridLines="1" headings="1"/>
  <pageMargins left="0.75" right="0.25" top="0.4" bottom="0.35" header="0.17" footer="0.19"/>
  <pageSetup fitToHeight="1" fitToWidth="1" horizontalDpi="600" verticalDpi="600" orientation="portrait" scale="73" r:id="rId1"/>
  <headerFooter alignWithMargins="0">
    <oddFooter>&amp;L&amp;F&amp;C&amp;P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20">
      <selection activeCell="C50" sqref="C50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>
        <f>REGINFO!E1</f>
        <v>0</v>
      </c>
    </row>
    <row r="3" spans="2:4" ht="12.75">
      <c r="B3" s="2" t="str">
        <f>REGINFO!A3</f>
        <v>Utility Name:  HYDRONAME  </v>
      </c>
      <c r="C3" s="8"/>
      <c r="D3" s="27">
        <f>REGINFO!E2</f>
        <v>0</v>
      </c>
    </row>
    <row r="4" spans="1:5" ht="13.5" thickBot="1">
      <c r="A4" s="266"/>
      <c r="B4" s="267" t="str">
        <f>REGINFO!A4</f>
        <v>Reporting period:  Dec. 31, 2001 Revised </v>
      </c>
      <c r="C4" s="269"/>
      <c r="D4" s="268"/>
      <c r="E4" s="274"/>
    </row>
    <row r="5" spans="1:5" ht="13.5" thickTop="1">
      <c r="A5" s="266"/>
      <c r="B5" s="270"/>
      <c r="C5" s="271"/>
      <c r="D5" s="266"/>
      <c r="E5" s="274"/>
    </row>
    <row r="7" spans="1:5" ht="12.75">
      <c r="A7" s="266"/>
      <c r="B7" s="270"/>
      <c r="C7" s="271"/>
      <c r="D7" s="266"/>
      <c r="E7" s="274"/>
    </row>
    <row r="8" spans="1:5" ht="12.75">
      <c r="A8" s="266"/>
      <c r="B8" s="270"/>
      <c r="C8" s="271"/>
      <c r="D8" s="266"/>
      <c r="E8" s="274"/>
    </row>
    <row r="9" spans="1:5" ht="12.75">
      <c r="A9" s="270"/>
      <c r="B9" s="270" t="s">
        <v>316</v>
      </c>
      <c r="C9" s="266"/>
      <c r="D9" s="266"/>
      <c r="E9" s="266"/>
    </row>
    <row r="10" spans="1:5" ht="12.75">
      <c r="A10" s="270"/>
      <c r="B10" s="270" t="s">
        <v>338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7" t="s">
        <v>574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317</v>
      </c>
      <c r="B14" s="270" t="s">
        <v>518</v>
      </c>
      <c r="C14" s="273" t="s">
        <v>596</v>
      </c>
      <c r="D14" s="266"/>
      <c r="E14" s="266"/>
    </row>
    <row r="15" spans="1:5" ht="13.5" thickBot="1">
      <c r="A15" s="270"/>
      <c r="B15" s="270"/>
      <c r="C15" s="266"/>
      <c r="D15" s="266"/>
      <c r="E15" s="266"/>
    </row>
    <row r="16" spans="1:5" ht="13.5" thickBot="1">
      <c r="A16" s="270" t="s">
        <v>318</v>
      </c>
      <c r="B16" s="270" t="s">
        <v>519</v>
      </c>
      <c r="C16" s="273" t="s">
        <v>596</v>
      </c>
      <c r="D16" s="266"/>
      <c r="E16" s="266"/>
    </row>
    <row r="17" spans="1:5" ht="13.5" thickBot="1">
      <c r="A17" s="270"/>
      <c r="B17" s="270"/>
      <c r="C17" s="266"/>
      <c r="D17" s="266"/>
      <c r="E17" s="266"/>
    </row>
    <row r="18" spans="1:5" ht="13.5" thickBot="1">
      <c r="A18" s="270" t="s">
        <v>319</v>
      </c>
      <c r="B18" s="270" t="s">
        <v>161</v>
      </c>
      <c r="C18" s="273" t="s">
        <v>596</v>
      </c>
      <c r="D18" s="266"/>
      <c r="E18" s="266"/>
    </row>
    <row r="19" spans="1:5" ht="13.5" thickBot="1">
      <c r="A19" s="270"/>
      <c r="B19" s="270"/>
      <c r="C19" s="274"/>
      <c r="D19" s="266"/>
      <c r="E19" s="266"/>
    </row>
    <row r="20" spans="1:5" ht="13.5" thickBot="1">
      <c r="A20" s="270" t="s">
        <v>320</v>
      </c>
      <c r="B20" s="270" t="s">
        <v>520</v>
      </c>
      <c r="C20" s="273" t="s">
        <v>596</v>
      </c>
      <c r="D20" s="266"/>
      <c r="E20" s="266"/>
    </row>
    <row r="21" spans="1:5" ht="13.5" thickBot="1">
      <c r="A21" s="270"/>
      <c r="B21" s="270"/>
      <c r="C21" s="274"/>
      <c r="D21" s="266"/>
      <c r="E21" s="266"/>
    </row>
    <row r="22" spans="1:5" ht="13.5" thickBot="1">
      <c r="A22" s="270" t="s">
        <v>321</v>
      </c>
      <c r="B22" s="270" t="s">
        <v>522</v>
      </c>
      <c r="C22" s="273" t="s">
        <v>596</v>
      </c>
      <c r="D22" s="266"/>
      <c r="E22" s="266"/>
    </row>
    <row r="23" spans="1:5" ht="13.5" thickBot="1">
      <c r="A23" s="270"/>
      <c r="B23" s="270"/>
      <c r="C23" s="274"/>
      <c r="D23" s="266"/>
      <c r="E23" s="266"/>
    </row>
    <row r="24" spans="1:5" ht="13.5" thickBot="1">
      <c r="A24" s="270" t="s">
        <v>323</v>
      </c>
      <c r="B24" s="270" t="s">
        <v>521</v>
      </c>
      <c r="C24" s="273" t="s">
        <v>596</v>
      </c>
      <c r="D24" s="266"/>
      <c r="E24" s="266"/>
    </row>
    <row r="25" spans="1:5" ht="13.5" thickBot="1">
      <c r="A25" s="270"/>
      <c r="B25" s="270"/>
      <c r="C25" s="266"/>
      <c r="D25" s="266"/>
      <c r="E25" s="266"/>
    </row>
    <row r="26" spans="1:5" ht="13.5" thickBot="1">
      <c r="A26" s="270" t="s">
        <v>349</v>
      </c>
      <c r="B26" s="270" t="s">
        <v>322</v>
      </c>
      <c r="C26" s="273" t="s">
        <v>596</v>
      </c>
      <c r="D26" s="266"/>
      <c r="E26" s="266"/>
    </row>
    <row r="27" spans="1:5" ht="13.5" thickBot="1">
      <c r="A27" s="270"/>
      <c r="B27" s="270"/>
      <c r="C27" s="266"/>
      <c r="D27" s="266"/>
      <c r="E27" s="266"/>
    </row>
    <row r="28" spans="1:5" ht="13.5" thickBot="1">
      <c r="A28" s="270" t="s">
        <v>525</v>
      </c>
      <c r="B28" s="270" t="s">
        <v>523</v>
      </c>
      <c r="C28" s="273" t="s">
        <v>596</v>
      </c>
      <c r="D28" s="266"/>
      <c r="E28" s="266"/>
    </row>
    <row r="29" spans="1:5" ht="13.5" thickBot="1">
      <c r="A29" s="270"/>
      <c r="B29" s="270"/>
      <c r="C29" s="266"/>
      <c r="D29" s="266"/>
      <c r="E29" s="266"/>
    </row>
    <row r="30" spans="1:5" ht="13.5" thickBot="1">
      <c r="A30" s="270" t="s">
        <v>350</v>
      </c>
      <c r="B30" s="270" t="s">
        <v>524</v>
      </c>
      <c r="C30" s="273" t="s">
        <v>596</v>
      </c>
      <c r="D30" s="266"/>
      <c r="E30" s="266"/>
    </row>
    <row r="31" spans="1:5" ht="13.5" thickBot="1">
      <c r="A31" s="270"/>
      <c r="B31" s="270"/>
      <c r="C31" s="266"/>
      <c r="D31" s="266"/>
      <c r="E31" s="266"/>
    </row>
    <row r="32" spans="1:5" ht="26.25" thickBot="1">
      <c r="A32" s="270" t="s">
        <v>324</v>
      </c>
      <c r="B32" s="275" t="s">
        <v>528</v>
      </c>
      <c r="C32" s="273" t="s">
        <v>597</v>
      </c>
      <c r="D32" s="266"/>
      <c r="E32" s="266"/>
    </row>
    <row r="33" spans="1:5" ht="13.5" thickBot="1">
      <c r="A33" s="270"/>
      <c r="B33" s="270"/>
      <c r="C33" s="274"/>
      <c r="D33" s="266"/>
      <c r="E33" s="266"/>
    </row>
    <row r="34" spans="1:5" ht="13.5" thickBot="1">
      <c r="A34" s="270" t="s">
        <v>526</v>
      </c>
      <c r="B34" s="270" t="s">
        <v>575</v>
      </c>
      <c r="C34" s="273" t="s">
        <v>596</v>
      </c>
      <c r="D34" s="266"/>
      <c r="E34" s="266"/>
    </row>
    <row r="35" spans="1:5" ht="12.75">
      <c r="A35" s="266"/>
      <c r="B35" s="266"/>
      <c r="C35" s="266"/>
      <c r="D35" s="266"/>
      <c r="E35" s="266"/>
    </row>
    <row r="36" spans="1:5" ht="13.5" thickBot="1">
      <c r="A36" s="2" t="s">
        <v>527</v>
      </c>
      <c r="B36" s="92" t="s">
        <v>529</v>
      </c>
      <c r="D36" s="266"/>
      <c r="E36" s="266"/>
    </row>
    <row r="37" spans="1:5" ht="13.5" thickBot="1">
      <c r="A37" s="266"/>
      <c r="B37" s="486">
        <v>2001</v>
      </c>
      <c r="C37" s="273" t="s">
        <v>596</v>
      </c>
      <c r="D37" s="266"/>
      <c r="E37" s="266"/>
    </row>
    <row r="38" spans="2:5" ht="13.5" thickBot="1">
      <c r="B38" s="104">
        <v>2002</v>
      </c>
      <c r="C38" s="273" t="s">
        <v>596</v>
      </c>
      <c r="D38" s="266"/>
      <c r="E38" s="266"/>
    </row>
    <row r="39" spans="1:5" ht="13.5" thickBot="1">
      <c r="A39" s="266"/>
      <c r="B39" s="486">
        <v>2003</v>
      </c>
      <c r="C39" s="273" t="s">
        <v>596</v>
      </c>
      <c r="D39" s="266"/>
      <c r="E39" s="266"/>
    </row>
    <row r="40" spans="1:5" ht="13.5" thickBot="1">
      <c r="A40" s="266"/>
      <c r="B40" s="486">
        <v>2004</v>
      </c>
      <c r="C40" s="273" t="s">
        <v>596</v>
      </c>
      <c r="D40" s="266"/>
      <c r="E40" s="266"/>
    </row>
    <row r="41" spans="1:5" ht="13.5" thickBot="1">
      <c r="A41" s="266"/>
      <c r="B41" s="266"/>
      <c r="C41" s="266"/>
      <c r="D41" s="266"/>
      <c r="E41" s="266"/>
    </row>
    <row r="42" spans="1:5" ht="13.5" thickBot="1">
      <c r="A42" s="270" t="s">
        <v>532</v>
      </c>
      <c r="B42" s="270" t="s">
        <v>533</v>
      </c>
      <c r="C42" s="490" t="s">
        <v>596</v>
      </c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73" bottom="0.2362204724409449" header="0.5118110236220472" footer="0"/>
  <pageSetup horizontalDpi="600" verticalDpi="600" orientation="portrait" scale="95" r:id="rId1"/>
  <headerFooter alignWithMargins="0">
    <oddFooter>&amp;L&amp;F&amp;C&amp;P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6" t="s">
        <v>163</v>
      </c>
    </row>
    <row r="2" spans="2:3" ht="12.75">
      <c r="B2" s="270" t="s">
        <v>523</v>
      </c>
      <c r="C2" s="272">
        <f>REGINFO!E1</f>
        <v>0</v>
      </c>
    </row>
    <row r="3" spans="2:3" ht="12.75">
      <c r="B3" s="270" t="str">
        <f>REGINFO!A3</f>
        <v>Utility Name:  HYDRONAME  </v>
      </c>
      <c r="C3" s="272">
        <f>REGINFO!E2</f>
        <v>0</v>
      </c>
    </row>
    <row r="4" spans="1:8" ht="13.5" thickBot="1">
      <c r="A4" s="268"/>
      <c r="B4" s="267" t="str">
        <f>REGINFO!A4</f>
        <v>Reporting period:  Dec. 31, 2001 Revised </v>
      </c>
      <c r="C4" s="268"/>
      <c r="D4" s="274"/>
      <c r="E4" s="274"/>
      <c r="F4" s="274"/>
      <c r="G4" s="274"/>
      <c r="H4" s="488"/>
    </row>
    <row r="5" spans="2:8" ht="13.5" thickTop="1">
      <c r="B5" s="270"/>
      <c r="D5" s="274"/>
      <c r="E5" s="274"/>
      <c r="F5" s="274"/>
      <c r="G5" s="274"/>
      <c r="H5" s="274"/>
    </row>
    <row r="6" spans="1:2" ht="12.75">
      <c r="A6" s="270">
        <v>1</v>
      </c>
      <c r="B6" s="270" t="s">
        <v>312</v>
      </c>
    </row>
    <row r="7" ht="12.75">
      <c r="B7" s="270" t="s">
        <v>191</v>
      </c>
    </row>
    <row r="8" ht="12.75">
      <c r="B8" s="266" t="s">
        <v>598</v>
      </c>
    </row>
    <row r="10" ht="12.75">
      <c r="B10" s="270" t="s">
        <v>573</v>
      </c>
    </row>
    <row r="11" ht="12.75">
      <c r="B11" s="270"/>
    </row>
    <row r="12" spans="1:2" ht="12.75">
      <c r="A12" s="270">
        <v>2</v>
      </c>
      <c r="B12" s="270" t="s">
        <v>203</v>
      </c>
    </row>
    <row r="13" ht="12.75">
      <c r="B13" s="270" t="s">
        <v>191</v>
      </c>
    </row>
    <row r="14" ht="12.75">
      <c r="B14" s="270"/>
    </row>
    <row r="15" ht="12.75">
      <c r="B15" s="270"/>
    </row>
    <row r="17" spans="1:2" ht="25.5">
      <c r="A17" s="270">
        <v>3</v>
      </c>
      <c r="B17" s="275" t="s">
        <v>204</v>
      </c>
    </row>
    <row r="18" ht="12.75">
      <c r="B18" s="270" t="s">
        <v>191</v>
      </c>
    </row>
    <row r="22" spans="1:2" ht="25.5">
      <c r="A22" s="270">
        <v>4</v>
      </c>
      <c r="B22" s="275" t="s">
        <v>202</v>
      </c>
    </row>
    <row r="23" ht="12.75">
      <c r="B23" s="270" t="s">
        <v>191</v>
      </c>
    </row>
    <row r="26" spans="1:2" ht="25.5">
      <c r="A26" s="270">
        <v>5</v>
      </c>
      <c r="B26" s="275" t="s">
        <v>351</v>
      </c>
    </row>
    <row r="27" ht="12.75">
      <c r="B27" s="270" t="s">
        <v>191</v>
      </c>
    </row>
    <row r="30" spans="1:2" ht="25.5">
      <c r="A30" s="270">
        <v>6</v>
      </c>
      <c r="B30" s="275" t="s">
        <v>530</v>
      </c>
    </row>
    <row r="31" ht="12.75">
      <c r="B31" s="270" t="s">
        <v>191</v>
      </c>
    </row>
    <row r="33" ht="12.75">
      <c r="B33" s="270"/>
    </row>
    <row r="34" ht="12.75">
      <c r="B34" s="270"/>
    </row>
    <row r="35" spans="1:15" ht="25.5">
      <c r="A35" s="2">
        <v>7</v>
      </c>
      <c r="B35" s="92" t="s">
        <v>531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602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2" ht="25.5">
      <c r="A39" s="270">
        <v>8</v>
      </c>
      <c r="B39" s="275" t="s">
        <v>419</v>
      </c>
    </row>
    <row r="40" ht="12.75">
      <c r="B40" s="270" t="s">
        <v>600</v>
      </c>
    </row>
    <row r="41" ht="12.75">
      <c r="B41" s="270" t="s">
        <v>601</v>
      </c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4"/>
      <c r="C54" s="468"/>
      <c r="D54" s="274"/>
      <c r="E54" s="468"/>
    </row>
    <row r="55" spans="2:5" ht="12.75">
      <c r="B55" s="274"/>
      <c r="C55" s="274"/>
      <c r="D55" s="274"/>
      <c r="E55" s="274"/>
    </row>
    <row r="56" spans="2:5" ht="12.75">
      <c r="B56" s="274"/>
      <c r="C56" s="274"/>
      <c r="D56" s="274"/>
      <c r="E56" s="274"/>
    </row>
    <row r="57" spans="2:5" ht="12.75">
      <c r="B57" s="274"/>
      <c r="C57" s="274"/>
      <c r="D57" s="274"/>
      <c r="E57" s="274"/>
    </row>
    <row r="58" spans="2:5" ht="12.75">
      <c r="B58" s="274"/>
      <c r="C58" s="274"/>
      <c r="D58" s="274"/>
      <c r="E58" s="274"/>
    </row>
    <row r="59" spans="2:5" ht="12.75">
      <c r="B59" s="274"/>
      <c r="C59" s="274"/>
      <c r="D59" s="274"/>
      <c r="E59" s="274"/>
    </row>
  </sheetData>
  <sheetProtection/>
  <printOptions gridLines="1" headings="1"/>
  <pageMargins left="0.7480314960629921" right="0.2362204724409449" top="0.66" bottom="0.32" header="0.5118110236220472" footer="0.14"/>
  <pageSetup fitToHeight="1" fitToWidth="1" horizontalDpi="600" verticalDpi="600" orientation="portrait" scale="96" r:id="rId1"/>
  <headerFooter alignWithMargins="0">
    <oddFooter>&amp;L&amp;F&amp;C&amp;P of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8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582</v>
      </c>
    </row>
    <row r="3" spans="1:15" ht="12.75">
      <c r="A3" s="2" t="str">
        <f>REGINFO!A3</f>
        <v>Utility Name:  HYDRONAME  </v>
      </c>
      <c r="O3" s="489">
        <f>REGINFO!E1</f>
        <v>0</v>
      </c>
    </row>
    <row r="4" spans="1:15" ht="12.75">
      <c r="A4" s="2" t="str">
        <f>REGINFO!A4</f>
        <v>Reporting period:  Dec. 31, 2001 Revised </v>
      </c>
      <c r="O4" s="489">
        <f>REGINFO!E2</f>
        <v>0</v>
      </c>
    </row>
    <row r="5" spans="3:7" ht="12.75">
      <c r="C5" s="491" t="s">
        <v>472</v>
      </c>
      <c r="D5" s="467"/>
      <c r="E5" s="467"/>
      <c r="F5" s="467"/>
      <c r="G5" s="467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1" t="s">
        <v>180</v>
      </c>
    </row>
    <row r="11" spans="1:8" ht="12.75">
      <c r="A11" s="2"/>
      <c r="F11" s="40"/>
      <c r="H11" s="40"/>
    </row>
    <row r="12" spans="1:15" ht="20.25" customHeight="1">
      <c r="A12" s="92" t="s">
        <v>181</v>
      </c>
      <c r="B12" s="8" t="s">
        <v>280</v>
      </c>
      <c r="C12" s="463">
        <v>0</v>
      </c>
      <c r="D12" s="458"/>
      <c r="E12" s="465">
        <f>C20</f>
        <v>0</v>
      </c>
      <c r="F12" s="493"/>
      <c r="G12" s="465">
        <f>E20</f>
        <v>40997.053772766696</v>
      </c>
      <c r="H12" s="493"/>
      <c r="I12" s="465">
        <f>G20</f>
        <v>40997.053772766696</v>
      </c>
      <c r="J12" s="458"/>
      <c r="K12" s="465">
        <f>I20</f>
        <v>40997.053772766696</v>
      </c>
      <c r="L12" s="458"/>
      <c r="M12" s="458">
        <f>K20</f>
        <v>40997.053772766696</v>
      </c>
      <c r="N12" s="458"/>
      <c r="O12" s="465">
        <f>C12</f>
        <v>0</v>
      </c>
    </row>
    <row r="13" spans="1:15" ht="25.5">
      <c r="A13" s="92" t="s">
        <v>568</v>
      </c>
      <c r="B13" s="75" t="s">
        <v>283</v>
      </c>
      <c r="C13" s="464"/>
      <c r="D13" s="459"/>
      <c r="E13" s="464"/>
      <c r="F13" s="107"/>
      <c r="G13" s="492"/>
      <c r="H13" s="107"/>
      <c r="I13" s="492"/>
      <c r="J13" s="459"/>
      <c r="K13" s="464"/>
      <c r="L13" s="459"/>
      <c r="M13" s="459"/>
      <c r="N13" s="459"/>
      <c r="O13" s="465">
        <f aca="true" t="shared" si="0" ref="O13:O18">SUM(C13:N13)</f>
        <v>0</v>
      </c>
    </row>
    <row r="14" spans="1:15" ht="25.5">
      <c r="A14" s="92" t="s">
        <v>566</v>
      </c>
      <c r="B14" s="75" t="s">
        <v>283</v>
      </c>
      <c r="C14" s="464"/>
      <c r="D14" s="459"/>
      <c r="E14" s="464">
        <f>+TAXCALC!I130</f>
        <v>40997.053772766696</v>
      </c>
      <c r="F14" s="107"/>
      <c r="G14" s="464"/>
      <c r="H14" s="107"/>
      <c r="I14" s="464"/>
      <c r="J14" s="459"/>
      <c r="K14" s="492"/>
      <c r="L14" s="459"/>
      <c r="M14" s="459"/>
      <c r="N14" s="459"/>
      <c r="O14" s="465">
        <f t="shared" si="0"/>
        <v>40997.053772766696</v>
      </c>
    </row>
    <row r="15" spans="1:15" ht="25.5">
      <c r="A15" s="92" t="s">
        <v>567</v>
      </c>
      <c r="B15" s="75" t="s">
        <v>283</v>
      </c>
      <c r="C15" s="464"/>
      <c r="D15" s="459"/>
      <c r="E15" s="464"/>
      <c r="F15" s="107"/>
      <c r="G15" s="464"/>
      <c r="H15" s="107"/>
      <c r="I15" s="464"/>
      <c r="J15" s="459"/>
      <c r="K15" s="492"/>
      <c r="L15" s="459"/>
      <c r="M15" s="459"/>
      <c r="N15" s="459"/>
      <c r="O15" s="465">
        <f t="shared" si="0"/>
        <v>0</v>
      </c>
    </row>
    <row r="16" spans="1:15" ht="25.5">
      <c r="A16" s="92" t="s">
        <v>569</v>
      </c>
      <c r="B16" s="75"/>
      <c r="C16" s="464"/>
      <c r="D16" s="459"/>
      <c r="E16" s="464"/>
      <c r="F16" s="107"/>
      <c r="G16" s="464"/>
      <c r="H16" s="107"/>
      <c r="I16" s="464"/>
      <c r="J16" s="459"/>
      <c r="K16" s="464"/>
      <c r="L16" s="459"/>
      <c r="M16" s="459"/>
      <c r="N16" s="459"/>
      <c r="O16" s="465">
        <f t="shared" si="0"/>
        <v>0</v>
      </c>
    </row>
    <row r="17" spans="1:15" ht="24" customHeight="1">
      <c r="A17" s="506" t="s">
        <v>353</v>
      </c>
      <c r="B17" s="75" t="s">
        <v>283</v>
      </c>
      <c r="C17" s="464"/>
      <c r="D17" s="459"/>
      <c r="E17" s="464"/>
      <c r="F17" s="107"/>
      <c r="G17" s="464"/>
      <c r="H17" s="107"/>
      <c r="I17" s="464"/>
      <c r="J17" s="459"/>
      <c r="K17" s="464"/>
      <c r="L17" s="459"/>
      <c r="M17" s="459"/>
      <c r="N17" s="459"/>
      <c r="O17" s="465">
        <f t="shared" si="0"/>
        <v>0</v>
      </c>
    </row>
    <row r="18" spans="1:15" ht="24.75" customHeight="1">
      <c r="A18" s="92" t="s">
        <v>570</v>
      </c>
      <c r="B18" s="75" t="s">
        <v>278</v>
      </c>
      <c r="C18" s="492">
        <v>0</v>
      </c>
      <c r="D18" s="459"/>
      <c r="E18" s="464"/>
      <c r="F18" s="107"/>
      <c r="G18" s="464"/>
      <c r="H18" s="107"/>
      <c r="I18" s="464"/>
      <c r="J18" s="459"/>
      <c r="K18" s="464"/>
      <c r="L18" s="459"/>
      <c r="M18" s="459"/>
      <c r="N18" s="459"/>
      <c r="O18" s="465">
        <f t="shared" si="0"/>
        <v>0</v>
      </c>
    </row>
    <row r="19" spans="1:15" ht="12.75">
      <c r="A19" s="74"/>
      <c r="C19" s="459"/>
      <c r="D19" s="107"/>
      <c r="E19" s="459"/>
      <c r="F19" s="107"/>
      <c r="G19" s="459"/>
      <c r="H19" s="107"/>
      <c r="I19" s="459"/>
      <c r="J19" s="459"/>
      <c r="K19" s="459"/>
      <c r="L19" s="459"/>
      <c r="M19" s="459"/>
      <c r="N19" s="459"/>
      <c r="O19" s="465"/>
    </row>
    <row r="20" spans="1:15" ht="13.5" thickBot="1">
      <c r="A20" s="92" t="s">
        <v>562</v>
      </c>
      <c r="B20" s="40"/>
      <c r="C20" s="466">
        <f>SUM(C12:C18)</f>
        <v>0</v>
      </c>
      <c r="D20" s="493"/>
      <c r="E20" s="466">
        <f>SUM(E12:E18)</f>
        <v>40997.053772766696</v>
      </c>
      <c r="F20" s="493"/>
      <c r="G20" s="466">
        <f>SUM(G12:G18)</f>
        <v>40997.053772766696</v>
      </c>
      <c r="H20" s="493"/>
      <c r="I20" s="466">
        <f>SUM(I12:I18)</f>
        <v>40997.053772766696</v>
      </c>
      <c r="J20" s="458"/>
      <c r="K20" s="466">
        <f>SUM(K12:K18)</f>
        <v>40997.053772766696</v>
      </c>
      <c r="L20" s="458"/>
      <c r="M20" s="460">
        <f>SUM(M12:M19)</f>
        <v>40997.053772766696</v>
      </c>
      <c r="N20" s="458"/>
      <c r="O20" s="466">
        <f>SUM(O12:O18)</f>
        <v>40997.053772766696</v>
      </c>
    </row>
    <row r="21" spans="1:15" ht="13.5" thickTop="1">
      <c r="A21" s="270"/>
      <c r="B21" s="266"/>
      <c r="C21" s="277"/>
      <c r="D21" s="278"/>
      <c r="E21" s="277"/>
      <c r="F21" s="278"/>
      <c r="G21" s="277"/>
      <c r="H21" s="278"/>
      <c r="I21" s="277"/>
      <c r="J21" s="266"/>
      <c r="K21" s="277"/>
      <c r="M21" s="6"/>
      <c r="O21" s="6"/>
    </row>
    <row r="22" spans="1:15" ht="26.25" thickBot="1">
      <c r="A22" s="92" t="s">
        <v>571</v>
      </c>
      <c r="B22" s="75" t="s">
        <v>278</v>
      </c>
      <c r="C22" s="507">
        <v>0</v>
      </c>
      <c r="D22" s="107"/>
      <c r="E22" s="507">
        <v>0</v>
      </c>
      <c r="F22" s="107"/>
      <c r="G22" s="507">
        <v>0</v>
      </c>
      <c r="H22" s="107"/>
      <c r="I22" s="507">
        <v>0</v>
      </c>
      <c r="J22" s="459"/>
      <c r="K22" s="507">
        <v>0</v>
      </c>
      <c r="L22" s="459"/>
      <c r="M22" s="459"/>
      <c r="N22" s="459"/>
      <c r="O22" s="508">
        <f>C22+E22+G22+I22+K22+M22</f>
        <v>0</v>
      </c>
    </row>
    <row r="23" spans="1:15" ht="13.5" thickTop="1">
      <c r="A23" s="509"/>
      <c r="B23" s="510"/>
      <c r="C23" s="516"/>
      <c r="D23" s="517"/>
      <c r="E23" s="516"/>
      <c r="F23" s="517"/>
      <c r="G23" s="516"/>
      <c r="H23" s="517"/>
      <c r="I23" s="516"/>
      <c r="J23" s="510"/>
      <c r="K23" s="516"/>
      <c r="L23" s="211"/>
      <c r="M23" s="518"/>
      <c r="N23" s="211"/>
      <c r="O23" s="518"/>
    </row>
    <row r="24" spans="1:15" ht="12.75">
      <c r="A24" s="509" t="s">
        <v>183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1"/>
      <c r="L24" s="211"/>
      <c r="M24" s="211"/>
      <c r="N24" s="211"/>
      <c r="O24" s="211"/>
    </row>
    <row r="25" spans="1:15" ht="12.75">
      <c r="A25" s="510" t="s">
        <v>193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211"/>
      <c r="M25" s="211"/>
      <c r="N25" s="211"/>
      <c r="O25" s="211"/>
    </row>
    <row r="26" spans="1:15" ht="12.75">
      <c r="A26" s="512" t="s">
        <v>194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211"/>
      <c r="M26" s="211"/>
      <c r="N26" s="211"/>
      <c r="O26" s="211"/>
    </row>
    <row r="27" spans="1:15" ht="12.75">
      <c r="A27" s="510"/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211"/>
      <c r="M27" s="211"/>
      <c r="N27" s="211"/>
      <c r="O27" s="211"/>
    </row>
    <row r="28" spans="1:15" ht="12.75">
      <c r="A28" s="509" t="s">
        <v>534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211"/>
      <c r="M28" s="211"/>
      <c r="N28" s="211"/>
      <c r="O28" s="211"/>
    </row>
    <row r="29" spans="1:15" ht="12.75">
      <c r="A29" s="534" t="s">
        <v>599</v>
      </c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</row>
    <row r="30" spans="1:15" ht="12.75">
      <c r="A30" s="535"/>
      <c r="B30" s="535"/>
      <c r="C30" s="535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</row>
    <row r="31" spans="1:15" ht="12.75">
      <c r="A31" s="535"/>
      <c r="B31" s="535"/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</row>
    <row r="32" spans="1:15" ht="12.75">
      <c r="A32" s="510"/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211"/>
      <c r="M32" s="211"/>
      <c r="N32" s="211"/>
      <c r="O32" s="211"/>
    </row>
    <row r="33" spans="1:19" ht="12.75">
      <c r="A33" s="531" t="s">
        <v>0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494"/>
      <c r="Q33" s="494"/>
      <c r="R33" s="494"/>
      <c r="S33" s="494"/>
    </row>
    <row r="34" spans="1:19" ht="12.75">
      <c r="A34" s="533" t="s">
        <v>558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494"/>
      <c r="Q34" s="494"/>
      <c r="R34" s="494"/>
      <c r="S34" s="494"/>
    </row>
    <row r="35" spans="1:19" ht="12.75">
      <c r="A35" s="513" t="s">
        <v>559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494"/>
      <c r="Q35" s="494"/>
      <c r="R35" s="494"/>
      <c r="S35" s="494"/>
    </row>
    <row r="36" spans="1:19" ht="12.75">
      <c r="A36" s="513" t="s">
        <v>560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94"/>
      <c r="Q36" s="494"/>
      <c r="R36" s="494"/>
      <c r="S36" s="494"/>
    </row>
    <row r="37" spans="1:19" ht="12.75">
      <c r="A37" s="513" t="s">
        <v>563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494"/>
      <c r="Q37" s="494"/>
      <c r="R37" s="494"/>
      <c r="S37" s="494"/>
    </row>
    <row r="38" spans="1:19" ht="12.75">
      <c r="A38" s="513" t="s">
        <v>564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494"/>
      <c r="Q38" s="494"/>
      <c r="R38" s="494"/>
      <c r="S38" s="494"/>
    </row>
    <row r="39" spans="1:19" ht="12.75">
      <c r="A39" s="513"/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494"/>
      <c r="Q39" s="494"/>
      <c r="R39" s="494"/>
      <c r="S39" s="494"/>
    </row>
    <row r="40" spans="1:15" ht="12.75">
      <c r="A40" s="515" t="s">
        <v>1</v>
      </c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211"/>
      <c r="M40" s="211"/>
      <c r="N40" s="211"/>
      <c r="O40" s="211"/>
    </row>
    <row r="41" spans="1:15" ht="12.75">
      <c r="A41" s="515"/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211"/>
      <c r="M41" s="211"/>
      <c r="N41" s="211"/>
      <c r="O41" s="211"/>
    </row>
    <row r="42" spans="1:15" ht="12.75">
      <c r="A42" s="515" t="s">
        <v>2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211"/>
      <c r="M42" s="211"/>
      <c r="N42" s="211"/>
      <c r="O42" s="211"/>
    </row>
    <row r="43" spans="1:15" ht="12.75">
      <c r="A43" s="515"/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211"/>
      <c r="M43" s="211"/>
      <c r="N43" s="211"/>
      <c r="O43" s="211"/>
    </row>
    <row r="44" spans="1:15" ht="12.75">
      <c r="A44" s="510" t="s">
        <v>565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211"/>
      <c r="M44" s="211"/>
      <c r="N44" s="211"/>
      <c r="O44" s="211"/>
    </row>
    <row r="45" spans="1:15" ht="12.75">
      <c r="A45" s="510"/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211"/>
      <c r="M45" s="211"/>
      <c r="N45" s="211"/>
      <c r="O45" s="211"/>
    </row>
    <row r="46" spans="1:15" ht="12.75">
      <c r="A46" s="510" t="s">
        <v>592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211"/>
      <c r="M46" s="211"/>
      <c r="N46" s="211"/>
      <c r="O46" s="211"/>
    </row>
    <row r="47" spans="1:15" ht="12.75">
      <c r="A47" s="510" t="s">
        <v>589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211"/>
      <c r="M47" s="211"/>
      <c r="N47" s="211"/>
      <c r="O47" s="211"/>
    </row>
    <row r="48" spans="1:15" ht="12.75">
      <c r="A48" s="510" t="s">
        <v>584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211"/>
      <c r="M48" s="211"/>
      <c r="N48" s="211"/>
      <c r="O48" s="211"/>
    </row>
    <row r="49" spans="1:15" ht="12.75">
      <c r="A49" s="510" t="s">
        <v>583</v>
      </c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211"/>
      <c r="M49" s="211"/>
      <c r="N49" s="211"/>
      <c r="O49" s="211"/>
    </row>
    <row r="50" spans="1:15" ht="12.75">
      <c r="A50" s="510" t="s">
        <v>585</v>
      </c>
      <c r="B50" s="510"/>
      <c r="C50" s="510"/>
      <c r="D50" s="510"/>
      <c r="E50" s="510"/>
      <c r="F50" s="510"/>
      <c r="G50" s="510"/>
      <c r="H50" s="510"/>
      <c r="I50" s="510"/>
      <c r="J50" s="510"/>
      <c r="K50" s="510"/>
      <c r="L50" s="211"/>
      <c r="M50" s="211"/>
      <c r="N50" s="211"/>
      <c r="O50" s="211"/>
    </row>
    <row r="51" spans="1:15" ht="12.75">
      <c r="A51" s="510"/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211"/>
      <c r="M51" s="211"/>
      <c r="N51" s="211"/>
      <c r="O51" s="211"/>
    </row>
    <row r="52" spans="1:15" ht="12.75">
      <c r="A52" s="510" t="s">
        <v>591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211"/>
      <c r="M52" s="211"/>
      <c r="N52" s="211"/>
      <c r="O52" s="211"/>
    </row>
    <row r="53" spans="1:15" ht="12.75">
      <c r="A53" s="510" t="s">
        <v>590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211"/>
      <c r="M53" s="211"/>
      <c r="N53" s="211"/>
      <c r="O53" s="211"/>
    </row>
    <row r="54" spans="1:15" ht="12.75">
      <c r="A54" s="510" t="s">
        <v>587</v>
      </c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211"/>
      <c r="M54" s="211"/>
      <c r="N54" s="211"/>
      <c r="O54" s="211"/>
    </row>
    <row r="55" spans="1:15" ht="12.75">
      <c r="A55" s="510"/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211"/>
      <c r="M55" s="211"/>
      <c r="N55" s="211"/>
      <c r="O55" s="211"/>
    </row>
    <row r="56" spans="1:15" ht="12.75">
      <c r="A56" s="510" t="s">
        <v>586</v>
      </c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211"/>
      <c r="M56" s="211"/>
      <c r="N56" s="211"/>
      <c r="O56" s="211"/>
    </row>
    <row r="57" spans="1:15" ht="12.75">
      <c r="A57" s="510" t="s">
        <v>588</v>
      </c>
      <c r="B57" s="510"/>
      <c r="C57" s="510"/>
      <c r="D57" s="510"/>
      <c r="E57" s="510"/>
      <c r="F57" s="510"/>
      <c r="G57" s="510"/>
      <c r="H57" s="510"/>
      <c r="I57" s="510"/>
      <c r="J57" s="510"/>
      <c r="K57" s="510"/>
      <c r="L57" s="211"/>
      <c r="M57" s="211"/>
      <c r="N57" s="211"/>
      <c r="O57" s="211"/>
    </row>
    <row r="58" spans="1:15" ht="12.75">
      <c r="A58" s="510"/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211"/>
      <c r="M58" s="211"/>
      <c r="N58" s="211"/>
      <c r="O58" s="211"/>
    </row>
    <row r="59" spans="1:15" ht="12.75">
      <c r="A59" s="533" t="s">
        <v>572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</row>
    <row r="60" spans="1:15" ht="12.75">
      <c r="A60" s="510" t="s">
        <v>561</v>
      </c>
      <c r="B60" s="510"/>
      <c r="C60" s="510"/>
      <c r="D60" s="510"/>
      <c r="E60" s="510"/>
      <c r="F60" s="510"/>
      <c r="G60" s="510"/>
      <c r="H60" s="510"/>
      <c r="I60" s="510"/>
      <c r="J60" s="510"/>
      <c r="K60" s="510"/>
      <c r="L60" s="211"/>
      <c r="M60" s="211"/>
      <c r="N60" s="211"/>
      <c r="O60" s="211"/>
    </row>
    <row r="61" spans="1:15" ht="12.75">
      <c r="A61" s="510"/>
      <c r="B61" s="510"/>
      <c r="C61" s="510"/>
      <c r="D61" s="510"/>
      <c r="E61" s="510"/>
      <c r="F61" s="510"/>
      <c r="G61" s="510"/>
      <c r="H61" s="510"/>
      <c r="I61" s="510"/>
      <c r="J61" s="510"/>
      <c r="K61" s="510"/>
      <c r="L61" s="211"/>
      <c r="M61" s="211"/>
      <c r="N61" s="211"/>
      <c r="O61" s="211"/>
    </row>
    <row r="62" spans="1:15" ht="12.75">
      <c r="A62" s="510"/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211"/>
      <c r="M62" s="211"/>
      <c r="N62" s="211"/>
      <c r="O62" s="211"/>
    </row>
    <row r="63" spans="1:15" ht="12.75">
      <c r="A63" s="510"/>
      <c r="B63" s="510"/>
      <c r="C63" s="510"/>
      <c r="D63" s="510"/>
      <c r="E63" s="510"/>
      <c r="F63" s="510"/>
      <c r="G63" s="510"/>
      <c r="H63" s="510"/>
      <c r="I63" s="510"/>
      <c r="J63" s="510"/>
      <c r="K63" s="510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 t="s">
        <v>177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 t="s">
        <v>177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  <row r="78" spans="1:15" ht="12.75">
      <c r="A78" s="211"/>
      <c r="B78" s="211"/>
      <c r="C78" s="211"/>
      <c r="D78" s="211"/>
      <c r="E78" s="211" t="s">
        <v>177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</row>
    <row r="79" spans="1:15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</row>
    <row r="80" spans="1:15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</row>
    <row r="81" spans="1:15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5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1:15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</sheetData>
  <sheetProtection/>
  <mergeCells count="4">
    <mergeCell ref="A33:O33"/>
    <mergeCell ref="A34:O34"/>
    <mergeCell ref="A59:O59"/>
    <mergeCell ref="A29:O31"/>
  </mergeCells>
  <printOptions gridLines="1" headings="1"/>
  <pageMargins left="0.68" right="0.2362204724409449" top="0.89" bottom="0.2362204724409449" header="0.5118110236220472" footer="0"/>
  <pageSetup horizontalDpi="600" verticalDpi="600" orientation="landscape" scale="85" r:id="rId1"/>
  <headerFooter alignWithMargins="0">
    <oddFooter>&amp;L&amp;F&amp;C&amp;P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Lois Ouellette</cp:lastModifiedBy>
  <cp:lastPrinted>2011-07-08T17:40:53Z</cp:lastPrinted>
  <dcterms:created xsi:type="dcterms:W3CDTF">2001-11-07T16:15:53Z</dcterms:created>
  <dcterms:modified xsi:type="dcterms:W3CDTF">2013-02-14T17:53:40Z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