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<sst xmlns="http://schemas.openxmlformats.org/spreadsheetml/2006/main" count="881" uniqueCount="509">
  <si>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</si>
  <si>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</si>
  <si>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</si>
  <si>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</si>
  <si>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</si>
  <si>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</si>
  <si>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</si>
  <si>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</si>
  <si>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</si>
  <si>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</si>
  <si>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</si>
  <si>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</si>
  <si>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</si>
  <si>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</si>
  <si>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</si>
  <si>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</si>
  <si>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</si>
  <si>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</si>
  <si>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</si>
  <si>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</si>
  <si>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</si>
  <si>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</si>
  <si>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</si>
  <si>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</si>
  <si>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</si>
  <si>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</si>
  <si>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</si>
  <si>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</si>
  <si>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</si>
  <si>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</si>
  <si>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</si>
  <si>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</si>
  <si>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</si>
  <si>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</si>
  <si>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</si>
  <si>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</si>
  <si>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</si>
  <si>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</si>
  <si>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</si>
  <si>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</si>
  <si>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</si>
  <si>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</si>
  <si>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</si>
  <si>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</si>
  <si>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</si>
  <si>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</si>
  <si>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</si>
  <si>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</si>
  <si>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</si>
  <si>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</si>
  <si>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</si>
  <si>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</si>
  <si>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</si>
  <si>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</si>
  <si>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</si>
  <si>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</si>
  <si>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</si>
  <si>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</si>
  <si>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</si>
  <si>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</si>
  <si>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</si>
  <si>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</si>
  <si>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</si>
  <si>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</si>
  <si>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</si>
  <si>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</si>
  <si>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</si>
  <si>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</si>
  <si>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</si>
  <si>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</si>
  <si>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</si>
  <si>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</si>
  <si>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</si>
  <si>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</si>
  <si>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</si>
  <si>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</si>
  <si>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</si>
  <si>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</si>
  <si>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</si>
  <si>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</si>
  <si>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</si>
  <si>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</si>
  <si>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</si>
  <si>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</si>
  <si>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</si>
  <si>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</si>
  <si>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</si>
  <si>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</si>
  <si>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</si>
  <si>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</si>
  <si>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</si>
  <si>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</si>
  <si>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</si>
  <si>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</si>
  <si>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</si>
  <si>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</si>
  <si>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</si>
  <si>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</si>
  <si>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</si>
  <si>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</si>
  <si>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</si>
  <si>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</si>
  <si>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</si>
  <si>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</si>
  <si>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</si>
  <si>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</si>
  <si>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</si>
  <si>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</si>
  <si>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</si>
  <si>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</si>
  <si>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</si>
  <si>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</si>
  <si>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</si>
  <si>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</si>
  <si>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</si>
  <si>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</si>
  <si>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</si>
  <si>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</si>
  <si>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</si>
  <si>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</si>
  <si>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</si>
  <si>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</si>
  <si>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</si>
  <si>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</si>
  <si>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</si>
  <si>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</si>
  <si>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</si>
  <si>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</si>
  <si>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</si>
  <si>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</si>
  <si>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</si>
  <si>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</si>
  <si>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</si>
  <si>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</si>
  <si>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</si>
  <si>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</si>
  <si>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</si>
  <si>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</si>
  <si>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</si>
  <si>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</si>
  <si>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</si>
  <si>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</si>
  <si>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</si>
  <si>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</si>
  <si>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</si>
  <si>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</si>
  <si>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</si>
  <si>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</si>
  <si>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</si>
  <si>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</si>
  <si>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</si>
  <si>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</si>
  <si>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</si>
  <si>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</si>
  <si>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</si>
  <si>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</si>
  <si>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</si>
  <si>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</si>
  <si>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</si>
  <si>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</si>
  <si>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</si>
  <si>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</si>
  <si>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</si>
  <si>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</si>
  <si>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</si>
  <si>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</si>
  <si>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</si>
  <si>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</si>
  <si>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</si>
  <si>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</si>
  <si>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</si>
  <si>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</si>
  <si>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</si>
  <si>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</si>
  <si>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</si>
  <si>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</si>
  <si>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</si>
  <si>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</si>
  <si>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</si>
  <si>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</si>
  <si>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</si>
  <si>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</si>
  <si>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</si>
  <si>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</si>
  <si>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</si>
  <si>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</si>
  <si>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</si>
  <si>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</si>
  <si>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</si>
  <si>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</si>
  <si>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</si>
  <si>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</si>
  <si>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</si>
  <si>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</si>
  <si>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</si>
  <si>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</si>
  <si>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</si>
  <si>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</si>
  <si>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</si>
  <si>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</si>
  <si>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</si>
  <si>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</si>
  <si>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</si>
  <si>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</si>
  <si>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</si>
  <si>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</si>
  <si>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</si>
  <si>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</si>
  <si>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</si>
  <si>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</si>
  <si>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</si>
  <si>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</si>
  <si>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</si>
  <si>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</si>
  <si>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</si>
  <si>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</si>
  <si>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</si>
  <si>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</si>
  <si>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</si>
  <si>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</si>
  <si>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</si>
  <si>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</si>
  <si>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</si>
  <si>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</si>
  <si>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</si>
  <si>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</si>
  <si>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</si>
  <si>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</si>
  <si>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</si>
  <si>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</si>
  <si>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</si>
  <si>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</si>
  <si>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</si>
  <si>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</si>
  <si>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</si>
  <si>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</si>
  <si>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</si>
  <si>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</si>
  <si>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</si>
  <si>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</si>
  <si>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</si>
  <si>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</si>
  <si>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</si>
  <si>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</si>
  <si>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</si>
  <si>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</si>
  <si>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</si>
  <si>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</si>
  <si>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</si>
  <si>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</si>
  <si>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</si>
  <si>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</si>
  <si>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</si>
  <si>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</si>
  <si>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</si>
  <si>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</si>
  <si>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</si>
  <si>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</si>
  <si>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</si>
  <si>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</si>
  <si>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</si>
  <si>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</si>
  <si>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</si>
  <si>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</si>
  <si>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</si>
  <si>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</si>
  <si>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</si>
  <si>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</si>
  <si>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</si>
  <si>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</si>
  <si>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</si>
  <si>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</si>
  <si>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</si>
  <si>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</si>
  <si>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</si>
  <si>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</si>
  <si>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</si>
  <si>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</si>
  <si>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</si>
  <si>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</si>
  <si>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</si>
  <si>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</si>
  <si>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</si>
  <si>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</si>
  <si>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</si>
  <si>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</si>
  <si>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</si>
  <si>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</si>
  <si>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</si>
  <si>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</si>
  <si>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</si>
  <si>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</si>
  <si>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</si>
  <si>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</si>
  <si>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</si>
  <si>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</si>
  <si>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</si>
  <si>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</si>
  <si>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</si>
  <si>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</si>
  <si>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</si>
  <si>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</si>
  <si>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</si>
  <si>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</si>
  <si>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</si>
  <si>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</si>
  <si>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</si>
  <si>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</si>
  <si>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</si>
  <si>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</si>
  <si>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</si>
  <si>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</si>
  <si>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</si>
  <si>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</si>
  <si>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</si>
  <si>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</si>
  <si>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</si>
  <si>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</si>
  <si>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</si>
  <si>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</si>
  <si>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</si>
  <si>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</si>
  <si>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</si>
  <si>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</si>
  <si>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</si>
  <si>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</si>
  <si>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</si>
  <si>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</si>
  <si>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</si>
  <si>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</si>
  <si>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</si>
  <si>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</si>
  <si>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</si>
  <si>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</si>
  <si>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</si>
  <si>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</si>
  <si>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</si>
  <si>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</si>
  <si>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</si>
  <si>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</si>
  <si>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</si>
  <si>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</si>
  <si>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</si>
  <si>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</si>
  <si>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</si>
  <si>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</si>
  <si>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</si>
  <si>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</si>
  <si>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</si>
  <si>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</si>
  <si>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</si>
  <si>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</si>
  <si>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</si>
  <si>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</si>
  <si>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</si>
  <si>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</si>
  <si>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</si>
  <si>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</si>
  <si>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</si>
  <si>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</si>
  <si>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</si>
  <si>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</si>
  <si>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</si>
  <si>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</si>
  <si>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</si>
  <si>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</si>
  <si>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</si>
  <si>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</si>
  <si>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</si>
  <si>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</si>
  <si>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</si>
  <si>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</si>
  <si>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</si>
  <si>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</si>
  <si>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</si>
  <si>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</si>
  <si>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</si>
  <si>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</si>
  <si>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</si>
  <si>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</si>
  <si>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</si>
  <si>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</si>
  <si>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</si>
  <si>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</si>
  <si>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</si>
  <si>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</si>
  <si>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</si>
  <si>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</si>
  <si>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</si>
  <si>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</si>
  <si>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</si>
  <si>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</si>
  <si>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</si>
  <si>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</si>
  <si>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</si>
  <si>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</si>
  <si>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</si>
  <si>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</si>
  <si>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</si>
  <si>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</si>
  <si>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</si>
  <si>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</si>
  <si>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</si>
  <si>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</si>
  <si>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</si>
  <si>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</si>
  <si>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</si>
  <si>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</si>
  <si>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</si>
  <si>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</si>
  <si>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</si>
  <si>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</si>
  <si>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</si>
  <si>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</si>
  <si>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</si>
  <si>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</si>
  <si>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</si>
  <si>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</si>
  <si>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</si>
  <si>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</si>
  <si>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</si>
  <si>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</si>
  <si>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</si>
  <si>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</si>
  <si>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</si>
  <si>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</si>
  <si>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</si>
  <si>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</si>
  <si>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</si>
  <si>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</si>
  <si>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</si>
  <si>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</si>
  <si>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</si>
  <si>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</si>
  <si>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</si>
  <si>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</si>
  <si>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</si>
  <si>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</si>
  <si>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</si>
  <si>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</si>
  <si>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</si>
  <si>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</si>
  <si>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</si>
  <si>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</si>
  <si>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</si>
  <si>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</si>
  <si>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</si>
  <si>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</si>
  <si>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</si>
  <si>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</si>
  <si>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</si>
  <si>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</si>
  <si>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</si>
  <si>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</si>
  <si>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</si>
  <si>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</si>
  <si>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</si>
  <si>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</si>
  <si>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</si>
  <si>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</si>
  <si>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</si>
  <si>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</si>
  <si>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</si>
  <si>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</si>
  <si>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</si>
  <si>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</si>
  <si>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</si>
  <si>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</si>
  <si>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</si>
  <si>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</si>
  <si>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</si>
  <si>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</si>
  <si>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</si>
  <si>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</si>
  <si>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</si>
  <si>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</si>
  <si>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</si>
  <si>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</si>
  <si>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</si>
  <si>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</si>
  <si>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</si>
  <si>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</si>
  <si>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</si>
  <si>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</si>
  <si>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</si>
  <si>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</si>
  <si>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</si>
  <si>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</si>
  <si>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</si>
  <si>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</si>
  <si>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</si>
  <si>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</si>
  <si>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</si>
  <si>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</si>
  <si>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</si>
  <si>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</si>
  <si>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</si>
  <si>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</si>
  <si>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</si>
  <si>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Statement of Adjustments</t>
  </si>
  <si>
    <t>Actual Interest Paid</t>
  </si>
  <si>
    <t>Utility Name: UTILITYNAME</t>
  </si>
  <si>
    <t>Employee Future Benefits</t>
  </si>
  <si>
    <t>ENNERCONNECT LIMITED PARTNERSHIP INCOME</t>
  </si>
  <si>
    <t>Expenses capitalized for accounting</t>
  </si>
  <si>
    <t>Y</t>
  </si>
  <si>
    <t>N</t>
  </si>
  <si>
    <t>Restatement of employee future benefit liability</t>
  </si>
  <si>
    <t xml:space="preserve"> 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</si>
</sst>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180" fontId="0" fillId="40" borderId="0" xfId="0" applyNumberForma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9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6" t="s">
        <v>442</v>
      </c>
      <c r="E4" s="430"/>
      <c r="H4" s="8"/>
    </row>
    <row r="5" spans="1:8" ht="12.75">
      <c r="A5" s="52"/>
      <c r="C5" s="8"/>
      <c r="D5" s="455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506</v>
      </c>
    </row>
    <row r="18" spans="1:4" ht="15" customHeight="1">
      <c r="A18" s="391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390" t="s">
        <v>505</v>
      </c>
    </row>
    <row r="20" spans="1:4" ht="13.5" thickBot="1">
      <c r="A20" s="498"/>
      <c r="B20" s="8" t="s">
        <v>314</v>
      </c>
      <c r="C20" s="8" t="s">
        <v>64</v>
      </c>
      <c r="D20" s="258" t="s">
        <v>506</v>
      </c>
    </row>
    <row r="21" spans="1:4" ht="12.75">
      <c r="A21" s="497" t="s">
        <v>312</v>
      </c>
      <c r="B21" s="8" t="s">
        <v>313</v>
      </c>
      <c r="C21" s="8"/>
      <c r="D21" s="495">
        <v>0.995</v>
      </c>
    </row>
    <row r="22" spans="1:4" ht="12.75">
      <c r="A22" s="497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11068045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255161</v>
      </c>
      <c r="E43" s="389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230939</v>
      </c>
      <c r="E47" s="389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8">
        <v>230939</v>
      </c>
      <c r="E48" s="389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9">
        <v>230939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463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47">
      <selection activeCell="E46" sqref="E4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717039</v>
      </c>
      <c r="D16" s="17"/>
      <c r="E16" s="268">
        <f>G16-C16</f>
        <v>2502819</v>
      </c>
      <c r="F16" s="3"/>
      <c r="G16" s="268">
        <f>TAXREC!E50</f>
        <v>3219858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663503</v>
      </c>
      <c r="D20" s="18"/>
      <c r="E20" s="268">
        <f>G20-C20</f>
        <v>-46326</v>
      </c>
      <c r="F20" s="6"/>
      <c r="G20" s="268">
        <f>TAXREC!E61</f>
        <v>617177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42147</v>
      </c>
      <c r="F21" s="6"/>
      <c r="G21" s="268">
        <f>TAXREC!E62</f>
        <v>42147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2686</v>
      </c>
      <c r="F29" s="6"/>
      <c r="G29" s="268">
        <f>TAXREC!E68</f>
        <v>2686</v>
      </c>
      <c r="H29" s="151"/>
    </row>
    <row r="30" spans="1:8" ht="15.75">
      <c r="A30" s="484" t="s">
        <v>395</v>
      </c>
      <c r="B30" s="127"/>
      <c r="C30" s="260"/>
      <c r="D30" s="18"/>
      <c r="E30" s="268">
        <f>G30-C30</f>
        <v>377651</v>
      </c>
      <c r="F30" s="6"/>
      <c r="G30" s="268">
        <f>TAXREC!E66</f>
        <v>377651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453968</v>
      </c>
      <c r="D33" s="132"/>
      <c r="E33" s="268">
        <f aca="true" t="shared" si="0" ref="E33:E42">G33-C33</f>
        <v>154710</v>
      </c>
      <c r="F33" s="6"/>
      <c r="G33" s="268">
        <f>TAXREC!E97+TAXREC!E98</f>
        <v>608678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36486</v>
      </c>
      <c r="F34" s="6"/>
      <c r="G34" s="268">
        <f>TAXREC!E99</f>
        <v>36486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303475.350262697</v>
      </c>
      <c r="D37" s="132"/>
      <c r="E37" s="268">
        <f t="shared" si="0"/>
        <v>158935.64973730303</v>
      </c>
      <c r="F37" s="6"/>
      <c r="G37" s="268">
        <f>TAXREC!E51</f>
        <v>462411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1100045</v>
      </c>
      <c r="F46" s="6"/>
      <c r="G46" s="251">
        <f>TAXREC!E110</f>
        <v>1100045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395</v>
      </c>
      <c r="B48" s="127"/>
      <c r="C48" s="260"/>
      <c r="D48" s="132"/>
      <c r="E48" s="268">
        <f>G48-C48</f>
        <v>35381</v>
      </c>
      <c r="F48" s="6"/>
      <c r="G48" s="251">
        <f>TAXREC!E108</f>
        <v>35381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623098.649737303</v>
      </c>
      <c r="D50" s="102"/>
      <c r="E50" s="264">
        <f>E16+SUM(E20:E30)-SUM(E33:E48)</f>
        <v>1393419.3502626969</v>
      </c>
      <c r="F50" s="433" t="s">
        <v>367</v>
      </c>
      <c r="G50" s="264">
        <f>G16+SUM(G20:G30)-SUM(G33:G48)</f>
        <v>2016518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v>0.3862</v>
      </c>
      <c r="D53" s="102"/>
      <c r="E53" s="269">
        <f>+G53-C53</f>
        <v>-0.019999988268637525</v>
      </c>
      <c r="F53" s="114"/>
      <c r="G53" s="475">
        <f>TAXREC!E151</f>
        <v>0.36620001173136246</v>
      </c>
      <c r="H53" s="151"/>
      <c r="I53" s="472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240640.69852854643</v>
      </c>
      <c r="D55" s="102"/>
      <c r="E55" s="268">
        <f>G55-C55</f>
        <v>429853.30147145357</v>
      </c>
      <c r="F55" s="433" t="s">
        <v>368</v>
      </c>
      <c r="G55" s="265">
        <f>TAXREC!E144</f>
        <v>670494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368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240640.69852854643</v>
      </c>
      <c r="D60" s="133"/>
      <c r="E60" s="270">
        <f>+E55-E58</f>
        <v>429853.30147145357</v>
      </c>
      <c r="F60" s="433" t="s">
        <v>368</v>
      </c>
      <c r="G60" s="270">
        <f>+G55-G58</f>
        <v>670494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11068045</v>
      </c>
      <c r="D66" s="102"/>
      <c r="E66" s="268">
        <f>G66-C66</f>
        <v>-11068045</v>
      </c>
      <c r="F66" s="6"/>
      <c r="G66" s="477"/>
      <c r="H66" s="151"/>
      <c r="I66" s="478" t="s">
        <v>477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-313562</v>
      </c>
      <c r="F67" s="6"/>
      <c r="G67" s="268">
        <f>'Tax Rates'!C57</f>
        <v>4686438</v>
      </c>
      <c r="H67" s="151"/>
      <c r="I67" s="478" t="s">
        <v>477</v>
      </c>
      <c r="J67" s="479" t="s">
        <v>478</v>
      </c>
    </row>
    <row r="68" spans="1:8" ht="12.75">
      <c r="A68" s="152" t="s">
        <v>42</v>
      </c>
      <c r="B68" s="125"/>
      <c r="C68" s="265">
        <f>IF((C66-C67)&gt;0,C66-C67,0)</f>
        <v>6068045</v>
      </c>
      <c r="D68" s="102"/>
      <c r="E68" s="268">
        <f>SUM(E66:E67)</f>
        <v>-11381607</v>
      </c>
      <c r="F68" s="114"/>
      <c r="G68" s="265">
        <f>G66-G67</f>
        <v>-4686438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18204.135000000002</v>
      </c>
      <c r="D72" s="101"/>
      <c r="E72" s="268">
        <f>+G72-C72</f>
        <v>-18204.135000000002</v>
      </c>
      <c r="F72" s="480"/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11068045</v>
      </c>
      <c r="D75" s="102"/>
      <c r="E75" s="268">
        <f>+G75-C75</f>
        <v>-11068045</v>
      </c>
      <c r="F75" s="6"/>
      <c r="G75" s="477"/>
      <c r="H75" s="151"/>
      <c r="I75" s="478" t="s">
        <v>477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8" t="s">
        <v>477</v>
      </c>
    </row>
    <row r="77" spans="1:8" ht="12.75">
      <c r="A77" s="152" t="s">
        <v>42</v>
      </c>
      <c r="B77" s="125"/>
      <c r="C77" s="265">
        <f>IF((C75-C76)&gt;0,C75-C76,0)</f>
        <v>1068045</v>
      </c>
      <c r="D77" s="19"/>
      <c r="E77" s="268">
        <f>SUM(E75:E76)</f>
        <v>-11068045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2403.1012499999997</v>
      </c>
      <c r="D81" s="102"/>
      <c r="E81" s="268">
        <f>+G81-C81</f>
        <v>-24903.10125</v>
      </c>
      <c r="F81" s="6"/>
      <c r="G81" s="265">
        <f>G77*G79*B9/B10</f>
        <v>-22500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6978.704877057794</v>
      </c>
      <c r="D82" s="102"/>
      <c r="E82" s="268">
        <f>+G82-C82</f>
        <v>-6978.704877057794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IF(C82&gt;C81,0,C81-C82)</f>
        <v>0</v>
      </c>
      <c r="D84" s="16"/>
      <c r="E84" s="268">
        <f>E81-E82</f>
        <v>-17924.396372942207</v>
      </c>
      <c r="F84" s="103"/>
      <c r="G84" s="265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392050.66557273775</v>
      </c>
      <c r="D90" s="20"/>
      <c r="E90" s="139"/>
      <c r="F90" s="432" t="s">
        <v>484</v>
      </c>
      <c r="G90" s="271">
        <f>TAXREC!E156</f>
        <v>670494</v>
      </c>
      <c r="H90" s="151"/>
    </row>
    <row r="91" spans="1:8" ht="12.75">
      <c r="A91" s="158" t="s">
        <v>370</v>
      </c>
      <c r="B91" s="127">
        <v>23</v>
      </c>
      <c r="C91" s="265">
        <f>C84/(1-C88)</f>
        <v>0</v>
      </c>
      <c r="D91" s="20"/>
      <c r="E91" s="139"/>
      <c r="F91" s="432" t="s">
        <v>484</v>
      </c>
      <c r="G91" s="271">
        <f>TAXREC!E158</f>
        <v>0</v>
      </c>
      <c r="H91" s="151"/>
    </row>
    <row r="92" spans="1:8" ht="12.75">
      <c r="A92" s="158" t="s">
        <v>348</v>
      </c>
      <c r="B92" s="127">
        <v>24</v>
      </c>
      <c r="C92" s="265">
        <f>C72</f>
        <v>18204.135000000002</v>
      </c>
      <c r="D92" s="20"/>
      <c r="E92" s="139"/>
      <c r="F92" s="432" t="s">
        <v>484</v>
      </c>
      <c r="G92" s="271">
        <f>TAXREC!E157</f>
        <v>35381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70">
        <f>SUM(C90:C93)</f>
        <v>410254.80057273776</v>
      </c>
      <c r="D95" s="6"/>
      <c r="E95" s="139"/>
      <c r="F95" s="432" t="s">
        <v>484</v>
      </c>
      <c r="G95" s="415">
        <f>SUM(G90:G94)</f>
        <v>705875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42147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36486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4">
        <f>E206</f>
        <v>61194.36875000002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1100045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-1155578.36875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1">
        <f>+'Tax Rates'!F52</f>
        <v>0.36619999999999997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-423172.7986362499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-423172.7986362499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E122-0.0112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8">
        <f>E128/(1-E130)</f>
        <v>-656081.8583507751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E122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228178.72553380035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228178.72553380035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-12461.972994746087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2403.1012499999997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6978.704877057794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IF(E168-E169&lt;0,0,E168-E169)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0.355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-19320.888363947422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7">
        <f>SUM(E177:E179)</f>
        <v>-19320.888363947422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7">
        <f>E132</f>
        <v>-656081.8583507751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7">
        <f>E181+E183</f>
        <v>-675402.7467147225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462411</v>
      </c>
      <c r="F201" s="3"/>
      <c r="G201" s="491"/>
      <c r="H201" s="164"/>
    </row>
    <row r="202" spans="1:8" ht="12.75">
      <c r="A202" s="155" t="s">
        <v>500</v>
      </c>
      <c r="B202" s="127"/>
      <c r="C202" s="112"/>
      <c r="D202" s="120"/>
      <c r="E202" s="490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462411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3">
        <f>IF((E201-E193)&gt;0,E201-E193,0)</f>
        <v>61194.36875000002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-364669.719012697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headerFooter alignWithMargins="0"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75" zoomScaleNormal="75" zoomScalePageLayoutView="0" workbookViewId="0" topLeftCell="A88">
      <selection activeCell="A45" sqref="A4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505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11940399</v>
      </c>
      <c r="D31" s="287"/>
      <c r="E31" s="285">
        <f>C31-D31</f>
        <v>11940399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5097928</v>
      </c>
      <c r="D32" s="287"/>
      <c r="E32" s="285">
        <f>C32-D32</f>
        <v>5097928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584147</v>
      </c>
      <c r="D33" s="287"/>
      <c r="E33" s="285">
        <f>C33-D33</f>
        <v>584147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11940399</v>
      </c>
      <c r="D39" s="287"/>
      <c r="E39" s="285">
        <f>C39-D39</f>
        <v>11940399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679507</v>
      </c>
      <c r="D40" s="287"/>
      <c r="E40" s="285">
        <f aca="true" t="shared" si="0" ref="E40:E48">C40-D40</f>
        <v>679507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523212</v>
      </c>
      <c r="D41" s="287"/>
      <c r="E41" s="285">
        <f t="shared" si="0"/>
        <v>523212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638970</v>
      </c>
      <c r="D42" s="287"/>
      <c r="E42" s="285">
        <f t="shared" si="0"/>
        <v>638970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617177</v>
      </c>
      <c r="D43" s="287"/>
      <c r="E43" s="285">
        <f t="shared" si="0"/>
        <v>617177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96" t="s">
        <v>508</v>
      </c>
      <c r="B45" s="23" t="s">
        <v>188</v>
      </c>
      <c r="C45" s="286">
        <v>3351</v>
      </c>
      <c r="D45" s="287"/>
      <c r="E45" s="285">
        <f t="shared" si="0"/>
        <v>3351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SUM(C31:C35)-SUM(C39:C48)</f>
        <v>3219858</v>
      </c>
      <c r="D50" s="282">
        <f>SUM(D31:D36)-SUM(D39:D49)</f>
        <v>0</v>
      </c>
      <c r="E50" s="282">
        <f>SUM(E31:E35)-SUM(E39:E48)</f>
        <v>3219858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f>-3351+465762</f>
        <v>462411</v>
      </c>
      <c r="D51" s="286"/>
      <c r="E51" s="283">
        <f>+C51-D51</f>
        <v>462411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683000</v>
      </c>
      <c r="D52" s="286"/>
      <c r="E52" s="284">
        <f>+C52-D52</f>
        <v>683000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2074447</v>
      </c>
      <c r="D53" s="282">
        <f>D50-D51-D52</f>
        <v>0</v>
      </c>
      <c r="E53" s="282">
        <f>E50-E51-E52</f>
        <v>2074447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683000</v>
      </c>
      <c r="D59" s="288">
        <f>D52</f>
        <v>0</v>
      </c>
      <c r="E59" s="273">
        <f>+C59-D59</f>
        <v>683000</v>
      </c>
      <c r="F59" s="8"/>
      <c r="G59" s="417"/>
    </row>
    <row r="60" spans="1:7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  <c r="G60" t="s">
        <v>499</v>
      </c>
    </row>
    <row r="61" spans="1:7" ht="12.75">
      <c r="A61" t="s">
        <v>4</v>
      </c>
      <c r="B61" s="8" t="s">
        <v>187</v>
      </c>
      <c r="C61" s="288">
        <f>C43</f>
        <v>617177</v>
      </c>
      <c r="D61" s="288">
        <f>D43</f>
        <v>0</v>
      </c>
      <c r="E61" s="273">
        <f>+C61-D61</f>
        <v>617177</v>
      </c>
      <c r="F61" s="8"/>
      <c r="G61" s="417"/>
    </row>
    <row r="62" spans="1:6" ht="12.75">
      <c r="A62" t="s">
        <v>6</v>
      </c>
      <c r="B62" s="8" t="s">
        <v>187</v>
      </c>
      <c r="C62" s="319">
        <f>4753+37394</f>
        <v>42147</v>
      </c>
      <c r="D62" s="288">
        <v>0</v>
      </c>
      <c r="E62" s="273">
        <f>+C62-D62</f>
        <v>42147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8">
        <f>'TAXREC 3 No True-up'!C47</f>
        <v>377651</v>
      </c>
      <c r="D66" s="448">
        <f>'TAXREC 3 No True-up'!D47</f>
        <v>0</v>
      </c>
      <c r="E66" s="273">
        <f>+C66-D66</f>
        <v>377651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2686</v>
      </c>
      <c r="D68" s="251">
        <f>'TAXREC 2'!D78</f>
        <v>0</v>
      </c>
      <c r="E68" s="273">
        <f>+C68-D68</f>
        <v>2686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1722661</v>
      </c>
      <c r="D70" s="273">
        <f>SUM(D59:D68)</f>
        <v>0</v>
      </c>
      <c r="E70" s="273">
        <f>SUM(E59:E68)</f>
        <v>1722661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5">
        <v>0</v>
      </c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1722661</v>
      </c>
      <c r="D82" s="251">
        <f>D70+D80</f>
        <v>0</v>
      </c>
      <c r="E82" s="251">
        <f>E70+E80</f>
        <v>1722661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556260</v>
      </c>
      <c r="D97" s="295"/>
      <c r="E97" s="273">
        <f>+C97-D97</f>
        <v>556260</v>
      </c>
      <c r="F97" s="8"/>
      <c r="G97" s="45" t="s">
        <v>498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52418</v>
      </c>
      <c r="D98" s="295"/>
      <c r="E98" s="273">
        <f>+C98-D98</f>
        <v>52418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36486</v>
      </c>
      <c r="D99" s="295"/>
      <c r="E99" s="273">
        <f>+C99-D99</f>
        <v>36486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4">
        <f>'TAXREC 3 No True-up'!C73</f>
        <v>35381</v>
      </c>
      <c r="D108" s="254">
        <f>'TAXREC 3 No True-up'!D73</f>
        <v>0</v>
      </c>
      <c r="E108" s="273">
        <f t="shared" si="5"/>
        <v>35381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1100045</v>
      </c>
      <c r="D110" s="251">
        <f>'TAXREC 2'!D119</f>
        <v>0</v>
      </c>
      <c r="E110" s="251">
        <f>'TAXREC 2'!E119</f>
        <v>1100045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1780590</v>
      </c>
      <c r="D113" s="251">
        <f>SUM(D97:D111)</f>
        <v>0</v>
      </c>
      <c r="E113" s="251">
        <f>SUM(E97:E111)</f>
        <v>1780590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1780590</v>
      </c>
      <c r="D122" s="251">
        <f>D113+D120</f>
        <v>0</v>
      </c>
      <c r="E122" s="251">
        <f>+E113+E120</f>
        <v>1780590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2016518</v>
      </c>
      <c r="D134" s="251">
        <f>D53+D82-D122</f>
        <v>0</v>
      </c>
      <c r="E134" s="251">
        <f>E53+E82-E122</f>
        <v>2016518</v>
      </c>
      <c r="F134" s="8"/>
      <c r="G134" s="45"/>
      <c r="H134" s="45"/>
      <c r="I134" s="30">
        <f>C134</f>
        <v>2016518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141203</v>
      </c>
      <c r="D136" s="295"/>
      <c r="E136" s="265">
        <f>C136-D136</f>
        <v>141203</v>
      </c>
      <c r="F136" s="8"/>
      <c r="G136" s="45"/>
      <c r="H136" s="45"/>
      <c r="I136" s="489">
        <f>I134-I135</f>
        <v>-299988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1875315</v>
      </c>
      <c r="D139" s="252">
        <f>D134-D136-D137-D138</f>
        <v>0</v>
      </c>
      <c r="E139" s="252">
        <f>E134-E136-E137-E138</f>
        <v>1875315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452326</v>
      </c>
      <c r="D142" s="299"/>
      <c r="E142" s="252">
        <f>C142-D142</f>
        <v>452326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218168</v>
      </c>
      <c r="D143" s="299"/>
      <c r="E143" s="293">
        <f>C143-D143</f>
        <v>218168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670494</v>
      </c>
      <c r="D144" s="252">
        <f>D142+D143</f>
        <v>0</v>
      </c>
      <c r="E144" s="252">
        <f>E142+E143</f>
        <v>670494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670494</v>
      </c>
      <c r="D146" s="252">
        <f>D144-D145</f>
        <v>0</v>
      </c>
      <c r="E146" s="252">
        <f>E144-E145</f>
        <v>670494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0.24120001173136246</v>
      </c>
      <c r="D149" s="5"/>
      <c r="E149" s="407">
        <f>C149</f>
        <v>0.24120001173136246</v>
      </c>
      <c r="F149" s="8"/>
      <c r="G149" s="486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0.125</v>
      </c>
      <c r="D150" s="493"/>
      <c r="E150" s="407">
        <f>C150</f>
        <v>0.125</v>
      </c>
      <c r="F150" s="8"/>
      <c r="G150" s="486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0.36620001173136246</v>
      </c>
      <c r="D151" s="5"/>
      <c r="E151" s="407">
        <f>SUM(E149:E150)</f>
        <v>0.36620001173136246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670494</v>
      </c>
      <c r="D156" s="251">
        <f>D146</f>
        <v>0</v>
      </c>
      <c r="E156" s="251">
        <f>E146</f>
        <v>670494</v>
      </c>
    </row>
    <row r="157" spans="1:5" ht="12.75">
      <c r="A157" t="s">
        <v>20</v>
      </c>
      <c r="B157" s="86" t="s">
        <v>187</v>
      </c>
      <c r="C157" s="482">
        <v>35381</v>
      </c>
      <c r="D157" s="251"/>
      <c r="E157" s="251">
        <f>C157+D157</f>
        <v>35381</v>
      </c>
    </row>
    <row r="158" spans="1:5" ht="12.75">
      <c r="A158" t="s">
        <v>218</v>
      </c>
      <c r="B158" s="86" t="s">
        <v>187</v>
      </c>
      <c r="C158" s="482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705875</v>
      </c>
      <c r="D160" s="251">
        <f>D156+D157+D158</f>
        <v>0</v>
      </c>
      <c r="E160" s="251">
        <f>E156+E157+E158</f>
        <v>705875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6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502</v>
      </c>
      <c r="B47" s="61"/>
      <c r="C47" s="295"/>
      <c r="D47" s="295"/>
      <c r="E47" s="251">
        <f t="shared" si="2"/>
        <v>0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502</v>
      </c>
      <c r="B59" s="61"/>
      <c r="C59" s="295"/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5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93" sqref="C9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467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479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494" t="s">
        <v>504</v>
      </c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4" t="s">
        <v>503</v>
      </c>
      <c r="B41" t="s">
        <v>187</v>
      </c>
      <c r="C41" s="295">
        <v>2686</v>
      </c>
      <c r="D41" s="295"/>
      <c r="E41" s="251">
        <f t="shared" si="0"/>
        <v>2686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2686</v>
      </c>
      <c r="D46" s="251">
        <f>SUM(D17:D45)</f>
        <v>0</v>
      </c>
      <c r="E46" s="251">
        <f>SUM(E17:E45)</f>
        <v>2686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2686</v>
      </c>
      <c r="D78" s="316">
        <f>D46-D77</f>
        <v>0</v>
      </c>
      <c r="E78" s="316">
        <f>E46-E77</f>
        <v>2686</v>
      </c>
    </row>
    <row r="79" spans="1:5" ht="12.75">
      <c r="A79" s="277" t="s">
        <v>170</v>
      </c>
      <c r="B79" s="278"/>
      <c r="C79" s="316">
        <f>C77+C78</f>
        <v>2686</v>
      </c>
      <c r="D79" s="316">
        <f>D77+D78</f>
        <v>0</v>
      </c>
      <c r="E79" s="316">
        <f>E77+E78</f>
        <v>2686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4" t="s">
        <v>507</v>
      </c>
      <c r="B92" s="8" t="s">
        <v>188</v>
      </c>
      <c r="C92" s="295">
        <v>1084721</v>
      </c>
      <c r="D92" s="295"/>
      <c r="E92" s="251">
        <f t="shared" si="5"/>
        <v>1084721</v>
      </c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4" t="s">
        <v>504</v>
      </c>
      <c r="B97" s="8" t="s">
        <v>188</v>
      </c>
      <c r="C97" s="295">
        <v>15324</v>
      </c>
      <c r="D97" s="295"/>
      <c r="E97" s="251">
        <f t="shared" si="5"/>
        <v>15324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1100045</v>
      </c>
      <c r="D99" s="251">
        <f>SUM(D82:D98)</f>
        <v>0</v>
      </c>
      <c r="E99" s="251">
        <f>SUM(E82:E98)</f>
        <v>1100045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Other deductions: (Please explain in detail the nature of the item)</v>
      </c>
      <c r="B112" s="274"/>
      <c r="C112" s="251">
        <f t="shared" si="7"/>
        <v>1084721</v>
      </c>
      <c r="D112" s="251">
        <f t="shared" si="7"/>
        <v>0</v>
      </c>
      <c r="E112" s="251">
        <f t="shared" si="7"/>
        <v>1084721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Expenses capitalized for accounting</v>
      </c>
      <c r="B117" s="274"/>
      <c r="C117" s="251">
        <f t="shared" si="7"/>
        <v>15324</v>
      </c>
      <c r="D117" s="251">
        <f t="shared" si="7"/>
        <v>0</v>
      </c>
      <c r="E117" s="251">
        <f t="shared" si="7"/>
        <v>15324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1100045</v>
      </c>
      <c r="D119" s="251">
        <f>SUM(D102:D118)</f>
        <v>0</v>
      </c>
      <c r="E119" s="251">
        <f>SUM(E102:E118)</f>
        <v>1100045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1100045</v>
      </c>
      <c r="D121" s="251">
        <f>D119+D120</f>
        <v>0</v>
      </c>
      <c r="E121" s="251">
        <f>E119+E120</f>
        <v>1100045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0" sqref="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433</v>
      </c>
      <c r="B32" t="s">
        <v>187</v>
      </c>
      <c r="C32" s="296">
        <v>2547</v>
      </c>
      <c r="D32" s="296"/>
      <c r="E32" s="314">
        <f t="shared" si="0"/>
        <v>2547</v>
      </c>
    </row>
    <row r="33" spans="1:5" ht="12.75">
      <c r="A33" s="67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452</v>
      </c>
      <c r="C35" s="296"/>
      <c r="D35" s="296"/>
      <c r="E35" s="314">
        <f t="shared" si="0"/>
        <v>0</v>
      </c>
    </row>
    <row r="36" spans="1:5" ht="12.75">
      <c r="A36" s="67" t="s">
        <v>435</v>
      </c>
      <c r="C36" s="296"/>
      <c r="D36" s="296"/>
      <c r="E36" s="314">
        <f t="shared" si="0"/>
        <v>0</v>
      </c>
    </row>
    <row r="37" spans="1:5" ht="12.75">
      <c r="A37" s="67" t="s">
        <v>436</v>
      </c>
      <c r="C37" s="296"/>
      <c r="D37" s="296"/>
      <c r="E37" s="314">
        <f t="shared" si="0"/>
        <v>0</v>
      </c>
    </row>
    <row r="38" spans="1:5" ht="12.75">
      <c r="A38" s="67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393</v>
      </c>
      <c r="B40" t="s">
        <v>187</v>
      </c>
      <c r="C40" s="296">
        <v>37000</v>
      </c>
      <c r="D40" s="296"/>
      <c r="E40" s="314">
        <f t="shared" si="0"/>
        <v>37000</v>
      </c>
    </row>
    <row r="41" spans="1:5" ht="12.75">
      <c r="A41" s="81" t="s">
        <v>387</v>
      </c>
      <c r="B41" t="s">
        <v>187</v>
      </c>
      <c r="C41" s="296">
        <v>338104</v>
      </c>
      <c r="D41" s="296"/>
      <c r="E41" s="314">
        <f t="shared" si="0"/>
        <v>338104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497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397</v>
      </c>
      <c r="B47" t="s">
        <v>189</v>
      </c>
      <c r="C47" s="251">
        <f>SUM(C19:C46)</f>
        <v>377651</v>
      </c>
      <c r="D47" s="251">
        <f>SUM(D19:D46)</f>
        <v>0</v>
      </c>
      <c r="E47" s="251">
        <f>SUM(E19:E46)</f>
        <v>377651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494" t="s">
        <v>507</v>
      </c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394</v>
      </c>
      <c r="B64" s="8" t="s">
        <v>188</v>
      </c>
      <c r="C64" s="295">
        <v>35381</v>
      </c>
      <c r="D64" s="295"/>
      <c r="E64" s="251">
        <f t="shared" si="2"/>
        <v>35381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35381</v>
      </c>
      <c r="D73" s="251">
        <f>SUM(D51:D72)</f>
        <v>0</v>
      </c>
      <c r="E73" s="251">
        <f>SUM(E51:E72)</f>
        <v>35381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O40" sqref="O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487</v>
      </c>
      <c r="B8" s="506"/>
      <c r="C8" s="506"/>
      <c r="D8" s="506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469</v>
      </c>
      <c r="B10" s="328"/>
      <c r="C10" s="377" t="s">
        <v>111</v>
      </c>
      <c r="D10" s="377"/>
      <c r="E10" s="377" t="s">
        <v>111</v>
      </c>
      <c r="F10" s="378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496</v>
      </c>
      <c r="B23" s="500"/>
      <c r="C23" s="500"/>
      <c r="D23" s="500"/>
      <c r="E23" s="500"/>
      <c r="F23" s="500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488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/>
      <c r="E28" s="371" t="s">
        <v>111</v>
      </c>
      <c r="F28" s="372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490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492">
        <v>0.2412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492">
        <v>0.125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492">
        <f>+H51+H50</f>
        <v>0.36619999999999997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474</v>
      </c>
      <c r="C57" s="363">
        <v>4686438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UTILITYNAME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398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440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399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400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-656081.8583507751</v>
      </c>
      <c r="N15" s="393"/>
      <c r="O15" s="398">
        <f t="shared" si="0"/>
        <v>-656081.8583507751</v>
      </c>
    </row>
    <row r="16" spans="1:15" ht="27" customHeight="1">
      <c r="A16" s="81" t="s">
        <v>401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402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-19320.888363947422</v>
      </c>
      <c r="N17" s="393"/>
      <c r="O17" s="398">
        <f t="shared" si="0"/>
        <v>-19320.888363947422</v>
      </c>
    </row>
    <row r="18" spans="1:15" ht="25.5">
      <c r="A18" s="81" t="s">
        <v>403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472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374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-675402.7467147225</v>
      </c>
      <c r="N22" s="392"/>
      <c r="O22" s="452">
        <f>SUM(O11:O20)</f>
        <v>-675402.7467147225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408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2"/>
      <c r="Q33" s="422"/>
      <c r="R33" s="422"/>
      <c r="S33" s="422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2"/>
      <c r="Q34" s="422"/>
      <c r="R34" s="422"/>
      <c r="S34" s="422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2"/>
      <c r="Q35" s="422"/>
      <c r="R35" s="422"/>
      <c r="S35" s="422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2012-05-08T18:58:18Z</cp:lastPrinted>
  <dcterms:created xsi:type="dcterms:W3CDTF">2001-11-07T16:15:53Z</dcterms:created>
  <dcterms:modified xsi:type="dcterms:W3CDTF">2013-03-05T21:31:23Z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