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'TAXREC'!$A$1:$G$162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 iterate="1" iterateCount="1" iterateDelta="0.001"/>
</workbook>
</file>

<file path=xl/comments8.xml><?xml version="1.0" encoding="utf-8"?>
<comments xmlns="http://schemas.openxmlformats.org/spreadsheetml/2006/main">
  <authors>
    <author>dsmelsky</author>
  </authors>
  <commentList>
    <comment ref="K13" authorId="0">
      <text>
        <r>
          <rPr>
            <b/>
            <sz val="11"/>
            <rFont val="Tahoma"/>
            <family val="2"/>
          </rPr>
          <t>dsmelsky:</t>
        </r>
        <r>
          <rPr>
            <sz val="11"/>
            <rFont val="Tahoma"/>
            <family val="2"/>
          </rPr>
          <t xml:space="preserve">
2005 PILs Proxy $830,648</t>
        </r>
      </text>
    </comment>
  </commentList>
</comments>
</file>

<file path=xl/sharedStrings.xml><?xml version="1.0" encoding="utf-8"?>
<sst xmlns="http://schemas.openxmlformats.org/spreadsheetml/2006/main" count="879" uniqueCount="505">
  <si>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</si>
  <si>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</si>
  <si>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</si>
  <si>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</si>
  <si>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</si>
  <si>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</si>
  <si>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</si>
  <si>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</si>
  <si>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</si>
  <si>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</si>
  <si>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</si>
  <si>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</si>
  <si>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</si>
  <si>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</si>
  <si>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</si>
  <si>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</si>
  <si>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</si>
  <si>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</si>
  <si>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</si>
  <si>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</si>
  <si>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</si>
  <si>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</si>
  <si>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</si>
  <si>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</si>
  <si>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</si>
  <si>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</si>
  <si>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</si>
  <si>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</si>
  <si>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</si>
  <si>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</si>
  <si>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</si>
  <si>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</si>
  <si>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</si>
  <si>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</si>
  <si>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</si>
  <si>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</si>
  <si>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</si>
  <si>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</si>
  <si>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</si>
  <si>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</si>
  <si>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</si>
  <si>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</si>
  <si>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</si>
  <si>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</si>
  <si>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</si>
  <si>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</si>
  <si>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</si>
  <si>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</si>
  <si>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</si>
  <si>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</si>
  <si>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</si>
  <si>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</si>
  <si>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</si>
  <si>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</si>
  <si>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</si>
  <si>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</si>
  <si>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</si>
  <si>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</si>
  <si>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</si>
  <si>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</si>
  <si>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</si>
  <si>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</si>
  <si>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</si>
  <si>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</si>
  <si>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</si>
  <si>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</si>
  <si>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</si>
  <si>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</si>
  <si>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</si>
  <si>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</si>
  <si>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</si>
  <si>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</si>
  <si>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</si>
  <si>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</si>
  <si>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</si>
  <si>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</si>
  <si>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</si>
  <si>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</si>
  <si>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</si>
  <si>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</si>
  <si>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</si>
  <si>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</si>
  <si>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</si>
  <si>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</si>
  <si>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</si>
  <si>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</si>
  <si>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</si>
  <si>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</si>
  <si>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</si>
  <si>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</si>
  <si>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</si>
  <si>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</si>
  <si>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</si>
  <si>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</si>
  <si>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</si>
  <si>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</si>
  <si>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</si>
  <si>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</si>
  <si>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</si>
  <si>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</si>
  <si>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</si>
  <si>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</si>
  <si>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</si>
  <si>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</si>
  <si>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</si>
  <si>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</si>
  <si>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</si>
  <si>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</si>
  <si>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</si>
  <si>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</si>
  <si>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</si>
  <si>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</si>
  <si>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</si>
  <si>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</si>
  <si>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</si>
  <si>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</si>
  <si>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</si>
  <si>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</si>
  <si>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</si>
  <si>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</si>
  <si>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</si>
  <si>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</si>
  <si>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</si>
  <si>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</si>
  <si>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</si>
  <si>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</si>
  <si>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</si>
  <si>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</si>
  <si>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</si>
  <si>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</si>
  <si>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</si>
  <si>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</si>
  <si>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</si>
  <si>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</si>
  <si>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</si>
  <si>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</si>
  <si>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</si>
  <si>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</si>
  <si>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</si>
  <si>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</si>
  <si>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</si>
  <si>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</si>
  <si>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</si>
  <si>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</si>
  <si>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</si>
  <si>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</si>
  <si>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</si>
  <si>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</si>
  <si>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</si>
  <si>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</si>
  <si>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</si>
  <si>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</si>
  <si>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</si>
  <si>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</si>
  <si>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</si>
  <si>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</si>
  <si>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</si>
  <si>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</si>
  <si>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</si>
  <si>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</si>
  <si>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</si>
  <si>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</si>
  <si>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</si>
  <si>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</si>
  <si>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</si>
  <si>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</si>
  <si>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</si>
  <si>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</si>
  <si>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</si>
  <si>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</si>
  <si>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</si>
  <si>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</si>
  <si>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</si>
  <si>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</si>
  <si>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</si>
  <si>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</si>
  <si>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</si>
  <si>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</si>
  <si>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</si>
  <si>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</si>
  <si>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</si>
  <si>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</si>
  <si>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</si>
  <si>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</si>
  <si>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</si>
  <si>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</si>
  <si>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</si>
  <si>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</si>
  <si>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</si>
  <si>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</si>
  <si>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</si>
  <si>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</si>
  <si>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</si>
  <si>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</si>
  <si>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</si>
  <si>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</si>
  <si>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</si>
  <si>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</si>
  <si>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</si>
  <si>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</si>
  <si>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</si>
  <si>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</si>
  <si>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</si>
  <si>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</si>
  <si>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</si>
  <si>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</si>
  <si>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</si>
  <si>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</si>
  <si>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</si>
  <si>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</si>
  <si>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</si>
  <si>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</si>
  <si>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</si>
  <si>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</si>
  <si>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</si>
  <si>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</si>
  <si>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</si>
  <si>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</si>
  <si>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</si>
  <si>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</si>
  <si>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</si>
  <si>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</si>
  <si>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</si>
  <si>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</si>
  <si>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</si>
  <si>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</si>
  <si>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</si>
  <si>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</si>
  <si>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</si>
  <si>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</si>
  <si>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</si>
  <si>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</si>
  <si>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</si>
  <si>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</si>
  <si>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</si>
  <si>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</si>
  <si>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</si>
  <si>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</si>
  <si>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</si>
  <si>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</si>
  <si>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</si>
  <si>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</si>
  <si>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</si>
  <si>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</si>
  <si>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</si>
  <si>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</si>
  <si>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</si>
  <si>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</si>
  <si>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</si>
  <si>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</si>
  <si>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</si>
  <si>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</si>
  <si>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</si>
  <si>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</si>
  <si>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</si>
  <si>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</si>
  <si>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</si>
  <si>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</si>
  <si>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</si>
  <si>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</si>
  <si>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</si>
  <si>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</si>
  <si>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</si>
  <si>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</si>
  <si>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</si>
  <si>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</si>
  <si>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</si>
  <si>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</si>
  <si>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</si>
  <si>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</si>
  <si>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</si>
  <si>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</si>
  <si>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</si>
  <si>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</si>
  <si>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</si>
  <si>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</si>
  <si>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</si>
  <si>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</si>
  <si>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</si>
  <si>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</si>
  <si>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</si>
  <si>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</si>
  <si>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</si>
  <si>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</si>
  <si>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</si>
  <si>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</si>
  <si>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</si>
  <si>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</si>
  <si>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</si>
  <si>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</si>
  <si>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</si>
  <si>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</si>
  <si>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</si>
  <si>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</si>
  <si>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</si>
  <si>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</si>
  <si>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</si>
  <si>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</si>
  <si>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</si>
  <si>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</si>
  <si>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</si>
  <si>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</si>
  <si>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</si>
  <si>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</si>
  <si>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</si>
  <si>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</si>
  <si>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</si>
  <si>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</si>
  <si>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</si>
  <si>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</si>
  <si>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</si>
  <si>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</si>
  <si>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</si>
  <si>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</si>
  <si>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</si>
  <si>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</si>
  <si>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</si>
  <si>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</si>
  <si>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</si>
  <si>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</si>
  <si>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</si>
  <si>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</si>
  <si>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</si>
  <si>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</si>
  <si>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</si>
  <si>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</si>
  <si>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</si>
  <si>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</si>
  <si>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</si>
  <si>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</si>
  <si>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</si>
  <si>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</si>
  <si>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</si>
  <si>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</si>
  <si>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</si>
  <si>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</si>
  <si>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</si>
  <si>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</si>
  <si>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</si>
  <si>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</si>
  <si>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</si>
  <si>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</si>
  <si>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</si>
  <si>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</si>
  <si>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</si>
  <si>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</si>
  <si>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</si>
  <si>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</si>
  <si>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</si>
  <si>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</si>
  <si>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</si>
  <si>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</si>
  <si>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</si>
  <si>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</si>
  <si>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</si>
  <si>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</si>
  <si>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</si>
  <si>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</si>
  <si>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</si>
  <si>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</si>
  <si>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</si>
  <si>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</si>
  <si>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</si>
  <si>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</si>
  <si>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</si>
  <si>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</si>
  <si>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</si>
  <si>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</si>
  <si>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</si>
  <si>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</si>
  <si>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</si>
  <si>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</si>
  <si>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</si>
  <si>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</si>
  <si>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</si>
  <si>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</si>
  <si>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</si>
  <si>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</si>
  <si>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</si>
  <si>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</si>
  <si>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</si>
  <si>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</si>
  <si>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</si>
  <si>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</si>
  <si>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</si>
  <si>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</si>
  <si>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</si>
  <si>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</si>
  <si>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</si>
  <si>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</si>
  <si>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</si>
  <si>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</si>
  <si>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</si>
  <si>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</si>
  <si>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</si>
  <si>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</si>
  <si>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</si>
  <si>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</si>
  <si>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</si>
  <si>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</si>
  <si>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</si>
  <si>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</si>
  <si>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</si>
  <si>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</si>
  <si>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</si>
  <si>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</si>
  <si>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</si>
  <si>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</si>
  <si>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</si>
  <si>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</si>
  <si>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</si>
  <si>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</si>
  <si>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</si>
  <si>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</si>
  <si>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</si>
  <si>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</si>
  <si>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</si>
  <si>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</si>
  <si>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</si>
  <si>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</si>
  <si>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</si>
  <si>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</si>
  <si>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</si>
  <si>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</si>
  <si>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</si>
  <si>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</si>
  <si>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</si>
  <si>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</si>
  <si>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</si>
  <si>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</si>
  <si>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</si>
  <si>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</si>
  <si>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</si>
  <si>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</si>
  <si>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</si>
  <si>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</si>
  <si>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</si>
  <si>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</si>
  <si>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</si>
  <si>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</si>
  <si>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</si>
  <si>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</si>
  <si>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</si>
  <si>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</si>
  <si>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</si>
  <si>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</si>
  <si>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</si>
  <si>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</si>
  <si>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</si>
  <si>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</si>
  <si>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</si>
  <si>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</si>
  <si>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</si>
  <si>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</si>
  <si>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</si>
  <si>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</si>
  <si>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</si>
  <si>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</si>
  <si>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</si>
  <si>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</si>
  <si>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</si>
  <si>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</si>
  <si>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</si>
  <si>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</si>
  <si>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</si>
  <si>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</si>
  <si>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</si>
  <si>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Divide federal income tax by the taxable income</t>
  </si>
  <si>
    <t>Divide Ontario income tax by the taxable income</t>
  </si>
  <si>
    <t>PILs billed to (collected from) customers             (8)</t>
  </si>
  <si>
    <t>Correct rate should be?</t>
  </si>
  <si>
    <t>Enter from tax return</t>
  </si>
  <si>
    <t>No entry on tax return</t>
  </si>
  <si>
    <t>Provision for bad debts</t>
  </si>
  <si>
    <t>Non-taxable load transfers</t>
  </si>
  <si>
    <t xml:space="preserve">RECAP 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</si>
  <si>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</si>
  <si>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</si>
  <si>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</si>
  <si>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MAX $50MM</t>
  </si>
  <si>
    <t>&gt;1,128,000</t>
  </si>
  <si>
    <t>Reporting period:  2005</t>
  </si>
  <si>
    <t>12-31-2005</t>
  </si>
  <si>
    <t xml:space="preserve">     Capitalized</t>
  </si>
  <si>
    <t>Rates Used in 2005 RAM PILs Applications for 2005</t>
  </si>
  <si>
    <t>MAX $7.5MM</t>
  </si>
  <si>
    <t>RAM 2005</t>
  </si>
  <si>
    <t>Expected Income Tax Rates for 2005 and Capital Tax Exemptions for 2005</t>
  </si>
  <si>
    <t>Input Information from Utility's Actual 2005 Tax Returns</t>
  </si>
  <si>
    <r>
      <t xml:space="preserve">Ontario Capital Tax Exemption  </t>
    </r>
    <r>
      <rPr>
        <b/>
        <sz val="10"/>
        <color indexed="10"/>
        <rFont val="Arial"/>
        <family val="2"/>
      </rPr>
      <t>*** 2005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</si>
  <si>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2005</t>
    </r>
  </si>
  <si>
    <t>**Exemption amounts must agree with the Board-approved 2005 RAM PILs filing</t>
  </si>
  <si>
    <t>Actual 2005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</si>
  <si>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</si>
  <si>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2005 </t>
    </r>
    <r>
      <rPr>
        <sz val="10"/>
        <rFont val="Arial"/>
        <family val="0"/>
      </rPr>
      <t>Utility's tax return</t>
    </r>
  </si>
  <si>
    <t>PILs TAXES - EB-2008-0381</t>
  </si>
  <si>
    <t>Actual Interest Paid</t>
  </si>
  <si>
    <t>Utility Name:   UTILITYNAME</t>
  </si>
  <si>
    <t>ENNERCONNECT LIMITED PARTNERSHIP INCOME</t>
  </si>
  <si>
    <t>Employee future benefits</t>
  </si>
  <si>
    <t>Taxable dividends under 112</t>
  </si>
  <si>
    <t>Y</t>
  </si>
  <si>
    <t>N</t>
  </si>
  <si>
    <t>Ennerconnect loss</t>
  </si>
  <si>
    <t xml:space="preserve">     Interest on customer deposits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</si>
</sst>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&quot;$&quot;#,##0.0_);\(&quot;$&quot;#,##0.0\)"/>
  </numFmts>
  <fonts count="5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4" applyNumberFormat="0" applyFill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0" fontId="56" fillId="27" borderId="6" applyNumberFormat="0" applyAlignment="0" applyProtection="0"/>
    <xf numFmtId="1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8" fillId="0" borderId="0" applyNumberFormat="0" applyFill="0" applyBorder="0" applyAlignment="0" applyProtection="0"/>
  </cellStyleXfs>
  <cellXfs count="513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19" fillId="0" borderId="0" xfId="0" applyNumberFormat="1" applyFont="1" applyBorder="1" applyAlignment="1">
      <alignment horizontal="left" vertical="top"/>
    </xf>
    <xf numFmtId="3" fontId="19" fillId="42" borderId="17" xfId="0" applyNumberFormat="1" applyFon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36" borderId="59" xfId="0" applyNumberFormat="1" applyFill="1" applyBorder="1" applyAlignment="1" applyProtection="1">
      <alignment/>
      <protection/>
    </xf>
    <xf numFmtId="3" fontId="0" fillId="44" borderId="14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5" fontId="0" fillId="0" borderId="0" xfId="45" applyNumberFormat="1" applyFont="1" applyBorder="1" applyAlignment="1" applyProtection="1">
      <alignment vertical="top"/>
      <protection locked="0"/>
    </xf>
    <xf numFmtId="10" fontId="0" fillId="42" borderId="0" xfId="63" applyFont="1" applyFill="1" applyAlignment="1" applyProtection="1">
      <alignment vertical="top"/>
      <protection locked="0"/>
    </xf>
    <xf numFmtId="3" fontId="0" fillId="45" borderId="14" xfId="0" applyNumberFormat="1" applyFill="1" applyBorder="1" applyAlignment="1" applyProtection="1">
      <alignment vertical="top"/>
      <protection/>
    </xf>
    <xf numFmtId="10" fontId="0" fillId="0" borderId="0" xfId="63" applyFont="1" applyAlignment="1" applyProtection="1">
      <alignment vertical="top"/>
      <protection locked="0"/>
    </xf>
    <xf numFmtId="0" fontId="0" fillId="0" borderId="0" xfId="0" applyFont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75" zoomScaleNormal="75" zoomScalePageLayoutView="0" workbookViewId="0" topLeftCell="A28">
      <selection activeCell="D50" sqref="D50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495</v>
      </c>
      <c r="C1" s="8"/>
      <c r="E1" s="2" t="s">
        <v>460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497</v>
      </c>
      <c r="C3" s="8"/>
      <c r="D3" s="455" t="s">
        <v>446</v>
      </c>
      <c r="E3" s="8"/>
      <c r="F3" s="8"/>
      <c r="G3" s="8"/>
      <c r="H3" s="8"/>
    </row>
    <row r="4" spans="1:8" ht="12.75">
      <c r="A4" s="2" t="s">
        <v>481</v>
      </c>
      <c r="C4" s="8"/>
      <c r="D4" s="454" t="s">
        <v>441</v>
      </c>
      <c r="E4" s="429"/>
      <c r="H4" s="8"/>
    </row>
    <row r="5" spans="1:8" ht="12.75">
      <c r="A5" s="52"/>
      <c r="C5" s="8"/>
      <c r="D5" s="453" t="s">
        <v>442</v>
      </c>
      <c r="E5" s="399"/>
      <c r="H5" s="8"/>
    </row>
    <row r="6" spans="1:8" ht="12.75">
      <c r="A6" s="2" t="s">
        <v>126</v>
      </c>
      <c r="B6" s="389">
        <v>365</v>
      </c>
      <c r="C6" s="8" t="s">
        <v>127</v>
      </c>
      <c r="D6" s="21"/>
      <c r="H6" s="8"/>
    </row>
    <row r="7" spans="1:8" ht="13.5" thickBot="1">
      <c r="A7" s="52" t="s">
        <v>255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 t="s">
        <v>501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 t="s">
        <v>502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 t="s">
        <v>502</v>
      </c>
    </row>
    <row r="18" spans="1:4" ht="15" customHeight="1">
      <c r="A18" s="390" t="s">
        <v>314</v>
      </c>
      <c r="C18" s="8"/>
      <c r="D18" s="8"/>
    </row>
    <row r="19" spans="1:4" ht="15" customHeight="1">
      <c r="A19" s="498" t="s">
        <v>315</v>
      </c>
      <c r="B19" s="8" t="s">
        <v>312</v>
      </c>
      <c r="C19" s="8" t="s">
        <v>64</v>
      </c>
      <c r="D19" s="389" t="s">
        <v>502</v>
      </c>
    </row>
    <row r="20" spans="1:4" ht="13.5" thickBot="1">
      <c r="A20" s="499"/>
      <c r="B20" s="8" t="s">
        <v>313</v>
      </c>
      <c r="C20" s="8" t="s">
        <v>64</v>
      </c>
      <c r="D20" s="258" t="s">
        <v>502</v>
      </c>
    </row>
    <row r="21" spans="1:4" ht="12.75">
      <c r="A21" s="498" t="s">
        <v>311</v>
      </c>
      <c r="B21" s="8" t="s">
        <v>312</v>
      </c>
      <c r="C21" s="8"/>
      <c r="D21" s="424">
        <v>1</v>
      </c>
    </row>
    <row r="22" spans="1:4" ht="12.75">
      <c r="A22" s="498"/>
      <c r="B22" s="8" t="s">
        <v>313</v>
      </c>
      <c r="C22" s="8"/>
      <c r="D22" s="424">
        <v>1</v>
      </c>
    </row>
    <row r="23" spans="1:4" ht="7.5" customHeight="1">
      <c r="A23" s="45"/>
      <c r="C23" s="8"/>
      <c r="D23" s="389"/>
    </row>
    <row r="24" spans="1:4" ht="12.75">
      <c r="A24" s="45" t="s">
        <v>212</v>
      </c>
      <c r="C24" s="8" t="s">
        <v>213</v>
      </c>
      <c r="D24" s="425" t="s">
        <v>482</v>
      </c>
    </row>
    <row r="25" ht="6.75" customHeight="1" thickBot="1">
      <c r="A25" s="12"/>
    </row>
    <row r="26" spans="1:5" ht="12.75">
      <c r="A26" s="255" t="s">
        <v>67</v>
      </c>
      <c r="C26" s="8"/>
      <c r="E26" s="444" t="s">
        <v>296</v>
      </c>
    </row>
    <row r="27" spans="1:5" ht="12.75">
      <c r="A27" s="256" t="s">
        <v>68</v>
      </c>
      <c r="C27" s="8"/>
      <c r="E27" s="445" t="s">
        <v>297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286</v>
      </c>
      <c r="D31" s="422">
        <v>11068045</v>
      </c>
      <c r="H31" s="5"/>
    </row>
    <row r="32" ht="6" customHeight="1"/>
    <row r="33" spans="1:8" ht="12.75">
      <c r="A33" t="s">
        <v>71</v>
      </c>
      <c r="D33" s="423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3">
        <v>0.0988</v>
      </c>
      <c r="H37" s="41"/>
    </row>
    <row r="38" ht="4.5" customHeight="1">
      <c r="H38" s="34"/>
    </row>
    <row r="39" spans="1:8" ht="12.75">
      <c r="A39" t="s">
        <v>74</v>
      </c>
      <c r="D39" s="423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947978.05425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6">
        <v>0</v>
      </c>
      <c r="E43" s="388">
        <f>D43</f>
        <v>0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947978.05425</v>
      </c>
      <c r="H45" s="40"/>
      <c r="J45" s="5"/>
      <c r="K45" s="5"/>
    </row>
    <row r="46" spans="1:11" ht="12.75">
      <c r="A46" s="2" t="s">
        <v>287</v>
      </c>
      <c r="D46" s="40"/>
      <c r="H46" s="40"/>
      <c r="J46" s="5"/>
      <c r="K46" s="5"/>
    </row>
    <row r="47" spans="1:11" ht="12.75">
      <c r="A47" t="s">
        <v>288</v>
      </c>
      <c r="D47" s="427">
        <v>230939</v>
      </c>
      <c r="E47" s="388">
        <f aca="true" t="shared" si="0" ref="E47:E53">D47</f>
        <v>230939</v>
      </c>
      <c r="H47" s="40"/>
      <c r="J47" s="5"/>
      <c r="K47" s="5"/>
    </row>
    <row r="48" spans="1:11" ht="12.75">
      <c r="A48" t="s">
        <v>289</v>
      </c>
      <c r="D48" s="427">
        <v>230939</v>
      </c>
      <c r="E48" s="388">
        <f>D48</f>
        <v>230939</v>
      </c>
      <c r="F48" s="22"/>
      <c r="H48" s="40"/>
      <c r="J48" s="5"/>
      <c r="K48" s="5"/>
    </row>
    <row r="49" spans="1:11" ht="12.75">
      <c r="A49" t="s">
        <v>290</v>
      </c>
      <c r="D49" s="428">
        <v>230939</v>
      </c>
      <c r="E49" s="388">
        <f>D49</f>
        <v>230939</v>
      </c>
      <c r="F49" s="22"/>
      <c r="H49" s="40"/>
      <c r="J49" s="5"/>
      <c r="K49" s="5"/>
    </row>
    <row r="50" spans="1:11" ht="12.75">
      <c r="A50" t="s">
        <v>291</v>
      </c>
      <c r="D50" s="429"/>
      <c r="E50" s="388">
        <f t="shared" si="0"/>
        <v>0</v>
      </c>
      <c r="H50" s="40"/>
      <c r="J50" s="5"/>
      <c r="K50" s="5"/>
    </row>
    <row r="51" spans="1:11" ht="12.75">
      <c r="A51" t="s">
        <v>438</v>
      </c>
      <c r="C51" s="494"/>
      <c r="D51" s="429"/>
      <c r="E51" s="388"/>
      <c r="G51" s="3"/>
      <c r="H51" s="40"/>
      <c r="J51" s="5"/>
      <c r="K51" s="5"/>
    </row>
    <row r="52" spans="1:11" ht="12.75">
      <c r="A52" t="s">
        <v>461</v>
      </c>
      <c r="D52" s="429"/>
      <c r="E52" s="388"/>
      <c r="G52" s="493"/>
      <c r="H52" s="40"/>
      <c r="J52" s="5"/>
      <c r="K52" s="5"/>
    </row>
    <row r="53" spans="4:11" ht="12.75">
      <c r="D53" s="429"/>
      <c r="E53" s="388">
        <f t="shared" si="0"/>
        <v>0</v>
      </c>
      <c r="G53" s="3"/>
      <c r="H53" s="40"/>
      <c r="J53" s="5"/>
      <c r="K53" s="5"/>
    </row>
    <row r="54" spans="1:11" ht="12.75">
      <c r="A54" s="2" t="s">
        <v>292</v>
      </c>
      <c r="E54" s="254">
        <f>SUM(E43:E53)</f>
        <v>692817</v>
      </c>
      <c r="G54" s="22"/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5534022.5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546761.423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5534022.5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310</v>
      </c>
      <c r="B62" s="5"/>
      <c r="C62" s="5"/>
      <c r="D62" s="252">
        <f>D60*D39</f>
        <v>401216.63125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293</v>
      </c>
      <c r="B64" s="5"/>
      <c r="C64" s="5"/>
      <c r="D64" s="253">
        <f>IF(D41&gt;0,(((D43+D47)/D41)*D62),0)</f>
        <v>97741.25802685347</v>
      </c>
      <c r="F64" s="5"/>
      <c r="H64" s="32"/>
      <c r="J64" s="5"/>
      <c r="K64" s="5"/>
    </row>
    <row r="65" spans="1:11" ht="12.75">
      <c r="A65" s="33" t="s">
        <v>377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294</v>
      </c>
      <c r="B66" s="5"/>
      <c r="C66" s="5"/>
      <c r="D66" s="253">
        <f>IF(D41&gt;0,(((D43+D47+D48)/D41)*D62),0)</f>
        <v>195482.51605370693</v>
      </c>
      <c r="F66" s="5"/>
      <c r="H66" s="32"/>
      <c r="J66" s="5"/>
      <c r="K66" s="5"/>
    </row>
    <row r="67" spans="1:11" ht="12.75">
      <c r="A67" s="33" t="s">
        <v>378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295</v>
      </c>
      <c r="B68" s="5"/>
      <c r="C68" s="5"/>
      <c r="D68" s="253">
        <f>IF(D41&gt;0,(((D43+D47+D48)/D41)*D62),0)</f>
        <v>195482.51605370693</v>
      </c>
      <c r="F68" s="5"/>
      <c r="H68" s="32"/>
      <c r="J68" s="5"/>
    </row>
    <row r="69" spans="1:10" ht="12.75">
      <c r="A69" s="33" t="s">
        <v>379</v>
      </c>
      <c r="B69" s="5"/>
      <c r="C69" s="5"/>
      <c r="D69" s="5"/>
      <c r="F69" s="5"/>
      <c r="H69" s="32"/>
      <c r="J69" s="5"/>
    </row>
    <row r="70" spans="1:10" ht="12.75">
      <c r="A70" s="45" t="s">
        <v>447</v>
      </c>
      <c r="B70" s="5"/>
      <c r="C70" s="5"/>
      <c r="D70" s="253">
        <f>D62</f>
        <v>401216.63125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3" r:id="rId1"/>
  <headerFooter alignWithMargins="0">
    <oddFooter>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tabSelected="1" zoomScale="75" zoomScaleNormal="75" zoomScalePageLayoutView="0" workbookViewId="0" topLeftCell="A153">
      <selection activeCell="P184" sqref="P184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EB-2008-0381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463</v>
      </c>
      <c r="H1" s="210"/>
    </row>
    <row r="2" spans="1:8" ht="12.75">
      <c r="A2" s="211" t="s">
        <v>462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464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249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  UTILITYNAME</v>
      </c>
      <c r="B6" s="115"/>
      <c r="D6" s="137"/>
      <c r="E6" s="115"/>
      <c r="G6" s="115"/>
      <c r="H6" s="465"/>
    </row>
    <row r="7" spans="1:8" ht="12.75">
      <c r="A7" s="211" t="str">
        <f>REGINFO!A4</f>
        <v>Reporting period:  2005</v>
      </c>
      <c r="B7" s="115"/>
      <c r="D7" s="137"/>
      <c r="E7" s="115"/>
      <c r="G7" s="115"/>
      <c r="H7" s="465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30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255</v>
      </c>
      <c r="B10" s="430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340</v>
      </c>
      <c r="B16" s="125">
        <v>1</v>
      </c>
      <c r="C16" s="259">
        <v>1028724</v>
      </c>
      <c r="D16" s="17"/>
      <c r="E16" s="267">
        <f>G16-C16</f>
        <v>656735</v>
      </c>
      <c r="F16" s="3"/>
      <c r="G16" s="267">
        <f>TAXREC!E50</f>
        <v>1685459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663503</v>
      </c>
      <c r="D20" s="18"/>
      <c r="E20" s="267">
        <f>G20-C20</f>
        <v>-16690</v>
      </c>
      <c r="F20" s="6"/>
      <c r="G20" s="267">
        <f>TAXREC!E61</f>
        <v>646813</v>
      </c>
      <c r="H20" s="151"/>
    </row>
    <row r="21" spans="1:8" ht="12.75">
      <c r="A21" s="158" t="s">
        <v>56</v>
      </c>
      <c r="B21" s="127">
        <v>3</v>
      </c>
      <c r="C21" s="261"/>
      <c r="D21" s="18"/>
      <c r="E21" s="267">
        <f>G21-C21</f>
        <v>38603</v>
      </c>
      <c r="F21" s="6"/>
      <c r="G21" s="267">
        <f>TAXREC!E62</f>
        <v>38603</v>
      </c>
      <c r="H21" s="151"/>
    </row>
    <row r="22" spans="1:8" ht="12.75">
      <c r="A22" s="158" t="s">
        <v>263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262</v>
      </c>
      <c r="B23" s="127">
        <v>4</v>
      </c>
      <c r="C23" s="261"/>
      <c r="D23" s="18"/>
      <c r="E23" s="267">
        <f>G23-C23</f>
        <v>0</v>
      </c>
      <c r="F23" s="6"/>
      <c r="G23" s="267">
        <f>TAXREC!E64</f>
        <v>0</v>
      </c>
      <c r="H23" s="151"/>
    </row>
    <row r="24" spans="1:8" ht="12.75">
      <c r="A24" s="158" t="s">
        <v>264</v>
      </c>
      <c r="B24" s="127">
        <v>5</v>
      </c>
      <c r="C24" s="261"/>
      <c r="D24" s="18"/>
      <c r="E24" s="267">
        <f>G24-C24</f>
        <v>0</v>
      </c>
      <c r="F24" s="6"/>
      <c r="G24" s="267">
        <f>TAXREC!E65</f>
        <v>0</v>
      </c>
      <c r="H24" s="151"/>
    </row>
    <row r="25" spans="1:8" ht="12.75">
      <c r="A25" s="158" t="s">
        <v>53</v>
      </c>
      <c r="B25" s="127"/>
      <c r="C25" s="105"/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159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158</v>
      </c>
      <c r="B28" s="127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1"/>
    </row>
    <row r="29" spans="1:8" ht="12.75">
      <c r="A29" s="158" t="s">
        <v>157</v>
      </c>
      <c r="B29" s="127">
        <v>6</v>
      </c>
      <c r="C29" s="261"/>
      <c r="D29" s="18"/>
      <c r="E29" s="267">
        <f>G29-C29</f>
        <v>1218</v>
      </c>
      <c r="F29" s="6"/>
      <c r="G29" s="267">
        <f>TAXREC!E68</f>
        <v>1218</v>
      </c>
      <c r="H29" s="151"/>
    </row>
    <row r="30" spans="1:8" ht="15.75">
      <c r="A30" s="482" t="s">
        <v>394</v>
      </c>
      <c r="B30" s="127"/>
      <c r="C30" s="259"/>
      <c r="D30" s="18"/>
      <c r="E30" s="267">
        <f>G30-C30</f>
        <v>31454</v>
      </c>
      <c r="F30" s="6"/>
      <c r="G30" s="267">
        <f>TAXREC!E66</f>
        <v>31454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341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1">
        <v>453968</v>
      </c>
      <c r="D33" s="132"/>
      <c r="E33" s="267">
        <f aca="true" t="shared" si="0" ref="E33:E42">G33-C33</f>
        <v>152023</v>
      </c>
      <c r="F33" s="6"/>
      <c r="G33" s="267">
        <f>TAXREC!E97+TAXREC!E98</f>
        <v>605991</v>
      </c>
      <c r="H33" s="151"/>
    </row>
    <row r="34" spans="1:8" ht="12.75">
      <c r="A34" s="158" t="s">
        <v>57</v>
      </c>
      <c r="B34" s="127">
        <v>8</v>
      </c>
      <c r="C34" s="261"/>
      <c r="D34" s="132"/>
      <c r="E34" s="267">
        <f t="shared" si="0"/>
        <v>41795</v>
      </c>
      <c r="F34" s="6"/>
      <c r="G34" s="267">
        <f>TAXREC!E99</f>
        <v>41795</v>
      </c>
      <c r="H34" s="151"/>
    </row>
    <row r="35" spans="1:8" ht="12.75">
      <c r="A35" s="158" t="s">
        <v>45</v>
      </c>
      <c r="B35" s="127">
        <v>9</v>
      </c>
      <c r="C35" s="261"/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265</v>
      </c>
      <c r="B36" s="127">
        <v>10</v>
      </c>
      <c r="C36" s="261"/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0">
        <f>REGINFO!D70</f>
        <v>401216.63125</v>
      </c>
      <c r="D37" s="132"/>
      <c r="E37" s="267">
        <f t="shared" si="0"/>
        <v>-19543.631249999977</v>
      </c>
      <c r="F37" s="6"/>
      <c r="G37" s="495">
        <f>TAXREC!E51</f>
        <v>381673</v>
      </c>
      <c r="H37" s="151"/>
    </row>
    <row r="38" spans="1:8" ht="12.75">
      <c r="A38" s="155" t="s">
        <v>261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260</v>
      </c>
      <c r="B39" s="125">
        <v>4</v>
      </c>
      <c r="C39" s="261"/>
      <c r="D39" s="132"/>
      <c r="E39" s="267">
        <f t="shared" si="0"/>
        <v>0</v>
      </c>
      <c r="F39" s="6"/>
      <c r="G39" s="267">
        <f>TAXREC!E105</f>
        <v>0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184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54</v>
      </c>
      <c r="B43" s="127"/>
      <c r="C43" s="105">
        <v>103000</v>
      </c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1"/>
      <c r="D44" s="132"/>
      <c r="E44" s="267">
        <f>G44-C44</f>
        <v>0</v>
      </c>
      <c r="F44" s="6"/>
      <c r="G44" s="251">
        <f>TAXREC!E131</f>
        <v>0</v>
      </c>
      <c r="H44" s="151"/>
    </row>
    <row r="45" spans="1:8" ht="12.75">
      <c r="A45" s="158" t="s">
        <v>153</v>
      </c>
      <c r="B45" s="127">
        <v>12</v>
      </c>
      <c r="C45" s="261"/>
      <c r="D45" s="132"/>
      <c r="E45" s="267">
        <f>G45-C45</f>
        <v>0</v>
      </c>
      <c r="F45" s="6"/>
      <c r="G45" s="251">
        <f>TAXREC!E132</f>
        <v>0</v>
      </c>
      <c r="H45" s="151"/>
    </row>
    <row r="46" spans="1:8" ht="12.75">
      <c r="A46" s="158" t="s">
        <v>155</v>
      </c>
      <c r="B46" s="127">
        <v>12</v>
      </c>
      <c r="C46" s="261"/>
      <c r="D46" s="132"/>
      <c r="E46" s="267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1"/>
      <c r="D47" s="132"/>
      <c r="E47" s="267">
        <f>G47-C47</f>
        <v>335</v>
      </c>
      <c r="F47" s="6"/>
      <c r="G47" s="251">
        <f>TAXREC!E111</f>
        <v>335</v>
      </c>
      <c r="H47" s="151"/>
    </row>
    <row r="48" spans="1:8" ht="15.75">
      <c r="A48" s="482" t="s">
        <v>394</v>
      </c>
      <c r="B48" s="127"/>
      <c r="C48" s="259"/>
      <c r="D48" s="132"/>
      <c r="E48" s="267">
        <f>G48-C48</f>
        <v>578943</v>
      </c>
      <c r="F48" s="6"/>
      <c r="G48" s="251">
        <f>TAXREC!E108</f>
        <v>578943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327</v>
      </c>
      <c r="B50" s="125"/>
      <c r="C50" s="263">
        <f>C16+SUM(C20:C30)-SUM(C33:C48)</f>
        <v>734042.36875</v>
      </c>
      <c r="D50" s="102"/>
      <c r="E50" s="263">
        <f>E16+SUM(E20:E30)-SUM(E33:E48)</f>
        <v>-42232.36875000002</v>
      </c>
      <c r="F50" s="432" t="s">
        <v>366</v>
      </c>
      <c r="G50" s="263">
        <f>G16+SUM(G20:G30)-SUM(G33:G48)</f>
        <v>794810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335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339</v>
      </c>
      <c r="B53" s="127">
        <v>13</v>
      </c>
      <c r="C53" s="262">
        <f>IF($C$50&gt;'Tax Rates'!$E$11,'Tax Rates'!$F$16,IF($C$50&gt;'Tax Rates'!$C$11,'Tax Rates'!$E$16,'Tax Rates'!$C$16))</f>
        <v>0.275</v>
      </c>
      <c r="D53" s="102"/>
      <c r="E53" s="268">
        <f>+G53-C53</f>
        <v>0.0862</v>
      </c>
      <c r="F53" s="114"/>
      <c r="G53" s="473">
        <f>+'Tax Rates'!F52</f>
        <v>0.3612</v>
      </c>
      <c r="H53" s="151"/>
      <c r="I53" s="470" t="s">
        <v>470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4">
        <f>IF(C50&gt;0,C50*C53,0)</f>
        <v>201861.65140625002</v>
      </c>
      <c r="D55" s="102"/>
      <c r="E55" s="267">
        <f>G55-C55</f>
        <v>84714.34859374998</v>
      </c>
      <c r="F55" s="432" t="s">
        <v>367</v>
      </c>
      <c r="G55" s="264">
        <f>TAXREC!E145</f>
        <v>286576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5"/>
      <c r="D58" s="132"/>
      <c r="E58" s="267">
        <f>+G58-C58</f>
        <v>0</v>
      </c>
      <c r="F58" s="432" t="s">
        <v>367</v>
      </c>
      <c r="G58" s="270">
        <f>TAXREC!E146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6">
        <f>+C55-C58</f>
        <v>201861.65140625002</v>
      </c>
      <c r="D60" s="133"/>
      <c r="E60" s="269">
        <f>+E55-E58</f>
        <v>84714.34859374998</v>
      </c>
      <c r="F60" s="432" t="s">
        <v>367</v>
      </c>
      <c r="G60" s="269">
        <f>+G55-G58</f>
        <v>286576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4">
        <f>Ratebase</f>
        <v>11068045</v>
      </c>
      <c r="D66" s="102"/>
      <c r="E66" s="267">
        <f>G66-C66</f>
        <v>-11068045</v>
      </c>
      <c r="F66" s="6"/>
      <c r="G66" s="475"/>
      <c r="H66" s="151"/>
      <c r="I66" s="476" t="s">
        <v>471</v>
      </c>
    </row>
    <row r="67" spans="1:10" ht="12.75">
      <c r="A67" s="152" t="s">
        <v>359</v>
      </c>
      <c r="B67" s="125">
        <v>16</v>
      </c>
      <c r="C67" s="260">
        <f>IF(C66&gt;0,'Tax Rates'!C21,0)</f>
        <v>7500000</v>
      </c>
      <c r="D67" s="102"/>
      <c r="E67" s="267">
        <f>G67-C67</f>
        <v>-544072</v>
      </c>
      <c r="F67" s="6"/>
      <c r="G67" s="267">
        <f>'Tax Rates'!C57</f>
        <v>6955928</v>
      </c>
      <c r="H67" s="151"/>
      <c r="I67" s="476" t="s">
        <v>471</v>
      </c>
      <c r="J67" s="477" t="s">
        <v>472</v>
      </c>
    </row>
    <row r="68" spans="1:8" ht="12.75">
      <c r="A68" s="152" t="s">
        <v>42</v>
      </c>
      <c r="B68" s="125"/>
      <c r="C68" s="264">
        <f>IF((C66-C67)&gt;0,C66-C67,0)</f>
        <v>3568045</v>
      </c>
      <c r="D68" s="102"/>
      <c r="E68" s="267">
        <f>SUM(E66:E67)</f>
        <v>-11612117</v>
      </c>
      <c r="F68" s="114"/>
      <c r="G68" s="264">
        <f>G66-G67</f>
        <v>-6955928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360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316</v>
      </c>
      <c r="B72" s="125"/>
      <c r="C72" s="264">
        <f>IF(C68&gt;0,C68*C70,0)*REGINFO!$B$6/REGINFO!$B$7</f>
        <v>10704.135</v>
      </c>
      <c r="D72" s="101"/>
      <c r="E72" s="267">
        <f>+G72-C72</f>
        <v>-10704.135</v>
      </c>
      <c r="F72" s="478"/>
      <c r="G72" s="264">
        <f>IF(G68&gt;0,G68*G70,0)*REGINFO!$B$6/REGINFO!$B$7</f>
        <v>0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4">
        <f>Ratebase</f>
        <v>11068045</v>
      </c>
      <c r="D75" s="102"/>
      <c r="E75" s="267">
        <f>+G75-C75</f>
        <v>-11068045</v>
      </c>
      <c r="F75" s="6"/>
      <c r="G75" s="475">
        <v>0</v>
      </c>
      <c r="H75" s="151"/>
      <c r="I75" s="476" t="s">
        <v>471</v>
      </c>
    </row>
    <row r="76" spans="1:9" ht="12.75">
      <c r="A76" s="152" t="s">
        <v>359</v>
      </c>
      <c r="B76" s="125">
        <v>19</v>
      </c>
      <c r="C76" s="260">
        <f>IF(C75&gt;0,'Tax Rates'!C22,0)</f>
        <v>50000000</v>
      </c>
      <c r="D76" s="18"/>
      <c r="E76" s="267">
        <f>+G76-C76</f>
        <v>-4005000</v>
      </c>
      <c r="F76" s="6"/>
      <c r="G76" s="267">
        <f>'Tax Rates'!C58</f>
        <v>45995000</v>
      </c>
      <c r="H76" s="151"/>
      <c r="I76" s="476" t="s">
        <v>471</v>
      </c>
    </row>
    <row r="77" spans="1:8" ht="12.75">
      <c r="A77" s="152" t="s">
        <v>42</v>
      </c>
      <c r="B77" s="125"/>
      <c r="C77" s="264">
        <f>IF((C75-C76)&gt;0,C75-C76,0)</f>
        <v>0</v>
      </c>
      <c r="D77" s="19"/>
      <c r="E77" s="267">
        <f>SUM(E75:E76)</f>
        <v>-15073045</v>
      </c>
      <c r="F77" s="114"/>
      <c r="G77" s="264">
        <f>IF(G76&gt;G75,0,G75-G76)</f>
        <v>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360</v>
      </c>
      <c r="B79" s="125">
        <v>20</v>
      </c>
      <c r="C79" s="301">
        <f>'Tax Rates'!C19</f>
        <v>0.00175</v>
      </c>
      <c r="D79" s="102"/>
      <c r="E79" s="268">
        <f>G79-C79</f>
        <v>0.00025</v>
      </c>
      <c r="F79" s="6"/>
      <c r="G79" s="268">
        <f>'Tax Rates'!C55</f>
        <v>0.002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317</v>
      </c>
      <c r="B81" s="125"/>
      <c r="C81" s="264">
        <f>IF(C77&gt;0,C77*C79,0)*REGINFO!$B$6/REGINFO!$B$7</f>
        <v>0</v>
      </c>
      <c r="D81" s="102"/>
      <c r="E81" s="267">
        <f>+G81-C81</f>
        <v>0</v>
      </c>
      <c r="F81" s="6"/>
      <c r="G81" s="264">
        <f>G77*G79*B9/B10</f>
        <v>0</v>
      </c>
      <c r="H81" s="151"/>
    </row>
    <row r="82" spans="1:8" ht="12.75">
      <c r="A82" s="152" t="s">
        <v>318</v>
      </c>
      <c r="B82" s="125">
        <v>21</v>
      </c>
      <c r="C82" s="300">
        <f>IF(C77&gt;0,IF(C60&gt;0,C50*'Tax Rates'!C20,0),0)</f>
        <v>0</v>
      </c>
      <c r="D82" s="102"/>
      <c r="E82" s="267">
        <f>+G82-C82</f>
        <v>0</v>
      </c>
      <c r="F82" s="6"/>
      <c r="G82" s="300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4">
        <f>C81-C82</f>
        <v>0</v>
      </c>
      <c r="D84" s="16"/>
      <c r="E84" s="267">
        <f>E81-E82</f>
        <v>0</v>
      </c>
      <c r="F84" s="103"/>
      <c r="G84" s="264">
        <f>G81-G82</f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226</v>
      </c>
      <c r="B88" s="125"/>
      <c r="C88" s="262">
        <f>IF($C$50&gt;'Tax Rates'!$E$11,'Tax Rates'!$F$16,IF(AND($C$50&gt;='Tax Rates'!$C$11,$C$50&lt;='Tax Rates'!E11),'Tax Rates'!$E$16,'Tax Rates'!$C$16))</f>
        <v>0.275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368</v>
      </c>
      <c r="B90" s="127">
        <v>22</v>
      </c>
      <c r="C90" s="264">
        <f>C60/(1-C88)</f>
        <v>278429.86400862073</v>
      </c>
      <c r="D90" s="20"/>
      <c r="E90" s="139"/>
      <c r="F90" s="431" t="s">
        <v>492</v>
      </c>
      <c r="G90" s="270">
        <f>TAXREC!E157</f>
        <v>286576</v>
      </c>
      <c r="H90" s="151"/>
    </row>
    <row r="91" spans="1:8" ht="12.75">
      <c r="A91" s="158" t="s">
        <v>369</v>
      </c>
      <c r="B91" s="127">
        <v>23</v>
      </c>
      <c r="C91" s="264">
        <f>C84/(1-C88)</f>
        <v>0</v>
      </c>
      <c r="D91" s="20"/>
      <c r="E91" s="139"/>
      <c r="F91" s="431" t="s">
        <v>492</v>
      </c>
      <c r="G91" s="270">
        <f>TAXREC!E159</f>
        <v>0</v>
      </c>
      <c r="H91" s="151"/>
    </row>
    <row r="92" spans="1:8" ht="12.75">
      <c r="A92" s="158" t="s">
        <v>347</v>
      </c>
      <c r="B92" s="127">
        <v>24</v>
      </c>
      <c r="C92" s="264">
        <f>C72</f>
        <v>10704.135</v>
      </c>
      <c r="D92" s="20"/>
      <c r="E92" s="139"/>
      <c r="F92" s="431" t="s">
        <v>492</v>
      </c>
      <c r="G92" s="270">
        <f>TAXREC!E158</f>
        <v>30464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493</v>
      </c>
      <c r="B95" s="125">
        <v>25</v>
      </c>
      <c r="C95" s="269">
        <f>SUM(C90:C93)</f>
        <v>289133.99900862074</v>
      </c>
      <c r="D95" s="6"/>
      <c r="E95" s="139"/>
      <c r="F95" s="431" t="s">
        <v>492</v>
      </c>
      <c r="G95" s="414">
        <f>SUM(G90:G94)</f>
        <v>317040</v>
      </c>
      <c r="H95" s="164"/>
    </row>
    <row r="96" spans="1:8" ht="12.75">
      <c r="A96" s="404" t="s">
        <v>307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304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246</v>
      </c>
      <c r="B100" s="123"/>
      <c r="C100" s="112"/>
      <c r="D100" s="3"/>
      <c r="E100" s="143" t="s">
        <v>248</v>
      </c>
      <c r="F100" s="37"/>
      <c r="G100" s="200"/>
      <c r="H100" s="164"/>
    </row>
    <row r="101" spans="1:8" ht="12.75">
      <c r="A101" s="156" t="s">
        <v>345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38603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362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363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361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41795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477</v>
      </c>
      <c r="B112" s="127">
        <v>11</v>
      </c>
      <c r="C112" s="112"/>
      <c r="D112" s="3"/>
      <c r="E112" s="472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364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365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4">
        <f>SUM(E102:E107)-SUM(E109:E118)</f>
        <v>-3192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494</v>
      </c>
      <c r="B122" s="127"/>
      <c r="C122" s="112"/>
      <c r="D122" s="3" t="s">
        <v>230</v>
      </c>
      <c r="E122" s="469">
        <f>+'Tax Rates'!F52</f>
        <v>0.3612</v>
      </c>
      <c r="F122" s="470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245</v>
      </c>
      <c r="B124" s="127"/>
      <c r="C124" s="112"/>
      <c r="D124" s="3" t="s">
        <v>189</v>
      </c>
      <c r="E124" s="264">
        <f>E120*E122</f>
        <v>-1152.9504000000002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4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4">
        <f>E124-E126</f>
        <v>-1152.9504000000002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2">
        <v>0.35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351</v>
      </c>
      <c r="B132" s="130"/>
      <c r="C132" s="112"/>
      <c r="D132" s="3"/>
      <c r="E132" s="486">
        <f>E128/(1-E130)</f>
        <v>-1773.7698461538464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354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234</v>
      </c>
      <c r="B136" s="130"/>
      <c r="C136" s="112"/>
      <c r="D136" s="118" t="s">
        <v>189</v>
      </c>
      <c r="E136" s="302">
        <f>C50</f>
        <v>734042.36875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236</v>
      </c>
      <c r="B138" s="130"/>
      <c r="C138" s="112"/>
      <c r="D138" s="119" t="s">
        <v>230</v>
      </c>
      <c r="E138" s="312">
        <f>E122</f>
        <v>0.3612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228</v>
      </c>
      <c r="B140" s="130"/>
      <c r="C140" s="112"/>
      <c r="D140" s="118" t="s">
        <v>189</v>
      </c>
      <c r="E140" s="303">
        <f>IF(E136&gt;0,E136*E138,0)</f>
        <v>265136.10359250003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237</v>
      </c>
      <c r="B142" s="130"/>
      <c r="C142" s="112"/>
      <c r="D142" s="118" t="s">
        <v>188</v>
      </c>
      <c r="E142" s="304">
        <f>TAXREC!E146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229</v>
      </c>
      <c r="B144" s="130"/>
      <c r="C144" s="112"/>
      <c r="D144" s="119" t="s">
        <v>189</v>
      </c>
      <c r="E144" s="302">
        <f>E140-E142</f>
        <v>265136.10359250003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238</v>
      </c>
      <c r="B146" s="130"/>
      <c r="C146" s="112"/>
      <c r="D146" s="118" t="s">
        <v>188</v>
      </c>
      <c r="E146" s="302">
        <f>C60</f>
        <v>201861.65140625002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231</v>
      </c>
      <c r="B148" s="130"/>
      <c r="C148" s="112"/>
      <c r="D148" s="118" t="s">
        <v>189</v>
      </c>
      <c r="E148" s="302">
        <f>E144-E146</f>
        <v>63274.45218625001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7" t="s">
        <v>20</v>
      </c>
      <c r="B150" s="130"/>
      <c r="C150" s="112"/>
      <c r="D150" s="119"/>
      <c r="E150" s="481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2">
        <f>C66</f>
        <v>11068045</v>
      </c>
      <c r="F151" s="37"/>
      <c r="G151" s="201"/>
      <c r="H151" s="164"/>
    </row>
    <row r="152" spans="1:8" ht="12.75">
      <c r="A152" s="171" t="s">
        <v>357</v>
      </c>
      <c r="B152" s="130"/>
      <c r="C152" s="112"/>
      <c r="D152" s="118" t="s">
        <v>188</v>
      </c>
      <c r="E152" s="305">
        <f>IF(E151&gt;0,'Tax Rates'!C39,0)</f>
        <v>7500000</v>
      </c>
      <c r="F152" s="37"/>
      <c r="G152" s="201"/>
      <c r="H152" s="164"/>
    </row>
    <row r="153" spans="1:8" ht="12.75">
      <c r="A153" s="171" t="s">
        <v>232</v>
      </c>
      <c r="B153" s="130"/>
      <c r="C153" s="112"/>
      <c r="D153" s="118" t="s">
        <v>189</v>
      </c>
      <c r="E153" s="302">
        <f>E151-E152</f>
        <v>3568045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358</v>
      </c>
      <c r="B155" s="130"/>
      <c r="C155" s="112"/>
      <c r="D155" s="119" t="s">
        <v>230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233</v>
      </c>
      <c r="B157" s="130"/>
      <c r="C157" s="112"/>
      <c r="D157" s="119" t="s">
        <v>189</v>
      </c>
      <c r="E157" s="302">
        <f>IF(E153&gt;0,E153*E155*B9/B10,0)</f>
        <v>10704.135</v>
      </c>
      <c r="F157" s="37"/>
      <c r="G157" s="201"/>
      <c r="H157" s="164"/>
    </row>
    <row r="158" spans="1:8" ht="25.5">
      <c r="A158" s="171" t="s">
        <v>308</v>
      </c>
      <c r="B158" s="130"/>
      <c r="C158" s="112"/>
      <c r="D158" s="118" t="s">
        <v>188</v>
      </c>
      <c r="E158" s="305">
        <f>C72</f>
        <v>10704.135</v>
      </c>
      <c r="F158" s="37"/>
      <c r="G158" s="201"/>
      <c r="H158" s="164"/>
    </row>
    <row r="159" spans="1:8" ht="12.75" customHeight="1">
      <c r="A159" s="172" t="s">
        <v>243</v>
      </c>
      <c r="B159" s="130"/>
      <c r="C159" s="112"/>
      <c r="D159" s="118" t="s">
        <v>189</v>
      </c>
      <c r="E159" s="474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7" t="s">
        <v>235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11068045</v>
      </c>
      <c r="F162" s="37"/>
      <c r="G162" s="201"/>
      <c r="H162" s="164"/>
    </row>
    <row r="163" spans="1:8" ht="12.75">
      <c r="A163" s="171" t="s">
        <v>356</v>
      </c>
      <c r="B163" s="130"/>
      <c r="C163" s="112"/>
      <c r="D163" s="118" t="s">
        <v>188</v>
      </c>
      <c r="E163" s="305">
        <f>IF(E162&gt;0,'Tax Rates'!C40,0)</f>
        <v>50000000</v>
      </c>
      <c r="F163" s="37"/>
      <c r="G163" s="201"/>
      <c r="H163" s="164"/>
    </row>
    <row r="164" spans="1:8" ht="12.75">
      <c r="A164" s="171" t="s">
        <v>239</v>
      </c>
      <c r="B164" s="130"/>
      <c r="C164" s="112"/>
      <c r="D164" s="119" t="s">
        <v>189</v>
      </c>
      <c r="E164" s="302">
        <f>E162-E163</f>
        <v>-38931955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309</v>
      </c>
      <c r="B166" s="130"/>
      <c r="C166" s="112"/>
      <c r="D166" s="119"/>
      <c r="E166" s="306">
        <f>'Tax Rates'!C55</f>
        <v>0.002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240</v>
      </c>
      <c r="B168" s="130"/>
      <c r="C168" s="112"/>
      <c r="D168" s="119"/>
      <c r="E168" s="302">
        <f>IF(E164&gt;0,E164*E166*B9/B10,0)</f>
        <v>0</v>
      </c>
      <c r="F168" s="37"/>
      <c r="G168" s="201"/>
      <c r="H168" s="164"/>
    </row>
    <row r="169" spans="1:8" ht="12.75">
      <c r="A169" s="171" t="s">
        <v>319</v>
      </c>
      <c r="B169" s="130"/>
      <c r="C169" s="112"/>
      <c r="D169" s="118" t="s">
        <v>188</v>
      </c>
      <c r="E169" s="307">
        <f>IF(E164&gt;0,IF(E144&gt;0,E136*'Tax Rates'!C56,0),0)</f>
        <v>0</v>
      </c>
      <c r="F169" s="37"/>
      <c r="G169" s="201"/>
      <c r="H169" s="164"/>
    </row>
    <row r="170" spans="1:8" ht="12.75">
      <c r="A170" s="171" t="s">
        <v>241</v>
      </c>
      <c r="B170" s="130"/>
      <c r="C170" s="112"/>
      <c r="D170" s="119" t="s">
        <v>189</v>
      </c>
      <c r="E170" s="302">
        <f>E168-E169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5" t="s">
        <v>346</v>
      </c>
      <c r="B172" s="130"/>
      <c r="C172" s="112"/>
      <c r="D172" s="118" t="s">
        <v>188</v>
      </c>
      <c r="E172" s="305">
        <f>C84</f>
        <v>0</v>
      </c>
      <c r="F172" s="37"/>
      <c r="G172" s="201"/>
      <c r="H172" s="164"/>
    </row>
    <row r="173" spans="1:8" ht="12.75">
      <c r="A173" s="155" t="s">
        <v>244</v>
      </c>
      <c r="B173" s="130"/>
      <c r="C173" s="112"/>
      <c r="D173" s="119" t="s">
        <v>189</v>
      </c>
      <c r="E173" s="474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344</v>
      </c>
      <c r="B175" s="130"/>
      <c r="C175" s="112"/>
      <c r="D175" s="119"/>
      <c r="E175" s="469">
        <f>E130</f>
        <v>0.35</v>
      </c>
      <c r="F175" s="470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242</v>
      </c>
      <c r="B177" s="130"/>
      <c r="C177" s="112"/>
      <c r="D177" s="119" t="s">
        <v>187</v>
      </c>
      <c r="E177" s="302">
        <f>E148/(1-E175)</f>
        <v>97345.31105576924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2">
        <f>IF(E164&gt;0,E173/(1-E175),-C91)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2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352</v>
      </c>
      <c r="B181" s="130"/>
      <c r="C181" s="112"/>
      <c r="D181" s="119" t="s">
        <v>189</v>
      </c>
      <c r="E181" s="485">
        <f>SUM(E177:E179)</f>
        <v>97345.31105576924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476</v>
      </c>
      <c r="B183" s="130"/>
      <c r="C183" s="112"/>
      <c r="D183" s="119" t="s">
        <v>187</v>
      </c>
      <c r="E183" s="485">
        <f>E132</f>
        <v>-1773.7698461538464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353</v>
      </c>
      <c r="B185" s="130"/>
      <c r="C185" s="112"/>
      <c r="D185" s="119" t="s">
        <v>189</v>
      </c>
      <c r="E185" s="485">
        <f>E181+E183</f>
        <v>95571.54120961539</v>
      </c>
      <c r="F185" s="37"/>
      <c r="G185" s="201"/>
      <c r="H185" s="164"/>
    </row>
    <row r="186" spans="1:8" ht="12.75">
      <c r="A186" s="162" t="s">
        <v>247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223</v>
      </c>
      <c r="B193" s="127"/>
      <c r="C193" s="112"/>
      <c r="D193" s="120"/>
      <c r="E193" s="308">
        <f>REGINFO!D62</f>
        <v>401216.63125</v>
      </c>
      <c r="F193" s="3"/>
      <c r="G193" s="123"/>
      <c r="H193" s="164"/>
    </row>
    <row r="194" spans="1:8" ht="12.75">
      <c r="A194" s="155" t="s">
        <v>250</v>
      </c>
      <c r="B194" s="127"/>
      <c r="C194" s="112"/>
      <c r="D194" s="120"/>
      <c r="E194" s="308">
        <f>REGINFO!D66</f>
        <v>195482.51605370693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342</v>
      </c>
      <c r="B196" s="127"/>
      <c r="C196" s="112"/>
      <c r="D196" s="120"/>
      <c r="E196" s="308">
        <f>E193-E194</f>
        <v>205734.11519629305</v>
      </c>
      <c r="F196" s="3"/>
      <c r="G196" s="123"/>
      <c r="H196" s="164"/>
    </row>
    <row r="197" spans="1:8" ht="12.75">
      <c r="A197" s="155" t="s">
        <v>343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256</v>
      </c>
      <c r="B199" s="127"/>
      <c r="C199" s="112"/>
      <c r="D199" s="120"/>
      <c r="E199" s="147"/>
      <c r="F199" s="3"/>
      <c r="G199" s="492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492"/>
      <c r="H200" s="164"/>
    </row>
    <row r="201" spans="1:8" ht="12.75">
      <c r="A201" s="155" t="s">
        <v>251</v>
      </c>
      <c r="B201" s="127"/>
      <c r="C201" s="112"/>
      <c r="D201" s="120"/>
      <c r="E201" s="308">
        <f>G37+G42</f>
        <v>381673</v>
      </c>
      <c r="F201" s="3"/>
      <c r="G201" s="492"/>
      <c r="H201" s="164"/>
    </row>
    <row r="202" spans="1:8" ht="12.75">
      <c r="A202" s="155" t="s">
        <v>496</v>
      </c>
      <c r="B202" s="127"/>
      <c r="C202" s="112"/>
      <c r="D202" s="120"/>
      <c r="E202" s="491"/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381673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478</v>
      </c>
      <c r="B206" s="127"/>
      <c r="C206" s="112"/>
      <c r="D206" s="120"/>
      <c r="E206" s="471">
        <f>IF((E201-E193)&gt;0,E201-E193,0)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224</v>
      </c>
      <c r="B208" s="178"/>
      <c r="C208" s="179"/>
      <c r="D208" s="180"/>
      <c r="E208" s="309">
        <f>+E196-E204</f>
        <v>-175938.88480370695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47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4"/>
  <sheetViews>
    <sheetView zoomScale="75" zoomScaleNormal="75" zoomScalePageLayoutView="0" workbookViewId="0" topLeftCell="A18">
      <selection activeCell="A47" sqref="A47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33.281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EB-2008-0381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  UTILITYNAME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2005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6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488">
        <f>Ratebase*REGINFO!D33*0.0025</f>
        <v>13835.05625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501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9" t="s">
        <v>227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284</v>
      </c>
      <c r="B17" s="20" t="s">
        <v>64</v>
      </c>
      <c r="C17" s="8"/>
      <c r="E17" s="26"/>
      <c r="F17" s="8"/>
    </row>
    <row r="18" spans="1:6" ht="12.75">
      <c r="A18" s="55" t="s">
        <v>257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325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258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222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323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324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273</v>
      </c>
      <c r="B31" s="23" t="s">
        <v>187</v>
      </c>
      <c r="C31" s="285">
        <v>16965467</v>
      </c>
      <c r="D31" s="286"/>
      <c r="E31" s="284">
        <f>C31-D31</f>
        <v>16965467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5">
        <v>3432712</v>
      </c>
      <c r="D32" s="286"/>
      <c r="E32" s="284">
        <f>C32-D32</f>
        <v>3432712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5">
        <v>614745</v>
      </c>
      <c r="D33" s="286"/>
      <c r="E33" s="284">
        <f>C33-D33</f>
        <v>614745</v>
      </c>
      <c r="F33" s="11"/>
      <c r="G33" s="11"/>
      <c r="H33" s="6"/>
      <c r="I33" s="6"/>
    </row>
    <row r="34" spans="1:9" ht="12.75">
      <c r="A34" s="4" t="s">
        <v>225</v>
      </c>
      <c r="B34" s="23" t="s">
        <v>187</v>
      </c>
      <c r="C34" s="285"/>
      <c r="D34" s="286"/>
      <c r="E34" s="284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285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5">
        <v>16965467</v>
      </c>
      <c r="D39" s="286"/>
      <c r="E39" s="284">
        <f>C39-D39</f>
        <v>16965467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5">
        <v>626995</v>
      </c>
      <c r="D40" s="286"/>
      <c r="E40" s="284">
        <f aca="true" t="shared" si="0" ref="E40:E48">C40-D40</f>
        <v>626995</v>
      </c>
      <c r="F40" s="11"/>
      <c r="G40" s="487"/>
      <c r="H40" s="6"/>
      <c r="I40" s="6"/>
    </row>
    <row r="41" spans="1:9" ht="12.75">
      <c r="A41" s="4" t="s">
        <v>274</v>
      </c>
      <c r="B41" s="23" t="s">
        <v>188</v>
      </c>
      <c r="C41" s="285">
        <v>481419</v>
      </c>
      <c r="D41" s="286"/>
      <c r="E41" s="284">
        <f t="shared" si="0"/>
        <v>481419</v>
      </c>
      <c r="F41" s="11"/>
      <c r="G41" s="11"/>
      <c r="H41" s="6"/>
      <c r="I41" s="6"/>
    </row>
    <row r="42" spans="1:9" ht="12.75">
      <c r="A42" s="4" t="s">
        <v>275</v>
      </c>
      <c r="B42" s="23" t="s">
        <v>188</v>
      </c>
      <c r="C42" s="285">
        <v>601125</v>
      </c>
      <c r="D42" s="286"/>
      <c r="E42" s="284">
        <f t="shared" si="0"/>
        <v>601125</v>
      </c>
      <c r="F42" s="11"/>
      <c r="G42" s="11"/>
      <c r="H42" s="6"/>
      <c r="I42" s="6"/>
    </row>
    <row r="43" spans="1:9" ht="12.75">
      <c r="A43" s="4" t="s">
        <v>276</v>
      </c>
      <c r="B43" s="23" t="s">
        <v>188</v>
      </c>
      <c r="C43" s="285">
        <v>646813</v>
      </c>
      <c r="D43" s="286"/>
      <c r="E43" s="284">
        <f t="shared" si="0"/>
        <v>646813</v>
      </c>
      <c r="F43" s="11"/>
      <c r="G43" s="11"/>
      <c r="H43" s="6"/>
      <c r="I43" s="6"/>
    </row>
    <row r="44" spans="1:9" ht="12.75">
      <c r="A44" s="4" t="s">
        <v>277</v>
      </c>
      <c r="B44" s="23" t="s">
        <v>188</v>
      </c>
      <c r="C44" s="285"/>
      <c r="D44" s="286"/>
      <c r="E44" s="284">
        <f t="shared" si="0"/>
        <v>0</v>
      </c>
      <c r="F44" s="11"/>
      <c r="G44" s="11"/>
      <c r="H44" s="6"/>
      <c r="I44" s="6"/>
    </row>
    <row r="45" spans="1:11" ht="12.75">
      <c r="A45" s="4" t="s">
        <v>483</v>
      </c>
      <c r="B45" s="23" t="s">
        <v>188</v>
      </c>
      <c r="C45" s="285"/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512" t="s">
        <v>504</v>
      </c>
      <c r="B46" s="23" t="s">
        <v>188</v>
      </c>
      <c r="C46" s="285">
        <v>5646</v>
      </c>
      <c r="D46" s="286"/>
      <c r="E46" s="284">
        <f t="shared" si="0"/>
        <v>5646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SUM(C31:C35)-SUM(C39:C48)</f>
        <v>1685459</v>
      </c>
      <c r="D50" s="281">
        <f>SUM(D31:D36)-SUM(D39:D49)</f>
        <v>0</v>
      </c>
      <c r="E50" s="281">
        <f>SUM(E31:E35)-SUM(E39:E48)</f>
        <v>1685459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5">
        <f>-5646+387319</f>
        <v>381673</v>
      </c>
      <c r="D51" s="285"/>
      <c r="E51" s="282">
        <f>+C51-D51</f>
        <v>381673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5">
        <v>162000</v>
      </c>
      <c r="D52" s="285"/>
      <c r="E52" s="283">
        <f>+C52-D52</f>
        <v>162000</v>
      </c>
      <c r="F52" s="8"/>
      <c r="G52" s="416"/>
    </row>
    <row r="53" spans="1:6" ht="12.75">
      <c r="A53" s="2" t="s">
        <v>131</v>
      </c>
      <c r="B53" s="8" t="s">
        <v>189</v>
      </c>
      <c r="C53" s="281">
        <f>C50-C51-C52</f>
        <v>1141786</v>
      </c>
      <c r="D53" s="281">
        <f>D50-D51-D52</f>
        <v>0</v>
      </c>
      <c r="E53" s="281">
        <f>E50-E51-E52</f>
        <v>1141786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7">
        <f>C52</f>
        <v>162000</v>
      </c>
      <c r="D59" s="287">
        <f>D52</f>
        <v>0</v>
      </c>
      <c r="E59" s="272">
        <f>+C59-D59</f>
        <v>162000</v>
      </c>
      <c r="F59" s="8"/>
      <c r="G59" s="416"/>
    </row>
    <row r="60" spans="1:6" ht="12.75">
      <c r="A60" s="4" t="s">
        <v>326</v>
      </c>
      <c r="B60" s="8" t="s">
        <v>187</v>
      </c>
      <c r="C60" s="318">
        <v>0</v>
      </c>
      <c r="D60" s="318"/>
      <c r="E60" s="272">
        <f>+C60-D60</f>
        <v>0</v>
      </c>
      <c r="F60" s="8"/>
    </row>
    <row r="61" spans="1:7" ht="12.75">
      <c r="A61" t="s">
        <v>4</v>
      </c>
      <c r="B61" s="8" t="s">
        <v>187</v>
      </c>
      <c r="C61" s="287">
        <f>C43</f>
        <v>646813</v>
      </c>
      <c r="D61" s="287">
        <f>D43</f>
        <v>0</v>
      </c>
      <c r="E61" s="272">
        <f>+C61-D61</f>
        <v>646813</v>
      </c>
      <c r="F61" s="8"/>
      <c r="G61" s="416"/>
    </row>
    <row r="62" spans="1:6" ht="12.75">
      <c r="A62" t="s">
        <v>6</v>
      </c>
      <c r="B62" s="8" t="s">
        <v>187</v>
      </c>
      <c r="C62" s="318">
        <f>5571+33032</f>
        <v>38603</v>
      </c>
      <c r="D62" s="287">
        <v>0</v>
      </c>
      <c r="E62" s="272">
        <f>+C62-D62</f>
        <v>38603</v>
      </c>
      <c r="F62" s="8"/>
    </row>
    <row r="63" spans="1:6" ht="12.75">
      <c r="A63" s="31" t="s">
        <v>278</v>
      </c>
      <c r="B63" s="8" t="s">
        <v>187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187</v>
      </c>
      <c r="C64" s="316">
        <f>'Tax Reserves'!C63</f>
        <v>0</v>
      </c>
      <c r="D64" s="317">
        <f>'Tax Reserves'!D63</f>
        <v>0</v>
      </c>
      <c r="E64" s="272">
        <f>+C64-D64</f>
        <v>0</v>
      </c>
      <c r="F64" s="8"/>
    </row>
    <row r="65" spans="1:6" ht="12.75">
      <c r="A65" t="s">
        <v>443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7" t="s">
        <v>394</v>
      </c>
      <c r="B66" s="8"/>
      <c r="C66" s="447">
        <f>'TAXREC 3 No True-up'!C47</f>
        <v>31454</v>
      </c>
      <c r="D66" s="447">
        <f>'TAXREC 3 No True-up'!D47</f>
        <v>0</v>
      </c>
      <c r="E66" s="272">
        <f>+C66-D66</f>
        <v>31454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2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1218</v>
      </c>
      <c r="D68" s="251">
        <f>'TAXREC 2'!D78</f>
        <v>0</v>
      </c>
      <c r="E68" s="272">
        <f>+C68-D68</f>
        <v>1218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880088</v>
      </c>
      <c r="D70" s="272">
        <f>SUM(D59:D68)</f>
        <v>0</v>
      </c>
      <c r="E70" s="272">
        <f>SUM(E59:E68)</f>
        <v>880088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83">
        <v>0</v>
      </c>
      <c r="D76" s="294"/>
      <c r="E76" s="479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880088</v>
      </c>
      <c r="D82" s="251">
        <f>D70+D80</f>
        <v>0</v>
      </c>
      <c r="E82" s="251">
        <f>E70+E80</f>
        <v>880088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431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4">
        <v>560655</v>
      </c>
      <c r="D97" s="294"/>
      <c r="E97" s="272">
        <f>+C97-D97</f>
        <v>560655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>
        <v>45336</v>
      </c>
      <c r="D98" s="294"/>
      <c r="E98" s="272">
        <f>+C98-D98</f>
        <v>45336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4">
        <v>41795</v>
      </c>
      <c r="D99" s="294"/>
      <c r="E99" s="272">
        <f>+C99-D99</f>
        <v>41795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261</v>
      </c>
      <c r="B104" s="8" t="s">
        <v>188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279</v>
      </c>
      <c r="B105" s="8" t="s">
        <v>188</v>
      </c>
      <c r="C105" s="319">
        <f>'Tax Reserves'!C50</f>
        <v>0</v>
      </c>
      <c r="D105" s="319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7" t="s">
        <v>394</v>
      </c>
      <c r="B108" s="8"/>
      <c r="C108" s="254">
        <f>'TAXREC 3 No True-up'!C73</f>
        <v>578943</v>
      </c>
      <c r="D108" s="254">
        <f>'TAXREC 3 No True-up'!D73</f>
        <v>0</v>
      </c>
      <c r="E108" s="272">
        <f t="shared" si="5"/>
        <v>578943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335</v>
      </c>
      <c r="D111" s="251">
        <f>'TAXREC 2'!D120</f>
        <v>0</v>
      </c>
      <c r="E111" s="251">
        <f>'TAXREC 2'!E120</f>
        <v>335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1227064</v>
      </c>
      <c r="D113" s="251">
        <f>SUM(D97:D111)</f>
        <v>0</v>
      </c>
      <c r="E113" s="251">
        <f>SUM(E97:E111)</f>
        <v>1227064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 aca="true" t="shared" si="6" ref="E115:E120"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/>
      <c r="B116" s="8" t="s">
        <v>188</v>
      </c>
      <c r="C116" s="294"/>
      <c r="D116" s="294"/>
      <c r="E116" s="272">
        <f t="shared" si="6"/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 t="shared" si="6"/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 t="shared" si="6"/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 t="shared" si="6"/>
        <v>0</v>
      </c>
      <c r="F119" s="8"/>
      <c r="G119" s="76"/>
      <c r="H119" s="77"/>
      <c r="I119" s="77"/>
      <c r="J119" s="77"/>
      <c r="K119" s="77"/>
    </row>
    <row r="120" spans="1:11" ht="12.75">
      <c r="A120" s="69" t="s">
        <v>500</v>
      </c>
      <c r="B120" s="8"/>
      <c r="C120" s="294">
        <v>1410</v>
      </c>
      <c r="D120" s="294"/>
      <c r="E120" s="272">
        <f t="shared" si="6"/>
        <v>1410</v>
      </c>
      <c r="F120" s="8"/>
      <c r="G120" s="76"/>
      <c r="H120" s="77"/>
      <c r="I120" s="77"/>
      <c r="J120" s="77"/>
      <c r="K120" s="77"/>
    </row>
    <row r="121" spans="1:11" ht="12.75">
      <c r="A121" s="10" t="s">
        <v>51</v>
      </c>
      <c r="B121" s="8" t="s">
        <v>189</v>
      </c>
      <c r="C121" s="251">
        <f>SUM(C114:C120)</f>
        <v>1410</v>
      </c>
      <c r="D121" s="251">
        <f>SUM(D114:D119)</f>
        <v>0</v>
      </c>
      <c r="E121" s="251">
        <f>SUM(E114:E119)</f>
        <v>0</v>
      </c>
      <c r="F121" s="8"/>
      <c r="G121" s="79"/>
      <c r="H121" s="77"/>
      <c r="I121" s="77"/>
      <c r="J121" s="77"/>
      <c r="K121" s="77"/>
    </row>
    <row r="122" spans="2:11" ht="12.75">
      <c r="B122" s="8"/>
      <c r="C122" s="22"/>
      <c r="D122" s="22"/>
      <c r="E122" s="22"/>
      <c r="F122" s="8"/>
      <c r="G122" s="77"/>
      <c r="H122" s="77"/>
      <c r="I122" s="73"/>
      <c r="J122" s="73"/>
      <c r="K122" s="73"/>
    </row>
    <row r="123" spans="1:11" ht="12.75">
      <c r="A123" s="4" t="s">
        <v>19</v>
      </c>
      <c r="B123" s="8" t="s">
        <v>189</v>
      </c>
      <c r="C123" s="251">
        <f>C113+C121</f>
        <v>1228474</v>
      </c>
      <c r="D123" s="251">
        <f>D113+D121</f>
        <v>0</v>
      </c>
      <c r="E123" s="251">
        <f>+E113+E121</f>
        <v>1227064</v>
      </c>
      <c r="F123" s="8"/>
      <c r="G123" s="45"/>
      <c r="H123" s="45"/>
      <c r="I123" s="45"/>
      <c r="J123" s="45"/>
      <c r="K123" s="45"/>
    </row>
    <row r="124" spans="2:11" ht="12.75">
      <c r="B124" s="8"/>
      <c r="C124" s="22"/>
      <c r="D124" s="22"/>
      <c r="E124" s="22"/>
      <c r="F124" s="8"/>
      <c r="G124" s="45"/>
      <c r="H124" s="45"/>
      <c r="I124" s="45"/>
      <c r="J124" s="45"/>
      <c r="K124" s="45"/>
    </row>
    <row r="125" spans="1:11" ht="12.75">
      <c r="A125" s="291" t="s">
        <v>176</v>
      </c>
      <c r="C125" s="8"/>
      <c r="D125" s="8"/>
      <c r="E125" s="8"/>
      <c r="F125" s="8"/>
      <c r="G125" s="45"/>
      <c r="H125" s="45"/>
      <c r="I125" s="45"/>
      <c r="J125" s="45"/>
      <c r="K125" s="45"/>
    </row>
    <row r="126" spans="1:11" ht="12.75">
      <c r="A126" s="288" t="str">
        <f>IF($E115&gt;$C$13,A115," ")</f>
        <v> </v>
      </c>
      <c r="B126" s="273"/>
      <c r="C126" s="290">
        <f aca="true" t="shared" si="7" ref="C126:E130">IF($E115&gt;$C$13,C115,)</f>
        <v>0</v>
      </c>
      <c r="D126" s="290">
        <f>IF($E115&gt;$C$13,D115,)</f>
        <v>0</v>
      </c>
      <c r="E126" s="290">
        <f>IF($E115&gt;$C$13,E115,)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IF($E116&gt;$C$13,A116," ")</f>
        <v> </v>
      </c>
      <c r="B127" s="273"/>
      <c r="C127" s="290">
        <f t="shared" si="7"/>
        <v>0</v>
      </c>
      <c r="D127" s="290">
        <f>IF($E116&gt;$C$13,D116,)</f>
        <v>0</v>
      </c>
      <c r="E127" s="290">
        <f>IF($E116&gt;$C$13,E116,)</f>
        <v>0</v>
      </c>
      <c r="F127" s="8"/>
      <c r="G127" s="45"/>
      <c r="H127" s="45"/>
      <c r="I127" s="45"/>
      <c r="J127" s="45"/>
      <c r="K127" s="45"/>
    </row>
    <row r="128" spans="1:11" ht="12.75">
      <c r="A128" s="288" t="str">
        <f>IF($E117&gt;$C$13,A117," ")</f>
        <v> </v>
      </c>
      <c r="B128" s="273"/>
      <c r="C128" s="290">
        <f t="shared" si="7"/>
        <v>0</v>
      </c>
      <c r="D128" s="290">
        <f t="shared" si="7"/>
        <v>0</v>
      </c>
      <c r="E128" s="290">
        <f t="shared" si="7"/>
        <v>0</v>
      </c>
      <c r="F128" s="8"/>
      <c r="G128" s="45"/>
      <c r="H128" s="45"/>
      <c r="I128" s="45"/>
      <c r="J128" s="45"/>
      <c r="K128" s="45"/>
    </row>
    <row r="129" spans="1:11" ht="12.75">
      <c r="A129" s="288"/>
      <c r="B129" s="273"/>
      <c r="C129" s="290">
        <f t="shared" si="7"/>
        <v>0</v>
      </c>
      <c r="D129" s="290">
        <f t="shared" si="7"/>
        <v>0</v>
      </c>
      <c r="E129" s="290">
        <f t="shared" si="7"/>
        <v>0</v>
      </c>
      <c r="F129" s="8"/>
      <c r="G129" s="45"/>
      <c r="H129" s="45"/>
      <c r="I129" s="45"/>
      <c r="J129" s="45"/>
      <c r="K129" s="45"/>
    </row>
    <row r="130" spans="1:11" ht="12.75">
      <c r="A130" s="288" t="str">
        <f>IF($E119&gt;$C$13,A119," ")</f>
        <v> </v>
      </c>
      <c r="B130" s="273"/>
      <c r="C130" s="290">
        <f t="shared" si="7"/>
        <v>0</v>
      </c>
      <c r="D130" s="290">
        <f t="shared" si="7"/>
        <v>0</v>
      </c>
      <c r="E130" s="290">
        <f t="shared" si="7"/>
        <v>0</v>
      </c>
      <c r="F130" s="8"/>
      <c r="G130" s="45"/>
      <c r="H130" s="45"/>
      <c r="I130" s="45"/>
      <c r="J130" s="45"/>
      <c r="K130" s="45"/>
    </row>
    <row r="131" spans="1:11" ht="12.75">
      <c r="A131" s="289" t="s">
        <v>199</v>
      </c>
      <c r="B131" s="273"/>
      <c r="C131" s="251">
        <f>SUM(C126:C130)</f>
        <v>0</v>
      </c>
      <c r="D131" s="251">
        <f>SUM(D126:D130)</f>
        <v>0</v>
      </c>
      <c r="E131" s="251">
        <f>SUM(E126:E130)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200</v>
      </c>
      <c r="B132" s="273"/>
      <c r="C132" s="251">
        <f>C121-C131</f>
        <v>1410</v>
      </c>
      <c r="D132" s="251">
        <f>D121-D131</f>
        <v>0</v>
      </c>
      <c r="E132" s="251">
        <f>E121-E131</f>
        <v>0</v>
      </c>
      <c r="F132" s="8"/>
      <c r="G132" s="45"/>
      <c r="H132" s="45"/>
      <c r="I132" s="45"/>
      <c r="J132" s="45"/>
      <c r="K132" s="45"/>
    </row>
    <row r="133" spans="1:11" ht="12.75">
      <c r="A133" s="273" t="s">
        <v>198</v>
      </c>
      <c r="B133" s="273"/>
      <c r="C133" s="251">
        <f>C131+C132</f>
        <v>1410</v>
      </c>
      <c r="D133" s="251">
        <f>D131+D132</f>
        <v>0</v>
      </c>
      <c r="E133" s="251">
        <f>E131+E132</f>
        <v>0</v>
      </c>
      <c r="F133" s="8"/>
      <c r="G133" s="45"/>
      <c r="H133" s="45"/>
      <c r="I133" s="45"/>
      <c r="J133" s="45"/>
      <c r="K133" s="45"/>
    </row>
    <row r="134" spans="2:11" ht="12.75">
      <c r="B134" s="8"/>
      <c r="C134" s="22"/>
      <c r="D134" s="22"/>
      <c r="E134" s="22"/>
      <c r="F134" s="8"/>
      <c r="G134" s="45"/>
      <c r="H134" s="45"/>
      <c r="I134" s="45"/>
      <c r="J134" s="45"/>
      <c r="K134" s="45"/>
    </row>
    <row r="135" spans="1:11" ht="12.75">
      <c r="A135" s="13" t="s">
        <v>81</v>
      </c>
      <c r="B135" s="8" t="s">
        <v>189</v>
      </c>
      <c r="C135" s="251">
        <f>+C53+C82-C123</f>
        <v>793400</v>
      </c>
      <c r="D135" s="251">
        <f>D53+D82-D123</f>
        <v>0</v>
      </c>
      <c r="E135" s="251">
        <f>E53+E82-E123</f>
        <v>794810</v>
      </c>
      <c r="F135" s="8"/>
      <c r="G135" s="45"/>
      <c r="H135" s="45"/>
      <c r="I135" s="45"/>
      <c r="J135" s="45"/>
      <c r="K135" s="45"/>
    </row>
    <row r="136" spans="1:11" ht="12.75">
      <c r="A136" s="12" t="s">
        <v>46</v>
      </c>
      <c r="B136" s="8"/>
      <c r="D136" s="30"/>
      <c r="E136" s="30"/>
      <c r="F136" s="8"/>
      <c r="G136" s="45"/>
      <c r="H136" s="45"/>
      <c r="I136" s="45"/>
      <c r="J136" s="45"/>
      <c r="K136" s="45"/>
    </row>
    <row r="137" spans="1:11" ht="12.75">
      <c r="A137" s="12" t="s">
        <v>374</v>
      </c>
      <c r="B137" s="8" t="s">
        <v>188</v>
      </c>
      <c r="C137" s="294">
        <v>0</v>
      </c>
      <c r="D137" s="294"/>
      <c r="E137" s="26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 t="s">
        <v>375</v>
      </c>
      <c r="B138" s="8" t="s">
        <v>188</v>
      </c>
      <c r="C138" s="310"/>
      <c r="D138" s="310"/>
      <c r="E138" s="39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/>
      <c r="B139" s="8"/>
      <c r="C139" s="310"/>
      <c r="D139" s="310"/>
      <c r="E139" s="394">
        <f>C139-D139</f>
        <v>0</v>
      </c>
      <c r="F139" s="8"/>
      <c r="G139" s="45"/>
      <c r="H139" s="45"/>
      <c r="I139" s="45"/>
      <c r="J139" s="45"/>
      <c r="K139" s="45"/>
    </row>
    <row r="140" spans="1:11" ht="12.75">
      <c r="A140" s="46" t="s">
        <v>97</v>
      </c>
      <c r="B140" s="8" t="s">
        <v>189</v>
      </c>
      <c r="C140" s="252">
        <f>C135-C137-C138-C139</f>
        <v>793400</v>
      </c>
      <c r="D140" s="252">
        <f>D135-D137-D138-D139</f>
        <v>0</v>
      </c>
      <c r="E140" s="252">
        <f>E135-E137-E138-E139</f>
        <v>794810</v>
      </c>
      <c r="F140" s="8"/>
      <c r="G140" s="45"/>
      <c r="H140" s="45"/>
      <c r="I140" s="45"/>
      <c r="J140" s="45"/>
      <c r="K140" s="45"/>
    </row>
    <row r="141" spans="1:11" ht="12.75">
      <c r="A141" s="46"/>
      <c r="B141" s="8"/>
      <c r="C141" s="88"/>
      <c r="D141" s="88"/>
      <c r="E141" s="88"/>
      <c r="F141" s="8"/>
      <c r="G141" s="45"/>
      <c r="H141" s="45"/>
      <c r="I141" s="45"/>
      <c r="J141" s="45"/>
      <c r="K141" s="45"/>
    </row>
    <row r="142" spans="1:11" ht="12.75">
      <c r="A142" s="320" t="s">
        <v>305</v>
      </c>
      <c r="B142" s="8"/>
      <c r="C142" s="5"/>
      <c r="D142" s="5"/>
      <c r="E142" s="5"/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8">
        <v>175500</v>
      </c>
      <c r="D143" s="298">
        <f>D140*C150</f>
        <v>0</v>
      </c>
      <c r="E143" s="252">
        <f>C143-D143</f>
        <v>175500</v>
      </c>
      <c r="F143" s="8"/>
      <c r="G143" s="45"/>
      <c r="H143" s="45"/>
      <c r="I143" s="45"/>
      <c r="J143" s="45"/>
      <c r="K143" s="45"/>
    </row>
    <row r="144" spans="1:11" ht="12.75">
      <c r="A144" s="46" t="s">
        <v>321</v>
      </c>
      <c r="B144" s="8" t="s">
        <v>187</v>
      </c>
      <c r="C144" s="298">
        <v>111076</v>
      </c>
      <c r="D144" s="298">
        <f>D140*C151</f>
        <v>0</v>
      </c>
      <c r="E144" s="292">
        <f>C144-D144</f>
        <v>111076</v>
      </c>
      <c r="F144" s="8"/>
      <c r="G144" s="45"/>
      <c r="H144" s="45"/>
      <c r="I144" s="45"/>
      <c r="J144" s="45"/>
      <c r="K144" s="45"/>
    </row>
    <row r="145" spans="1:11" ht="12.75">
      <c r="A145" s="46" t="s">
        <v>173</v>
      </c>
      <c r="B145" s="8" t="s">
        <v>189</v>
      </c>
      <c r="C145" s="252">
        <f>C143+C144</f>
        <v>286576</v>
      </c>
      <c r="D145" s="252">
        <f>D143+D144</f>
        <v>0</v>
      </c>
      <c r="E145" s="252">
        <f>E143+E144</f>
        <v>286576</v>
      </c>
      <c r="F145" s="8"/>
      <c r="G145" s="45"/>
      <c r="H145" s="45"/>
      <c r="I145" s="45"/>
      <c r="J145" s="45"/>
      <c r="K145" s="45"/>
    </row>
    <row r="146" spans="1:11" ht="12.75">
      <c r="A146" s="46" t="s">
        <v>333</v>
      </c>
      <c r="B146" s="8" t="s">
        <v>188</v>
      </c>
      <c r="C146" s="298">
        <v>0</v>
      </c>
      <c r="D146" s="298"/>
      <c r="E146" s="293">
        <f>C146-D146</f>
        <v>0</v>
      </c>
      <c r="F146" s="8"/>
      <c r="G146" s="45"/>
      <c r="H146" s="45"/>
      <c r="I146" s="45"/>
      <c r="J146" s="45"/>
      <c r="K146" s="45"/>
    </row>
    <row r="147" spans="1:11" ht="12.75">
      <c r="A147" s="320" t="s">
        <v>99</v>
      </c>
      <c r="B147" s="8" t="s">
        <v>189</v>
      </c>
      <c r="C147" s="252">
        <f>C145-C146</f>
        <v>286576</v>
      </c>
      <c r="D147" s="252">
        <f>D145-D146</f>
        <v>0</v>
      </c>
      <c r="E147" s="252">
        <f>E145-E146</f>
        <v>286576</v>
      </c>
      <c r="F147" s="8"/>
      <c r="G147" s="45"/>
      <c r="H147" s="45"/>
      <c r="I147" s="45"/>
      <c r="J147" s="45"/>
      <c r="K147" s="45"/>
    </row>
    <row r="148" spans="2:11" ht="12.75"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320" t="s">
        <v>305</v>
      </c>
      <c r="B149" s="8"/>
      <c r="C149" s="5"/>
      <c r="D149" s="5"/>
      <c r="E149" s="5"/>
      <c r="F149" s="8"/>
      <c r="G149" s="45"/>
      <c r="H149" s="45"/>
      <c r="I149" s="45"/>
      <c r="J149" s="45"/>
      <c r="K149" s="45"/>
    </row>
    <row r="150" spans="1:11" ht="12.75">
      <c r="A150" s="46" t="s">
        <v>328</v>
      </c>
      <c r="B150" s="8"/>
      <c r="C150" s="405">
        <f>C143/C140</f>
        <v>0.22119989916813712</v>
      </c>
      <c r="D150" s="5"/>
      <c r="E150" s="406">
        <f>C150</f>
        <v>0.22119989916813712</v>
      </c>
      <c r="F150" s="8"/>
      <c r="G150" s="484" t="s">
        <v>467</v>
      </c>
      <c r="H150" s="45"/>
      <c r="I150" s="45"/>
      <c r="J150" s="45"/>
      <c r="K150" s="45"/>
    </row>
    <row r="151" spans="1:11" ht="12.75">
      <c r="A151" s="46" t="s">
        <v>329</v>
      </c>
      <c r="B151" s="8"/>
      <c r="C151" s="405">
        <f>C144/C140</f>
        <v>0.14</v>
      </c>
      <c r="D151" s="5"/>
      <c r="E151" s="406">
        <f>C151</f>
        <v>0.14</v>
      </c>
      <c r="F151" s="8"/>
      <c r="G151" s="484" t="s">
        <v>468</v>
      </c>
      <c r="H151" s="45"/>
      <c r="I151" s="45"/>
      <c r="J151" s="45"/>
      <c r="K151" s="45"/>
    </row>
    <row r="152" spans="1:11" ht="12.75">
      <c r="A152" t="s">
        <v>330</v>
      </c>
      <c r="B152" s="8"/>
      <c r="C152" s="406">
        <f>SUM(C150:C151)</f>
        <v>0.3611998991681371</v>
      </c>
      <c r="D152" s="5"/>
      <c r="E152" s="406">
        <f>SUM(E150:E151)</f>
        <v>0.3611998991681371</v>
      </c>
      <c r="F152" s="8"/>
      <c r="G152" s="45"/>
      <c r="H152" s="45"/>
      <c r="I152" s="45"/>
      <c r="J152" s="45"/>
      <c r="K152" s="45"/>
    </row>
    <row r="153" spans="2:11" ht="12.75">
      <c r="B153" s="8"/>
      <c r="C153" s="5"/>
      <c r="D153" s="5"/>
      <c r="E153" s="5"/>
      <c r="F153" s="8"/>
      <c r="G153" s="45"/>
      <c r="H153" s="45"/>
      <c r="I153" s="45"/>
      <c r="J153" s="45"/>
      <c r="K153" s="45"/>
    </row>
    <row r="154" spans="1:2" ht="12.75">
      <c r="A154" s="14" t="s">
        <v>355</v>
      </c>
      <c r="B154" s="8"/>
    </row>
    <row r="155" spans="1:2" ht="12.75">
      <c r="A155" s="14"/>
      <c r="B155" s="8"/>
    </row>
    <row r="156" spans="1:2" ht="12.75">
      <c r="A156" s="2" t="s">
        <v>475</v>
      </c>
      <c r="B156" s="8"/>
    </row>
    <row r="157" spans="1:5" ht="12.75">
      <c r="A157" t="s">
        <v>219</v>
      </c>
      <c r="B157" s="86" t="s">
        <v>187</v>
      </c>
      <c r="C157" s="251">
        <f>C147</f>
        <v>286576</v>
      </c>
      <c r="D157" s="251">
        <f>D147</f>
        <v>0</v>
      </c>
      <c r="E157" s="251">
        <f>E147</f>
        <v>286576</v>
      </c>
    </row>
    <row r="158" spans="1:5" ht="12.75">
      <c r="A158" t="s">
        <v>20</v>
      </c>
      <c r="B158" s="86" t="s">
        <v>187</v>
      </c>
      <c r="C158" s="480">
        <v>30464</v>
      </c>
      <c r="D158" s="251"/>
      <c r="E158" s="251">
        <f>C158+D158</f>
        <v>30464</v>
      </c>
    </row>
    <row r="159" spans="1:5" ht="12.75">
      <c r="A159" t="s">
        <v>218</v>
      </c>
      <c r="B159" s="86" t="s">
        <v>187</v>
      </c>
      <c r="C159" s="480">
        <v>0</v>
      </c>
      <c r="D159" s="251"/>
      <c r="E159" s="251">
        <f>C159+D159</f>
        <v>0</v>
      </c>
    </row>
    <row r="160" ht="12.75">
      <c r="B160" s="8"/>
    </row>
    <row r="161" spans="1:5" ht="12.75">
      <c r="A161" s="2" t="s">
        <v>302</v>
      </c>
      <c r="B161" s="66" t="s">
        <v>189</v>
      </c>
      <c r="C161" s="251">
        <f>C157+C158+C159</f>
        <v>317040</v>
      </c>
      <c r="D161" s="251">
        <f>D157+D158+D159</f>
        <v>0</v>
      </c>
      <c r="E161" s="251">
        <f>E157+E158+E159</f>
        <v>317040</v>
      </c>
    </row>
    <row r="162" ht="12.75">
      <c r="C162" s="85"/>
    </row>
    <row r="163" ht="12.75">
      <c r="C163" s="8"/>
    </row>
    <row r="164" ht="12.75">
      <c r="E164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65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9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3"/>
  <sheetViews>
    <sheetView zoomScale="75" zoomScaleNormal="75" zoomScalePageLayoutView="0" workbookViewId="0" topLeftCell="A34">
      <selection activeCell="C60" sqref="C60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EB-2008-0381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300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301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  UTILITYNAME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2005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272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7" ht="12.75">
      <c r="A14" s="61" t="s">
        <v>280</v>
      </c>
      <c r="B14" s="61"/>
      <c r="C14" s="294"/>
      <c r="D14" s="294"/>
      <c r="E14" s="251">
        <f aca="true" t="shared" si="0" ref="E14:E21">C14-D14</f>
        <v>0</v>
      </c>
      <c r="G14">
        <v>70004</v>
      </c>
    </row>
    <row r="15" spans="1:5" ht="12.75">
      <c r="A15" s="61" t="s">
        <v>281</v>
      </c>
      <c r="B15" s="61"/>
      <c r="C15" s="294"/>
      <c r="D15" s="294"/>
      <c r="E15" s="251">
        <f t="shared" si="0"/>
        <v>0</v>
      </c>
    </row>
    <row r="16" spans="1:5" ht="12.75">
      <c r="A16" s="61" t="s">
        <v>282</v>
      </c>
      <c r="B16" s="61"/>
      <c r="C16" s="294"/>
      <c r="D16" s="294"/>
      <c r="E16" s="251">
        <f t="shared" si="0"/>
        <v>0</v>
      </c>
    </row>
    <row r="17" spans="1:5" ht="12.75">
      <c r="A17" s="61" t="s">
        <v>283</v>
      </c>
      <c r="B17" s="61"/>
      <c r="C17" s="294"/>
      <c r="D17" s="294"/>
      <c r="E17" s="251">
        <f t="shared" si="0"/>
        <v>0</v>
      </c>
    </row>
    <row r="18" spans="1:5" ht="12.75">
      <c r="A18" s="61" t="s">
        <v>448</v>
      </c>
      <c r="B18" s="61"/>
      <c r="C18" s="294"/>
      <c r="D18" s="294"/>
      <c r="E18" s="251">
        <f t="shared" si="0"/>
        <v>0</v>
      </c>
    </row>
    <row r="19" spans="1:5" ht="12.75">
      <c r="A19" s="61" t="s">
        <v>448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271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7" ht="12.75">
      <c r="A26" s="61" t="s">
        <v>280</v>
      </c>
      <c r="B26" s="61"/>
      <c r="C26" s="294">
        <v>0</v>
      </c>
      <c r="D26" s="294"/>
      <c r="E26" s="251">
        <f aca="true" t="shared" si="1" ref="E26:E33">C26-D26</f>
        <v>0</v>
      </c>
      <c r="G26">
        <v>103537</v>
      </c>
    </row>
    <row r="27" spans="1:5" ht="12.75">
      <c r="A27" s="61" t="s">
        <v>281</v>
      </c>
      <c r="B27" s="61"/>
      <c r="C27" s="294"/>
      <c r="D27" s="294"/>
      <c r="E27" s="251">
        <f t="shared" si="1"/>
        <v>0</v>
      </c>
    </row>
    <row r="28" spans="1:5" ht="12.75">
      <c r="A28" s="61" t="s">
        <v>282</v>
      </c>
      <c r="B28" s="61"/>
      <c r="C28" s="294"/>
      <c r="D28" s="294"/>
      <c r="E28" s="251">
        <f t="shared" si="1"/>
        <v>0</v>
      </c>
    </row>
    <row r="29" spans="1:5" ht="12.75">
      <c r="A29" s="61" t="s">
        <v>283</v>
      </c>
      <c r="B29" s="61"/>
      <c r="C29" s="294"/>
      <c r="D29" s="294"/>
      <c r="E29" s="251">
        <f t="shared" si="1"/>
        <v>0</v>
      </c>
    </row>
    <row r="30" spans="1:5" ht="12.75">
      <c r="A30" s="61" t="s">
        <v>448</v>
      </c>
      <c r="B30" s="61"/>
      <c r="C30" s="294"/>
      <c r="D30" s="294"/>
      <c r="E30" s="251">
        <f t="shared" si="1"/>
        <v>0</v>
      </c>
    </row>
    <row r="31" spans="1:5" ht="12.75">
      <c r="A31" s="61" t="s">
        <v>448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7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  <c r="G35">
        <f>G14-G26</f>
        <v>-33533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270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272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266</v>
      </c>
      <c r="B43" s="61"/>
      <c r="C43" s="294"/>
      <c r="D43" s="294"/>
      <c r="E43" s="251">
        <f t="shared" si="2"/>
        <v>0</v>
      </c>
    </row>
    <row r="44" spans="1:5" ht="12.75">
      <c r="A44" s="61" t="s">
        <v>267</v>
      </c>
      <c r="B44" s="61"/>
      <c r="C44" s="294">
        <v>0</v>
      </c>
      <c r="D44" s="294"/>
      <c r="E44" s="251">
        <f t="shared" si="2"/>
        <v>0</v>
      </c>
    </row>
    <row r="45" spans="1:5" ht="12.75">
      <c r="A45" s="61" t="s">
        <v>268</v>
      </c>
      <c r="B45" s="61"/>
      <c r="C45" s="294"/>
      <c r="D45" s="294"/>
      <c r="E45" s="251">
        <f t="shared" si="2"/>
        <v>0</v>
      </c>
    </row>
    <row r="46" spans="1:5" ht="12.75">
      <c r="A46" s="61" t="s">
        <v>269</v>
      </c>
      <c r="B46" s="61"/>
      <c r="C46" s="294"/>
      <c r="D46" s="294"/>
      <c r="E46" s="251">
        <f t="shared" si="2"/>
        <v>0</v>
      </c>
    </row>
    <row r="47" spans="1:5" ht="12.75">
      <c r="A47" s="61" t="s">
        <v>499</v>
      </c>
      <c r="B47" s="61"/>
      <c r="C47" s="294"/>
      <c r="D47" s="294"/>
      <c r="E47" s="251">
        <f t="shared" si="2"/>
        <v>0</v>
      </c>
    </row>
    <row r="48" spans="1:5" ht="12.75">
      <c r="A48" s="61" t="s">
        <v>448</v>
      </c>
      <c r="B48" s="61"/>
      <c r="C48" s="294"/>
      <c r="D48" s="294"/>
      <c r="E48" s="251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271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266</v>
      </c>
      <c r="B55" s="61"/>
      <c r="C55" s="294"/>
      <c r="D55" s="294"/>
      <c r="E55" s="251">
        <f t="shared" si="3"/>
        <v>0</v>
      </c>
    </row>
    <row r="56" spans="1:5" ht="12.75">
      <c r="A56" s="246" t="s">
        <v>267</v>
      </c>
      <c r="B56" s="61"/>
      <c r="C56" s="294">
        <v>0</v>
      </c>
      <c r="D56" s="294"/>
      <c r="E56" s="251">
        <f t="shared" si="3"/>
        <v>0</v>
      </c>
    </row>
    <row r="57" spans="1:5" ht="12.75">
      <c r="A57" s="246" t="s">
        <v>268</v>
      </c>
      <c r="B57" s="61"/>
      <c r="C57" s="294"/>
      <c r="D57" s="294"/>
      <c r="E57" s="251">
        <f t="shared" si="3"/>
        <v>0</v>
      </c>
    </row>
    <row r="58" spans="1:5" ht="12.75">
      <c r="A58" s="246" t="s">
        <v>269</v>
      </c>
      <c r="B58" s="61"/>
      <c r="C58" s="294"/>
      <c r="D58" s="294"/>
      <c r="E58" s="251">
        <f t="shared" si="3"/>
        <v>0</v>
      </c>
    </row>
    <row r="59" spans="1:5" ht="12.75">
      <c r="A59" s="61" t="s">
        <v>499</v>
      </c>
      <c r="B59" s="61"/>
      <c r="C59" s="294"/>
      <c r="D59" s="294"/>
      <c r="E59" s="251">
        <f t="shared" si="3"/>
        <v>0</v>
      </c>
    </row>
    <row r="60" spans="1:5" ht="12.75">
      <c r="A60" s="61" t="s">
        <v>448</v>
      </c>
      <c r="B60" s="61"/>
      <c r="C60" s="294"/>
      <c r="D60" s="294"/>
      <c r="E60" s="251">
        <f t="shared" si="3"/>
        <v>0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6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70" activePane="bottomRight" state="frozen"/>
      <selection pane="topLeft" activeCell="A5" sqref="A5"/>
      <selection pane="topRight" activeCell="A5" sqref="A5"/>
      <selection pane="bottomLeft" activeCell="A5" sqref="A5"/>
      <selection pane="bottomRight" activeCell="C83" sqref="C8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EB-2008-0381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466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6" t="s">
        <v>465</v>
      </c>
      <c r="B5" s="8"/>
      <c r="C5" s="8" t="s">
        <v>2</v>
      </c>
      <c r="D5" s="8"/>
      <c r="E5" s="8"/>
      <c r="F5" s="8"/>
    </row>
    <row r="6" spans="1:6" ht="12.75">
      <c r="A6" s="416" t="s">
        <v>445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  UTILITYNAME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2005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489">
        <f>TAXREC!C13</f>
        <v>13835.05625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3">
        <f>C17-D17</f>
        <v>0</v>
      </c>
    </row>
    <row r="18" spans="1:5" ht="12.75">
      <c r="A18" s="67" t="s">
        <v>252</v>
      </c>
      <c r="B18" t="s">
        <v>187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/>
      <c r="D19" s="295"/>
      <c r="E19" s="313">
        <f t="shared" si="0"/>
        <v>0</v>
      </c>
    </row>
    <row r="20" spans="1:5" ht="12.75">
      <c r="A20" s="67" t="s">
        <v>449</v>
      </c>
      <c r="B20" t="s">
        <v>187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/>
      <c r="B22" t="s">
        <v>187</v>
      </c>
      <c r="C22" s="295"/>
      <c r="D22" s="295"/>
      <c r="E22" s="313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253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3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3">
        <f t="shared" si="0"/>
        <v>0</v>
      </c>
    </row>
    <row r="36" spans="1:5" ht="12.75">
      <c r="A36" s="67" t="s">
        <v>473</v>
      </c>
      <c r="B36" t="s">
        <v>187</v>
      </c>
      <c r="C36" s="295"/>
      <c r="D36" s="295"/>
      <c r="E36" s="313">
        <f t="shared" si="0"/>
        <v>0</v>
      </c>
    </row>
    <row r="37" spans="1:5" ht="12.75">
      <c r="A37" s="67"/>
      <c r="B37" t="s">
        <v>187</v>
      </c>
      <c r="C37" s="295"/>
      <c r="D37" s="295"/>
      <c r="E37" s="313">
        <f t="shared" si="0"/>
        <v>0</v>
      </c>
    </row>
    <row r="38" spans="2:5" ht="12.75">
      <c r="B38" t="s">
        <v>187</v>
      </c>
      <c r="C38" s="295"/>
      <c r="D38" s="295"/>
      <c r="E38" s="251">
        <f t="shared" si="0"/>
        <v>0</v>
      </c>
    </row>
    <row r="39" spans="2:5" ht="12.75">
      <c r="B39" t="s">
        <v>187</v>
      </c>
      <c r="C39" s="294"/>
      <c r="D39" s="295"/>
      <c r="E39" s="251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1">
        <f t="shared" si="0"/>
        <v>0</v>
      </c>
    </row>
    <row r="41" spans="1:5" ht="12.75">
      <c r="A41" s="497" t="s">
        <v>498</v>
      </c>
      <c r="B41" t="s">
        <v>187</v>
      </c>
      <c r="C41" s="294">
        <v>1218</v>
      </c>
      <c r="D41" s="294"/>
      <c r="E41" s="251">
        <f t="shared" si="0"/>
        <v>1218</v>
      </c>
    </row>
    <row r="42" spans="1:5" ht="12.75">
      <c r="A42" s="67"/>
      <c r="B42" t="s">
        <v>187</v>
      </c>
      <c r="C42" s="294"/>
      <c r="D42" s="294"/>
      <c r="E42" s="251">
        <f t="shared" si="0"/>
        <v>0</v>
      </c>
    </row>
    <row r="43" spans="1:5" ht="12.75">
      <c r="A43" s="67"/>
      <c r="B43" t="s">
        <v>187</v>
      </c>
      <c r="C43" s="294"/>
      <c r="D43" s="294"/>
      <c r="E43" s="251">
        <f t="shared" si="0"/>
        <v>0</v>
      </c>
    </row>
    <row r="44" spans="1:5" ht="12.75">
      <c r="A44" s="67"/>
      <c r="B44" t="s">
        <v>187</v>
      </c>
      <c r="C44" s="294"/>
      <c r="D44" s="294"/>
      <c r="E44" s="251">
        <f t="shared" si="0"/>
        <v>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1">
        <f>SUM(C17:C45)</f>
        <v>1218</v>
      </c>
      <c r="D46" s="251">
        <f>SUM(D17:D45)</f>
        <v>0</v>
      </c>
      <c r="E46" s="251">
        <f>SUM(E17:E45)</f>
        <v>1218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144</v>
      </c>
      <c r="B77" s="273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6" t="s">
        <v>203</v>
      </c>
      <c r="B78" s="277"/>
      <c r="C78" s="315">
        <f>C46-C77</f>
        <v>1218</v>
      </c>
      <c r="D78" s="315">
        <f>D46-D77</f>
        <v>0</v>
      </c>
      <c r="E78" s="315">
        <f>E46-E77</f>
        <v>1218</v>
      </c>
    </row>
    <row r="79" spans="1:5" ht="12.75">
      <c r="A79" s="276" t="s">
        <v>170</v>
      </c>
      <c r="B79" s="277"/>
      <c r="C79" s="315">
        <f>C77+C78</f>
        <v>1218</v>
      </c>
      <c r="D79" s="315">
        <f>D77+D78</f>
        <v>0</v>
      </c>
      <c r="E79" s="315">
        <f>E77+E78</f>
        <v>1218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/>
      <c r="D82" s="294"/>
      <c r="E82" s="251">
        <f>C82-D82</f>
        <v>0</v>
      </c>
    </row>
    <row r="83" spans="1:5" ht="12.75">
      <c r="A83" s="71" t="s">
        <v>152</v>
      </c>
      <c r="B83" s="8" t="s">
        <v>188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1">
        <f t="shared" si="5"/>
        <v>0</v>
      </c>
    </row>
    <row r="85" spans="1:5" ht="12.75">
      <c r="A85" s="71" t="s">
        <v>254</v>
      </c>
      <c r="B85" s="8" t="s">
        <v>188</v>
      </c>
      <c r="C85" s="294"/>
      <c r="D85" s="294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4"/>
      <c r="D86" s="294"/>
      <c r="E86" s="251">
        <f t="shared" si="5"/>
        <v>0</v>
      </c>
    </row>
    <row r="87" spans="1:5" ht="12.75">
      <c r="A87" s="67" t="s">
        <v>376</v>
      </c>
      <c r="B87" s="8" t="s">
        <v>188</v>
      </c>
      <c r="C87" s="294"/>
      <c r="D87" s="294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4"/>
      <c r="D88" s="294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1">
        <f t="shared" si="5"/>
        <v>0</v>
      </c>
    </row>
    <row r="92" spans="1:5" ht="12.75">
      <c r="A92" s="497" t="s">
        <v>503</v>
      </c>
      <c r="B92" s="8" t="s">
        <v>188</v>
      </c>
      <c r="C92" s="294">
        <v>335</v>
      </c>
      <c r="D92" s="294"/>
      <c r="E92" s="251">
        <f t="shared" si="5"/>
        <v>335</v>
      </c>
    </row>
    <row r="93" spans="1:5" ht="12.75">
      <c r="A93" s="67"/>
      <c r="B93" s="8" t="s">
        <v>188</v>
      </c>
      <c r="C93" s="294"/>
      <c r="D93" s="294"/>
      <c r="E93" s="251">
        <f t="shared" si="5"/>
        <v>0</v>
      </c>
    </row>
    <row r="94" spans="1:5" ht="12.75">
      <c r="A94" s="67"/>
      <c r="B94" s="8" t="s">
        <v>188</v>
      </c>
      <c r="C94" s="294"/>
      <c r="D94" s="294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1">
        <f t="shared" si="5"/>
        <v>0</v>
      </c>
    </row>
    <row r="96" spans="1:5" ht="12.75">
      <c r="A96" s="67" t="s">
        <v>474</v>
      </c>
      <c r="B96" s="8" t="s">
        <v>188</v>
      </c>
      <c r="C96" s="294">
        <v>0</v>
      </c>
      <c r="D96" s="294"/>
      <c r="E96" s="251">
        <f t="shared" si="5"/>
        <v>0</v>
      </c>
    </row>
    <row r="97" spans="1:5" ht="12.75">
      <c r="A97" s="67"/>
      <c r="B97" s="8" t="s">
        <v>188</v>
      </c>
      <c r="C97" s="294"/>
      <c r="D97" s="294"/>
      <c r="E97" s="251">
        <f t="shared" si="5"/>
        <v>0</v>
      </c>
    </row>
    <row r="98" spans="1:5" ht="12.75">
      <c r="A98" s="67"/>
      <c r="B98" s="8" t="s">
        <v>188</v>
      </c>
      <c r="C98" s="294"/>
      <c r="D98" s="294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335</v>
      </c>
      <c r="D99" s="251">
        <f>SUM(D82:D98)</f>
        <v>0</v>
      </c>
      <c r="E99" s="251">
        <f>SUM(E82:E98)</f>
        <v>335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202</v>
      </c>
      <c r="B119" s="273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8" t="s">
        <v>201</v>
      </c>
      <c r="B120" s="273"/>
      <c r="C120" s="251">
        <f>C99-C119</f>
        <v>335</v>
      </c>
      <c r="D120" s="251">
        <f>D99-D119</f>
        <v>0</v>
      </c>
      <c r="E120" s="251">
        <f>E99-E119</f>
        <v>335</v>
      </c>
    </row>
    <row r="121" spans="1:5" ht="12.75">
      <c r="A121" s="278" t="s">
        <v>171</v>
      </c>
      <c r="B121" s="273"/>
      <c r="C121" s="251">
        <f>C119+C120</f>
        <v>335</v>
      </c>
      <c r="D121" s="251">
        <f>D119+D120</f>
        <v>0</v>
      </c>
      <c r="E121" s="251">
        <f>E119+E120</f>
        <v>335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75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zoomScalePageLayoutView="0" workbookViewId="0" topLeftCell="A1">
      <pane xSplit="1" ySplit="8" topLeftCell="B33" activePane="bottomRight" state="frozen"/>
      <selection pane="topLeft" activeCell="A5" sqref="A5"/>
      <selection pane="topRight" activeCell="A5" sqref="A5"/>
      <selection pane="bottomLeft" activeCell="A5" sqref="A5"/>
      <selection pane="bottomRight" activeCell="C55" sqref="C5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EB-2008-0381</v>
      </c>
    </row>
    <row r="3" spans="1:5" ht="12.75">
      <c r="A3" s="2" t="s">
        <v>384</v>
      </c>
      <c r="E3" s="92"/>
    </row>
    <row r="4" spans="1:6" ht="15.75">
      <c r="A4" s="464" t="s">
        <v>445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6" t="s">
        <v>385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  UTILITYNAME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2005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3">
        <f aca="true" t="shared" si="0" ref="E19:E45">C19-D19</f>
        <v>0</v>
      </c>
    </row>
    <row r="20" spans="1:5" ht="12.75">
      <c r="A20" t="s">
        <v>387</v>
      </c>
      <c r="B20" t="s">
        <v>187</v>
      </c>
      <c r="C20" s="295"/>
      <c r="D20" s="295"/>
      <c r="E20" s="313">
        <f t="shared" si="0"/>
        <v>0</v>
      </c>
    </row>
    <row r="21" spans="1:5" ht="12.75">
      <c r="A21" t="s">
        <v>453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 t="s">
        <v>390</v>
      </c>
      <c r="B22" t="s">
        <v>187</v>
      </c>
      <c r="C22" s="295"/>
      <c r="D22" s="314"/>
      <c r="E22" s="313">
        <f t="shared" si="0"/>
        <v>0</v>
      </c>
    </row>
    <row r="23" spans="1:5" ht="12.75">
      <c r="A23" s="67" t="s">
        <v>391</v>
      </c>
      <c r="B23" t="s">
        <v>187</v>
      </c>
      <c r="C23" s="295">
        <v>16851</v>
      </c>
      <c r="D23" s="295"/>
      <c r="E23" s="313">
        <f t="shared" si="0"/>
        <v>16851</v>
      </c>
    </row>
    <row r="24" spans="1:5" ht="12.75">
      <c r="A24" s="67" t="s">
        <v>454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125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437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389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388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192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432</v>
      </c>
      <c r="B32" t="s">
        <v>187</v>
      </c>
      <c r="C32" s="295">
        <v>1176</v>
      </c>
      <c r="D32" s="295"/>
      <c r="E32" s="313">
        <f t="shared" si="0"/>
        <v>1176</v>
      </c>
    </row>
    <row r="33" spans="1:5" ht="12.75">
      <c r="A33" s="67" t="s">
        <v>433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450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81" t="s">
        <v>451</v>
      </c>
      <c r="C35" s="295">
        <v>695</v>
      </c>
      <c r="D35" s="295"/>
      <c r="E35" s="313">
        <f t="shared" si="0"/>
        <v>695</v>
      </c>
    </row>
    <row r="36" spans="1:5" ht="12.75">
      <c r="A36" s="67" t="s">
        <v>434</v>
      </c>
      <c r="C36" s="295">
        <v>12732</v>
      </c>
      <c r="D36" s="295"/>
      <c r="E36" s="313">
        <f t="shared" si="0"/>
        <v>12732</v>
      </c>
    </row>
    <row r="37" spans="1:5" ht="12.75">
      <c r="A37" s="67" t="s">
        <v>435</v>
      </c>
      <c r="C37" s="295"/>
      <c r="D37" s="295"/>
      <c r="E37" s="313">
        <f t="shared" si="0"/>
        <v>0</v>
      </c>
    </row>
    <row r="38" spans="1:5" ht="12.75">
      <c r="A38" s="81" t="s">
        <v>392</v>
      </c>
      <c r="C38" s="295"/>
      <c r="D38" s="295"/>
      <c r="E38" s="313">
        <f t="shared" si="0"/>
        <v>0</v>
      </c>
    </row>
    <row r="39" spans="2:5" ht="12.75">
      <c r="B39" t="s">
        <v>187</v>
      </c>
      <c r="C39" s="295"/>
      <c r="D39" s="295"/>
      <c r="E39" s="313">
        <f t="shared" si="0"/>
        <v>0</v>
      </c>
    </row>
    <row r="40" spans="1:5" ht="12.75">
      <c r="A40" s="81" t="s">
        <v>386</v>
      </c>
      <c r="B40" t="s">
        <v>187</v>
      </c>
      <c r="C40" s="295"/>
      <c r="D40" s="295"/>
      <c r="E40" s="313">
        <f t="shared" si="0"/>
        <v>0</v>
      </c>
    </row>
    <row r="41" spans="1:5" ht="12.75">
      <c r="A41" s="67" t="s">
        <v>457</v>
      </c>
      <c r="B41" t="s">
        <v>187</v>
      </c>
      <c r="C41" s="295"/>
      <c r="D41" s="295"/>
      <c r="E41" s="313">
        <f t="shared" si="0"/>
        <v>0</v>
      </c>
    </row>
    <row r="42" spans="2:5" ht="12.75">
      <c r="B42" t="s">
        <v>187</v>
      </c>
      <c r="C42" s="295"/>
      <c r="D42" s="295"/>
      <c r="E42" s="313">
        <f t="shared" si="0"/>
        <v>0</v>
      </c>
    </row>
    <row r="43" spans="1:5" ht="12.75">
      <c r="A43" s="68" t="s">
        <v>204</v>
      </c>
      <c r="B43" t="s">
        <v>187</v>
      </c>
      <c r="C43" s="295"/>
      <c r="D43" s="295"/>
      <c r="E43" s="313">
        <f t="shared" si="0"/>
        <v>0</v>
      </c>
    </row>
    <row r="44" spans="2:5" ht="12.75">
      <c r="B44" t="s">
        <v>187</v>
      </c>
      <c r="C44" s="294"/>
      <c r="D44" s="294"/>
      <c r="E44" s="251">
        <f t="shared" si="0"/>
        <v>0</v>
      </c>
    </row>
    <row r="45" spans="2:5" ht="12.75">
      <c r="B45" t="s">
        <v>187</v>
      </c>
      <c r="C45" s="294"/>
      <c r="D45" s="294"/>
      <c r="E45" s="251">
        <f t="shared" si="0"/>
        <v>0</v>
      </c>
    </row>
    <row r="46" spans="1:5" ht="12.75">
      <c r="A46" s="67"/>
      <c r="B46" t="s">
        <v>187</v>
      </c>
      <c r="C46" s="294"/>
      <c r="D46" s="294"/>
      <c r="E46" s="279"/>
    </row>
    <row r="47" spans="1:5" ht="12.75">
      <c r="A47" s="450" t="s">
        <v>396</v>
      </c>
      <c r="B47" t="s">
        <v>189</v>
      </c>
      <c r="C47" s="251">
        <f>SUM(C19:C46)</f>
        <v>31454</v>
      </c>
      <c r="D47" s="251">
        <f>SUM(D19:D46)</f>
        <v>0</v>
      </c>
      <c r="E47" s="251">
        <f>SUM(E19:E46)</f>
        <v>31454</v>
      </c>
    </row>
    <row r="48" ht="12.75">
      <c r="A48" s="67"/>
    </row>
    <row r="49" ht="12.75">
      <c r="A49" s="81" t="s">
        <v>145</v>
      </c>
    </row>
    <row r="51" spans="1:5" ht="12.75">
      <c r="A51" s="71" t="s">
        <v>387</v>
      </c>
      <c r="B51" s="8" t="s">
        <v>188</v>
      </c>
      <c r="C51" s="294"/>
      <c r="D51" s="294"/>
      <c r="E51" s="251">
        <f aca="true" t="shared" si="1" ref="E51:E61">C51-D51</f>
        <v>0</v>
      </c>
    </row>
    <row r="52" spans="1:5" ht="12.75">
      <c r="A52" s="67" t="s">
        <v>453</v>
      </c>
      <c r="B52" s="8" t="s">
        <v>188</v>
      </c>
      <c r="C52" s="294"/>
      <c r="D52" s="294"/>
      <c r="E52" s="251">
        <f t="shared" si="1"/>
        <v>0</v>
      </c>
    </row>
    <row r="53" spans="1:5" ht="12.75">
      <c r="A53" t="s">
        <v>388</v>
      </c>
      <c r="B53" s="8" t="s">
        <v>188</v>
      </c>
      <c r="C53" s="294"/>
      <c r="D53" s="294"/>
      <c r="E53" s="251">
        <f t="shared" si="1"/>
        <v>0</v>
      </c>
    </row>
    <row r="54" spans="1:5" ht="12.75">
      <c r="A54" t="s">
        <v>436</v>
      </c>
      <c r="B54" s="8" t="s">
        <v>188</v>
      </c>
      <c r="C54" s="294">
        <v>35956</v>
      </c>
      <c r="D54" s="294"/>
      <c r="E54" s="251">
        <f t="shared" si="1"/>
        <v>35956</v>
      </c>
    </row>
    <row r="55" spans="1:5" ht="12.75">
      <c r="A55" s="67" t="s">
        <v>444</v>
      </c>
      <c r="B55" s="8" t="s">
        <v>188</v>
      </c>
      <c r="C55" s="294"/>
      <c r="D55" s="294"/>
      <c r="E55" s="251">
        <f t="shared" si="1"/>
        <v>0</v>
      </c>
    </row>
    <row r="56" spans="1:5" ht="12.75">
      <c r="A56" s="67" t="s">
        <v>456</v>
      </c>
      <c r="B56" s="8" t="s">
        <v>188</v>
      </c>
      <c r="C56" s="294"/>
      <c r="D56" s="294"/>
      <c r="E56" s="251">
        <f t="shared" si="1"/>
        <v>0</v>
      </c>
    </row>
    <row r="57" spans="1:5" ht="12.75">
      <c r="A57" s="2" t="s">
        <v>452</v>
      </c>
      <c r="B57" s="8" t="s">
        <v>188</v>
      </c>
      <c r="C57" s="294">
        <v>695</v>
      </c>
      <c r="D57" s="294"/>
      <c r="E57" s="251">
        <f t="shared" si="1"/>
        <v>695</v>
      </c>
    </row>
    <row r="58" spans="1:5" ht="12.75">
      <c r="A58" s="67" t="s">
        <v>455</v>
      </c>
      <c r="B58" s="8" t="s">
        <v>188</v>
      </c>
      <c r="C58" s="294"/>
      <c r="D58" s="294"/>
      <c r="E58" s="251">
        <f t="shared" si="1"/>
        <v>0</v>
      </c>
    </row>
    <row r="59" spans="1:5" ht="12.75">
      <c r="A59" s="67"/>
      <c r="B59" s="8" t="s">
        <v>188</v>
      </c>
      <c r="C59" s="294"/>
      <c r="D59" s="294"/>
      <c r="E59" s="251">
        <f t="shared" si="1"/>
        <v>0</v>
      </c>
    </row>
    <row r="60" spans="1:5" ht="12.75">
      <c r="A60" s="468" t="s">
        <v>393</v>
      </c>
      <c r="B60" s="8" t="s">
        <v>188</v>
      </c>
      <c r="C60" s="294"/>
      <c r="D60" s="294"/>
      <c r="E60" s="251">
        <f t="shared" si="1"/>
        <v>0</v>
      </c>
    </row>
    <row r="61" spans="2:5" ht="12.75">
      <c r="B61" s="8" t="s">
        <v>188</v>
      </c>
      <c r="C61" s="294"/>
      <c r="D61" s="294"/>
      <c r="E61" s="251">
        <f t="shared" si="1"/>
        <v>0</v>
      </c>
    </row>
    <row r="62" spans="1:5" ht="12.75">
      <c r="A62" s="468" t="s">
        <v>386</v>
      </c>
      <c r="B62" s="8" t="s">
        <v>188</v>
      </c>
      <c r="C62" s="294">
        <f>14403+527889</f>
        <v>542292</v>
      </c>
      <c r="D62" s="294"/>
      <c r="E62" s="251">
        <f aca="true" t="shared" si="2" ref="E62:E72">C62-D62</f>
        <v>542292</v>
      </c>
    </row>
    <row r="63" spans="2:5" ht="12.75">
      <c r="B63" s="8" t="s">
        <v>188</v>
      </c>
      <c r="C63" s="294"/>
      <c r="D63" s="294"/>
      <c r="E63" s="251">
        <f t="shared" si="2"/>
        <v>0</v>
      </c>
    </row>
    <row r="64" spans="2:5" ht="12.75">
      <c r="B64" s="8" t="s">
        <v>188</v>
      </c>
      <c r="C64" s="294"/>
      <c r="D64" s="294"/>
      <c r="E64" s="251">
        <f t="shared" si="2"/>
        <v>0</v>
      </c>
    </row>
    <row r="65" spans="2:5" ht="12.75">
      <c r="B65" s="8" t="s">
        <v>188</v>
      </c>
      <c r="C65" s="294"/>
      <c r="D65" s="294"/>
      <c r="E65" s="251">
        <f t="shared" si="2"/>
        <v>0</v>
      </c>
    </row>
    <row r="66" spans="2:5" ht="12.75">
      <c r="B66" s="8" t="s">
        <v>188</v>
      </c>
      <c r="C66" s="294"/>
      <c r="D66" s="294"/>
      <c r="E66" s="251">
        <f t="shared" si="2"/>
        <v>0</v>
      </c>
    </row>
    <row r="67" spans="1:5" ht="12.75">
      <c r="A67" s="67"/>
      <c r="B67" s="8" t="s">
        <v>188</v>
      </c>
      <c r="C67" s="294"/>
      <c r="D67" s="294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4"/>
      <c r="D68" s="294"/>
      <c r="E68" s="251">
        <f t="shared" si="2"/>
        <v>0</v>
      </c>
    </row>
    <row r="69" spans="1:5" ht="12.75">
      <c r="A69" s="67"/>
      <c r="B69" s="8" t="s">
        <v>188</v>
      </c>
      <c r="C69" s="294"/>
      <c r="D69" s="294"/>
      <c r="E69" s="251">
        <f t="shared" si="2"/>
        <v>0</v>
      </c>
    </row>
    <row r="70" spans="1:5" ht="12.75">
      <c r="A70" s="67"/>
      <c r="B70" s="8" t="s">
        <v>188</v>
      </c>
      <c r="C70" s="294"/>
      <c r="D70" s="294"/>
      <c r="E70" s="251">
        <f t="shared" si="2"/>
        <v>0</v>
      </c>
    </row>
    <row r="71" spans="1:5" ht="12.75">
      <c r="A71" s="67"/>
      <c r="B71" s="8" t="s">
        <v>188</v>
      </c>
      <c r="C71" s="294"/>
      <c r="D71" s="294"/>
      <c r="E71" s="251">
        <f t="shared" si="2"/>
        <v>0</v>
      </c>
    </row>
    <row r="72" spans="1:5" ht="12.75">
      <c r="A72" s="67"/>
      <c r="B72" s="8" t="s">
        <v>188</v>
      </c>
      <c r="C72" s="294"/>
      <c r="D72" s="294"/>
      <c r="E72" s="279">
        <f t="shared" si="2"/>
        <v>0</v>
      </c>
    </row>
    <row r="73" spans="1:5" ht="12.75">
      <c r="A73" s="449" t="s">
        <v>395</v>
      </c>
      <c r="B73" s="8" t="s">
        <v>189</v>
      </c>
      <c r="C73" s="251">
        <f>SUM(C51:C72)</f>
        <v>578943</v>
      </c>
      <c r="D73" s="251">
        <f>SUM(D51:D72)</f>
        <v>0</v>
      </c>
      <c r="E73" s="251">
        <f>SUM(E51:E72)</f>
        <v>578943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9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25">
      <selection activeCell="F50" sqref="F50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5" t="str">
        <f>REGINFO!A1</f>
        <v>PILs TAXES - EB-2008-0381</v>
      </c>
      <c r="B1" s="386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306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  UTILITYNAME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2005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1" t="s">
        <v>336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06" t="s">
        <v>484</v>
      </c>
      <c r="B8" s="507"/>
      <c r="C8" s="507"/>
      <c r="D8" s="507"/>
      <c r="E8" s="343"/>
      <c r="F8" s="383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400001</v>
      </c>
      <c r="F9" s="375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486</v>
      </c>
      <c r="B10" s="327"/>
      <c r="C10" s="376" t="s">
        <v>111</v>
      </c>
      <c r="D10" s="376"/>
      <c r="E10" s="376" t="s">
        <v>111</v>
      </c>
      <c r="F10" s="377" t="s">
        <v>480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8">
        <v>400000</v>
      </c>
      <c r="D11" s="378"/>
      <c r="E11" s="378">
        <v>1128000</v>
      </c>
      <c r="F11" s="379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299</v>
      </c>
      <c r="B13" s="410">
        <v>2005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298</v>
      </c>
      <c r="B14" s="245"/>
      <c r="C14" s="328">
        <v>0.1312</v>
      </c>
      <c r="D14" s="328"/>
      <c r="E14" s="329">
        <v>0.1775</v>
      </c>
      <c r="F14" s="329">
        <v>0.2212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303</v>
      </c>
      <c r="B15" s="245"/>
      <c r="C15" s="330">
        <v>0.055</v>
      </c>
      <c r="D15" s="330"/>
      <c r="E15" s="331">
        <v>0.0975</v>
      </c>
      <c r="F15" s="331">
        <v>0.14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259</v>
      </c>
      <c r="B16" s="245"/>
      <c r="C16" s="332">
        <f>SUM(C14:C15)</f>
        <v>0.1862</v>
      </c>
      <c r="D16" s="332"/>
      <c r="E16" s="333">
        <f>SUM(E14:E15)</f>
        <v>0.275</v>
      </c>
      <c r="F16" s="333">
        <f>SUM(F14:F15)</f>
        <v>0.3612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0.00175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5" t="s">
        <v>331</v>
      </c>
      <c r="B21" s="407" t="s">
        <v>485</v>
      </c>
      <c r="C21" s="362">
        <v>7500000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5" t="s">
        <v>332</v>
      </c>
      <c r="B22" s="408" t="s">
        <v>479</v>
      </c>
      <c r="C22" s="363">
        <v>50000000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00" t="s">
        <v>491</v>
      </c>
      <c r="B23" s="501"/>
      <c r="C23" s="501"/>
      <c r="D23" s="501"/>
      <c r="E23" s="501"/>
      <c r="F23" s="501"/>
      <c r="G23" s="439"/>
      <c r="H23" s="421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2"/>
      <c r="B24" s="413"/>
      <c r="C24" s="413"/>
      <c r="D24" s="413"/>
      <c r="E24" s="413"/>
      <c r="F24" s="413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0"/>
      <c r="B25" s="381"/>
      <c r="C25" s="384"/>
      <c r="D25" s="343"/>
      <c r="E25" s="343"/>
      <c r="F25" s="411" t="s">
        <v>337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06" t="s">
        <v>487</v>
      </c>
      <c r="B26" s="507"/>
      <c r="C26" s="507"/>
      <c r="D26" s="507"/>
      <c r="E26" s="507"/>
      <c r="F26" s="507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8">
        <v>0</v>
      </c>
      <c r="D27" s="368">
        <v>250001</v>
      </c>
      <c r="E27" s="368">
        <v>400001</v>
      </c>
      <c r="F27" s="369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440</v>
      </c>
      <c r="B28" s="327"/>
      <c r="C28" s="370" t="s">
        <v>111</v>
      </c>
      <c r="D28" s="370" t="s">
        <v>111</v>
      </c>
      <c r="E28" s="370" t="s">
        <v>111</v>
      </c>
      <c r="F28" s="371" t="s">
        <v>480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2">
        <v>250000</v>
      </c>
      <c r="D29" s="372">
        <v>400000</v>
      </c>
      <c r="E29" s="372">
        <v>1128000</v>
      </c>
      <c r="F29" s="373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10">
        <v>2005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298</v>
      </c>
      <c r="B32" s="410">
        <v>2005</v>
      </c>
      <c r="C32" s="328">
        <v>0.1312</v>
      </c>
      <c r="D32" s="328">
        <v>0.2212</v>
      </c>
      <c r="E32" s="329">
        <v>0.2212</v>
      </c>
      <c r="F32" s="329">
        <v>0.2212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10">
        <v>2005</v>
      </c>
      <c r="C33" s="330">
        <v>0.055</v>
      </c>
      <c r="D33" s="330">
        <v>0.055</v>
      </c>
      <c r="E33" s="331">
        <v>0.0975</v>
      </c>
      <c r="F33" s="331">
        <v>0.14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259</v>
      </c>
      <c r="B34" s="410">
        <v>2005</v>
      </c>
      <c r="C34" s="332">
        <f>SUM(C32:C33)</f>
        <v>0.1862</v>
      </c>
      <c r="D34" s="332">
        <f>SUM(D32:D33)</f>
        <v>0.2762</v>
      </c>
      <c r="E34" s="333">
        <f>SUM(E32:E33)</f>
        <v>0.3187</v>
      </c>
      <c r="F34" s="333">
        <f>SUM(F32:F33)</f>
        <v>0.3612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10">
        <v>2005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10">
        <v>2005</v>
      </c>
      <c r="C37" s="335">
        <v>0.002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10">
        <v>2005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5" t="s">
        <v>489</v>
      </c>
      <c r="B39" s="407" t="s">
        <v>485</v>
      </c>
      <c r="C39" s="362">
        <v>7500000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5" t="s">
        <v>490</v>
      </c>
      <c r="B40" s="408" t="s">
        <v>479</v>
      </c>
      <c r="C40" s="363">
        <v>50000000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2" t="s">
        <v>334</v>
      </c>
      <c r="B41" s="501"/>
      <c r="C41" s="501"/>
      <c r="D41" s="501"/>
      <c r="E41" s="501"/>
      <c r="F41" s="501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3"/>
      <c r="B42" s="503"/>
      <c r="C42" s="503"/>
      <c r="D42" s="503"/>
      <c r="E42" s="503"/>
      <c r="F42" s="503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0"/>
      <c r="B43" s="381"/>
      <c r="C43" s="382"/>
      <c r="D43" s="381"/>
      <c r="E43" s="381"/>
      <c r="F43" s="411" t="s">
        <v>338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9" t="s">
        <v>488</v>
      </c>
      <c r="B44" s="366"/>
      <c r="C44" s="367"/>
      <c r="D44" s="366"/>
      <c r="E44" s="343"/>
      <c r="F44" s="383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8">
        <v>0</v>
      </c>
      <c r="D45" s="368">
        <v>250001</v>
      </c>
      <c r="E45" s="368">
        <v>400001</v>
      </c>
      <c r="F45" s="369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70" t="s">
        <v>111</v>
      </c>
      <c r="D46" s="370" t="s">
        <v>111</v>
      </c>
      <c r="E46" s="370" t="s">
        <v>111</v>
      </c>
      <c r="F46" s="371" t="s">
        <v>480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2">
        <v>250000</v>
      </c>
      <c r="D47" s="372">
        <v>400000</v>
      </c>
      <c r="E47" s="372">
        <v>1128000</v>
      </c>
      <c r="F47" s="373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10">
        <v>2005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298</v>
      </c>
      <c r="B50" s="245"/>
      <c r="C50" s="352">
        <v>0.1312</v>
      </c>
      <c r="D50" s="352">
        <v>0.2212</v>
      </c>
      <c r="E50" s="353">
        <v>0.2212</v>
      </c>
      <c r="F50" s="353">
        <v>0.2212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v>0.055</v>
      </c>
      <c r="D51" s="354">
        <v>0.055</v>
      </c>
      <c r="E51" s="355">
        <v>0.14</v>
      </c>
      <c r="F51" s="355">
        <v>0.14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259</v>
      </c>
      <c r="B52" s="245"/>
      <c r="C52" s="332">
        <f>SUM(C50:C51)</f>
        <v>0.1862</v>
      </c>
      <c r="D52" s="332">
        <f>SUM(D50:D51)</f>
        <v>0.2762</v>
      </c>
      <c r="E52" s="333">
        <f>SUM(E50:E51)</f>
        <v>0.3612</v>
      </c>
      <c r="F52" s="333">
        <f>SUM(F50:F51)</f>
        <v>0.3612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8"/>
      <c r="C55" s="357">
        <v>0.002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5" t="s">
        <v>348</v>
      </c>
      <c r="B57" s="407" t="s">
        <v>485</v>
      </c>
      <c r="C57" s="362">
        <v>6955928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5" t="s">
        <v>349</v>
      </c>
      <c r="B58" s="408" t="s">
        <v>479</v>
      </c>
      <c r="C58" s="363">
        <v>45995000</v>
      </c>
      <c r="D58" s="364"/>
      <c r="E58" s="365"/>
      <c r="F58" s="365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00" t="s">
        <v>350</v>
      </c>
      <c r="B59" s="504"/>
      <c r="C59" s="504"/>
      <c r="D59" s="504"/>
      <c r="E59" s="504"/>
      <c r="F59" s="504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5"/>
      <c r="B60" s="505"/>
      <c r="C60" s="505"/>
      <c r="D60" s="505"/>
      <c r="E60" s="505"/>
      <c r="F60" s="505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74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view="pageLayout" workbookViewId="0" topLeftCell="B2">
      <selection activeCell="M13" sqref="M13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  <col min="16" max="16" width="3.7109375" style="0" customWidth="1"/>
    <col min="17" max="17" width="13.00390625" style="0" customWidth="1"/>
    <col min="18" max="18" width="3.7109375" style="0" customWidth="1"/>
    <col min="19" max="19" width="12.8515625" style="0" customWidth="1"/>
    <col min="20" max="20" width="3.7109375" style="0" customWidth="1"/>
    <col min="21" max="21" width="13.8515625" style="0" customWidth="1"/>
    <col min="22" max="22" width="3.7109375" style="0" customWidth="1"/>
    <col min="23" max="23" width="12.140625" style="0" customWidth="1"/>
  </cols>
  <sheetData>
    <row r="1" ht="12.75">
      <c r="A1" s="1" t="str">
        <f>REGINFO!A1</f>
        <v>PILs TAXES - EB-2008-0381</v>
      </c>
    </row>
    <row r="2" spans="1:2" ht="12.75">
      <c r="A2" s="2" t="s">
        <v>458</v>
      </c>
      <c r="B2" s="2"/>
    </row>
    <row r="3" spans="1:15" ht="12.75">
      <c r="A3" s="2" t="str">
        <f>REGINFO!A3</f>
        <v>Utility Name:   UTILITYNAME</v>
      </c>
      <c r="O3" s="417" t="str">
        <f>REGINFO!E1</f>
        <v>Version 2009.1</v>
      </c>
    </row>
    <row r="4" spans="1:15" ht="12.75">
      <c r="A4" s="2" t="str">
        <f>REGINFO!A4</f>
        <v>Reporting period:  2005</v>
      </c>
      <c r="E4" s="418" t="s">
        <v>320</v>
      </c>
      <c r="F4" s="399"/>
      <c r="G4" s="399"/>
      <c r="H4" s="399"/>
      <c r="I4" s="399"/>
      <c r="O4" s="417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5">
        <v>0</v>
      </c>
      <c r="D11" s="391"/>
      <c r="E11" s="397">
        <f>C22</f>
        <v>0</v>
      </c>
      <c r="F11" s="420"/>
      <c r="G11" s="397">
        <f>E22</f>
        <v>0</v>
      </c>
      <c r="H11" s="420"/>
      <c r="I11" s="397">
        <f>G22</f>
        <v>0</v>
      </c>
      <c r="J11" s="391"/>
      <c r="K11" s="397">
        <f>I22</f>
        <v>0</v>
      </c>
      <c r="L11" s="391"/>
      <c r="M11" s="397">
        <f>K22</f>
        <v>0</v>
      </c>
      <c r="N11" s="391"/>
      <c r="O11" s="397">
        <f>C11</f>
        <v>0</v>
      </c>
    </row>
    <row r="12" spans="1:17" ht="27" customHeight="1">
      <c r="A12" s="81" t="s">
        <v>397</v>
      </c>
      <c r="B12" s="66" t="s">
        <v>190</v>
      </c>
      <c r="C12" s="396"/>
      <c r="D12" s="392"/>
      <c r="E12" s="396"/>
      <c r="F12" s="95"/>
      <c r="G12" s="419">
        <f>C12+E12</f>
        <v>0</v>
      </c>
      <c r="H12" s="95"/>
      <c r="I12" s="419">
        <f>(E12/12*9)+(G12/12*3)</f>
        <v>0</v>
      </c>
      <c r="J12" s="392"/>
      <c r="K12" s="419">
        <f>E12/12*3</f>
        <v>0</v>
      </c>
      <c r="L12" s="392"/>
      <c r="M12" s="419"/>
      <c r="N12" s="392"/>
      <c r="O12" s="397">
        <f aca="true" t="shared" si="0" ref="O12:O20">SUM(C12:N12)</f>
        <v>0</v>
      </c>
      <c r="Q12" s="22"/>
    </row>
    <row r="13" spans="1:15" ht="27" customHeight="1">
      <c r="A13" s="81" t="s">
        <v>439</v>
      </c>
      <c r="B13" s="66"/>
      <c r="C13" s="396"/>
      <c r="D13" s="95"/>
      <c r="E13" s="396"/>
      <c r="F13" s="95"/>
      <c r="G13" s="396"/>
      <c r="H13" s="95"/>
      <c r="I13" s="396"/>
      <c r="J13" s="392"/>
      <c r="K13" s="396"/>
      <c r="L13" s="392"/>
      <c r="M13" s="396"/>
      <c r="N13" s="392"/>
      <c r="O13" s="397">
        <f t="shared" si="0"/>
        <v>0</v>
      </c>
    </row>
    <row r="14" spans="1:15" ht="38.25">
      <c r="A14" s="81" t="s">
        <v>398</v>
      </c>
      <c r="B14" s="66" t="s">
        <v>190</v>
      </c>
      <c r="C14" s="396"/>
      <c r="D14" s="392"/>
      <c r="E14" s="396"/>
      <c r="F14" s="95"/>
      <c r="G14" s="396"/>
      <c r="H14" s="95"/>
      <c r="I14" s="429"/>
      <c r="J14" s="392"/>
      <c r="K14" s="396"/>
      <c r="L14" s="392"/>
      <c r="M14" s="396"/>
      <c r="N14" s="392"/>
      <c r="O14" s="397">
        <f t="shared" si="0"/>
        <v>0</v>
      </c>
    </row>
    <row r="15" spans="1:15" ht="27" customHeight="1">
      <c r="A15" s="81" t="s">
        <v>399</v>
      </c>
      <c r="B15" s="66" t="s">
        <v>190</v>
      </c>
      <c r="C15" s="396"/>
      <c r="D15" s="392"/>
      <c r="E15" s="396"/>
      <c r="F15" s="95"/>
      <c r="G15" s="396"/>
      <c r="H15" s="95"/>
      <c r="I15" s="396"/>
      <c r="J15" s="392"/>
      <c r="K15" s="396"/>
      <c r="L15" s="392"/>
      <c r="M15" s="396"/>
      <c r="N15" s="392"/>
      <c r="O15" s="397">
        <f t="shared" si="0"/>
        <v>0</v>
      </c>
    </row>
    <row r="16" spans="1:15" ht="27" customHeight="1">
      <c r="A16" s="81" t="s">
        <v>400</v>
      </c>
      <c r="B16" s="66"/>
      <c r="C16" s="396"/>
      <c r="D16" s="392"/>
      <c r="E16" s="396"/>
      <c r="F16" s="95"/>
      <c r="G16" s="396"/>
      <c r="H16" s="95"/>
      <c r="I16" s="396"/>
      <c r="J16" s="392"/>
      <c r="K16" s="396"/>
      <c r="L16" s="392"/>
      <c r="M16" s="396"/>
      <c r="N16" s="392"/>
      <c r="O16" s="397">
        <f t="shared" si="0"/>
        <v>0</v>
      </c>
    </row>
    <row r="17" spans="1:15" ht="27.75" customHeight="1">
      <c r="A17" s="81" t="s">
        <v>401</v>
      </c>
      <c r="B17" s="66" t="s">
        <v>190</v>
      </c>
      <c r="C17" s="396"/>
      <c r="D17" s="392"/>
      <c r="E17" s="396"/>
      <c r="F17" s="95"/>
      <c r="G17" s="396"/>
      <c r="H17" s="95"/>
      <c r="I17" s="396"/>
      <c r="J17" s="392"/>
      <c r="K17" s="396"/>
      <c r="L17" s="392"/>
      <c r="M17" s="396"/>
      <c r="N17" s="392"/>
      <c r="O17" s="397">
        <f t="shared" si="0"/>
        <v>0</v>
      </c>
    </row>
    <row r="18" spans="1:15" ht="25.5">
      <c r="A18" s="81" t="s">
        <v>402</v>
      </c>
      <c r="B18" s="66" t="s">
        <v>190</v>
      </c>
      <c r="C18" s="396"/>
      <c r="D18" s="392"/>
      <c r="E18" s="396"/>
      <c r="F18" s="95"/>
      <c r="G18" s="396"/>
      <c r="H18" s="95"/>
      <c r="I18" s="396"/>
      <c r="J18" s="392"/>
      <c r="K18" s="396"/>
      <c r="L18" s="392"/>
      <c r="M18" s="396"/>
      <c r="N18" s="392"/>
      <c r="O18" s="397">
        <f t="shared" si="0"/>
        <v>0</v>
      </c>
    </row>
    <row r="19" spans="1:17" ht="24" customHeight="1">
      <c r="A19" s="433" t="s">
        <v>403</v>
      </c>
      <c r="B19" s="66" t="s">
        <v>190</v>
      </c>
      <c r="C19" s="396"/>
      <c r="D19" s="392"/>
      <c r="E19" s="396"/>
      <c r="F19" s="95"/>
      <c r="G19" s="396"/>
      <c r="H19" s="95"/>
      <c r="I19" s="396"/>
      <c r="J19" s="392"/>
      <c r="K19" s="396"/>
      <c r="L19" s="392"/>
      <c r="M19" s="396"/>
      <c r="N19" s="392"/>
      <c r="O19" s="397">
        <f t="shared" si="0"/>
        <v>0</v>
      </c>
      <c r="Q19" s="22"/>
    </row>
    <row r="20" spans="1:17" ht="24.75" customHeight="1">
      <c r="A20" s="81" t="s">
        <v>469</v>
      </c>
      <c r="B20" s="66" t="s">
        <v>188</v>
      </c>
      <c r="C20" s="396"/>
      <c r="D20" s="392"/>
      <c r="E20" s="396"/>
      <c r="F20" s="95"/>
      <c r="G20" s="396"/>
      <c r="H20" s="95"/>
      <c r="I20" s="396"/>
      <c r="J20" s="392"/>
      <c r="K20" s="396"/>
      <c r="L20" s="392"/>
      <c r="M20" s="396"/>
      <c r="N20" s="392"/>
      <c r="O20" s="397">
        <f t="shared" si="0"/>
        <v>0</v>
      </c>
      <c r="Q20" s="496"/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20"/>
    </row>
    <row r="22" spans="1:19" ht="13.5" thickBot="1">
      <c r="A22" s="81" t="s">
        <v>373</v>
      </c>
      <c r="B22" s="34"/>
      <c r="C22" s="398">
        <f>SUM(C11:C20)</f>
        <v>0</v>
      </c>
      <c r="D22" s="420"/>
      <c r="E22" s="398">
        <f>SUM(E11:E20)</f>
        <v>0</v>
      </c>
      <c r="F22" s="420"/>
      <c r="G22" s="398">
        <f>SUM(G11:G20)</f>
        <v>0</v>
      </c>
      <c r="H22" s="420"/>
      <c r="I22" s="398">
        <f>SUM(I11:I20)</f>
        <v>0</v>
      </c>
      <c r="J22" s="391"/>
      <c r="K22" s="398">
        <f>SUM(K11:K20)</f>
        <v>0</v>
      </c>
      <c r="L22" s="391"/>
      <c r="M22" s="398">
        <f>SUM(M11:M21)</f>
        <v>0</v>
      </c>
      <c r="N22" s="391"/>
      <c r="O22" s="490">
        <f>SUM(O11:O20)</f>
        <v>0</v>
      </c>
      <c r="Q22">
        <v>-418028</v>
      </c>
      <c r="S22" s="22">
        <f>+Q22-O22</f>
        <v>-418028</v>
      </c>
    </row>
    <row r="23" spans="1:15" ht="13.5" thickTop="1">
      <c r="A23" s="434"/>
      <c r="B23" s="435"/>
      <c r="C23" s="441"/>
      <c r="D23" s="442"/>
      <c r="E23" s="441"/>
      <c r="F23" s="442"/>
      <c r="G23" s="441"/>
      <c r="H23" s="442"/>
      <c r="I23" s="441"/>
      <c r="J23" s="435"/>
      <c r="K23" s="441"/>
      <c r="L23" s="188"/>
      <c r="M23" s="443"/>
      <c r="N23" s="188"/>
      <c r="O23" s="443"/>
    </row>
    <row r="24" spans="1:15" ht="12.75">
      <c r="A24" s="456"/>
      <c r="B24" s="457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9"/>
    </row>
    <row r="25" spans="1:15" ht="12.75">
      <c r="A25" s="434"/>
      <c r="B25" s="435"/>
      <c r="C25" s="460"/>
      <c r="D25" s="460"/>
      <c r="E25" s="460"/>
      <c r="F25" s="460"/>
      <c r="G25" s="460"/>
      <c r="H25" s="460"/>
      <c r="I25" s="460"/>
      <c r="J25" s="461"/>
      <c r="K25" s="460"/>
      <c r="L25" s="462"/>
      <c r="M25" s="463"/>
      <c r="N25" s="462"/>
      <c r="O25" s="463"/>
    </row>
    <row r="26" spans="1:15" ht="12.75">
      <c r="A26" s="434" t="s">
        <v>404</v>
      </c>
      <c r="B26" s="435"/>
      <c r="C26" s="460"/>
      <c r="D26" s="460"/>
      <c r="E26" s="460"/>
      <c r="F26" s="460"/>
      <c r="G26" s="460"/>
      <c r="H26" s="460"/>
      <c r="I26" s="460"/>
      <c r="J26" s="461"/>
      <c r="K26" s="460"/>
      <c r="L26" s="462"/>
      <c r="M26" s="463"/>
      <c r="N26" s="462"/>
      <c r="O26" s="463"/>
    </row>
    <row r="27" spans="1:15" ht="9" customHeight="1">
      <c r="A27" s="434"/>
      <c r="B27" s="435"/>
      <c r="C27" s="435"/>
      <c r="D27" s="435"/>
      <c r="E27" s="435"/>
      <c r="F27" s="435"/>
      <c r="G27" s="435"/>
      <c r="H27" s="435"/>
      <c r="I27" s="435"/>
      <c r="J27" s="435"/>
      <c r="K27" s="436"/>
      <c r="L27" s="188"/>
      <c r="M27" s="188"/>
      <c r="N27" s="188"/>
      <c r="O27" s="188"/>
    </row>
    <row r="28" spans="1:15" ht="12.75">
      <c r="A28" s="434" t="s">
        <v>405</v>
      </c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188"/>
      <c r="M28" s="188"/>
      <c r="N28" s="188"/>
      <c r="O28" s="188"/>
    </row>
    <row r="29" spans="1:15" ht="12.75">
      <c r="A29" s="437" t="s">
        <v>406</v>
      </c>
      <c r="B29" s="435"/>
      <c r="C29" s="435"/>
      <c r="D29" s="435"/>
      <c r="E29" s="435"/>
      <c r="F29" s="435"/>
      <c r="G29" s="435"/>
      <c r="H29" s="435"/>
      <c r="I29" s="435"/>
      <c r="J29" s="435"/>
      <c r="K29" s="435"/>
      <c r="L29" s="188"/>
      <c r="M29" s="188"/>
      <c r="N29" s="188"/>
      <c r="O29" s="188"/>
    </row>
    <row r="30" spans="1:15" ht="9" customHeight="1">
      <c r="A30" s="188"/>
      <c r="B30" s="435"/>
      <c r="C30" s="435"/>
      <c r="D30" s="435"/>
      <c r="E30" s="435"/>
      <c r="F30" s="435"/>
      <c r="G30" s="435"/>
      <c r="H30" s="435"/>
      <c r="I30" s="435"/>
      <c r="J30" s="435"/>
      <c r="K30" s="435"/>
      <c r="L30" s="188"/>
      <c r="M30" s="188"/>
      <c r="N30" s="188"/>
      <c r="O30" s="188"/>
    </row>
    <row r="31" spans="1:15" ht="12.75">
      <c r="A31" s="451" t="s">
        <v>407</v>
      </c>
      <c r="B31" s="80"/>
      <c r="C31" s="80"/>
      <c r="D31" s="80"/>
      <c r="E31" s="80"/>
      <c r="F31" s="80"/>
      <c r="G31" s="80"/>
      <c r="H31" s="80"/>
      <c r="I31" s="448"/>
      <c r="J31" s="448"/>
      <c r="K31" s="448"/>
      <c r="L31" s="448"/>
      <c r="M31" s="448"/>
      <c r="N31" s="448"/>
      <c r="O31" s="448"/>
    </row>
    <row r="32" spans="1:15" ht="9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</row>
    <row r="33" spans="1:19" ht="12.75">
      <c r="A33" s="509" t="s">
        <v>408</v>
      </c>
      <c r="B33" s="510"/>
      <c r="C33" s="510"/>
      <c r="D33" s="510"/>
      <c r="E33" s="510"/>
      <c r="F33" s="510"/>
      <c r="G33" s="510"/>
      <c r="H33" s="510"/>
      <c r="I33" s="510"/>
      <c r="J33" s="510"/>
      <c r="K33" s="510"/>
      <c r="L33" s="510"/>
      <c r="M33" s="510"/>
      <c r="N33" s="510"/>
      <c r="O33" s="510"/>
      <c r="P33" s="421"/>
      <c r="Q33" s="421"/>
      <c r="R33" s="421"/>
      <c r="S33" s="421"/>
    </row>
    <row r="34" spans="1:19" ht="12.75">
      <c r="A34" s="508" t="s">
        <v>409</v>
      </c>
      <c r="B34" s="511"/>
      <c r="C34" s="511"/>
      <c r="D34" s="511"/>
      <c r="E34" s="511"/>
      <c r="F34" s="511"/>
      <c r="G34" s="511"/>
      <c r="H34" s="511"/>
      <c r="I34" s="511"/>
      <c r="J34" s="511"/>
      <c r="K34" s="511"/>
      <c r="L34" s="511"/>
      <c r="M34" s="511"/>
      <c r="N34" s="511"/>
      <c r="O34" s="511"/>
      <c r="P34" s="421"/>
      <c r="Q34" s="421"/>
      <c r="R34" s="421"/>
      <c r="S34" s="421"/>
    </row>
    <row r="35" spans="1:19" ht="12.75">
      <c r="A35" s="508" t="s">
        <v>430</v>
      </c>
      <c r="B35" s="511"/>
      <c r="C35" s="511"/>
      <c r="D35" s="511"/>
      <c r="E35" s="511"/>
      <c r="F35" s="511"/>
      <c r="G35" s="511"/>
      <c r="H35" s="511"/>
      <c r="I35" s="511"/>
      <c r="J35" s="511"/>
      <c r="K35" s="511"/>
      <c r="L35" s="511"/>
      <c r="M35" s="511"/>
      <c r="N35" s="511"/>
      <c r="O35" s="511"/>
      <c r="P35" s="421"/>
      <c r="Q35" s="421"/>
      <c r="R35" s="421"/>
      <c r="S35" s="421"/>
    </row>
    <row r="36" spans="1:19" ht="12.75">
      <c r="A36" s="508" t="s">
        <v>410</v>
      </c>
      <c r="B36" s="510"/>
      <c r="C36" s="510"/>
      <c r="D36" s="510"/>
      <c r="E36" s="510"/>
      <c r="F36" s="510"/>
      <c r="G36" s="510"/>
      <c r="H36" s="510"/>
      <c r="I36" s="510"/>
      <c r="J36" s="510"/>
      <c r="K36" s="510"/>
      <c r="L36" s="510"/>
      <c r="M36" s="510"/>
      <c r="N36" s="510"/>
      <c r="O36" s="510"/>
      <c r="P36" s="421"/>
      <c r="Q36" s="421"/>
      <c r="R36" s="421"/>
      <c r="S36" s="421"/>
    </row>
    <row r="37" spans="1:19" ht="12.75">
      <c r="A37" s="438" t="s">
        <v>370</v>
      </c>
      <c r="B37" s="439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21"/>
      <c r="Q37" s="421"/>
      <c r="R37" s="421"/>
      <c r="S37" s="421"/>
    </row>
    <row r="38" spans="1:19" ht="12.75">
      <c r="A38" s="438" t="s">
        <v>371</v>
      </c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21"/>
      <c r="Q38" s="421"/>
      <c r="R38" s="421"/>
      <c r="S38" s="421"/>
    </row>
    <row r="39" spans="1:19" ht="12.75">
      <c r="A39" s="438" t="s">
        <v>411</v>
      </c>
      <c r="B39" s="439"/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21"/>
      <c r="Q39" s="421"/>
      <c r="R39" s="421"/>
      <c r="S39" s="421"/>
    </row>
    <row r="40" spans="1:19" ht="12.75">
      <c r="A40" s="438" t="s">
        <v>412</v>
      </c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21"/>
      <c r="Q40" s="421"/>
      <c r="R40" s="421"/>
      <c r="S40" s="421"/>
    </row>
    <row r="41" spans="2:19" ht="9" customHeight="1"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21"/>
      <c r="Q41" s="421"/>
      <c r="R41" s="421"/>
      <c r="S41" s="421"/>
    </row>
    <row r="42" spans="1:15" ht="12.75">
      <c r="A42" s="440" t="s">
        <v>413</v>
      </c>
      <c r="B42" s="435"/>
      <c r="C42" s="435"/>
      <c r="D42" s="435"/>
      <c r="E42" s="435"/>
      <c r="F42" s="435"/>
      <c r="G42" s="435"/>
      <c r="H42" s="435"/>
      <c r="I42" s="435"/>
      <c r="J42" s="435"/>
      <c r="K42" s="435"/>
      <c r="L42" s="188"/>
      <c r="M42" s="188"/>
      <c r="N42" s="188"/>
      <c r="O42" s="188"/>
    </row>
    <row r="43" spans="1:15" ht="12.75">
      <c r="A43" s="435" t="s">
        <v>414</v>
      </c>
      <c r="B43" s="435"/>
      <c r="C43" s="435"/>
      <c r="D43" s="435"/>
      <c r="E43" s="435"/>
      <c r="F43" s="435"/>
      <c r="G43" s="435"/>
      <c r="H43" s="435"/>
      <c r="I43" s="435"/>
      <c r="J43" s="435"/>
      <c r="K43" s="435"/>
      <c r="L43" s="188"/>
      <c r="M43" s="188"/>
      <c r="N43" s="188"/>
      <c r="O43" s="188"/>
    </row>
    <row r="44" spans="1:15" ht="9" customHeight="1">
      <c r="A44" s="435"/>
      <c r="B44" s="435"/>
      <c r="C44" s="435"/>
      <c r="D44" s="435"/>
      <c r="E44" s="435"/>
      <c r="F44" s="435"/>
      <c r="G44" s="435"/>
      <c r="H44" s="435"/>
      <c r="I44" s="435"/>
      <c r="J44" s="435"/>
      <c r="K44" s="435"/>
      <c r="L44" s="188"/>
      <c r="M44" s="188"/>
      <c r="N44" s="188"/>
      <c r="O44" s="188"/>
    </row>
    <row r="45" spans="1:15" ht="12.75">
      <c r="A45" s="440" t="s">
        <v>415</v>
      </c>
      <c r="B45" s="435"/>
      <c r="C45" s="435"/>
      <c r="D45" s="435"/>
      <c r="E45" s="435"/>
      <c r="F45" s="435"/>
      <c r="G45" s="435"/>
      <c r="H45" s="435"/>
      <c r="I45" s="435"/>
      <c r="J45" s="435"/>
      <c r="K45" s="435"/>
      <c r="L45" s="188"/>
      <c r="M45" s="188"/>
      <c r="N45" s="188"/>
      <c r="O45" s="188"/>
    </row>
    <row r="46" spans="1:15" ht="12.75">
      <c r="A46" s="435" t="s">
        <v>416</v>
      </c>
      <c r="B46" s="435"/>
      <c r="C46" s="435"/>
      <c r="D46" s="435"/>
      <c r="E46" s="435"/>
      <c r="F46" s="435"/>
      <c r="G46" s="435"/>
      <c r="H46" s="435"/>
      <c r="I46" s="435"/>
      <c r="J46" s="435"/>
      <c r="K46" s="435"/>
      <c r="L46" s="188"/>
      <c r="M46" s="188"/>
      <c r="N46" s="188"/>
      <c r="O46" s="188"/>
    </row>
    <row r="47" spans="1:15" ht="9" customHeight="1">
      <c r="A47" s="435"/>
      <c r="B47" s="435"/>
      <c r="C47" s="435"/>
      <c r="D47" s="435"/>
      <c r="E47" s="435"/>
      <c r="F47" s="435"/>
      <c r="G47" s="435"/>
      <c r="H47" s="435"/>
      <c r="I47" s="435"/>
      <c r="J47" s="435"/>
      <c r="K47" s="435"/>
      <c r="L47" s="188"/>
      <c r="M47" s="188"/>
      <c r="N47" s="188"/>
      <c r="O47" s="188"/>
    </row>
    <row r="48" spans="1:15" ht="12.75">
      <c r="A48" s="440" t="s">
        <v>417</v>
      </c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188"/>
      <c r="M48" s="188"/>
      <c r="N48" s="188"/>
      <c r="O48" s="188"/>
    </row>
    <row r="49" spans="1:15" ht="12.75">
      <c r="A49" s="435" t="s">
        <v>418</v>
      </c>
      <c r="B49" s="435"/>
      <c r="C49" s="435"/>
      <c r="D49" s="435"/>
      <c r="E49" s="435"/>
      <c r="F49" s="435"/>
      <c r="G49" s="435"/>
      <c r="H49" s="435"/>
      <c r="I49" s="435"/>
      <c r="J49" s="435"/>
      <c r="K49" s="435"/>
      <c r="L49" s="188"/>
      <c r="M49" s="188"/>
      <c r="N49" s="188"/>
      <c r="O49" s="188"/>
    </row>
    <row r="50" spans="1:15" ht="9" customHeight="1">
      <c r="A50" s="435"/>
      <c r="B50" s="435"/>
      <c r="C50" s="435"/>
      <c r="D50" s="435"/>
      <c r="E50" s="435"/>
      <c r="F50" s="435"/>
      <c r="G50" s="435"/>
      <c r="H50" s="435"/>
      <c r="I50" s="435"/>
      <c r="J50" s="435"/>
      <c r="K50" s="435"/>
      <c r="L50" s="188"/>
      <c r="M50" s="188"/>
      <c r="N50" s="188"/>
      <c r="O50" s="188"/>
    </row>
    <row r="51" spans="1:15" ht="12.75">
      <c r="A51" s="440" t="s">
        <v>419</v>
      </c>
      <c r="B51" s="435"/>
      <c r="C51" s="435"/>
      <c r="D51" s="435"/>
      <c r="E51" s="435"/>
      <c r="F51" s="435"/>
      <c r="G51" s="435"/>
      <c r="H51" s="435"/>
      <c r="I51" s="435"/>
      <c r="J51" s="435"/>
      <c r="K51" s="435"/>
      <c r="L51" s="188"/>
      <c r="M51" s="188"/>
      <c r="N51" s="188"/>
      <c r="O51" s="188"/>
    </row>
    <row r="52" spans="1:15" ht="12.75">
      <c r="A52" s="435" t="s">
        <v>416</v>
      </c>
      <c r="B52" s="435"/>
      <c r="C52" s="435"/>
      <c r="D52" s="435"/>
      <c r="E52" s="435"/>
      <c r="F52" s="435"/>
      <c r="G52" s="435"/>
      <c r="H52" s="435"/>
      <c r="I52" s="435"/>
      <c r="J52" s="435"/>
      <c r="K52" s="435"/>
      <c r="L52" s="188"/>
      <c r="M52" s="188"/>
      <c r="N52" s="188"/>
      <c r="O52" s="188"/>
    </row>
    <row r="53" spans="1:15" ht="9" customHeight="1">
      <c r="A53" s="440"/>
      <c r="B53" s="435"/>
      <c r="C53" s="435"/>
      <c r="D53" s="435"/>
      <c r="E53" s="435"/>
      <c r="F53" s="435"/>
      <c r="G53" s="435"/>
      <c r="H53" s="435"/>
      <c r="I53" s="435"/>
      <c r="J53" s="435"/>
      <c r="K53" s="435"/>
      <c r="L53" s="188"/>
      <c r="M53" s="188"/>
      <c r="N53" s="188"/>
      <c r="O53" s="188"/>
    </row>
    <row r="54" spans="1:15" ht="12.75">
      <c r="A54" s="435" t="s">
        <v>420</v>
      </c>
      <c r="B54" s="435"/>
      <c r="C54" s="435"/>
      <c r="D54" s="435"/>
      <c r="E54" s="435"/>
      <c r="F54" s="435"/>
      <c r="G54" s="435"/>
      <c r="H54" s="435"/>
      <c r="I54" s="435"/>
      <c r="J54" s="435"/>
      <c r="K54" s="435"/>
      <c r="L54" s="188"/>
      <c r="M54" s="188"/>
      <c r="N54" s="188"/>
      <c r="O54" s="188"/>
    </row>
    <row r="55" spans="1:15" ht="9" customHeight="1">
      <c r="A55" s="435"/>
      <c r="B55" s="435"/>
      <c r="C55" s="435"/>
      <c r="D55" s="435"/>
      <c r="E55" s="435"/>
      <c r="F55" s="435"/>
      <c r="G55" s="435"/>
      <c r="H55" s="435"/>
      <c r="I55" s="435"/>
      <c r="J55" s="435"/>
      <c r="K55" s="435"/>
      <c r="L55" s="188"/>
      <c r="M55" s="188"/>
      <c r="N55" s="188"/>
      <c r="O55" s="188"/>
    </row>
    <row r="56" spans="1:15" ht="12.75" customHeight="1">
      <c r="A56" s="440" t="s">
        <v>421</v>
      </c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188"/>
      <c r="M56" s="188"/>
      <c r="N56" s="188"/>
      <c r="O56" s="188"/>
    </row>
    <row r="57" spans="1:15" ht="9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188"/>
      <c r="M57" s="188"/>
      <c r="N57" s="188"/>
      <c r="O57" s="188"/>
    </row>
    <row r="58" spans="1:15" ht="12.75">
      <c r="A58" s="435" t="s">
        <v>422</v>
      </c>
      <c r="B58" s="435"/>
      <c r="C58" s="435"/>
      <c r="D58" s="435"/>
      <c r="E58" s="435"/>
      <c r="F58" s="435"/>
      <c r="G58" s="435"/>
      <c r="H58" s="435"/>
      <c r="I58" s="435"/>
      <c r="J58" s="435"/>
      <c r="K58" s="435"/>
      <c r="L58" s="188"/>
      <c r="M58" s="188"/>
      <c r="N58" s="188"/>
      <c r="O58" s="188"/>
    </row>
    <row r="59" spans="1:15" ht="12.75">
      <c r="A59" s="435" t="s">
        <v>423</v>
      </c>
      <c r="B59" s="435"/>
      <c r="C59" s="435"/>
      <c r="D59" s="435"/>
      <c r="E59" s="435"/>
      <c r="F59" s="435"/>
      <c r="G59" s="435"/>
      <c r="H59" s="435"/>
      <c r="I59" s="435"/>
      <c r="J59" s="435"/>
      <c r="K59" s="435"/>
      <c r="L59" s="188"/>
      <c r="M59" s="188"/>
      <c r="N59" s="188"/>
      <c r="O59" s="188"/>
    </row>
    <row r="60" spans="1:15" ht="12.75">
      <c r="A60" s="435" t="s">
        <v>424</v>
      </c>
      <c r="B60" s="435"/>
      <c r="C60" s="435"/>
      <c r="D60" s="435"/>
      <c r="E60" s="435"/>
      <c r="F60" s="435"/>
      <c r="G60" s="435"/>
      <c r="H60" s="435"/>
      <c r="I60" s="435"/>
      <c r="J60" s="435"/>
      <c r="K60" s="435"/>
      <c r="L60" s="188"/>
      <c r="M60" s="188"/>
      <c r="N60" s="188"/>
      <c r="O60" s="188"/>
    </row>
    <row r="61" spans="1:15" ht="12.75">
      <c r="A61" s="435" t="s">
        <v>380</v>
      </c>
      <c r="B61" s="435"/>
      <c r="C61" s="435"/>
      <c r="D61" s="435"/>
      <c r="E61" s="435"/>
      <c r="F61" s="435"/>
      <c r="G61" s="435"/>
      <c r="H61" s="435"/>
      <c r="I61" s="435"/>
      <c r="J61" s="435"/>
      <c r="K61" s="435"/>
      <c r="L61" s="188"/>
      <c r="M61" s="188"/>
      <c r="N61" s="188"/>
      <c r="O61" s="188"/>
    </row>
    <row r="62" spans="1:15" ht="9" customHeight="1">
      <c r="A62" s="435"/>
      <c r="B62" s="435"/>
      <c r="C62" s="435"/>
      <c r="D62" s="435"/>
      <c r="E62" s="435"/>
      <c r="F62" s="435"/>
      <c r="G62" s="435"/>
      <c r="H62" s="435"/>
      <c r="I62" s="435"/>
      <c r="J62" s="435"/>
      <c r="K62" s="435"/>
      <c r="L62" s="188"/>
      <c r="M62" s="188"/>
      <c r="N62" s="188"/>
      <c r="O62" s="188"/>
    </row>
    <row r="63" spans="1:15" ht="12.75">
      <c r="A63" s="435" t="s">
        <v>425</v>
      </c>
      <c r="B63" s="435"/>
      <c r="C63" s="435"/>
      <c r="D63" s="435"/>
      <c r="E63" s="435"/>
      <c r="F63" s="435"/>
      <c r="G63" s="435"/>
      <c r="H63" s="435"/>
      <c r="I63" s="435"/>
      <c r="J63" s="435"/>
      <c r="K63" s="435"/>
      <c r="L63" s="188"/>
      <c r="M63" s="188"/>
      <c r="N63" s="188"/>
      <c r="O63" s="188"/>
    </row>
    <row r="64" spans="1:15" ht="12.75">
      <c r="A64" s="435" t="s">
        <v>426</v>
      </c>
      <c r="B64" s="435"/>
      <c r="C64" s="435"/>
      <c r="D64" s="435"/>
      <c r="E64" s="435"/>
      <c r="F64" s="435"/>
      <c r="G64" s="435"/>
      <c r="H64" s="435"/>
      <c r="I64" s="435"/>
      <c r="J64" s="435"/>
      <c r="K64" s="435"/>
      <c r="L64" s="188"/>
      <c r="M64" s="188"/>
      <c r="N64" s="188"/>
      <c r="O64" s="188"/>
    </row>
    <row r="65" spans="1:15" ht="12.75">
      <c r="A65" s="435" t="s">
        <v>382</v>
      </c>
      <c r="B65" s="435"/>
      <c r="C65" s="435"/>
      <c r="D65" s="435"/>
      <c r="E65" s="435"/>
      <c r="F65" s="435"/>
      <c r="G65" s="435"/>
      <c r="H65" s="435"/>
      <c r="I65" s="435"/>
      <c r="J65" s="435"/>
      <c r="K65" s="435"/>
      <c r="L65" s="188"/>
      <c r="M65" s="188"/>
      <c r="N65" s="188"/>
      <c r="O65" s="188"/>
    </row>
    <row r="66" spans="1:15" ht="3.75" customHeight="1">
      <c r="A66" s="435"/>
      <c r="B66" s="435"/>
      <c r="C66" s="435"/>
      <c r="D66" s="435"/>
      <c r="E66" s="435"/>
      <c r="F66" s="435"/>
      <c r="G66" s="435"/>
      <c r="H66" s="435"/>
      <c r="I66" s="435"/>
      <c r="J66" s="435"/>
      <c r="K66" s="435"/>
      <c r="L66" s="188"/>
      <c r="M66" s="188"/>
      <c r="N66" s="188"/>
      <c r="O66" s="188"/>
    </row>
    <row r="67" spans="1:15" ht="12.75">
      <c r="A67" s="435" t="s">
        <v>381</v>
      </c>
      <c r="B67" s="435"/>
      <c r="C67" s="435"/>
      <c r="D67" s="435"/>
      <c r="E67" s="435"/>
      <c r="F67" s="435"/>
      <c r="G67" s="435"/>
      <c r="H67" s="435"/>
      <c r="I67" s="435"/>
      <c r="J67" s="435"/>
      <c r="K67" s="435"/>
      <c r="L67" s="188"/>
      <c r="M67" s="188"/>
      <c r="N67" s="188"/>
      <c r="O67" s="188"/>
    </row>
    <row r="68" spans="1:15" ht="12.75">
      <c r="A68" s="435" t="s">
        <v>383</v>
      </c>
      <c r="B68" s="435"/>
      <c r="C68" s="435"/>
      <c r="D68" s="435"/>
      <c r="E68" s="435"/>
      <c r="F68" s="435"/>
      <c r="G68" s="435"/>
      <c r="H68" s="435"/>
      <c r="I68" s="435"/>
      <c r="J68" s="435"/>
      <c r="K68" s="435"/>
      <c r="L68" s="188"/>
      <c r="M68" s="188"/>
      <c r="N68" s="188"/>
      <c r="O68" s="188"/>
    </row>
    <row r="69" spans="1:15" ht="3.75" customHeight="1">
      <c r="A69" s="435"/>
      <c r="B69" s="435"/>
      <c r="C69" s="435"/>
      <c r="D69" s="435"/>
      <c r="E69" s="435"/>
      <c r="F69" s="435"/>
      <c r="G69" s="435"/>
      <c r="H69" s="435"/>
      <c r="I69" s="435"/>
      <c r="J69" s="435"/>
      <c r="K69" s="435"/>
      <c r="L69" s="188"/>
      <c r="M69" s="188"/>
      <c r="N69" s="188"/>
      <c r="O69" s="188"/>
    </row>
    <row r="70" spans="1:15" ht="12.75">
      <c r="A70" s="435" t="s">
        <v>427</v>
      </c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188"/>
      <c r="M70" s="188"/>
      <c r="N70" s="188"/>
      <c r="O70" s="188"/>
    </row>
    <row r="71" spans="1:15" ht="12.75">
      <c r="A71" s="435" t="s">
        <v>428</v>
      </c>
      <c r="B71" s="435"/>
      <c r="C71" s="435"/>
      <c r="D71" s="435"/>
      <c r="E71" s="435"/>
      <c r="F71" s="435"/>
      <c r="G71" s="435"/>
      <c r="H71" s="435"/>
      <c r="I71" s="435"/>
      <c r="J71" s="435"/>
      <c r="K71" s="435"/>
      <c r="L71" s="188"/>
      <c r="M71" s="188"/>
      <c r="N71" s="188"/>
      <c r="O71" s="188"/>
    </row>
    <row r="72" spans="1:15" ht="12.75">
      <c r="A72" s="435" t="s">
        <v>429</v>
      </c>
      <c r="B72" s="435"/>
      <c r="C72" s="435"/>
      <c r="D72" s="435"/>
      <c r="E72" s="435"/>
      <c r="F72" s="435"/>
      <c r="G72" s="435"/>
      <c r="H72" s="435"/>
      <c r="I72" s="435"/>
      <c r="J72" s="435"/>
      <c r="K72" s="435"/>
      <c r="L72" s="188"/>
      <c r="M72" s="188"/>
      <c r="N72" s="188"/>
      <c r="O72" s="188"/>
    </row>
    <row r="73" spans="1:15" ht="9" customHeight="1">
      <c r="A73" s="435"/>
      <c r="B73" s="435"/>
      <c r="C73" s="435"/>
      <c r="D73" s="435"/>
      <c r="E73" s="435"/>
      <c r="F73" s="435"/>
      <c r="G73" s="435"/>
      <c r="H73" s="435"/>
      <c r="I73" s="435"/>
      <c r="J73" s="435"/>
      <c r="K73" s="435"/>
      <c r="L73" s="188"/>
      <c r="M73" s="188"/>
      <c r="N73" s="188"/>
      <c r="O73" s="188"/>
    </row>
    <row r="74" spans="1:15" ht="12.75" customHeight="1">
      <c r="A74" s="508" t="s">
        <v>459</v>
      </c>
      <c r="B74" s="508"/>
      <c r="C74" s="508"/>
      <c r="D74" s="508"/>
      <c r="E74" s="508"/>
      <c r="F74" s="508"/>
      <c r="G74" s="508"/>
      <c r="H74" s="508"/>
      <c r="I74" s="508"/>
      <c r="J74" s="508"/>
      <c r="K74" s="508"/>
      <c r="L74" s="508"/>
      <c r="M74" s="508"/>
      <c r="N74" s="508"/>
      <c r="O74" s="508"/>
    </row>
    <row r="75" spans="1:15" ht="12.75">
      <c r="A75" s="435" t="s">
        <v>372</v>
      </c>
      <c r="B75" s="435"/>
      <c r="C75" s="435"/>
      <c r="D75" s="435"/>
      <c r="E75" s="435"/>
      <c r="F75" s="435"/>
      <c r="G75" s="435"/>
      <c r="H75" s="435"/>
      <c r="I75" s="435"/>
      <c r="J75" s="435"/>
      <c r="K75" s="435"/>
      <c r="L75" s="188"/>
      <c r="M75" s="188"/>
      <c r="N75" s="188"/>
      <c r="O75" s="188"/>
    </row>
    <row r="76" spans="1:15" ht="12.75">
      <c r="A76" s="188"/>
      <c r="B76" s="435"/>
      <c r="C76" s="435"/>
      <c r="D76" s="435"/>
      <c r="E76" s="435"/>
      <c r="F76" s="435"/>
      <c r="G76" s="435"/>
      <c r="H76" s="435"/>
      <c r="I76" s="435"/>
      <c r="J76" s="435"/>
      <c r="K76" s="435"/>
      <c r="L76" s="188"/>
      <c r="M76" s="188"/>
      <c r="N76" s="188"/>
      <c r="O76" s="188"/>
    </row>
    <row r="77" spans="1:15" ht="12.75">
      <c r="A77" s="188"/>
      <c r="B77" s="435"/>
      <c r="C77" s="435"/>
      <c r="D77" s="435"/>
      <c r="E77" s="435"/>
      <c r="F77" s="435"/>
      <c r="G77" s="435"/>
      <c r="H77" s="435"/>
      <c r="I77" s="435"/>
      <c r="J77" s="435"/>
      <c r="K77" s="435"/>
      <c r="L77" s="188"/>
      <c r="M77" s="188"/>
      <c r="N77" s="188"/>
      <c r="O77" s="188"/>
    </row>
    <row r="78" spans="1:17" ht="12.75">
      <c r="A78" s="188"/>
      <c r="B78" s="435"/>
      <c r="C78" s="435"/>
      <c r="D78" s="435"/>
      <c r="E78" s="435"/>
      <c r="F78" s="435"/>
      <c r="G78" s="435"/>
      <c r="H78" s="435"/>
      <c r="I78" s="435"/>
      <c r="J78" s="435"/>
      <c r="K78" s="435"/>
      <c r="L78" s="435"/>
      <c r="M78" s="435"/>
      <c r="N78" s="188"/>
      <c r="O78" s="188"/>
      <c r="P78" s="188"/>
      <c r="Q78" s="188"/>
    </row>
    <row r="79" spans="1:17" ht="12.75">
      <c r="A79" s="188"/>
      <c r="B79" s="435"/>
      <c r="C79" s="435"/>
      <c r="D79" s="435"/>
      <c r="E79" s="435"/>
      <c r="F79" s="435"/>
      <c r="G79" s="435"/>
      <c r="H79" s="435"/>
      <c r="I79" s="435"/>
      <c r="J79" s="435"/>
      <c r="K79" s="435"/>
      <c r="L79" s="435"/>
      <c r="M79" s="435"/>
      <c r="N79" s="188"/>
      <c r="O79" s="188"/>
      <c r="P79" s="188"/>
      <c r="Q79" s="188"/>
    </row>
    <row r="80" spans="1:17" ht="12.75">
      <c r="A80" s="188"/>
      <c r="B80" s="435"/>
      <c r="C80" s="435"/>
      <c r="D80" s="435"/>
      <c r="E80" s="435"/>
      <c r="F80" s="435"/>
      <c r="G80" s="435"/>
      <c r="H80" s="435"/>
      <c r="I80" s="435"/>
      <c r="J80" s="435"/>
      <c r="K80" s="435"/>
      <c r="L80" s="435"/>
      <c r="M80" s="435"/>
      <c r="N80" s="188"/>
      <c r="O80" s="188"/>
      <c r="P80" s="188"/>
      <c r="Q80" s="188"/>
    </row>
    <row r="81" spans="1:17" ht="12.75">
      <c r="A81" s="435"/>
      <c r="B81" s="435"/>
      <c r="C81" s="435"/>
      <c r="D81" s="435"/>
      <c r="E81" s="435"/>
      <c r="F81" s="435"/>
      <c r="G81" s="435"/>
      <c r="H81" s="435"/>
      <c r="I81" s="435"/>
      <c r="J81" s="435"/>
      <c r="K81" s="435"/>
      <c r="L81" s="435"/>
      <c r="M81" s="435"/>
      <c r="N81" s="188"/>
      <c r="O81" s="188"/>
      <c r="P81" s="188"/>
      <c r="Q81" s="188"/>
    </row>
    <row r="82" spans="1:17" ht="12.75">
      <c r="A82" s="188"/>
      <c r="B82" s="188"/>
      <c r="C82" s="435"/>
      <c r="D82" s="435"/>
      <c r="E82" s="435"/>
      <c r="F82" s="435"/>
      <c r="G82" s="435"/>
      <c r="H82" s="435"/>
      <c r="I82" s="435"/>
      <c r="J82" s="435"/>
      <c r="K82" s="435"/>
      <c r="L82" s="435"/>
      <c r="M82" s="435"/>
      <c r="N82" s="188"/>
      <c r="O82" s="188"/>
      <c r="P82" s="188"/>
      <c r="Q82" s="188"/>
    </row>
    <row r="83" spans="1:17" ht="12.75">
      <c r="A83" s="188"/>
      <c r="B83" s="188"/>
      <c r="C83" s="435"/>
      <c r="D83" s="435"/>
      <c r="E83" s="435"/>
      <c r="F83" s="435"/>
      <c r="G83" s="435"/>
      <c r="H83" s="435"/>
      <c r="I83" s="435"/>
      <c r="J83" s="435"/>
      <c r="K83" s="435"/>
      <c r="L83" s="435"/>
      <c r="M83" s="435"/>
      <c r="N83" s="188"/>
      <c r="O83" s="188"/>
      <c r="P83" s="188"/>
      <c r="Q83" s="188"/>
    </row>
    <row r="84" spans="1:17" ht="12.75">
      <c r="A84" s="435"/>
      <c r="B84" s="435"/>
      <c r="C84" s="435"/>
      <c r="D84" s="435"/>
      <c r="E84" s="435"/>
      <c r="F84" s="435"/>
      <c r="G84" s="435"/>
      <c r="H84" s="435"/>
      <c r="I84" s="435"/>
      <c r="J84" s="435"/>
      <c r="K84" s="435"/>
      <c r="L84" s="435"/>
      <c r="M84" s="435"/>
      <c r="N84" s="188"/>
      <c r="O84" s="188"/>
      <c r="P84" s="188"/>
      <c r="Q84" s="188"/>
    </row>
    <row r="85" spans="1:17" ht="12.75">
      <c r="A85" s="188"/>
      <c r="B85" s="435"/>
      <c r="C85" s="435"/>
      <c r="D85" s="435"/>
      <c r="E85" s="435"/>
      <c r="F85" s="435"/>
      <c r="G85" s="435"/>
      <c r="H85" s="435"/>
      <c r="I85" s="435"/>
      <c r="J85" s="435"/>
      <c r="K85" s="435"/>
      <c r="L85" s="435"/>
      <c r="M85" s="435"/>
      <c r="N85" s="188"/>
      <c r="O85" s="188"/>
      <c r="P85" s="188"/>
      <c r="Q85" s="188"/>
    </row>
    <row r="86" spans="1:17" ht="12.75">
      <c r="A86" s="188"/>
      <c r="B86" s="435"/>
      <c r="C86" s="435"/>
      <c r="D86" s="435"/>
      <c r="E86" s="435"/>
      <c r="F86" s="435"/>
      <c r="G86" s="435"/>
      <c r="H86" s="435"/>
      <c r="I86" s="435"/>
      <c r="J86" s="435"/>
      <c r="K86" s="435"/>
      <c r="L86" s="435"/>
      <c r="M86" s="435"/>
      <c r="N86" s="188"/>
      <c r="O86" s="188"/>
      <c r="P86" s="188"/>
      <c r="Q86" s="188"/>
    </row>
    <row r="87" spans="1:17" ht="12.75">
      <c r="A87" s="188"/>
      <c r="B87" s="188"/>
      <c r="C87" s="435"/>
      <c r="D87" s="435"/>
      <c r="E87" s="435"/>
      <c r="F87" s="435"/>
      <c r="G87" s="435"/>
      <c r="H87" s="435"/>
      <c r="I87" s="435"/>
      <c r="J87" s="435"/>
      <c r="K87" s="435"/>
      <c r="L87" s="435"/>
      <c r="M87" s="435"/>
      <c r="N87" s="188"/>
      <c r="O87" s="188"/>
      <c r="P87" s="188"/>
      <c r="Q87" s="188"/>
    </row>
    <row r="88" spans="1:17" ht="12.75">
      <c r="A88" s="188"/>
      <c r="B88" s="188"/>
      <c r="C88" s="435"/>
      <c r="D88" s="435"/>
      <c r="E88" s="435"/>
      <c r="F88" s="435"/>
      <c r="G88" s="435"/>
      <c r="H88" s="435"/>
      <c r="I88" s="435"/>
      <c r="J88" s="435"/>
      <c r="K88" s="435"/>
      <c r="L88" s="435"/>
      <c r="M88" s="435"/>
      <c r="N88" s="188"/>
      <c r="O88" s="188"/>
      <c r="P88" s="188"/>
      <c r="Q88" s="188"/>
    </row>
    <row r="89" spans="1:17" ht="12.75">
      <c r="A89" s="188"/>
      <c r="B89" s="188"/>
      <c r="C89" s="435"/>
      <c r="D89" s="435"/>
      <c r="E89" s="435"/>
      <c r="F89" s="435"/>
      <c r="G89" s="435"/>
      <c r="H89" s="435"/>
      <c r="I89" s="435"/>
      <c r="J89" s="435"/>
      <c r="K89" s="435"/>
      <c r="L89" s="435"/>
      <c r="M89" s="435"/>
      <c r="N89" s="188"/>
      <c r="O89" s="188"/>
      <c r="P89" s="188"/>
      <c r="Q89" s="188"/>
    </row>
    <row r="90" spans="1:17" ht="12.75">
      <c r="A90" s="188"/>
      <c r="B90" s="188"/>
      <c r="C90" s="435"/>
      <c r="D90" s="435"/>
      <c r="E90" s="435"/>
      <c r="F90" s="435"/>
      <c r="G90" s="435"/>
      <c r="H90" s="435"/>
      <c r="I90" s="435"/>
      <c r="J90" s="435"/>
      <c r="K90" s="435"/>
      <c r="L90" s="435"/>
      <c r="M90" s="435"/>
      <c r="N90" s="188"/>
      <c r="O90" s="188"/>
      <c r="P90" s="188"/>
      <c r="Q90" s="188"/>
    </row>
    <row r="91" spans="1:17" ht="12.75">
      <c r="A91" s="188"/>
      <c r="B91" s="188"/>
      <c r="D91" s="435"/>
      <c r="E91" s="435"/>
      <c r="F91" s="435"/>
      <c r="G91" s="435"/>
      <c r="H91" s="435"/>
      <c r="I91" s="435"/>
      <c r="J91" s="435"/>
      <c r="K91" s="435"/>
      <c r="L91" s="435"/>
      <c r="M91" s="435"/>
      <c r="N91" s="188"/>
      <c r="O91" s="188"/>
      <c r="P91" s="188"/>
      <c r="Q91" s="188"/>
    </row>
    <row r="92" spans="1:17" ht="12.75">
      <c r="A92" s="188"/>
      <c r="B92" s="188"/>
      <c r="C92" s="508"/>
      <c r="D92" s="508"/>
      <c r="E92" s="508"/>
      <c r="F92" s="508"/>
      <c r="G92" s="508"/>
      <c r="H92" s="508"/>
      <c r="I92" s="508"/>
      <c r="J92" s="508"/>
      <c r="K92" s="508"/>
      <c r="L92" s="508"/>
      <c r="M92" s="508"/>
      <c r="N92" s="508"/>
      <c r="O92" s="508"/>
      <c r="P92" s="508"/>
      <c r="Q92" s="508"/>
    </row>
    <row r="93" spans="1:17" ht="12.75">
      <c r="A93" s="188"/>
      <c r="B93" s="188"/>
      <c r="C93" s="435"/>
      <c r="D93" s="435"/>
      <c r="E93" s="435"/>
      <c r="F93" s="435"/>
      <c r="G93" s="435"/>
      <c r="H93" s="435"/>
      <c r="I93" s="435"/>
      <c r="J93" s="435"/>
      <c r="K93" s="435"/>
      <c r="L93" s="435"/>
      <c r="M93" s="435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47" r:id="rId3"/>
  <headerFooter alignWithMargins="0">
    <oddHeader>&amp;R&amp;9Halton Hills Hydro Inc.
EB-2008-0381
Deferred PILs Combined Proceeding
Appendix C</oddHeader>
    <oddFooter>&amp;L&amp;8July 07, 2011
&amp;R&amp;"Arial,Bold"&amp;9&amp;A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Lois Ouellette</cp:lastModifiedBy>
  <cp:lastPrinted>2012-05-08T18:59:35Z</cp:lastPrinted>
  <dcterms:created xsi:type="dcterms:W3CDTF">2001-11-07T16:15:53Z</dcterms:created>
  <dcterms:modified xsi:type="dcterms:W3CDTF">2013-01-22T18:18:01Z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