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0730" windowHeight="9390" tabRatio="971" activeTab="5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-2LU" sheetId="40" r:id="rId9"/>
    <sheet name="2014 COP Forecast" sheetId="30" r:id="rId10"/>
    <sheet name="CDM Forecast" sheetId="35" r:id="rId11"/>
    <sheet name="Exibit 3 Tables" sheetId="24" r:id="rId12"/>
    <sheet name="ED" sheetId="31" r:id="rId13"/>
    <sheet name="Chart1" sheetId="26" r:id="rId14"/>
    <sheet name="IR Chart" sheetId="38" r:id="rId15"/>
    <sheet name="Sheet1" sheetId="3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ort" localSheetId="7" hidden="1">[1]Sheet1!$G$40:$K$40</definedName>
    <definedName name="_Sort" localSheetId="9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1" hidden="1">[3]Sheet1!$G$40:$K$40</definedName>
    <definedName name="_Sort" localSheetId="6" hidden="1">#REF!</definedName>
    <definedName name="_Sort" hidden="1">[4]Sheet1!$G$40:$K$40</definedName>
    <definedName name="CAfile" localSheetId="11">[5]Refs!$B$2</definedName>
    <definedName name="CAfile">[6]Refs!$B$2</definedName>
    <definedName name="CArevReq" localSheetId="11">[5]Refs!$B$6</definedName>
    <definedName name="CArevReq">[6]Refs!$B$6</definedName>
    <definedName name="ClassRange1" localSheetId="11">[5]Refs!$B$3</definedName>
    <definedName name="ClassRange1">[6]Refs!$B$3</definedName>
    <definedName name="ClassRange2" localSheetId="11">[5]Refs!$B$4</definedName>
    <definedName name="ClassRange2">[6]Refs!$B$4</definedName>
    <definedName name="FolderPath" localSheetId="11">[5]Menu!$C$8</definedName>
    <definedName name="FolderPath">[6]Menu!$C$8</definedName>
    <definedName name="kk" localSheetId="8">#REF!</definedName>
    <definedName name="kk">#REF!</definedName>
    <definedName name="NewRevReq" localSheetId="11">[5]Refs!$B$8</definedName>
    <definedName name="NewRevReq">[6]Refs!$B$8</definedName>
    <definedName name="PAGE11" localSheetId="7">#REF!</definedName>
    <definedName name="PAGE11" localSheetId="9">#REF!</definedName>
    <definedName name="PAGE11" localSheetId="8">#REF!</definedName>
    <definedName name="PAGE11" localSheetId="11">#REF!</definedName>
    <definedName name="PAGE11" localSheetId="6">#REF!</definedName>
    <definedName name="PAGE11">#REF!</definedName>
    <definedName name="PAGE2" localSheetId="7">[1]Sheet1!$A$1:$I$40</definedName>
    <definedName name="PAGE2" localSheetId="9">[1]Sheet1!$A$1:$I$40</definedName>
    <definedName name="PAGE2" localSheetId="8">[1]Sheet1!$A$1:$I$40</definedName>
    <definedName name="PAGE2" localSheetId="5">[2]Sheet1!$A$1:$I$40</definedName>
    <definedName name="PAGE2" localSheetId="11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9">#REF!</definedName>
    <definedName name="PAGE3" localSheetId="8">#REF!</definedName>
    <definedName name="PAGE3" localSheetId="11">#REF!</definedName>
    <definedName name="PAGE3" localSheetId="6">#REF!</definedName>
    <definedName name="PAGE3">#REF!</definedName>
    <definedName name="PAGE4" localSheetId="7">#REF!</definedName>
    <definedName name="PAGE4" localSheetId="9">#REF!</definedName>
    <definedName name="PAGE4" localSheetId="8">#REF!</definedName>
    <definedName name="PAGE4" localSheetId="11">#REF!</definedName>
    <definedName name="PAGE4" localSheetId="6">#REF!</definedName>
    <definedName name="PAGE4">#REF!</definedName>
    <definedName name="PAGE7" localSheetId="7">#REF!</definedName>
    <definedName name="PAGE7" localSheetId="9">#REF!</definedName>
    <definedName name="PAGE7" localSheetId="8">#REF!</definedName>
    <definedName name="PAGE7" localSheetId="11">#REF!</definedName>
    <definedName name="PAGE7" localSheetId="6">#REF!</definedName>
    <definedName name="PAGE7">#REF!</definedName>
    <definedName name="PAGE9" localSheetId="7">#REF!</definedName>
    <definedName name="PAGE9" localSheetId="9">#REF!</definedName>
    <definedName name="PAGE9" localSheetId="8">#REF!</definedName>
    <definedName name="PAGE9" localSheetId="11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Activity'!$A$1:$J$32</definedName>
    <definedName name="_xlnm.Print_Area" localSheetId="12">ED!$A$1:$C$21</definedName>
    <definedName name="_xlnm.Print_Area" localSheetId="11">'Exibit 3 Tables'!$A$1:$J$393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1">[5]Refs!$B$5</definedName>
    <definedName name="RevReqLookupKey">[6]Refs!$B$5</definedName>
    <definedName name="RevReqRange" localSheetId="11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K96" i="9" l="1"/>
  <c r="C36" i="23"/>
  <c r="C34" i="23"/>
  <c r="C33" i="23"/>
  <c r="K97" i="9"/>
  <c r="D36" i="23"/>
  <c r="D34" i="23"/>
  <c r="D35" i="23"/>
  <c r="D33" i="23"/>
  <c r="D30" i="23"/>
  <c r="D29" i="23"/>
  <c r="C29" i="23"/>
  <c r="B28" i="23" l="1"/>
  <c r="C10" i="23" l="1"/>
  <c r="C11" i="23"/>
  <c r="C25" i="9"/>
  <c r="B8" i="23" l="1"/>
  <c r="B5" i="40" l="1"/>
  <c r="B17" i="40" s="1"/>
  <c r="D17" i="40" s="1"/>
  <c r="E81" i="40"/>
  <c r="A80" i="40"/>
  <c r="F75" i="40"/>
  <c r="E63" i="40"/>
  <c r="E62" i="40"/>
  <c r="E61" i="40"/>
  <c r="E60" i="40"/>
  <c r="E59" i="40"/>
  <c r="E64" i="40" s="1"/>
  <c r="F64" i="40" s="1"/>
  <c r="E53" i="40"/>
  <c r="E52" i="40"/>
  <c r="C52" i="40"/>
  <c r="E51" i="40"/>
  <c r="C51" i="40"/>
  <c r="E50" i="40"/>
  <c r="C50" i="40"/>
  <c r="A50" i="40"/>
  <c r="A61" i="40" s="1"/>
  <c r="A72" i="40" s="1"/>
  <c r="E49" i="40"/>
  <c r="C49" i="40"/>
  <c r="E48" i="40"/>
  <c r="C48" i="40"/>
  <c r="E47" i="40"/>
  <c r="C47" i="40"/>
  <c r="E42" i="40"/>
  <c r="E41" i="40"/>
  <c r="A41" i="40"/>
  <c r="A52" i="40" s="1"/>
  <c r="A63" i="40" s="1"/>
  <c r="A74" i="40" s="1"/>
  <c r="E40" i="40"/>
  <c r="A40" i="40"/>
  <c r="A51" i="40" s="1"/>
  <c r="A62" i="40" s="1"/>
  <c r="A73" i="40" s="1"/>
  <c r="E39" i="40"/>
  <c r="A39" i="40"/>
  <c r="E38" i="40"/>
  <c r="A38" i="40"/>
  <c r="A49" i="40" s="1"/>
  <c r="A60" i="40" s="1"/>
  <c r="A71" i="40" s="1"/>
  <c r="E37" i="40"/>
  <c r="A37" i="40"/>
  <c r="A48" i="40" s="1"/>
  <c r="A59" i="40" s="1"/>
  <c r="A70" i="40" s="1"/>
  <c r="E36" i="40"/>
  <c r="A36" i="40"/>
  <c r="A47" i="40" s="1"/>
  <c r="A58" i="40" s="1"/>
  <c r="A69" i="40" s="1"/>
  <c r="A81" i="40" s="1"/>
  <c r="E27" i="40"/>
  <c r="E28" i="40" s="1"/>
  <c r="E29" i="40" s="1"/>
  <c r="E30" i="40" s="1"/>
  <c r="E31" i="40" s="1"/>
  <c r="C27" i="40"/>
  <c r="E26" i="40"/>
  <c r="E20" i="40"/>
  <c r="C20" i="40"/>
  <c r="D20" i="40" s="1"/>
  <c r="F20" i="40" s="1"/>
  <c r="E19" i="40"/>
  <c r="C19" i="40"/>
  <c r="C30" i="40" s="1"/>
  <c r="E18" i="40"/>
  <c r="C18" i="40"/>
  <c r="C29" i="40" s="1"/>
  <c r="E17" i="40"/>
  <c r="E16" i="40"/>
  <c r="C16" i="40"/>
  <c r="E15" i="40"/>
  <c r="C15" i="40"/>
  <c r="C26" i="40" s="1"/>
  <c r="C14" i="40"/>
  <c r="C25" i="40" s="1"/>
  <c r="F4" i="40"/>
  <c r="D4" i="40"/>
  <c r="D3" i="40"/>
  <c r="D2" i="40"/>
  <c r="C31" i="40" l="1"/>
  <c r="D31" i="40" s="1"/>
  <c r="F31" i="40" s="1"/>
  <c r="F17" i="40"/>
  <c r="B28" i="40"/>
  <c r="D28" i="40" s="1"/>
  <c r="F28" i="40" s="1"/>
  <c r="G387" i="24"/>
  <c r="F387" i="24"/>
  <c r="E387" i="24"/>
  <c r="G386" i="24"/>
  <c r="F386" i="24"/>
  <c r="E386" i="24"/>
  <c r="D61" i="40" l="1"/>
  <c r="E20" i="30"/>
  <c r="E19" i="30"/>
  <c r="E18" i="30"/>
  <c r="E17" i="30"/>
  <c r="E16" i="30"/>
  <c r="E15" i="30"/>
  <c r="F61" i="40" l="1"/>
  <c r="D72" i="40"/>
  <c r="F72" i="40" s="1"/>
  <c r="B2" i="23" l="1"/>
  <c r="J30" i="29" l="1"/>
  <c r="J31" i="29" s="1"/>
  <c r="D383" i="24" l="1"/>
  <c r="N41" i="11" l="1"/>
  <c r="M41" i="11"/>
  <c r="L41" i="11"/>
  <c r="K41" i="11"/>
  <c r="J41" i="11"/>
  <c r="I41" i="11"/>
  <c r="H41" i="11"/>
  <c r="G41" i="11"/>
  <c r="F41" i="11"/>
  <c r="E41" i="11"/>
  <c r="D41" i="11"/>
  <c r="N40" i="11"/>
  <c r="M40" i="11"/>
  <c r="L40" i="11"/>
  <c r="K40" i="11"/>
  <c r="J40" i="11"/>
  <c r="I40" i="11"/>
  <c r="H40" i="11"/>
  <c r="G40" i="11"/>
  <c r="F40" i="11"/>
  <c r="E40" i="11"/>
  <c r="D40" i="11"/>
  <c r="E39" i="11" l="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G278" i="24" l="1"/>
  <c r="F278" i="24"/>
  <c r="J216" i="24" l="1"/>
  <c r="J215" i="24"/>
  <c r="J214" i="24"/>
  <c r="J213" i="24"/>
  <c r="J212" i="24"/>
  <c r="J211" i="24"/>
  <c r="J210" i="24"/>
  <c r="J209" i="24"/>
  <c r="J208" i="24"/>
  <c r="J207" i="24"/>
  <c r="J206" i="24"/>
  <c r="C31" i="30"/>
  <c r="D31" i="30" s="1"/>
  <c r="C20" i="30"/>
  <c r="D20" i="30" s="1"/>
  <c r="F20" i="30" s="1"/>
  <c r="F75" i="30"/>
  <c r="A36" i="30"/>
  <c r="A37" i="30"/>
  <c r="A38" i="30"/>
  <c r="A39" i="30"/>
  <c r="A40" i="30"/>
  <c r="A41" i="30"/>
  <c r="H199" i="24"/>
  <c r="G199" i="24"/>
  <c r="H198" i="24"/>
  <c r="G198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3" i="24"/>
  <c r="A133" i="24"/>
  <c r="E25" i="29" l="1"/>
  <c r="F4" i="30" l="1"/>
  <c r="F4" i="29"/>
  <c r="N33" i="35" l="1"/>
  <c r="K31" i="35"/>
  <c r="J31" i="35"/>
  <c r="I31" i="35"/>
  <c r="H31" i="35"/>
  <c r="T30" i="35"/>
  <c r="Q30" i="35"/>
  <c r="P30" i="35"/>
  <c r="Q29" i="35"/>
  <c r="T29" i="35" s="1"/>
  <c r="P29" i="35"/>
  <c r="M26" i="35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Q12" i="35"/>
  <c r="R12" i="35" s="1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P8" i="35"/>
  <c r="P14" i="35" s="1"/>
  <c r="M33" i="35" l="1"/>
  <c r="E278" i="24" s="1"/>
  <c r="S29" i="35"/>
  <c r="Q31" i="35"/>
  <c r="R33" i="35"/>
  <c r="P31" i="35"/>
  <c r="P33" i="35" s="1"/>
  <c r="P37" i="35" s="1"/>
  <c r="S10" i="35"/>
  <c r="S33" i="35" s="1"/>
  <c r="Q14" i="35"/>
  <c r="T17" i="35"/>
  <c r="T33" i="35" s="1"/>
  <c r="Q21" i="35"/>
  <c r="Q26" i="35"/>
  <c r="Q33" i="35" s="1"/>
  <c r="A17" i="23" s="1"/>
  <c r="Q37" i="35" l="1"/>
  <c r="R34" i="35"/>
  <c r="S34" i="35"/>
  <c r="T34" i="35"/>
  <c r="E63" i="30" l="1"/>
  <c r="E62" i="30"/>
  <c r="E61" i="30"/>
  <c r="E60" i="30"/>
  <c r="E59" i="30"/>
  <c r="E64" i="30" s="1"/>
  <c r="F64" i="30" s="1"/>
  <c r="E64" i="29" l="1"/>
  <c r="E63" i="29"/>
  <c r="E62" i="29"/>
  <c r="E61" i="29"/>
  <c r="E60" i="29"/>
  <c r="E59" i="29"/>
  <c r="E81" i="30" l="1"/>
  <c r="A80" i="30"/>
  <c r="E81" i="29"/>
  <c r="E11" i="31" l="1"/>
  <c r="G11" i="31" s="1"/>
  <c r="I11" i="31" s="1"/>
  <c r="D386" i="24" l="1"/>
  <c r="I12" i="31"/>
  <c r="D387" i="24" s="1"/>
  <c r="D392" i="24" s="1"/>
  <c r="E256" i="24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6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C15" i="30" l="1"/>
  <c r="C16" i="30"/>
  <c r="C18" i="30"/>
  <c r="C19" i="30"/>
  <c r="C14" i="30"/>
  <c r="E15" i="29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33" i="17"/>
  <c r="I34" i="17"/>
  <c r="I35" i="17"/>
  <c r="I36" i="17"/>
  <c r="I37" i="17"/>
  <c r="I38" i="17"/>
  <c r="I29" i="17"/>
  <c r="I42" i="17" l="1"/>
  <c r="I40" i="17" s="1"/>
  <c r="D20" i="29"/>
  <c r="E16" i="29"/>
  <c r="D31" i="29"/>
  <c r="D64" i="29" l="1"/>
  <c r="D75" i="29" s="1"/>
  <c r="F75" i="29" s="1"/>
  <c r="E17" i="29"/>
  <c r="F31" i="29"/>
  <c r="F64" i="29" l="1"/>
  <c r="E18" i="29"/>
  <c r="E19" i="29" l="1"/>
  <c r="E20" i="29" l="1"/>
  <c r="F20" i="29" s="1"/>
  <c r="E26" i="30" l="1"/>
  <c r="E27" i="30" s="1"/>
  <c r="E28" i="30" s="1"/>
  <c r="E29" i="30" s="1"/>
  <c r="E30" i="30" s="1"/>
  <c r="E31" i="30" s="1"/>
  <c r="F31" i="30" s="1"/>
  <c r="C20" i="31" l="1"/>
  <c r="B20" i="31"/>
  <c r="D42" i="40" l="1"/>
  <c r="I387" i="24"/>
  <c r="H387" i="24"/>
  <c r="P41" i="11"/>
  <c r="O41" i="11"/>
  <c r="D42" i="30"/>
  <c r="D42" i="29"/>
  <c r="I386" i="24"/>
  <c r="H386" i="24"/>
  <c r="P40" i="11"/>
  <c r="O40" i="11"/>
  <c r="C18" i="31"/>
  <c r="B18" i="31"/>
  <c r="D194" i="19"/>
  <c r="F42" i="29" l="1"/>
  <c r="D53" i="29"/>
  <c r="F53" i="29" s="1"/>
  <c r="D53" i="30"/>
  <c r="F53" i="30" s="1"/>
  <c r="F42" i="30"/>
  <c r="D53" i="40"/>
  <c r="F53" i="40" s="1"/>
  <c r="F42" i="40"/>
  <c r="O98" i="19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P67" i="19" s="1"/>
  <c r="E66" i="19"/>
  <c r="P66" i="19" s="1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P98" i="19" s="1"/>
  <c r="E97" i="19"/>
  <c r="P97" i="19" s="1"/>
  <c r="E96" i="19"/>
  <c r="P96" i="19" s="1"/>
  <c r="E95" i="19"/>
  <c r="P95" i="19" s="1"/>
  <c r="E94" i="19"/>
  <c r="P94" i="19" s="1"/>
  <c r="E93" i="19"/>
  <c r="P93" i="19" s="1"/>
  <c r="E92" i="19"/>
  <c r="P92" i="19" s="1"/>
  <c r="E91" i="19"/>
  <c r="P91" i="19" s="1"/>
  <c r="E90" i="19"/>
  <c r="P90" i="19" s="1"/>
  <c r="E89" i="19"/>
  <c r="P89" i="19" s="1"/>
  <c r="E88" i="19"/>
  <c r="P88" i="19" s="1"/>
  <c r="E87" i="19"/>
  <c r="P87" i="19" s="1"/>
  <c r="E86" i="19"/>
  <c r="P86" i="19" s="1"/>
  <c r="E85" i="19"/>
  <c r="P85" i="19" s="1"/>
  <c r="E84" i="19"/>
  <c r="P84" i="19" s="1"/>
  <c r="E83" i="19"/>
  <c r="P83" i="19" s="1"/>
  <c r="E82" i="19"/>
  <c r="P82" i="19" s="1"/>
  <c r="E81" i="19"/>
  <c r="P81" i="19" s="1"/>
  <c r="E80" i="19"/>
  <c r="P80" i="19" s="1"/>
  <c r="E79" i="19"/>
  <c r="P79" i="19" s="1"/>
  <c r="E78" i="19"/>
  <c r="P78" i="19" s="1"/>
  <c r="E77" i="19"/>
  <c r="P77" i="19" s="1"/>
  <c r="E76" i="19"/>
  <c r="P76" i="19" s="1"/>
  <c r="E75" i="19"/>
  <c r="P75" i="19" s="1"/>
  <c r="E74" i="19"/>
  <c r="P74" i="19" s="1"/>
  <c r="E73" i="19"/>
  <c r="P73" i="19" s="1"/>
  <c r="E72" i="19"/>
  <c r="P72" i="19" s="1"/>
  <c r="E71" i="19"/>
  <c r="P71" i="19" s="1"/>
  <c r="E70" i="19"/>
  <c r="P70" i="19" s="1"/>
  <c r="E69" i="19"/>
  <c r="P69" i="19" s="1"/>
  <c r="E68" i="19"/>
  <c r="P68" i="19" s="1"/>
  <c r="E65" i="19"/>
  <c r="P65" i="19" s="1"/>
  <c r="E64" i="19"/>
  <c r="P64" i="19" s="1"/>
  <c r="E63" i="19"/>
  <c r="P63" i="19" s="1"/>
  <c r="E62" i="19"/>
  <c r="P62" i="19" s="1"/>
  <c r="E61" i="19"/>
  <c r="P61" i="19" s="1"/>
  <c r="E60" i="19"/>
  <c r="P60" i="19" s="1"/>
  <c r="E59" i="19"/>
  <c r="P59" i="19" s="1"/>
  <c r="E58" i="19"/>
  <c r="P58" i="19" s="1"/>
  <c r="E57" i="19"/>
  <c r="P57" i="19" s="1"/>
  <c r="E56" i="19"/>
  <c r="P56" i="19" s="1"/>
  <c r="E55" i="19"/>
  <c r="P55" i="19" s="1"/>
  <c r="E54" i="19"/>
  <c r="P54" i="19" s="1"/>
  <c r="E53" i="19"/>
  <c r="P53" i="19" s="1"/>
  <c r="E52" i="19"/>
  <c r="P52" i="19" s="1"/>
  <c r="E51" i="19"/>
  <c r="P51" i="19" s="1"/>
  <c r="E50" i="19"/>
  <c r="P50" i="19" s="1"/>
  <c r="E49" i="19"/>
  <c r="P49" i="19" s="1"/>
  <c r="E48" i="19"/>
  <c r="P48" i="19" s="1"/>
  <c r="E47" i="19"/>
  <c r="P47" i="19" s="1"/>
  <c r="E46" i="19"/>
  <c r="P46" i="19" s="1"/>
  <c r="E45" i="19"/>
  <c r="P45" i="19" s="1"/>
  <c r="E44" i="19"/>
  <c r="P44" i="19" s="1"/>
  <c r="E43" i="19"/>
  <c r="P43" i="19" s="1"/>
  <c r="E42" i="19"/>
  <c r="P42" i="19" s="1"/>
  <c r="E41" i="19"/>
  <c r="P41" i="19" s="1"/>
  <c r="E40" i="19"/>
  <c r="P40" i="19" s="1"/>
  <c r="E39" i="19"/>
  <c r="P39" i="19" s="1"/>
  <c r="E38" i="19"/>
  <c r="P38" i="19" s="1"/>
  <c r="E37" i="19"/>
  <c r="P37" i="19" s="1"/>
  <c r="E36" i="19"/>
  <c r="P36" i="19" s="1"/>
  <c r="E35" i="19"/>
  <c r="P35" i="19" s="1"/>
  <c r="E34" i="19"/>
  <c r="P34" i="19" s="1"/>
  <c r="E33" i="19"/>
  <c r="P33" i="19" s="1"/>
  <c r="E32" i="19"/>
  <c r="P32" i="19" s="1"/>
  <c r="E31" i="19"/>
  <c r="P31" i="19" s="1"/>
  <c r="E30" i="19"/>
  <c r="P30" i="19" s="1"/>
  <c r="E29" i="19"/>
  <c r="P29" i="19" s="1"/>
  <c r="E28" i="19"/>
  <c r="P28" i="19" s="1"/>
  <c r="E27" i="19"/>
  <c r="P27" i="19" s="1"/>
  <c r="E26" i="19"/>
  <c r="P26" i="19" s="1"/>
  <c r="E25" i="19"/>
  <c r="P25" i="19" s="1"/>
  <c r="E24" i="19"/>
  <c r="P24" i="19" s="1"/>
  <c r="E23" i="19"/>
  <c r="P23" i="19" s="1"/>
  <c r="E22" i="19"/>
  <c r="P22" i="19" s="1"/>
  <c r="E21" i="19"/>
  <c r="P21" i="19" s="1"/>
  <c r="E20" i="19"/>
  <c r="P20" i="19" s="1"/>
  <c r="E19" i="19"/>
  <c r="P19" i="19" s="1"/>
  <c r="E18" i="19"/>
  <c r="P18" i="19" s="1"/>
  <c r="E17" i="19"/>
  <c r="P17" i="19" s="1"/>
  <c r="E16" i="19"/>
  <c r="P16" i="19" s="1"/>
  <c r="E15" i="19"/>
  <c r="P15" i="19" s="1"/>
  <c r="E14" i="19"/>
  <c r="P14" i="19" s="1"/>
  <c r="E13" i="19"/>
  <c r="P13" i="19" s="1"/>
  <c r="E12" i="19"/>
  <c r="P12" i="19" s="1"/>
  <c r="E11" i="19"/>
  <c r="P11" i="19" s="1"/>
  <c r="E10" i="19"/>
  <c r="P10" i="19" s="1"/>
  <c r="E9" i="19"/>
  <c r="P9" i="19" s="1"/>
  <c r="E8" i="19"/>
  <c r="P8" i="19" s="1"/>
  <c r="E7" i="19"/>
  <c r="P7" i="19" s="1"/>
  <c r="E6" i="19"/>
  <c r="P6" i="19" s="1"/>
  <c r="E5" i="19"/>
  <c r="P5" i="19" s="1"/>
  <c r="E4" i="19"/>
  <c r="P4" i="19" s="1"/>
  <c r="E3" i="19"/>
  <c r="P3" i="19" s="1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8" i="24" l="1"/>
  <c r="E318" i="24"/>
  <c r="D318" i="24"/>
  <c r="A240" i="24"/>
  <c r="A239" i="24"/>
  <c r="A175" i="24"/>
  <c r="A192" i="24" s="1"/>
  <c r="A216" i="24" s="1"/>
  <c r="A233" i="24" s="1"/>
  <c r="A318" i="24" s="1"/>
  <c r="A335" i="24" s="1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H175" i="24"/>
  <c r="G175" i="24"/>
  <c r="F175" i="24"/>
  <c r="E175" i="24"/>
  <c r="D175" i="24"/>
  <c r="N36" i="11"/>
  <c r="I42" i="24" s="1"/>
  <c r="M36" i="11"/>
  <c r="L36" i="11"/>
  <c r="K36" i="11"/>
  <c r="J36" i="11"/>
  <c r="E378" i="24" l="1"/>
  <c r="G378" i="24"/>
  <c r="F378" i="24"/>
  <c r="G318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8" i="24" l="1"/>
  <c r="F368" i="24"/>
  <c r="E373" i="24"/>
  <c r="G368" i="24"/>
  <c r="G42" i="24"/>
  <c r="F373" i="24"/>
  <c r="G373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34" i="18" l="1"/>
  <c r="C34" i="18"/>
  <c r="C18" i="18" s="1"/>
  <c r="C5" i="40" s="1"/>
  <c r="D39" i="40" s="1"/>
  <c r="D335" i="24"/>
  <c r="E335" i="24"/>
  <c r="F335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D50" i="40" l="1"/>
  <c r="F50" i="40" s="1"/>
  <c r="F39" i="40"/>
  <c r="I50" i="11"/>
  <c r="I45" i="11"/>
  <c r="M50" i="11"/>
  <c r="F396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96" i="24" s="1"/>
  <c r="D50" i="11"/>
  <c r="H50" i="11"/>
  <c r="L50" i="11"/>
  <c r="E396" i="24" s="1"/>
  <c r="E355" i="24"/>
  <c r="F355" i="24"/>
  <c r="E359" i="24"/>
  <c r="G359" i="24"/>
  <c r="E42" i="24"/>
  <c r="F363" i="24"/>
  <c r="G363" i="24"/>
  <c r="F42" i="24"/>
  <c r="G355" i="24"/>
  <c r="D42" i="24"/>
  <c r="F359" i="24"/>
  <c r="E363" i="24"/>
  <c r="F26" i="17"/>
  <c r="G382" i="24" l="1"/>
  <c r="G391" i="24" s="1"/>
  <c r="E382" i="24"/>
  <c r="E391" i="24" s="1"/>
  <c r="F382" i="24"/>
  <c r="F391" i="24" s="1"/>
  <c r="J42" i="24"/>
  <c r="B11" i="23" l="1"/>
  <c r="E265" i="24" s="1"/>
  <c r="B10" i="23"/>
  <c r="B9" i="23"/>
  <c r="B7" i="23"/>
  <c r="B6" i="23"/>
  <c r="B5" i="23"/>
  <c r="B4" i="23"/>
  <c r="B3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C14" i="23" l="1"/>
  <c r="G7" i="23"/>
  <c r="B14" i="23"/>
  <c r="F4" i="23"/>
  <c r="D4" i="23"/>
  <c r="D6" i="23"/>
  <c r="D8" i="23"/>
  <c r="D10" i="23"/>
  <c r="D5" i="23"/>
  <c r="D7" i="23"/>
  <c r="D9" i="23"/>
  <c r="C12" i="23"/>
  <c r="D111" i="24"/>
  <c r="F256" i="24"/>
  <c r="G256" i="24" s="1"/>
  <c r="H256" i="24" s="1"/>
  <c r="H113" i="24"/>
  <c r="F265" i="24"/>
  <c r="G265" i="24" s="1"/>
  <c r="H265" i="24" s="1"/>
  <c r="D2" i="23"/>
  <c r="F2" i="23"/>
  <c r="F3" i="23"/>
  <c r="F5" i="23"/>
  <c r="G5" i="23" s="1"/>
  <c r="B12" i="23"/>
  <c r="E257" i="24"/>
  <c r="D11" i="23"/>
  <c r="A23" i="9"/>
  <c r="A24" i="9"/>
  <c r="G4" i="23" l="1"/>
  <c r="G3" i="23"/>
  <c r="H3" i="23" s="1"/>
  <c r="G2" i="23"/>
  <c r="H2" i="23" s="1"/>
  <c r="G6" i="23"/>
  <c r="E2" i="23"/>
  <c r="G17" i="17"/>
  <c r="G18" i="17"/>
  <c r="I175" i="24" s="1"/>
  <c r="J175" i="24" s="1"/>
  <c r="I2" i="23" l="1"/>
  <c r="N2" i="23"/>
  <c r="N3" i="23"/>
  <c r="H18" i="17"/>
  <c r="N54" i="11" s="1"/>
  <c r="H17" i="17"/>
  <c r="M54" i="11" s="1"/>
  <c r="J17" i="17" l="1"/>
  <c r="M59" i="11" s="1"/>
  <c r="J18" i="17"/>
  <c r="N59" i="11" s="1"/>
  <c r="F2" i="17"/>
  <c r="A84" i="24"/>
  <c r="A104" i="24" s="1"/>
  <c r="A42" i="24"/>
  <c r="A62" i="24" s="1"/>
  <c r="A43" i="24"/>
  <c r="D27" i="23"/>
  <c r="C27" i="23"/>
  <c r="B27" i="23"/>
  <c r="A27" i="23"/>
  <c r="F8" i="23" s="1"/>
  <c r="G8" i="23" s="1"/>
  <c r="F10" i="23" l="1"/>
  <c r="G116" i="24"/>
  <c r="F11" i="23"/>
  <c r="H116" i="24"/>
  <c r="F9" i="23"/>
  <c r="G9" i="23" s="1"/>
  <c r="F116" i="24"/>
  <c r="A21" i="23"/>
  <c r="B21" i="23"/>
  <c r="C21" i="23"/>
  <c r="D21" i="23"/>
  <c r="B22" i="23"/>
  <c r="E272" i="24" s="1"/>
  <c r="C22" i="23"/>
  <c r="F272" i="24" s="1"/>
  <c r="D22" i="23"/>
  <c r="G272" i="24" s="1"/>
  <c r="G11" i="23" l="1"/>
  <c r="G10" i="23"/>
  <c r="E22" i="23"/>
  <c r="E21" i="23"/>
  <c r="E18" i="27"/>
  <c r="C23" i="23" l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F273" i="24" l="1"/>
  <c r="U16" i="27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61" i="30" s="1"/>
  <c r="A72" i="30" s="1"/>
  <c r="A49" i="30"/>
  <c r="A60" i="30" s="1"/>
  <c r="A71" i="30" s="1"/>
  <c r="A48" i="30"/>
  <c r="A59" i="30" s="1"/>
  <c r="A70" i="30" s="1"/>
  <c r="A47" i="30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A58" i="30" l="1"/>
  <c r="A69" i="30" s="1"/>
  <c r="A81" i="30" s="1"/>
  <c r="G348" i="24"/>
  <c r="N70" i="11"/>
  <c r="B20" i="9"/>
  <c r="L4" i="11"/>
  <c r="E348" i="24" s="1"/>
  <c r="B21" i="9"/>
  <c r="M4" i="11"/>
  <c r="F348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3" i="24"/>
  <c r="D368" i="24"/>
  <c r="D363" i="24"/>
  <c r="D359" i="24"/>
  <c r="D355" i="24"/>
  <c r="D377" i="24"/>
  <c r="D372" i="24"/>
  <c r="D367" i="24"/>
  <c r="A367" i="24"/>
  <c r="J284" i="24"/>
  <c r="J289" i="24" s="1"/>
  <c r="G304" i="24" s="1"/>
  <c r="G339" i="24" s="1"/>
  <c r="B269" i="24"/>
  <c r="G252" i="24"/>
  <c r="H252" i="24"/>
  <c r="I252" i="24"/>
  <c r="F252" i="24"/>
  <c r="A180" i="24"/>
  <c r="A204" i="24" s="1"/>
  <c r="A221" i="24" s="1"/>
  <c r="A306" i="24" s="1"/>
  <c r="A323" i="24" s="1"/>
  <c r="A181" i="24"/>
  <c r="A205" i="24" s="1"/>
  <c r="A222" i="24" s="1"/>
  <c r="A307" i="24" s="1"/>
  <c r="A324" i="24" s="1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39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4" i="24"/>
  <c r="A134" i="24"/>
  <c r="E132" i="24"/>
  <c r="A132" i="24"/>
  <c r="E126" i="24"/>
  <c r="E127" i="24"/>
  <c r="E128" i="24"/>
  <c r="E129" i="24"/>
  <c r="E130" i="24"/>
  <c r="E131" i="24"/>
  <c r="E125" i="24"/>
  <c r="A129" i="24"/>
  <c r="A130" i="24"/>
  <c r="A131" i="24"/>
  <c r="A128" i="24"/>
  <c r="A127" i="24"/>
  <c r="A126" i="24"/>
  <c r="A125" i="24"/>
  <c r="E123" i="24"/>
  <c r="E122" i="24"/>
  <c r="E121" i="24"/>
  <c r="A72" i="24"/>
  <c r="A92" i="24" s="1"/>
  <c r="A73" i="24"/>
  <c r="A93" i="24" s="1"/>
  <c r="E70" i="24"/>
  <c r="F70" i="24"/>
  <c r="G70" i="24"/>
  <c r="H70" i="24"/>
  <c r="I70" i="24"/>
  <c r="E67" i="24"/>
  <c r="E161" i="24" s="1"/>
  <c r="E178" i="24" s="1"/>
  <c r="E196" i="24" s="1"/>
  <c r="E202" i="24" s="1"/>
  <c r="E219" i="24" s="1"/>
  <c r="E237" i="24" s="1"/>
  <c r="E243" i="24" s="1"/>
  <c r="F67" i="24"/>
  <c r="F161" i="24" s="1"/>
  <c r="F178" i="24" s="1"/>
  <c r="F196" i="24" s="1"/>
  <c r="F202" i="24" s="1"/>
  <c r="F219" i="24" s="1"/>
  <c r="F237" i="24" s="1"/>
  <c r="F243" i="24" s="1"/>
  <c r="H67" i="24"/>
  <c r="H161" i="24" s="1"/>
  <c r="H178" i="24" s="1"/>
  <c r="H196" i="24" s="1"/>
  <c r="H202" i="24" s="1"/>
  <c r="H219" i="24" s="1"/>
  <c r="H237" i="24" s="1"/>
  <c r="H243" i="24" s="1"/>
  <c r="I67" i="24"/>
  <c r="I161" i="24" s="1"/>
  <c r="I178" i="24" s="1"/>
  <c r="I196" i="24" s="1"/>
  <c r="I202" i="24" s="1"/>
  <c r="I219" i="24" s="1"/>
  <c r="I237" i="24" s="1"/>
  <c r="I243" i="24" s="1"/>
  <c r="J48" i="24"/>
  <c r="G6" i="24" s="1"/>
  <c r="A30" i="24"/>
  <c r="A50" i="24" s="1"/>
  <c r="A31" i="24"/>
  <c r="A51" i="24" s="1"/>
  <c r="D378" i="24"/>
  <c r="D362" i="24"/>
  <c r="D358" i="24"/>
  <c r="D354" i="24"/>
  <c r="A295" i="24"/>
  <c r="A298" i="24" s="1"/>
  <c r="A294" i="24"/>
  <c r="A297" i="24" s="1"/>
  <c r="A234" i="24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182" i="24"/>
  <c r="A206" i="24" s="1"/>
  <c r="A223" i="24" s="1"/>
  <c r="A308" i="24" s="1"/>
  <c r="A325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1" i="24" s="1"/>
  <c r="D178" i="24" s="1"/>
  <c r="D196" i="24" s="1"/>
  <c r="D202" i="24" s="1"/>
  <c r="D219" i="24" s="1"/>
  <c r="D237" i="24" s="1"/>
  <c r="D243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8" i="24"/>
  <c r="E259" i="24"/>
  <c r="F260" i="24"/>
  <c r="E262" i="24"/>
  <c r="G113" i="24"/>
  <c r="F264" i="24"/>
  <c r="F31" i="24"/>
  <c r="E32" i="24"/>
  <c r="I32" i="24"/>
  <c r="F33" i="24"/>
  <c r="H35" i="24"/>
  <c r="I35" i="24"/>
  <c r="E36" i="24"/>
  <c r="E37" i="24"/>
  <c r="F330" i="24"/>
  <c r="I37" i="24"/>
  <c r="G39" i="24"/>
  <c r="I40" i="24"/>
  <c r="D22" i="11"/>
  <c r="D32" i="11"/>
  <c r="B28" i="17"/>
  <c r="H165" i="24"/>
  <c r="I165" i="24"/>
  <c r="C25" i="11"/>
  <c r="G164" i="24"/>
  <c r="C35" i="11"/>
  <c r="Q14" i="23"/>
  <c r="J2" i="23" s="1"/>
  <c r="D167" i="24"/>
  <c r="G167" i="24"/>
  <c r="F30" i="17"/>
  <c r="H168" i="24"/>
  <c r="H16" i="11"/>
  <c r="E170" i="24"/>
  <c r="E171" i="24"/>
  <c r="J16" i="11"/>
  <c r="F170" i="24"/>
  <c r="G170" i="24"/>
  <c r="F34" i="17"/>
  <c r="K12" i="11"/>
  <c r="F172" i="24"/>
  <c r="H172" i="24"/>
  <c r="K35" i="11"/>
  <c r="D173" i="24"/>
  <c r="E36" i="17"/>
  <c r="H173" i="24"/>
  <c r="H190" i="24" s="1"/>
  <c r="G36" i="17"/>
  <c r="E174" i="24"/>
  <c r="E192" i="24" s="1"/>
  <c r="G37" i="17"/>
  <c r="H166" i="24"/>
  <c r="F34" i="24"/>
  <c r="D310" i="24"/>
  <c r="E310" i="24"/>
  <c r="F310" i="24"/>
  <c r="E311" i="24"/>
  <c r="F311" i="24"/>
  <c r="F312" i="24"/>
  <c r="H32" i="11"/>
  <c r="D330" i="24"/>
  <c r="E330" i="24"/>
  <c r="F332" i="24"/>
  <c r="B22" i="11"/>
  <c r="D306" i="24"/>
  <c r="B32" i="11"/>
  <c r="F306" i="24"/>
  <c r="E31" i="24"/>
  <c r="E30" i="24"/>
  <c r="H30" i="24"/>
  <c r="E163" i="24"/>
  <c r="B25" i="11"/>
  <c r="H163" i="24"/>
  <c r="I163" i="24"/>
  <c r="B35" i="11"/>
  <c r="A34" i="11"/>
  <c r="D26" i="17"/>
  <c r="D252" i="24"/>
  <c r="A7" i="9"/>
  <c r="J32" i="9" s="1"/>
  <c r="A8" i="9"/>
  <c r="J33" i="9" s="1"/>
  <c r="A9" i="9"/>
  <c r="J34" i="9" s="1"/>
  <c r="G2" i="17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7" i="24"/>
  <c r="F22" i="11"/>
  <c r="G38" i="24"/>
  <c r="F328" i="24"/>
  <c r="G36" i="24"/>
  <c r="M32" i="11"/>
  <c r="B20" i="11"/>
  <c r="G27" i="11"/>
  <c r="F12" i="11"/>
  <c r="B30" i="11"/>
  <c r="L30" i="11"/>
  <c r="J22" i="11"/>
  <c r="F37" i="24"/>
  <c r="E326" i="24"/>
  <c r="M12" i="11"/>
  <c r="I20" i="11"/>
  <c r="B27" i="11"/>
  <c r="K20" i="11"/>
  <c r="E30" i="17"/>
  <c r="M27" i="11"/>
  <c r="C12" i="11"/>
  <c r="I39" i="24"/>
  <c r="F39" i="24"/>
  <c r="H32" i="24"/>
  <c r="I30" i="24"/>
  <c r="D334" i="24"/>
  <c r="E261" i="24"/>
  <c r="C29" i="17"/>
  <c r="E16" i="11"/>
  <c r="E166" i="24"/>
  <c r="I172" i="24"/>
  <c r="G35" i="17"/>
  <c r="P45" i="9"/>
  <c r="D171" i="24"/>
  <c r="J12" i="11"/>
  <c r="B35" i="17"/>
  <c r="D165" i="24"/>
  <c r="E333" i="24"/>
  <c r="H33" i="24"/>
  <c r="F259" i="24"/>
  <c r="F32" i="17"/>
  <c r="E315" i="24"/>
  <c r="K27" i="11"/>
  <c r="E332" i="24"/>
  <c r="F314" i="24"/>
  <c r="J32" i="11"/>
  <c r="D312" i="24"/>
  <c r="H22" i="11"/>
  <c r="F27" i="11"/>
  <c r="G166" i="24"/>
  <c r="H5" i="17"/>
  <c r="J5" i="17" s="1"/>
  <c r="E306" i="24"/>
  <c r="E3" i="18"/>
  <c r="B56" i="11" s="1"/>
  <c r="D313" i="24"/>
  <c r="I22" i="11"/>
  <c r="B30" i="17"/>
  <c r="I173" i="24"/>
  <c r="L35" i="11"/>
  <c r="E172" i="24"/>
  <c r="H15" i="17"/>
  <c r="K54" i="11" s="1"/>
  <c r="F163" i="24"/>
  <c r="G37" i="24"/>
  <c r="E260" i="24"/>
  <c r="F313" i="24"/>
  <c r="I32" i="11"/>
  <c r="D169" i="24"/>
  <c r="D314" i="24"/>
  <c r="D331" i="24"/>
  <c r="J20" i="11"/>
  <c r="F16" i="11"/>
  <c r="G277" i="24"/>
  <c r="I170" i="24"/>
  <c r="I35" i="11"/>
  <c r="E113" i="24"/>
  <c r="E277" i="24"/>
  <c r="E169" i="24"/>
  <c r="D35" i="11"/>
  <c r="F174" i="24"/>
  <c r="F192" i="24" s="1"/>
  <c r="G34" i="24"/>
  <c r="E327" i="24"/>
  <c r="E10" i="18"/>
  <c r="E35" i="24"/>
  <c r="F20" i="11"/>
  <c r="F167" i="24"/>
  <c r="D30" i="17"/>
  <c r="I34" i="24"/>
  <c r="L27" i="11"/>
  <c r="E316" i="24"/>
  <c r="K25" i="11"/>
  <c r="G172" i="24"/>
  <c r="D164" i="24"/>
  <c r="E165" i="24"/>
  <c r="D16" i="11"/>
  <c r="E26" i="17"/>
  <c r="F333" i="24"/>
  <c r="F316" i="24"/>
  <c r="L32" i="11"/>
  <c r="G33" i="17"/>
  <c r="P43" i="9"/>
  <c r="G168" i="24"/>
  <c r="G25" i="11"/>
  <c r="E31" i="17"/>
  <c r="E329" i="24"/>
  <c r="E312" i="24"/>
  <c r="H27" i="11"/>
  <c r="G22" i="11"/>
  <c r="I174" i="24"/>
  <c r="I192" i="24" s="1"/>
  <c r="M35" i="11"/>
  <c r="L20" i="11"/>
  <c r="D36" i="17"/>
  <c r="F173" i="24"/>
  <c r="C35" i="17"/>
  <c r="K16" i="11"/>
  <c r="B16" i="11"/>
  <c r="C26" i="17"/>
  <c r="D326" i="24"/>
  <c r="D309" i="24"/>
  <c r="F317" i="24"/>
  <c r="E334" i="24"/>
  <c r="E317" i="24"/>
  <c r="E30" i="11"/>
  <c r="F29" i="17"/>
  <c r="E168" i="24"/>
  <c r="E309" i="24"/>
  <c r="E27" i="11"/>
  <c r="E14" i="18"/>
  <c r="F166" i="24"/>
  <c r="I169" i="24"/>
  <c r="H35" i="11"/>
  <c r="P42" i="9"/>
  <c r="P61" i="9" s="1"/>
  <c r="F35" i="11"/>
  <c r="I167" i="24"/>
  <c r="I164" i="24"/>
  <c r="F309" i="24"/>
  <c r="E37" i="17"/>
  <c r="G174" i="24"/>
  <c r="G192" i="24" s="1"/>
  <c r="F325" i="24"/>
  <c r="F308" i="24"/>
  <c r="E263" i="24"/>
  <c r="I12" i="11"/>
  <c r="G169" i="24"/>
  <c r="H25" i="11"/>
  <c r="E33" i="17"/>
  <c r="E32" i="17"/>
  <c r="F164" i="24"/>
  <c r="C20" i="11"/>
  <c r="H7" i="17"/>
  <c r="C54" i="11" s="1"/>
  <c r="D12" i="11"/>
  <c r="H41" i="24"/>
  <c r="F334" i="24"/>
  <c r="I38" i="24"/>
  <c r="P44" i="9"/>
  <c r="D27" i="17"/>
  <c r="B29" i="17"/>
  <c r="E12" i="11"/>
  <c r="H9" i="17"/>
  <c r="E54" i="11" s="1"/>
  <c r="D166" i="24"/>
  <c r="H174" i="24"/>
  <c r="H192" i="24" s="1"/>
  <c r="F37" i="17"/>
  <c r="M30" i="11"/>
  <c r="I30" i="11"/>
  <c r="F33" i="17"/>
  <c r="H170" i="24"/>
  <c r="D170" i="24"/>
  <c r="B33" i="17"/>
  <c r="H13" i="17"/>
  <c r="I54" i="11" s="1"/>
  <c r="H169" i="24"/>
  <c r="H30" i="11"/>
  <c r="H12" i="11"/>
  <c r="H12" i="17"/>
  <c r="H54" i="11" s="1"/>
  <c r="G20" i="11"/>
  <c r="F168" i="24"/>
  <c r="D32" i="17"/>
  <c r="D31" i="17"/>
  <c r="H10" i="17"/>
  <c r="F54" i="11" s="1"/>
  <c r="H164" i="24"/>
  <c r="C30" i="11"/>
  <c r="F27" i="17"/>
  <c r="F165" i="24"/>
  <c r="D28" i="17"/>
  <c r="D20" i="11"/>
  <c r="C32" i="11"/>
  <c r="F324" i="24"/>
  <c r="E307" i="24"/>
  <c r="C27" i="11"/>
  <c r="D308" i="24"/>
  <c r="D325" i="24"/>
  <c r="I41" i="24"/>
  <c r="P47" i="9"/>
  <c r="H38" i="24"/>
  <c r="F331" i="24"/>
  <c r="B34" i="17"/>
  <c r="F307" i="24"/>
  <c r="D163" i="24"/>
  <c r="B12" i="11"/>
  <c r="H6" i="17"/>
  <c r="B54" i="11" s="1"/>
  <c r="B26" i="17"/>
  <c r="B27" i="17"/>
  <c r="F326" i="24"/>
  <c r="E6" i="18"/>
  <c r="E32" i="11"/>
  <c r="D317" i="24"/>
  <c r="M22" i="11"/>
  <c r="E12" i="18"/>
  <c r="D332" i="24"/>
  <c r="D315" i="24"/>
  <c r="K22" i="11"/>
  <c r="E314" i="24"/>
  <c r="J27" i="11"/>
  <c r="E331" i="24"/>
  <c r="E11" i="18"/>
  <c r="E8" i="18"/>
  <c r="D311" i="24"/>
  <c r="D328" i="24"/>
  <c r="M25" i="11"/>
  <c r="D172" i="24"/>
  <c r="B36" i="17"/>
  <c r="H171" i="24"/>
  <c r="J30" i="11"/>
  <c r="F35" i="17"/>
  <c r="F315" i="24"/>
  <c r="K32" i="11"/>
  <c r="E313" i="24"/>
  <c r="I27" i="11"/>
  <c r="G173" i="24"/>
  <c r="L25" i="11"/>
  <c r="I171" i="24"/>
  <c r="J35" i="11"/>
  <c r="G34" i="17"/>
  <c r="F28" i="17"/>
  <c r="D324" i="24"/>
  <c r="D307" i="24"/>
  <c r="E20" i="11"/>
  <c r="D29" i="17"/>
  <c r="J25" i="11"/>
  <c r="G171" i="24"/>
  <c r="E34" i="17"/>
  <c r="H167" i="24"/>
  <c r="F30" i="11"/>
  <c r="F31" i="17"/>
  <c r="G8" i="9"/>
  <c r="E28" i="17"/>
  <c r="E29" i="17"/>
  <c r="D25" i="11"/>
  <c r="H8" i="17"/>
  <c r="D54" i="11" s="1"/>
  <c r="G165" i="24"/>
  <c r="E4" i="18"/>
  <c r="C56" i="11" s="1"/>
  <c r="H36" i="24"/>
  <c r="F329" i="24"/>
  <c r="H34" i="24"/>
  <c r="E34" i="24"/>
  <c r="F32" i="24"/>
  <c r="I31" i="24"/>
  <c r="G31" i="24"/>
  <c r="E324" i="24"/>
  <c r="B32" i="17"/>
  <c r="H11" i="17"/>
  <c r="G54" i="11" s="1"/>
  <c r="G12" i="11"/>
  <c r="D168" i="24"/>
  <c r="B31" i="17"/>
  <c r="C16" i="11"/>
  <c r="C27" i="17"/>
  <c r="C28" i="17"/>
  <c r="E164" i="24"/>
  <c r="E35" i="11"/>
  <c r="I166" i="24"/>
  <c r="D37" i="17"/>
  <c r="M20" i="11"/>
  <c r="F171" i="24"/>
  <c r="D35" i="17"/>
  <c r="D34" i="17"/>
  <c r="H14" i="17"/>
  <c r="J54" i="11" s="1"/>
  <c r="G35" i="11"/>
  <c r="I168" i="24"/>
  <c r="L16" i="11"/>
  <c r="C37" i="17"/>
  <c r="E173" i="24"/>
  <c r="H16" i="17"/>
  <c r="L54" i="11" s="1"/>
  <c r="C36" i="17"/>
  <c r="D329" i="24"/>
  <c r="F36" i="24"/>
  <c r="G30" i="24"/>
  <c r="G9" i="9"/>
  <c r="D316" i="24"/>
  <c r="G316" i="24" s="1"/>
  <c r="D333" i="24"/>
  <c r="L22" i="11"/>
  <c r="F327" i="24"/>
  <c r="F32" i="11"/>
  <c r="E308" i="24"/>
  <c r="D27" i="11"/>
  <c r="E325" i="24"/>
  <c r="F40" i="24"/>
  <c r="E38" i="24"/>
  <c r="E27" i="17"/>
  <c r="G163" i="24"/>
  <c r="H20" i="11"/>
  <c r="F169" i="24"/>
  <c r="D33" i="17"/>
  <c r="C32" i="17"/>
  <c r="G16" i="11"/>
  <c r="C31" i="17"/>
  <c r="C30" i="17"/>
  <c r="E167" i="24"/>
  <c r="E264" i="24"/>
  <c r="E35" i="17"/>
  <c r="G35" i="24"/>
  <c r="E328" i="24"/>
  <c r="F261" i="24"/>
  <c r="E25" i="11"/>
  <c r="D174" i="24"/>
  <c r="D192" i="24" s="1"/>
  <c r="B37" i="17"/>
  <c r="G7" i="9"/>
  <c r="F262" i="24"/>
  <c r="F257" i="24"/>
  <c r="E5" i="18"/>
  <c r="E9" i="18"/>
  <c r="E13" i="18"/>
  <c r="D56" i="11" l="1"/>
  <c r="D61" i="11"/>
  <c r="J56" i="11"/>
  <c r="J61" i="11"/>
  <c r="M46" i="11"/>
  <c r="M56" i="11"/>
  <c r="M61" i="11"/>
  <c r="B42" i="17"/>
  <c r="I56" i="11"/>
  <c r="I61" i="11"/>
  <c r="F56" i="11"/>
  <c r="F61" i="11"/>
  <c r="L56" i="11"/>
  <c r="L61" i="11"/>
  <c r="H56" i="11"/>
  <c r="H61" i="11"/>
  <c r="G56" i="11"/>
  <c r="G61" i="11"/>
  <c r="K56" i="11"/>
  <c r="K61" i="11"/>
  <c r="E56" i="11"/>
  <c r="E61" i="11"/>
  <c r="D381" i="24"/>
  <c r="D390" i="24" s="1"/>
  <c r="D382" i="24"/>
  <c r="D391" i="24" s="1"/>
  <c r="F41" i="23"/>
  <c r="K99" i="19" s="1"/>
  <c r="O99" i="19" s="1"/>
  <c r="P99" i="19" s="1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97" i="24" s="1"/>
  <c r="G49" i="11"/>
  <c r="G51" i="11"/>
  <c r="G66" i="11" s="1"/>
  <c r="I51" i="11"/>
  <c r="I66" i="11" s="1"/>
  <c r="J49" i="11"/>
  <c r="M49" i="11"/>
  <c r="F395" i="24" s="1"/>
  <c r="L49" i="11"/>
  <c r="K51" i="11"/>
  <c r="M51" i="11"/>
  <c r="F397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6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6" i="24"/>
  <c r="B61" i="11"/>
  <c r="C61" i="11"/>
  <c r="E364" i="24"/>
  <c r="E369" i="24"/>
  <c r="F369" i="24"/>
  <c r="E374" i="24"/>
  <c r="F374" i="24"/>
  <c r="F364" i="24"/>
  <c r="F56" i="24"/>
  <c r="F78" i="24" s="1"/>
  <c r="F210" i="24" s="1"/>
  <c r="F367" i="24"/>
  <c r="G56" i="24"/>
  <c r="G78" i="24" s="1"/>
  <c r="G210" i="24" s="1"/>
  <c r="I54" i="24"/>
  <c r="I76" i="24" s="1"/>
  <c r="I208" i="24" s="1"/>
  <c r="E59" i="24"/>
  <c r="E377" i="24"/>
  <c r="F354" i="24"/>
  <c r="G57" i="24"/>
  <c r="G79" i="24" s="1"/>
  <c r="I50" i="24"/>
  <c r="I72" i="24" s="1"/>
  <c r="I204" i="24" s="1"/>
  <c r="G50" i="24"/>
  <c r="G72" i="24" s="1"/>
  <c r="G204" i="24" s="1"/>
  <c r="E58" i="24"/>
  <c r="E80" i="24" s="1"/>
  <c r="E212" i="24" s="1"/>
  <c r="G51" i="24"/>
  <c r="G73" i="24" s="1"/>
  <c r="G205" i="24" s="1"/>
  <c r="G53" i="24"/>
  <c r="G75" i="24" s="1"/>
  <c r="E358" i="24"/>
  <c r="F61" i="24"/>
  <c r="F362" i="24"/>
  <c r="I53" i="24"/>
  <c r="I75" i="24" s="1"/>
  <c r="I207" i="24" s="1"/>
  <c r="G58" i="24"/>
  <c r="G80" i="24" s="1"/>
  <c r="G212" i="24" s="1"/>
  <c r="I58" i="24"/>
  <c r="I80" i="24" s="1"/>
  <c r="I212" i="24" s="1"/>
  <c r="F52" i="24"/>
  <c r="F74" i="24" s="1"/>
  <c r="F206" i="24" s="1"/>
  <c r="F55" i="24"/>
  <c r="F77" i="24" s="1"/>
  <c r="E362" i="24"/>
  <c r="G55" i="24"/>
  <c r="G77" i="24" s="1"/>
  <c r="F54" i="24"/>
  <c r="F76" i="24" s="1"/>
  <c r="F208" i="24" s="1"/>
  <c r="I52" i="24"/>
  <c r="I74" i="24" s="1"/>
  <c r="I206" i="24" s="1"/>
  <c r="I57" i="24"/>
  <c r="I79" i="24" s="1"/>
  <c r="I211" i="24" s="1"/>
  <c r="E53" i="24"/>
  <c r="F50" i="24"/>
  <c r="F72" i="24" s="1"/>
  <c r="F204" i="24" s="1"/>
  <c r="E57" i="24"/>
  <c r="E79" i="24" s="1"/>
  <c r="E211" i="24" s="1"/>
  <c r="F358" i="24"/>
  <c r="I56" i="24"/>
  <c r="I78" i="24" s="1"/>
  <c r="I210" i="24" s="1"/>
  <c r="E50" i="24"/>
  <c r="E72" i="24" s="1"/>
  <c r="E204" i="24" s="1"/>
  <c r="I61" i="24"/>
  <c r="I83" i="24" s="1"/>
  <c r="F377" i="24"/>
  <c r="E52" i="24"/>
  <c r="E74" i="24" s="1"/>
  <c r="E206" i="24" s="1"/>
  <c r="E54" i="24"/>
  <c r="E76" i="24" s="1"/>
  <c r="E354" i="24"/>
  <c r="G54" i="24"/>
  <c r="G76" i="24" s="1"/>
  <c r="G208" i="24" s="1"/>
  <c r="I51" i="24"/>
  <c r="I73" i="24" s="1"/>
  <c r="E55" i="24"/>
  <c r="E77" i="24" s="1"/>
  <c r="E209" i="24" s="1"/>
  <c r="I55" i="24"/>
  <c r="I77" i="24" s="1"/>
  <c r="G52" i="24"/>
  <c r="G74" i="24" s="1"/>
  <c r="G206" i="24" s="1"/>
  <c r="F53" i="24"/>
  <c r="F75" i="24" s="1"/>
  <c r="E367" i="24"/>
  <c r="F51" i="24"/>
  <c r="F73" i="24" s="1"/>
  <c r="F205" i="24" s="1"/>
  <c r="F58" i="24"/>
  <c r="F80" i="24" s="1"/>
  <c r="F212" i="24" s="1"/>
  <c r="F57" i="24"/>
  <c r="F79" i="24" s="1"/>
  <c r="F211" i="24" s="1"/>
  <c r="E56" i="24"/>
  <c r="E78" i="24" s="1"/>
  <c r="E210" i="24" s="1"/>
  <c r="J14" i="17"/>
  <c r="J59" i="11" s="1"/>
  <c r="H54" i="24"/>
  <c r="H76" i="24" s="1"/>
  <c r="H208" i="24" s="1"/>
  <c r="J10" i="17"/>
  <c r="F59" i="11" s="1"/>
  <c r="H57" i="24"/>
  <c r="H79" i="24" s="1"/>
  <c r="H211" i="24" s="1"/>
  <c r="J16" i="17"/>
  <c r="L59" i="11" s="1"/>
  <c r="E395" i="24" s="1"/>
  <c r="H51" i="24"/>
  <c r="H73" i="24" s="1"/>
  <c r="H56" i="24"/>
  <c r="H78" i="24" s="1"/>
  <c r="H210" i="24" s="1"/>
  <c r="F372" i="24"/>
  <c r="E372" i="24"/>
  <c r="H55" i="24"/>
  <c r="H77" i="24" s="1"/>
  <c r="J11" i="17"/>
  <c r="G59" i="11" s="1"/>
  <c r="J8" i="17"/>
  <c r="D59" i="11" s="1"/>
  <c r="H58" i="24"/>
  <c r="H80" i="24" s="1"/>
  <c r="H212" i="24" s="1"/>
  <c r="J9" i="17"/>
  <c r="E59" i="11" s="1"/>
  <c r="J7" i="17"/>
  <c r="C59" i="11" s="1"/>
  <c r="J15" i="17"/>
  <c r="K59" i="11" s="1"/>
  <c r="H50" i="24"/>
  <c r="H72" i="24" s="1"/>
  <c r="H204" i="24" s="1"/>
  <c r="B59" i="11"/>
  <c r="J6" i="17"/>
  <c r="J12" i="17"/>
  <c r="H59" i="11" s="1"/>
  <c r="J13" i="17"/>
  <c r="I59" i="11" s="1"/>
  <c r="H53" i="24"/>
  <c r="H75" i="24" s="1"/>
  <c r="H207" i="24" s="1"/>
  <c r="H52" i="24"/>
  <c r="H74" i="24" s="1"/>
  <c r="H206" i="24" s="1"/>
  <c r="G315" i="24"/>
  <c r="G317" i="24"/>
  <c r="G314" i="24"/>
  <c r="G310" i="24"/>
  <c r="G306" i="24"/>
  <c r="G308" i="24"/>
  <c r="G313" i="24"/>
  <c r="G309" i="24"/>
  <c r="G311" i="24"/>
  <c r="G312" i="24"/>
  <c r="G307" i="24"/>
  <c r="G185" i="24"/>
  <c r="H189" i="24"/>
  <c r="K222" i="19"/>
  <c r="B49" i="11"/>
  <c r="H183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2" i="30" s="1"/>
  <c r="A73" i="30" s="1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63" i="30" s="1"/>
  <c r="A74" i="30" s="1"/>
  <c r="A7" i="29"/>
  <c r="A19" i="29" s="1"/>
  <c r="A30" i="29" s="1"/>
  <c r="A41" i="29" s="1"/>
  <c r="A52" i="29" s="1"/>
  <c r="A63" i="29" s="1"/>
  <c r="A74" i="29" s="1"/>
  <c r="D59" i="24"/>
  <c r="I186" i="24"/>
  <c r="H182" i="24"/>
  <c r="F184" i="24"/>
  <c r="E190" i="24"/>
  <c r="F185" i="24"/>
  <c r="I184" i="24"/>
  <c r="E183" i="24"/>
  <c r="F186" i="24"/>
  <c r="D181" i="24"/>
  <c r="D191" i="24"/>
  <c r="I188" i="24"/>
  <c r="H187" i="24"/>
  <c r="J173" i="24"/>
  <c r="E182" i="24"/>
  <c r="G191" i="24"/>
  <c r="E184" i="24"/>
  <c r="E181" i="24"/>
  <c r="E191" i="24"/>
  <c r="D186" i="24"/>
  <c r="I187" i="24"/>
  <c r="G260" i="24"/>
  <c r="H260" i="24" s="1"/>
  <c r="G183" i="24"/>
  <c r="D284" i="24"/>
  <c r="D250" i="24"/>
  <c r="D289" i="24" s="1"/>
  <c r="E284" i="24"/>
  <c r="E250" i="24"/>
  <c r="E289" i="24" s="1"/>
  <c r="A357" i="24" s="1"/>
  <c r="H250" i="24"/>
  <c r="H289" i="24" s="1"/>
  <c r="F304" i="24" s="1"/>
  <c r="H284" i="24"/>
  <c r="I284" i="24"/>
  <c r="I250" i="24"/>
  <c r="I289" i="24" s="1"/>
  <c r="F284" i="24"/>
  <c r="F250" i="24"/>
  <c r="F289" i="24" s="1"/>
  <c r="D304" i="24" s="1"/>
  <c r="G271" i="24"/>
  <c r="E271" i="24"/>
  <c r="D323" i="24"/>
  <c r="D336" i="24" s="1"/>
  <c r="F323" i="24"/>
  <c r="F336" i="24" s="1"/>
  <c r="D34" i="18"/>
  <c r="E323" i="24"/>
  <c r="E336" i="24" s="1"/>
  <c r="G25" i="24"/>
  <c r="G67" i="24" s="1"/>
  <c r="G161" i="24" s="1"/>
  <c r="G178" i="24" s="1"/>
  <c r="G196" i="24" s="1"/>
  <c r="G202" i="24" s="1"/>
  <c r="G219" i="24" s="1"/>
  <c r="G237" i="24" s="1"/>
  <c r="G243" i="24" s="1"/>
  <c r="G250" i="24" s="1"/>
  <c r="G289" i="24" s="1"/>
  <c r="E304" i="24" s="1"/>
  <c r="F10" i="9"/>
  <c r="E41" i="24"/>
  <c r="H59" i="24"/>
  <c r="L63" i="9"/>
  <c r="G41" i="24"/>
  <c r="O63" i="9"/>
  <c r="E252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4" i="24"/>
  <c r="H264" i="24" s="1"/>
  <c r="G262" i="24"/>
  <c r="H262" i="24" s="1"/>
  <c r="G257" i="24"/>
  <c r="G259" i="24"/>
  <c r="H259" i="24" s="1"/>
  <c r="G261" i="24"/>
  <c r="H261" i="24" s="1"/>
  <c r="F277" i="24"/>
  <c r="E3" i="23"/>
  <c r="F113" i="24"/>
  <c r="F263" i="24"/>
  <c r="G263" i="24" s="1"/>
  <c r="H263" i="24" s="1"/>
  <c r="D113" i="24"/>
  <c r="F258" i="24"/>
  <c r="H61" i="24"/>
  <c r="H83" i="24" s="1"/>
  <c r="L60" i="9"/>
  <c r="M65" i="9"/>
  <c r="O62" i="9"/>
  <c r="G61" i="24"/>
  <c r="D190" i="24"/>
  <c r="K57" i="9"/>
  <c r="F191" i="24"/>
  <c r="K63" i="9"/>
  <c r="F187" i="24"/>
  <c r="J167" i="24"/>
  <c r="N63" i="9"/>
  <c r="O57" i="9"/>
  <c r="I182" i="24"/>
  <c r="O60" i="9"/>
  <c r="N58" i="9"/>
  <c r="L65" i="9"/>
  <c r="G188" i="24"/>
  <c r="I191" i="24"/>
  <c r="F182" i="24"/>
  <c r="F183" i="24"/>
  <c r="E185" i="24"/>
  <c r="J168" i="24"/>
  <c r="D189" i="24"/>
  <c r="D188" i="24"/>
  <c r="D187" i="24"/>
  <c r="J170" i="24"/>
  <c r="F60" i="24"/>
  <c r="F82" i="24" s="1"/>
  <c r="L57" i="9"/>
  <c r="F190" i="24"/>
  <c r="E187" i="24"/>
  <c r="J166" i="24"/>
  <c r="I183" i="24"/>
  <c r="D56" i="24"/>
  <c r="J164" i="24"/>
  <c r="D184" i="24"/>
  <c r="D183" i="24"/>
  <c r="I60" i="24"/>
  <c r="I82" i="24" s="1"/>
  <c r="G182" i="24"/>
  <c r="F188" i="24"/>
  <c r="M63" i="9"/>
  <c r="M64" i="9"/>
  <c r="H188" i="24"/>
  <c r="K59" i="9"/>
  <c r="E186" i="24"/>
  <c r="J169" i="24"/>
  <c r="N62" i="9"/>
  <c r="D182" i="24"/>
  <c r="J165" i="24"/>
  <c r="P65" i="9"/>
  <c r="P66" i="9"/>
  <c r="N65" i="9"/>
  <c r="I185" i="24"/>
  <c r="K62" i="9"/>
  <c r="F181" i="24"/>
  <c r="M59" i="9"/>
  <c r="L62" i="9"/>
  <c r="J171" i="24"/>
  <c r="D185" i="24"/>
  <c r="K65" i="9"/>
  <c r="H181" i="24"/>
  <c r="H186" i="24"/>
  <c r="P62" i="9"/>
  <c r="E188" i="24"/>
  <c r="G184" i="24"/>
  <c r="F59" i="24"/>
  <c r="H191" i="24"/>
  <c r="D53" i="24"/>
  <c r="O66" i="9"/>
  <c r="M58" i="9"/>
  <c r="E51" i="24"/>
  <c r="K61" i="9"/>
  <c r="K64" i="9"/>
  <c r="E189" i="24"/>
  <c r="J172" i="24"/>
  <c r="G181" i="24"/>
  <c r="J163" i="24"/>
  <c r="P64" i="9"/>
  <c r="P63" i="9"/>
  <c r="L55" i="9"/>
  <c r="I59" i="24"/>
  <c r="I81" i="24" s="1"/>
  <c r="F189" i="24"/>
  <c r="D50" i="24"/>
  <c r="E61" i="24"/>
  <c r="J174" i="24"/>
  <c r="N55" i="9"/>
  <c r="N56" i="9"/>
  <c r="O61" i="9"/>
  <c r="M55" i="9"/>
  <c r="I189" i="24"/>
  <c r="I190" i="24"/>
  <c r="D61" i="24"/>
  <c r="G189" i="24"/>
  <c r="G190" i="24"/>
  <c r="L66" i="9"/>
  <c r="L58" i="9"/>
  <c r="O65" i="9"/>
  <c r="O64" i="9"/>
  <c r="H184" i="24"/>
  <c r="H185" i="24"/>
  <c r="O56" i="9"/>
  <c r="G187" i="24"/>
  <c r="G186" i="24"/>
  <c r="I181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F42" i="23" l="1"/>
  <c r="F43" i="23" s="1"/>
  <c r="F383" i="24"/>
  <c r="F392" i="24" s="1"/>
  <c r="F381" i="24"/>
  <c r="F390" i="24" s="1"/>
  <c r="E383" i="24"/>
  <c r="E392" i="24" s="1"/>
  <c r="E381" i="24"/>
  <c r="E390" i="24" s="1"/>
  <c r="F266" i="24"/>
  <c r="H257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5" i="24"/>
  <c r="H215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09" i="24" s="1"/>
  <c r="J55" i="24"/>
  <c r="D81" i="24"/>
  <c r="D90" i="24" s="1"/>
  <c r="D82" i="24"/>
  <c r="D214" i="24" s="1"/>
  <c r="D76" i="24"/>
  <c r="D208" i="24" s="1"/>
  <c r="D226" i="24" s="1"/>
  <c r="D80" i="24"/>
  <c r="D212" i="24" s="1"/>
  <c r="E9" i="24"/>
  <c r="F9" i="24" s="1"/>
  <c r="D79" i="24"/>
  <c r="D65" i="11"/>
  <c r="D74" i="24"/>
  <c r="D206" i="24" s="1"/>
  <c r="D73" i="24"/>
  <c r="D205" i="24" s="1"/>
  <c r="D78" i="24"/>
  <c r="E16" i="24"/>
  <c r="F16" i="24" s="1"/>
  <c r="G284" i="24"/>
  <c r="F339" i="24"/>
  <c r="F321" i="24"/>
  <c r="D321" i="24"/>
  <c r="D339" i="24"/>
  <c r="E83" i="24"/>
  <c r="H81" i="24"/>
  <c r="H213" i="24" s="1"/>
  <c r="H230" i="24" s="1"/>
  <c r="E229" i="24"/>
  <c r="G222" i="24"/>
  <c r="L66" i="11"/>
  <c r="G97" i="24"/>
  <c r="K65" i="11"/>
  <c r="E228" i="24"/>
  <c r="H97" i="24"/>
  <c r="E17" i="24"/>
  <c r="F17" i="24" s="1"/>
  <c r="G209" i="24"/>
  <c r="G226" i="24" s="1"/>
  <c r="G98" i="24"/>
  <c r="I228" i="24"/>
  <c r="L65" i="11"/>
  <c r="E12" i="24"/>
  <c r="F12" i="24" s="1"/>
  <c r="G101" i="24"/>
  <c r="G83" i="24"/>
  <c r="G99" i="24"/>
  <c r="H82" i="24"/>
  <c r="H214" i="24" s="1"/>
  <c r="E15" i="24"/>
  <c r="F15" i="24" s="1"/>
  <c r="G213" i="24"/>
  <c r="G230" i="24" s="1"/>
  <c r="J34" i="24"/>
  <c r="E18" i="24"/>
  <c r="F18" i="24" s="1"/>
  <c r="E13" i="24"/>
  <c r="F13" i="24" s="1"/>
  <c r="H228" i="24"/>
  <c r="G100" i="24"/>
  <c r="E99" i="24"/>
  <c r="H96" i="24"/>
  <c r="E227" i="24"/>
  <c r="I224" i="24"/>
  <c r="E82" i="24"/>
  <c r="G82" i="24"/>
  <c r="G211" i="24"/>
  <c r="G229" i="24" s="1"/>
  <c r="G94" i="24"/>
  <c r="I98" i="24"/>
  <c r="H93" i="24"/>
  <c r="N228" i="24"/>
  <c r="F94" i="24"/>
  <c r="F96" i="24"/>
  <c r="J39" i="24"/>
  <c r="F95" i="24"/>
  <c r="I94" i="24"/>
  <c r="F93" i="24"/>
  <c r="H229" i="24"/>
  <c r="F229" i="24"/>
  <c r="F100" i="24"/>
  <c r="H98" i="24"/>
  <c r="F99" i="24"/>
  <c r="H100" i="24"/>
  <c r="H99" i="24"/>
  <c r="F98" i="24"/>
  <c r="E100" i="24"/>
  <c r="I99" i="24"/>
  <c r="G95" i="24"/>
  <c r="F207" i="24"/>
  <c r="F225" i="24" s="1"/>
  <c r="I96" i="24"/>
  <c r="I97" i="24"/>
  <c r="H209" i="24"/>
  <c r="H226" i="24" s="1"/>
  <c r="H205" i="24"/>
  <c r="H223" i="24" s="1"/>
  <c r="F223" i="24"/>
  <c r="J65" i="11"/>
  <c r="I95" i="24"/>
  <c r="G93" i="24"/>
  <c r="F222" i="24"/>
  <c r="K66" i="11"/>
  <c r="M65" i="11"/>
  <c r="G207" i="24"/>
  <c r="G225" i="24" s="1"/>
  <c r="I100" i="24"/>
  <c r="G96" i="24"/>
  <c r="I209" i="24"/>
  <c r="I227" i="24" s="1"/>
  <c r="H94" i="24"/>
  <c r="H224" i="24"/>
  <c r="F97" i="24"/>
  <c r="F209" i="24"/>
  <c r="F226" i="24" s="1"/>
  <c r="G65" i="11"/>
  <c r="J40" i="24"/>
  <c r="N231" i="24"/>
  <c r="J56" i="24"/>
  <c r="J41" i="24"/>
  <c r="M66" i="11"/>
  <c r="E98" i="24"/>
  <c r="I225" i="24"/>
  <c r="H95" i="24"/>
  <c r="I93" i="24"/>
  <c r="I205" i="24"/>
  <c r="E75" i="24"/>
  <c r="E96" i="24" s="1"/>
  <c r="E339" i="24"/>
  <c r="E321" i="24"/>
  <c r="L224" i="19"/>
  <c r="M224" i="19" s="1"/>
  <c r="E145" i="24"/>
  <c r="F145" i="24" s="1"/>
  <c r="L228" i="19"/>
  <c r="M228" i="19" s="1"/>
  <c r="E146" i="24"/>
  <c r="F146" i="24" s="1"/>
  <c r="L229" i="19"/>
  <c r="M229" i="19" s="1"/>
  <c r="E141" i="24"/>
  <c r="F141" i="24" s="1"/>
  <c r="L225" i="19"/>
  <c r="M225" i="19" s="1"/>
  <c r="F271" i="24"/>
  <c r="G258" i="24"/>
  <c r="G266" i="24" s="1"/>
  <c r="B25" i="23"/>
  <c r="N226" i="24"/>
  <c r="I229" i="24"/>
  <c r="G19" i="24"/>
  <c r="M64" i="11"/>
  <c r="I214" i="24"/>
  <c r="I103" i="24"/>
  <c r="H225" i="24"/>
  <c r="F214" i="24"/>
  <c r="N229" i="24"/>
  <c r="N227" i="24"/>
  <c r="E73" i="24"/>
  <c r="J51" i="24"/>
  <c r="K64" i="11"/>
  <c r="G17" i="24"/>
  <c r="J60" i="24"/>
  <c r="N232" i="24"/>
  <c r="D83" i="24"/>
  <c r="J61" i="24"/>
  <c r="G223" i="24"/>
  <c r="E193" i="24"/>
  <c r="C40" i="17"/>
  <c r="C19" i="17" s="1"/>
  <c r="E40" i="17"/>
  <c r="G193" i="24"/>
  <c r="N223" i="24"/>
  <c r="B19" i="17"/>
  <c r="D193" i="24"/>
  <c r="N222" i="24"/>
  <c r="H193" i="24"/>
  <c r="F40" i="17"/>
  <c r="D40" i="17"/>
  <c r="D19" i="17" s="1"/>
  <c r="F193" i="24"/>
  <c r="N224" i="24"/>
  <c r="E208" i="24"/>
  <c r="L64" i="11"/>
  <c r="G18" i="24"/>
  <c r="J50" i="24"/>
  <c r="D72" i="24"/>
  <c r="G40" i="17"/>
  <c r="G19" i="17" s="1"/>
  <c r="I193" i="24"/>
  <c r="I101" i="24"/>
  <c r="I102" i="24"/>
  <c r="I213" i="24"/>
  <c r="I90" i="24"/>
  <c r="N225" i="24"/>
  <c r="N230" i="24"/>
  <c r="J57" i="24"/>
  <c r="D75" i="24"/>
  <c r="J53" i="24"/>
  <c r="E97" i="24"/>
  <c r="F81" i="24"/>
  <c r="J59" i="24"/>
  <c r="F228" i="24"/>
  <c r="E142" i="24"/>
  <c r="F142" i="24" s="1"/>
  <c r="E139" i="24"/>
  <c r="F139" i="24" s="1"/>
  <c r="L222" i="19"/>
  <c r="M222" i="19" s="1"/>
  <c r="E140" i="24"/>
  <c r="F140" i="24" s="1"/>
  <c r="E144" i="24"/>
  <c r="F144" i="24" s="1"/>
  <c r="E143" i="24"/>
  <c r="F143" i="24" s="1"/>
  <c r="H19" i="17" l="1"/>
  <c r="O54" i="11" s="1"/>
  <c r="D198" i="24"/>
  <c r="C20" i="17"/>
  <c r="E198" i="24"/>
  <c r="D81" i="29"/>
  <c r="F81" i="29" s="1"/>
  <c r="G20" i="17"/>
  <c r="I198" i="24"/>
  <c r="D20" i="17"/>
  <c r="F198" i="24"/>
  <c r="K100" i="19"/>
  <c r="O100" i="19" s="1"/>
  <c r="P100" i="19" s="1"/>
  <c r="F44" i="23"/>
  <c r="K101" i="19"/>
  <c r="O101" i="19" s="1"/>
  <c r="P101" i="19" s="1"/>
  <c r="H11" i="24"/>
  <c r="I11" i="24" s="1"/>
  <c r="D80" i="29"/>
  <c r="F215" i="24"/>
  <c r="F232" i="24" s="1"/>
  <c r="E102" i="24"/>
  <c r="E400" i="24"/>
  <c r="E213" i="24"/>
  <c r="E230" i="24" s="1"/>
  <c r="E90" i="24"/>
  <c r="F401" i="24"/>
  <c r="P68" i="9"/>
  <c r="P48" i="9" s="1"/>
  <c r="Q79" i="9" s="1"/>
  <c r="I245" i="24" s="1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2" i="24"/>
  <c r="G215" i="24"/>
  <c r="E215" i="24"/>
  <c r="H232" i="24"/>
  <c r="D98" i="24"/>
  <c r="D210" i="24"/>
  <c r="D227" i="24" s="1"/>
  <c r="H90" i="24"/>
  <c r="D223" i="24"/>
  <c r="D100" i="24"/>
  <c r="D213" i="24"/>
  <c r="D230" i="24" s="1"/>
  <c r="D102" i="24"/>
  <c r="D101" i="24"/>
  <c r="D94" i="24"/>
  <c r="D97" i="24"/>
  <c r="D211" i="24"/>
  <c r="D229" i="24" s="1"/>
  <c r="D99" i="24"/>
  <c r="E401" i="24"/>
  <c r="H101" i="24"/>
  <c r="E6" i="11"/>
  <c r="E103" i="24"/>
  <c r="D6" i="11"/>
  <c r="G228" i="24"/>
  <c r="G227" i="24"/>
  <c r="F400" i="24"/>
  <c r="G103" i="24"/>
  <c r="H103" i="24"/>
  <c r="G224" i="24"/>
  <c r="G214" i="24"/>
  <c r="G102" i="24"/>
  <c r="H102" i="24"/>
  <c r="F224" i="24"/>
  <c r="E214" i="24"/>
  <c r="H222" i="24"/>
  <c r="F227" i="24"/>
  <c r="E234" i="24"/>
  <c r="I234" i="24"/>
  <c r="H227" i="24"/>
  <c r="I226" i="24"/>
  <c r="G400" i="24"/>
  <c r="I222" i="24"/>
  <c r="I223" i="24"/>
  <c r="H231" i="24"/>
  <c r="E207" i="24"/>
  <c r="E224" i="24" s="1"/>
  <c r="E95" i="24"/>
  <c r="B31" i="23"/>
  <c r="H258" i="24"/>
  <c r="H266" i="24"/>
  <c r="F399" i="24"/>
  <c r="D204" i="24"/>
  <c r="D222" i="24" s="1"/>
  <c r="D93" i="24"/>
  <c r="H18" i="24"/>
  <c r="I18" i="24" s="1"/>
  <c r="H19" i="24"/>
  <c r="I19" i="24" s="1"/>
  <c r="N68" i="9"/>
  <c r="G234" i="24"/>
  <c r="H234" i="24"/>
  <c r="O68" i="9"/>
  <c r="N30" i="11"/>
  <c r="N25" i="11"/>
  <c r="O25" i="11"/>
  <c r="D215" i="24"/>
  <c r="D103" i="24"/>
  <c r="F101" i="24"/>
  <c r="F213" i="24"/>
  <c r="F90" i="24"/>
  <c r="F102" i="24"/>
  <c r="N20" i="11"/>
  <c r="O20" i="11"/>
  <c r="M68" i="9"/>
  <c r="F234" i="24"/>
  <c r="E205" i="24"/>
  <c r="E94" i="24"/>
  <c r="E93" i="24"/>
  <c r="D207" i="24"/>
  <c r="D96" i="24"/>
  <c r="D95" i="24"/>
  <c r="I230" i="24"/>
  <c r="I231" i="24"/>
  <c r="N35" i="11"/>
  <c r="O35" i="11"/>
  <c r="E226" i="24"/>
  <c r="N12" i="11"/>
  <c r="N16" i="11"/>
  <c r="O16" i="11"/>
  <c r="E399" i="24"/>
  <c r="C6" i="11"/>
  <c r="C71" i="11"/>
  <c r="F71" i="11"/>
  <c r="F6" i="11"/>
  <c r="B6" i="11"/>
  <c r="B71" i="11"/>
  <c r="P20" i="11" l="1"/>
  <c r="F199" i="24"/>
  <c r="P16" i="11"/>
  <c r="D81" i="40"/>
  <c r="F81" i="40" s="1"/>
  <c r="E199" i="24"/>
  <c r="D81" i="30"/>
  <c r="F81" i="30" s="1"/>
  <c r="P35" i="11"/>
  <c r="I199" i="24"/>
  <c r="J199" i="24" s="1"/>
  <c r="D80" i="40"/>
  <c r="D199" i="24"/>
  <c r="F45" i="23"/>
  <c r="K102" i="19"/>
  <c r="O102" i="19" s="1"/>
  <c r="P102" i="19" s="1"/>
  <c r="N44" i="11"/>
  <c r="N49" i="11"/>
  <c r="G395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1" i="24"/>
  <c r="G377" i="24"/>
  <c r="I62" i="24"/>
  <c r="I84" i="24" s="1"/>
  <c r="H358" i="24"/>
  <c r="K358" i="24" s="1"/>
  <c r="M48" i="9"/>
  <c r="N79" i="9" s="1"/>
  <c r="F245" i="24" s="1"/>
  <c r="N48" i="9"/>
  <c r="O79" i="9" s="1"/>
  <c r="G245" i="24" s="1"/>
  <c r="G362" i="24"/>
  <c r="F62" i="24"/>
  <c r="F84" i="24" s="1"/>
  <c r="G367" i="24"/>
  <c r="G62" i="24"/>
  <c r="G84" i="24" s="1"/>
  <c r="G354" i="24"/>
  <c r="D62" i="24"/>
  <c r="D84" i="24" s="1"/>
  <c r="G358" i="24"/>
  <c r="E62" i="24"/>
  <c r="E84" i="24" s="1"/>
  <c r="H377" i="24"/>
  <c r="K377" i="24" s="1"/>
  <c r="H362" i="24"/>
  <c r="K362" i="24" s="1"/>
  <c r="H367" i="24"/>
  <c r="K367" i="24" s="1"/>
  <c r="G232" i="24"/>
  <c r="I367" i="24"/>
  <c r="L48" i="9"/>
  <c r="M79" i="9" s="1"/>
  <c r="E245" i="24" s="1"/>
  <c r="O30" i="11"/>
  <c r="O48" i="9"/>
  <c r="P79" i="9" s="1"/>
  <c r="H245" i="24" s="1"/>
  <c r="G372" i="24"/>
  <c r="H62" i="24"/>
  <c r="P49" i="9"/>
  <c r="Q80" i="9" s="1"/>
  <c r="I246" i="24" s="1"/>
  <c r="J198" i="24"/>
  <c r="D231" i="24"/>
  <c r="D228" i="24"/>
  <c r="M228" i="24" s="1"/>
  <c r="O228" i="24" s="1"/>
  <c r="M229" i="24"/>
  <c r="O229" i="24" s="1"/>
  <c r="E232" i="24"/>
  <c r="E225" i="24"/>
  <c r="G231" i="24"/>
  <c r="M227" i="24"/>
  <c r="O227" i="24" s="1"/>
  <c r="M226" i="24"/>
  <c r="O226" i="24" s="1"/>
  <c r="D225" i="24"/>
  <c r="D224" i="24"/>
  <c r="M224" i="24" s="1"/>
  <c r="O224" i="24" s="1"/>
  <c r="O12" i="11"/>
  <c r="N234" i="24"/>
  <c r="D232" i="24"/>
  <c r="E222" i="24"/>
  <c r="M222" i="24" s="1"/>
  <c r="O222" i="24" s="1"/>
  <c r="E223" i="24"/>
  <c r="M223" i="24" s="1"/>
  <c r="O223" i="24" s="1"/>
  <c r="F230" i="24"/>
  <c r="F231" i="24"/>
  <c r="I377" i="24" l="1"/>
  <c r="I64" i="24"/>
  <c r="I358" i="24"/>
  <c r="E64" i="24"/>
  <c r="F80" i="40"/>
  <c r="F82" i="40" s="1"/>
  <c r="B91" i="40" s="1"/>
  <c r="D82" i="40"/>
  <c r="F64" i="24"/>
  <c r="I362" i="24"/>
  <c r="F46" i="23"/>
  <c r="K103" i="19"/>
  <c r="O103" i="19" s="1"/>
  <c r="P103" i="19" s="1"/>
  <c r="O44" i="11"/>
  <c r="G381" i="24"/>
  <c r="I354" i="24"/>
  <c r="O49" i="11"/>
  <c r="H395" i="24" s="1"/>
  <c r="H63" i="24"/>
  <c r="D63" i="24"/>
  <c r="D64" i="24"/>
  <c r="F80" i="30"/>
  <c r="F82" i="30" s="1"/>
  <c r="B91" i="30" s="1"/>
  <c r="D82" i="30"/>
  <c r="M49" i="9"/>
  <c r="N80" i="9" s="1"/>
  <c r="F246" i="24" s="1"/>
  <c r="L49" i="9"/>
  <c r="M80" i="9" s="1"/>
  <c r="E246" i="24" s="1"/>
  <c r="E216" i="24"/>
  <c r="E104" i="24"/>
  <c r="G216" i="24"/>
  <c r="G104" i="24"/>
  <c r="N49" i="9"/>
  <c r="D216" i="24"/>
  <c r="D233" i="24" s="1"/>
  <c r="D104" i="24"/>
  <c r="F216" i="24"/>
  <c r="F104" i="24"/>
  <c r="I216" i="24"/>
  <c r="I104" i="24"/>
  <c r="H372" i="24"/>
  <c r="K372" i="24" s="1"/>
  <c r="P30" i="11"/>
  <c r="P49" i="11" s="1"/>
  <c r="I395" i="24" s="1"/>
  <c r="H20" i="17"/>
  <c r="P54" i="11" s="1"/>
  <c r="H84" i="24"/>
  <c r="J62" i="24"/>
  <c r="G20" i="24"/>
  <c r="H20" i="24" s="1"/>
  <c r="I20" i="24" s="1"/>
  <c r="O49" i="9"/>
  <c r="P80" i="9" s="1"/>
  <c r="H246" i="24" s="1"/>
  <c r="J19" i="17"/>
  <c r="O59" i="11" s="1"/>
  <c r="H354" i="24"/>
  <c r="M232" i="24"/>
  <c r="O232" i="24" s="1"/>
  <c r="M225" i="24"/>
  <c r="O225" i="24" s="1"/>
  <c r="M230" i="24"/>
  <c r="O230" i="24" s="1"/>
  <c r="M231" i="24"/>
  <c r="O231" i="24" s="1"/>
  <c r="E28" i="23"/>
  <c r="N64" i="11"/>
  <c r="G399" i="24" l="1"/>
  <c r="G390" i="24"/>
  <c r="F47" i="23"/>
  <c r="K104" i="19"/>
  <c r="O104" i="19" s="1"/>
  <c r="P104" i="19" s="1"/>
  <c r="H381" i="24"/>
  <c r="K354" i="24"/>
  <c r="P44" i="11"/>
  <c r="J63" i="24"/>
  <c r="H64" i="24"/>
  <c r="J64" i="24" s="1"/>
  <c r="E233" i="24"/>
  <c r="E239" i="24"/>
  <c r="F233" i="24"/>
  <c r="F239" i="24"/>
  <c r="G233" i="24"/>
  <c r="G239" i="24"/>
  <c r="I233" i="24"/>
  <c r="I239" i="24"/>
  <c r="J20" i="17"/>
  <c r="P59" i="11" s="1"/>
  <c r="I372" i="24"/>
  <c r="I381" i="24" s="1"/>
  <c r="I390" i="24" s="1"/>
  <c r="G21" i="24"/>
  <c r="H21" i="24" s="1"/>
  <c r="I21" i="24" s="1"/>
  <c r="H216" i="24"/>
  <c r="H104" i="24"/>
  <c r="O64" i="11"/>
  <c r="H399" i="24" l="1"/>
  <c r="H390" i="24"/>
  <c r="F48" i="23"/>
  <c r="K105" i="19"/>
  <c r="O105" i="19" s="1"/>
  <c r="P105" i="19" s="1"/>
  <c r="G240" i="24"/>
  <c r="G292" i="24" s="1"/>
  <c r="G291" i="24"/>
  <c r="I240" i="24"/>
  <c r="I292" i="24" s="1"/>
  <c r="I291" i="24"/>
  <c r="E291" i="24"/>
  <c r="E240" i="24"/>
  <c r="E292" i="24" s="1"/>
  <c r="F240" i="24"/>
  <c r="F292" i="24" s="1"/>
  <c r="F291" i="24"/>
  <c r="I399" i="24"/>
  <c r="P64" i="11"/>
  <c r="G22" i="24"/>
  <c r="H22" i="24" s="1"/>
  <c r="I22" i="24" s="1"/>
  <c r="H233" i="24"/>
  <c r="H239" i="24"/>
  <c r="F49" i="23" l="1"/>
  <c r="K106" i="19"/>
  <c r="O106" i="19" s="1"/>
  <c r="P106" i="19" s="1"/>
  <c r="H240" i="24"/>
  <c r="H292" i="24" s="1"/>
  <c r="H291" i="24"/>
  <c r="F50" i="23" l="1"/>
  <c r="K107" i="19"/>
  <c r="O107" i="19" s="1"/>
  <c r="P107" i="19" s="1"/>
  <c r="F51" i="23" l="1"/>
  <c r="K108" i="19"/>
  <c r="O108" i="19" s="1"/>
  <c r="P108" i="19" s="1"/>
  <c r="N27" i="11"/>
  <c r="N32" i="11"/>
  <c r="F52" i="23" l="1"/>
  <c r="K109" i="19"/>
  <c r="O109" i="19" s="1"/>
  <c r="P109" i="19" s="1"/>
  <c r="G374" i="24"/>
  <c r="G369" i="24"/>
  <c r="E15" i="18"/>
  <c r="N22" i="11"/>
  <c r="N56" i="11" l="1"/>
  <c r="N61" i="11"/>
  <c r="K110" i="19"/>
  <c r="O110" i="19" s="1"/>
  <c r="H52" i="23"/>
  <c r="G52" i="23"/>
  <c r="N51" i="11"/>
  <c r="G397" i="24" s="1"/>
  <c r="N46" i="11"/>
  <c r="G364" i="24"/>
  <c r="G383" i="24" s="1"/>
  <c r="G392" i="24" s="1"/>
  <c r="N65" i="11"/>
  <c r="I3" i="23" l="1"/>
  <c r="J3" i="23" s="1"/>
  <c r="F53" i="23" s="1"/>
  <c r="K230" i="19"/>
  <c r="L230" i="19" s="1"/>
  <c r="M230" i="19" s="1"/>
  <c r="P110" i="19"/>
  <c r="M2" i="23"/>
  <c r="O2" i="23" s="1"/>
  <c r="G401" i="24"/>
  <c r="N66" i="11"/>
  <c r="C15" i="9" l="1"/>
  <c r="D15" i="9" s="1"/>
  <c r="E15" i="9" s="1"/>
  <c r="G5" i="11"/>
  <c r="G71" i="11" s="1"/>
  <c r="E147" i="24"/>
  <c r="F147" i="24" s="1"/>
  <c r="F54" i="23"/>
  <c r="K111" i="19"/>
  <c r="O111" i="19" s="1"/>
  <c r="P111" i="19" s="1"/>
  <c r="F55" i="23"/>
  <c r="E27" i="23"/>
  <c r="A31" i="23"/>
  <c r="E116" i="24"/>
  <c r="D277" i="24"/>
  <c r="D271" i="24" s="1"/>
  <c r="D275" i="24" s="1"/>
  <c r="G6" i="11" l="1"/>
  <c r="K112" i="19"/>
  <c r="O112" i="19" s="1"/>
  <c r="P112" i="19" s="1"/>
  <c r="F56" i="23"/>
  <c r="K113" i="19"/>
  <c r="O113" i="19" s="1"/>
  <c r="P113" i="19" s="1"/>
  <c r="F12" i="23"/>
  <c r="D281" i="24"/>
  <c r="H277" i="24"/>
  <c r="H271" i="24"/>
  <c r="C25" i="23"/>
  <c r="D23" i="23"/>
  <c r="G273" i="24" s="1"/>
  <c r="A25" i="23"/>
  <c r="F57" i="23" l="1"/>
  <c r="K114" i="19"/>
  <c r="O114" i="19" s="1"/>
  <c r="P114" i="19" s="1"/>
  <c r="N96" i="9"/>
  <c r="N107" i="9" s="1"/>
  <c r="L96" i="9"/>
  <c r="L107" i="9" s="1"/>
  <c r="M96" i="9"/>
  <c r="M107" i="9" s="1"/>
  <c r="D24" i="23"/>
  <c r="E24" i="23" s="1"/>
  <c r="E23" i="23"/>
  <c r="F275" i="24"/>
  <c r="E275" i="24"/>
  <c r="C31" i="23"/>
  <c r="E281" i="24"/>
  <c r="F58" i="23" l="1"/>
  <c r="K115" i="19"/>
  <c r="O115" i="19" s="1"/>
  <c r="P115" i="19" s="1"/>
  <c r="R96" i="9"/>
  <c r="E29" i="23"/>
  <c r="E25" i="23"/>
  <c r="D25" i="23"/>
  <c r="E30" i="23"/>
  <c r="F279" i="24"/>
  <c r="F59" i="23" l="1"/>
  <c r="K116" i="19"/>
  <c r="O116" i="19" s="1"/>
  <c r="P116" i="19" s="1"/>
  <c r="H272" i="24"/>
  <c r="H278" i="24"/>
  <c r="H273" i="24"/>
  <c r="F281" i="24"/>
  <c r="D31" i="23"/>
  <c r="E31" i="23" s="1"/>
  <c r="F60" i="23" l="1"/>
  <c r="K117" i="19"/>
  <c r="O117" i="19" s="1"/>
  <c r="P117" i="19" s="1"/>
  <c r="N97" i="9"/>
  <c r="N108" i="9" s="1"/>
  <c r="L97" i="9"/>
  <c r="L108" i="9" s="1"/>
  <c r="M97" i="9"/>
  <c r="M108" i="9" s="1"/>
  <c r="G274" i="24"/>
  <c r="G275" i="24" s="1"/>
  <c r="H275" i="24" s="1"/>
  <c r="G279" i="24"/>
  <c r="H279" i="24" s="1"/>
  <c r="F61" i="23" l="1"/>
  <c r="K118" i="19"/>
  <c r="O118" i="19" s="1"/>
  <c r="P118" i="19" s="1"/>
  <c r="R97" i="9"/>
  <c r="G280" i="24"/>
  <c r="H280" i="24" s="1"/>
  <c r="H274" i="24"/>
  <c r="F62" i="23" l="1"/>
  <c r="K119" i="19"/>
  <c r="O119" i="19" s="1"/>
  <c r="P119" i="19" s="1"/>
  <c r="G281" i="24"/>
  <c r="F63" i="23" l="1"/>
  <c r="K120" i="19"/>
  <c r="O120" i="19" s="1"/>
  <c r="P120" i="19" s="1"/>
  <c r="H281" i="24"/>
  <c r="F285" i="24"/>
  <c r="E285" i="24"/>
  <c r="D285" i="24"/>
  <c r="F64" i="23" l="1"/>
  <c r="K121" i="19"/>
  <c r="O121" i="19" s="1"/>
  <c r="P121" i="19" s="1"/>
  <c r="H64" i="23" l="1"/>
  <c r="G64" i="23"/>
  <c r="M3" i="23" s="1"/>
  <c r="O3" i="23" s="1"/>
  <c r="K122" i="19"/>
  <c r="O122" i="19" s="1"/>
  <c r="K231" i="19" l="1"/>
  <c r="L231" i="19" s="1"/>
  <c r="M231" i="19" s="1"/>
  <c r="P122" i="19"/>
  <c r="H4" i="23"/>
  <c r="C16" i="9" l="1"/>
  <c r="D16" i="9" s="1"/>
  <c r="E16" i="9" s="1"/>
  <c r="E148" i="24"/>
  <c r="F148" i="24" s="1"/>
  <c r="H5" i="11"/>
  <c r="H6" i="11" s="1"/>
  <c r="N4" i="23"/>
  <c r="I4" i="23"/>
  <c r="J4" i="23" s="1"/>
  <c r="F65" i="23" s="1"/>
  <c r="F66" i="23" s="1"/>
  <c r="F67" i="23" s="1"/>
  <c r="H71" i="11" l="1"/>
  <c r="K123" i="19"/>
  <c r="O123" i="19" s="1"/>
  <c r="P123" i="19" s="1"/>
  <c r="K124" i="19"/>
  <c r="O124" i="19" s="1"/>
  <c r="P124" i="19" s="1"/>
  <c r="F68" i="23"/>
  <c r="K125" i="19"/>
  <c r="O125" i="19" s="1"/>
  <c r="P125" i="19" s="1"/>
  <c r="F69" i="23" l="1"/>
  <c r="K126" i="19"/>
  <c r="O126" i="19" s="1"/>
  <c r="P126" i="19" s="1"/>
  <c r="F70" i="23" l="1"/>
  <c r="K127" i="19"/>
  <c r="O127" i="19" s="1"/>
  <c r="P127" i="19" s="1"/>
  <c r="F71" i="23" l="1"/>
  <c r="K128" i="19"/>
  <c r="O128" i="19" s="1"/>
  <c r="P128" i="19" s="1"/>
  <c r="F72" i="23" l="1"/>
  <c r="K129" i="19"/>
  <c r="O129" i="19" s="1"/>
  <c r="P129" i="19" s="1"/>
  <c r="F73" i="23" l="1"/>
  <c r="K130" i="19"/>
  <c r="O130" i="19" s="1"/>
  <c r="P130" i="19" s="1"/>
  <c r="F74" i="23" l="1"/>
  <c r="K131" i="19"/>
  <c r="O131" i="19" s="1"/>
  <c r="P131" i="19" s="1"/>
  <c r="F75" i="23" l="1"/>
  <c r="K132" i="19"/>
  <c r="O132" i="19" s="1"/>
  <c r="P132" i="19" s="1"/>
  <c r="F76" i="23" l="1"/>
  <c r="G76" i="23" s="1"/>
  <c r="K133" i="19"/>
  <c r="O133" i="19" s="1"/>
  <c r="P133" i="19" s="1"/>
  <c r="K134" i="19" l="1"/>
  <c r="O134" i="19" s="1"/>
  <c r="H76" i="23"/>
  <c r="M4" i="23"/>
  <c r="O4" i="23" s="1"/>
  <c r="K232" i="19" l="1"/>
  <c r="I5" i="11" s="1"/>
  <c r="P134" i="19"/>
  <c r="H5" i="23"/>
  <c r="N5" i="23" s="1"/>
  <c r="E149" i="24" l="1"/>
  <c r="F149" i="24" s="1"/>
  <c r="C17" i="9"/>
  <c r="D17" i="9" s="1"/>
  <c r="E17" i="9" s="1"/>
  <c r="L232" i="19"/>
  <c r="M232" i="19" s="1"/>
  <c r="I5" i="23"/>
  <c r="I6" i="11"/>
  <c r="I71" i="11"/>
  <c r="H6" i="23" l="1"/>
  <c r="N6" i="23" s="1"/>
  <c r="H7" i="23" l="1"/>
  <c r="N7" i="23" s="1"/>
  <c r="H8" i="23" l="1"/>
  <c r="N8" i="23" s="1"/>
  <c r="D297" i="24" l="1"/>
  <c r="D298" i="24"/>
  <c r="E297" i="24"/>
  <c r="M88" i="9"/>
  <c r="E298" i="24"/>
  <c r="M89" i="9"/>
  <c r="F297" i="24"/>
  <c r="N88" i="9"/>
  <c r="F298" i="24"/>
  <c r="N89" i="9" l="1"/>
  <c r="G297" i="24"/>
  <c r="O88" i="9"/>
  <c r="G298" i="24"/>
  <c r="O89" i="9"/>
  <c r="H297" i="24"/>
  <c r="P88" i="9"/>
  <c r="H298" i="24"/>
  <c r="P89" i="9"/>
  <c r="I297" i="24"/>
  <c r="Q88" i="9"/>
  <c r="J297" i="24" l="1"/>
  <c r="I298" i="24"/>
  <c r="J298" i="24" s="1"/>
  <c r="Q89" i="9" l="1"/>
  <c r="D234" i="24" l="1"/>
  <c r="D239" i="24" s="1"/>
  <c r="K68" i="9"/>
  <c r="K48" i="9" s="1"/>
  <c r="L79" i="9" s="1"/>
  <c r="R79" i="9" l="1"/>
  <c r="D245" i="24"/>
  <c r="J245" i="24" s="1"/>
  <c r="K79" i="9"/>
  <c r="D240" i="24"/>
  <c r="M234" i="24"/>
  <c r="O234" i="24" s="1"/>
  <c r="L88" i="9"/>
  <c r="K49" i="9"/>
  <c r="L80" i="9" s="1"/>
  <c r="R80" i="9" l="1"/>
  <c r="D246" i="24"/>
  <c r="J246" i="24" s="1"/>
  <c r="K80" i="9"/>
  <c r="D291" i="24"/>
  <c r="J291" i="24" s="1"/>
  <c r="R88" i="9"/>
  <c r="F286" i="24"/>
  <c r="L89" i="9"/>
  <c r="R89" i="9" s="1"/>
  <c r="D292" i="24" l="1"/>
  <c r="J292" i="24" s="1"/>
  <c r="J285" i="24"/>
  <c r="J286" i="24"/>
  <c r="H9" i="23" l="1"/>
  <c r="N9" i="23" s="1"/>
  <c r="H10" i="23" l="1"/>
  <c r="N10" i="23" l="1"/>
  <c r="H11" i="23"/>
  <c r="N11" i="23" s="1"/>
  <c r="N12" i="23" l="1"/>
  <c r="H12" i="23"/>
  <c r="F27" i="9"/>
  <c r="J5" i="23" l="1"/>
  <c r="F77" i="23" s="1"/>
  <c r="K135" i="19" l="1"/>
  <c r="O135" i="19" s="1"/>
  <c r="P135" i="19" s="1"/>
  <c r="F78" i="23"/>
  <c r="F79" i="23" l="1"/>
  <c r="K136" i="19"/>
  <c r="O136" i="19" s="1"/>
  <c r="P136" i="19" s="1"/>
  <c r="K137" i="19" l="1"/>
  <c r="O137" i="19" s="1"/>
  <c r="P137" i="19" s="1"/>
  <c r="F80" i="23"/>
  <c r="K138" i="19" l="1"/>
  <c r="O138" i="19" s="1"/>
  <c r="P138" i="19" s="1"/>
  <c r="F81" i="23"/>
  <c r="F82" i="23" l="1"/>
  <c r="K139" i="19"/>
  <c r="O139" i="19" s="1"/>
  <c r="P139" i="19" s="1"/>
  <c r="K140" i="19" l="1"/>
  <c r="O140" i="19" s="1"/>
  <c r="P140" i="19" s="1"/>
  <c r="F83" i="23"/>
  <c r="K141" i="19" l="1"/>
  <c r="O141" i="19" s="1"/>
  <c r="P141" i="19" s="1"/>
  <c r="F84" i="23"/>
  <c r="F85" i="23" l="1"/>
  <c r="K142" i="19"/>
  <c r="O142" i="19" s="1"/>
  <c r="P142" i="19" s="1"/>
  <c r="K143" i="19" l="1"/>
  <c r="O143" i="19" s="1"/>
  <c r="P143" i="19" s="1"/>
  <c r="F86" i="23"/>
  <c r="F87" i="23" l="1"/>
  <c r="K144" i="19"/>
  <c r="O144" i="19" s="1"/>
  <c r="P144" i="19" s="1"/>
  <c r="F88" i="23" l="1"/>
  <c r="K145" i="19"/>
  <c r="O145" i="19" s="1"/>
  <c r="P145" i="19" s="1"/>
  <c r="H88" i="23" l="1"/>
  <c r="G88" i="23"/>
  <c r="M5" i="23" s="1"/>
  <c r="O5" i="23" s="1"/>
  <c r="I6" i="23"/>
  <c r="J6" i="23" s="1"/>
  <c r="F89" i="23" s="1"/>
  <c r="K146" i="19"/>
  <c r="O146" i="19" s="1"/>
  <c r="K233" i="19" l="1"/>
  <c r="L233" i="19" s="1"/>
  <c r="M233" i="19" s="1"/>
  <c r="P146" i="19"/>
  <c r="K147" i="19"/>
  <c r="O147" i="19" s="1"/>
  <c r="P147" i="19" s="1"/>
  <c r="F90" i="23"/>
  <c r="C18" i="9" l="1"/>
  <c r="D18" i="9" s="1"/>
  <c r="E18" i="9" s="1"/>
  <c r="J5" i="11"/>
  <c r="J71" i="11" s="1"/>
  <c r="E150" i="24"/>
  <c r="F150" i="24" s="1"/>
  <c r="J6" i="11"/>
  <c r="F91" i="23"/>
  <c r="K148" i="19"/>
  <c r="O148" i="19" s="1"/>
  <c r="P148" i="19" s="1"/>
  <c r="F92" i="23" l="1"/>
  <c r="K149" i="19"/>
  <c r="O149" i="19" s="1"/>
  <c r="P149" i="19" s="1"/>
  <c r="F93" i="23" l="1"/>
  <c r="K150" i="19"/>
  <c r="O150" i="19" s="1"/>
  <c r="P150" i="19" s="1"/>
  <c r="F94" i="23" l="1"/>
  <c r="K151" i="19"/>
  <c r="O151" i="19" s="1"/>
  <c r="P151" i="19" s="1"/>
  <c r="F95" i="23" l="1"/>
  <c r="K152" i="19"/>
  <c r="O152" i="19" s="1"/>
  <c r="P152" i="19" s="1"/>
  <c r="K153" i="19" l="1"/>
  <c r="O153" i="19" s="1"/>
  <c r="P153" i="19" s="1"/>
  <c r="F96" i="23"/>
  <c r="F97" i="23" l="1"/>
  <c r="K154" i="19"/>
  <c r="O154" i="19" s="1"/>
  <c r="P154" i="19" s="1"/>
  <c r="F98" i="23" l="1"/>
  <c r="K155" i="19"/>
  <c r="O155" i="19" s="1"/>
  <c r="P155" i="19" s="1"/>
  <c r="F99" i="23" l="1"/>
  <c r="K156" i="19"/>
  <c r="O156" i="19" s="1"/>
  <c r="P156" i="19" s="1"/>
  <c r="K157" i="19" l="1"/>
  <c r="O157" i="19" s="1"/>
  <c r="P157" i="19" s="1"/>
  <c r="F100" i="23"/>
  <c r="H100" i="23" l="1"/>
  <c r="G100" i="23"/>
  <c r="M6" i="23" s="1"/>
  <c r="O6" i="23" s="1"/>
  <c r="I7" i="23"/>
  <c r="J7" i="23" s="1"/>
  <c r="F101" i="23" s="1"/>
  <c r="K158" i="19"/>
  <c r="O158" i="19" s="1"/>
  <c r="K234" i="19" l="1"/>
  <c r="C19" i="9" s="1"/>
  <c r="D19" i="9" s="1"/>
  <c r="E19" i="9" s="1"/>
  <c r="P158" i="19"/>
  <c r="F102" i="23"/>
  <c r="K159" i="19"/>
  <c r="O159" i="19" s="1"/>
  <c r="P159" i="19" s="1"/>
  <c r="K5" i="11" l="1"/>
  <c r="K6" i="11" s="1"/>
  <c r="E151" i="24"/>
  <c r="F151" i="24" s="1"/>
  <c r="L234" i="19"/>
  <c r="M234" i="19" s="1"/>
  <c r="K160" i="19"/>
  <c r="O160" i="19" s="1"/>
  <c r="P160" i="19" s="1"/>
  <c r="F103" i="23"/>
  <c r="K71" i="11" l="1"/>
  <c r="F104" i="23"/>
  <c r="K161" i="19"/>
  <c r="O161" i="19" s="1"/>
  <c r="P161" i="19" s="1"/>
  <c r="F105" i="23" l="1"/>
  <c r="K162" i="19"/>
  <c r="O162" i="19" s="1"/>
  <c r="P162" i="19" s="1"/>
  <c r="K163" i="19" l="1"/>
  <c r="O163" i="19" s="1"/>
  <c r="P163" i="19" s="1"/>
  <c r="F106" i="23"/>
  <c r="F107" i="23" l="1"/>
  <c r="K164" i="19"/>
  <c r="O164" i="19" s="1"/>
  <c r="P164" i="19" s="1"/>
  <c r="F108" i="23" l="1"/>
  <c r="K165" i="19"/>
  <c r="O165" i="19" s="1"/>
  <c r="P165" i="19" s="1"/>
  <c r="F109" i="23" l="1"/>
  <c r="K166" i="19"/>
  <c r="O166" i="19" s="1"/>
  <c r="P166" i="19" s="1"/>
  <c r="K167" i="19" l="1"/>
  <c r="O167" i="19" s="1"/>
  <c r="P167" i="19" s="1"/>
  <c r="F110" i="23"/>
  <c r="F111" i="23" l="1"/>
  <c r="K168" i="19"/>
  <c r="O168" i="19" s="1"/>
  <c r="P168" i="19" s="1"/>
  <c r="F112" i="23" l="1"/>
  <c r="K169" i="19"/>
  <c r="O169" i="19" s="1"/>
  <c r="P169" i="19" s="1"/>
  <c r="H112" i="23" l="1"/>
  <c r="G112" i="23"/>
  <c r="M7" i="23" s="1"/>
  <c r="O7" i="23" s="1"/>
  <c r="K170" i="19"/>
  <c r="O170" i="19" s="1"/>
  <c r="I8" i="23"/>
  <c r="J8" i="23" s="1"/>
  <c r="F113" i="23" s="1"/>
  <c r="K235" i="19" l="1"/>
  <c r="E152" i="24" s="1"/>
  <c r="F152" i="24" s="1"/>
  <c r="P170" i="19"/>
  <c r="K171" i="19"/>
  <c r="O171" i="19" s="1"/>
  <c r="P171" i="19" s="1"/>
  <c r="F114" i="23"/>
  <c r="C20" i="9"/>
  <c r="D20" i="9" s="1"/>
  <c r="E20" i="9" s="1"/>
  <c r="L5" i="11" l="1"/>
  <c r="L71" i="11" s="1"/>
  <c r="L235" i="19"/>
  <c r="M235" i="19" s="1"/>
  <c r="K172" i="19"/>
  <c r="O172" i="19" s="1"/>
  <c r="P172" i="19" s="1"/>
  <c r="F115" i="23"/>
  <c r="L6" i="11"/>
  <c r="E349" i="24"/>
  <c r="E350" i="24" s="1"/>
  <c r="K173" i="19" l="1"/>
  <c r="O173" i="19" s="1"/>
  <c r="P173" i="19" s="1"/>
  <c r="F116" i="23"/>
  <c r="F117" i="23" l="1"/>
  <c r="K174" i="19"/>
  <c r="O174" i="19" s="1"/>
  <c r="P174" i="19" s="1"/>
  <c r="F118" i="23" l="1"/>
  <c r="K175" i="19"/>
  <c r="O175" i="19" s="1"/>
  <c r="P175" i="19" s="1"/>
  <c r="F119" i="23" l="1"/>
  <c r="K176" i="19"/>
  <c r="O176" i="19" s="1"/>
  <c r="P176" i="19" s="1"/>
  <c r="K177" i="19" l="1"/>
  <c r="O177" i="19" s="1"/>
  <c r="P177" i="19" s="1"/>
  <c r="F120" i="23"/>
  <c r="F121" i="23" l="1"/>
  <c r="K178" i="19"/>
  <c r="O178" i="19" s="1"/>
  <c r="P178" i="19" s="1"/>
  <c r="F122" i="23" l="1"/>
  <c r="K179" i="19"/>
  <c r="O179" i="19" s="1"/>
  <c r="P179" i="19" s="1"/>
  <c r="F123" i="23" l="1"/>
  <c r="K180" i="19"/>
  <c r="O180" i="19" s="1"/>
  <c r="P180" i="19" s="1"/>
  <c r="F124" i="23" l="1"/>
  <c r="K181" i="19"/>
  <c r="O181" i="19" s="1"/>
  <c r="P181" i="19" s="1"/>
  <c r="H124" i="23" l="1"/>
  <c r="G124" i="23"/>
  <c r="M8" i="23" s="1"/>
  <c r="O8" i="23" s="1"/>
  <c r="K182" i="19"/>
  <c r="O182" i="19" s="1"/>
  <c r="I9" i="23"/>
  <c r="J9" i="23" s="1"/>
  <c r="F125" i="23" s="1"/>
  <c r="K236" i="19" l="1"/>
  <c r="P182" i="19"/>
  <c r="K183" i="19"/>
  <c r="O183" i="19" s="1"/>
  <c r="P183" i="19" s="1"/>
  <c r="F126" i="23"/>
  <c r="L236" i="19"/>
  <c r="M236" i="19" s="1"/>
  <c r="E153" i="24"/>
  <c r="F153" i="24" s="1"/>
  <c r="C21" i="9"/>
  <c r="D21" i="9" s="1"/>
  <c r="E21" i="9" s="1"/>
  <c r="M5" i="11"/>
  <c r="F349" i="24" l="1"/>
  <c r="F350" i="24" s="1"/>
  <c r="M71" i="11"/>
  <c r="M6" i="11"/>
  <c r="K184" i="19"/>
  <c r="O184" i="19" s="1"/>
  <c r="P184" i="19" s="1"/>
  <c r="F127" i="23"/>
  <c r="F128" i="23" l="1"/>
  <c r="K185" i="19"/>
  <c r="O185" i="19" s="1"/>
  <c r="P185" i="19" s="1"/>
  <c r="F129" i="23" l="1"/>
  <c r="K186" i="19"/>
  <c r="O186" i="19" s="1"/>
  <c r="P186" i="19" s="1"/>
  <c r="K187" i="19" l="1"/>
  <c r="O187" i="19" s="1"/>
  <c r="P187" i="19" s="1"/>
  <c r="F130" i="23"/>
  <c r="F131" i="23" l="1"/>
  <c r="K188" i="19"/>
  <c r="O188" i="19" s="1"/>
  <c r="P188" i="19" s="1"/>
  <c r="F132" i="23" l="1"/>
  <c r="K189" i="19"/>
  <c r="O189" i="19" s="1"/>
  <c r="P189" i="19" s="1"/>
  <c r="F133" i="23" l="1"/>
  <c r="K190" i="19"/>
  <c r="O190" i="19" s="1"/>
  <c r="P190" i="19" s="1"/>
  <c r="F134" i="23" l="1"/>
  <c r="K191" i="19"/>
  <c r="O191" i="19" s="1"/>
  <c r="P191" i="19" s="1"/>
  <c r="K192" i="19" l="1"/>
  <c r="O192" i="19" s="1"/>
  <c r="P192" i="19" s="1"/>
  <c r="F135" i="23"/>
  <c r="F136" i="23" l="1"/>
  <c r="K193" i="19"/>
  <c r="O193" i="19" s="1"/>
  <c r="P193" i="19" s="1"/>
  <c r="H136" i="23" l="1"/>
  <c r="G136" i="23"/>
  <c r="M9" i="23" s="1"/>
  <c r="O9" i="23" s="1"/>
  <c r="I10" i="23"/>
  <c r="J10" i="23" s="1"/>
  <c r="F137" i="23" s="1"/>
  <c r="K194" i="19"/>
  <c r="O194" i="19" s="1"/>
  <c r="K237" i="19" l="1"/>
  <c r="E154" i="24" s="1"/>
  <c r="F154" i="24" s="1"/>
  <c r="P194" i="19"/>
  <c r="P195" i="19" s="1"/>
  <c r="K195" i="19"/>
  <c r="O195" i="19" s="1"/>
  <c r="F138" i="23"/>
  <c r="C22" i="9"/>
  <c r="D22" i="9" s="1"/>
  <c r="E22" i="9" s="1"/>
  <c r="N5" i="11"/>
  <c r="L237" i="19"/>
  <c r="M237" i="19" s="1"/>
  <c r="K241" i="19" l="1"/>
  <c r="L241" i="19" s="1"/>
  <c r="G349" i="24"/>
  <c r="G350" i="24" s="1"/>
  <c r="N71" i="11"/>
  <c r="N6" i="11"/>
  <c r="K196" i="19"/>
  <c r="O196" i="19" s="1"/>
  <c r="F139" i="23"/>
  <c r="K197" i="19" l="1"/>
  <c r="O197" i="19" s="1"/>
  <c r="F140" i="23"/>
  <c r="K198" i="19" l="1"/>
  <c r="O198" i="19" s="1"/>
  <c r="F141" i="23"/>
  <c r="K199" i="19" l="1"/>
  <c r="O199" i="19" s="1"/>
  <c r="F142" i="23"/>
  <c r="K200" i="19" l="1"/>
  <c r="O200" i="19" s="1"/>
  <c r="F143" i="23"/>
  <c r="K201" i="19" l="1"/>
  <c r="O201" i="19" s="1"/>
  <c r="F144" i="23"/>
  <c r="K202" i="19" l="1"/>
  <c r="O202" i="19" s="1"/>
  <c r="F145" i="23"/>
  <c r="K203" i="19" l="1"/>
  <c r="O203" i="19" s="1"/>
  <c r="F146" i="23"/>
  <c r="K204" i="19" l="1"/>
  <c r="O204" i="19" s="1"/>
  <c r="F147" i="23"/>
  <c r="K205" i="19" l="1"/>
  <c r="O205" i="19" s="1"/>
  <c r="F148" i="23"/>
  <c r="G148" i="23" s="1"/>
  <c r="K206" i="19" l="1"/>
  <c r="O206" i="19" s="1"/>
  <c r="K238" i="19" s="1"/>
  <c r="M10" i="23"/>
  <c r="H148" i="23"/>
  <c r="I11" i="23" s="1"/>
  <c r="J11" i="23" s="1"/>
  <c r="F149" i="23" s="1"/>
  <c r="O10" i="23" l="1"/>
  <c r="E155" i="24"/>
  <c r="O5" i="11"/>
  <c r="H349" i="24" s="1"/>
  <c r="C23" i="9"/>
  <c r="G23" i="9" s="1"/>
  <c r="K83" i="9" s="1"/>
  <c r="K207" i="19"/>
  <c r="F150" i="23"/>
  <c r="K88" i="9" l="1"/>
  <c r="K100" i="9"/>
  <c r="K208" i="19"/>
  <c r="F151" i="23"/>
  <c r="G284" i="19"/>
  <c r="O207" i="19"/>
  <c r="O208" i="19" l="1"/>
  <c r="G285" i="19"/>
  <c r="K284" i="19"/>
  <c r="G300" i="19"/>
  <c r="K300" i="19" s="1"/>
  <c r="M92" i="9"/>
  <c r="Q92" i="9"/>
  <c r="L92" i="9"/>
  <c r="N92" i="9"/>
  <c r="P92" i="9"/>
  <c r="O92" i="9"/>
  <c r="F152" i="23"/>
  <c r="K209" i="19"/>
  <c r="K210" i="19" l="1"/>
  <c r="F153" i="23"/>
  <c r="R92" i="9"/>
  <c r="D294" i="24"/>
  <c r="L83" i="9"/>
  <c r="O83" i="9"/>
  <c r="G294" i="24"/>
  <c r="G300" i="24" s="1"/>
  <c r="I294" i="24"/>
  <c r="I300" i="24" s="1"/>
  <c r="Q83" i="9"/>
  <c r="G301" i="19"/>
  <c r="K301" i="19" s="1"/>
  <c r="K285" i="19"/>
  <c r="H294" i="24"/>
  <c r="H300" i="24" s="1"/>
  <c r="P83" i="9"/>
  <c r="E294" i="24"/>
  <c r="E300" i="24" s="1"/>
  <c r="M83" i="9"/>
  <c r="O209" i="19"/>
  <c r="G286" i="19"/>
  <c r="F294" i="24"/>
  <c r="F300" i="24" s="1"/>
  <c r="N83" i="9"/>
  <c r="B16" i="18" l="1"/>
  <c r="N100" i="9"/>
  <c r="O21" i="11" s="1"/>
  <c r="N104" i="9"/>
  <c r="M100" i="9"/>
  <c r="O17" i="11" s="1"/>
  <c r="M104" i="9"/>
  <c r="C16" i="18"/>
  <c r="O100" i="9"/>
  <c r="O26" i="11" s="1"/>
  <c r="O104" i="9"/>
  <c r="K211" i="19"/>
  <c r="F154" i="23"/>
  <c r="K286" i="19"/>
  <c r="G302" i="19"/>
  <c r="K302" i="19" s="1"/>
  <c r="P104" i="9"/>
  <c r="D16" i="18"/>
  <c r="P100" i="9"/>
  <c r="O31" i="11" s="1"/>
  <c r="Q104" i="9"/>
  <c r="Q100" i="9"/>
  <c r="O36" i="11" s="1"/>
  <c r="L100" i="9"/>
  <c r="R83" i="9"/>
  <c r="S83" i="9" s="1"/>
  <c r="L104" i="9"/>
  <c r="O210" i="19"/>
  <c r="G287" i="19"/>
  <c r="J294" i="24"/>
  <c r="D300" i="24"/>
  <c r="J300" i="24" s="1"/>
  <c r="B6" i="29" l="1"/>
  <c r="B18" i="29" s="1"/>
  <c r="D18" i="29" s="1"/>
  <c r="F18" i="29" s="1"/>
  <c r="H43" i="24"/>
  <c r="H85" i="24" s="1"/>
  <c r="H105" i="24" s="1"/>
  <c r="H373" i="24"/>
  <c r="B5" i="29"/>
  <c r="B17" i="29" s="1"/>
  <c r="D17" i="29" s="1"/>
  <c r="F17" i="29" s="1"/>
  <c r="H368" i="24"/>
  <c r="G43" i="24"/>
  <c r="G85" i="24" s="1"/>
  <c r="G105" i="24" s="1"/>
  <c r="G303" i="19"/>
  <c r="K303" i="19" s="1"/>
  <c r="K287" i="19"/>
  <c r="O13" i="11"/>
  <c r="R100" i="9"/>
  <c r="O32" i="11"/>
  <c r="F341" i="24"/>
  <c r="F155" i="23"/>
  <c r="K212" i="19"/>
  <c r="E341" i="24"/>
  <c r="O27" i="11"/>
  <c r="B4" i="29"/>
  <c r="H363" i="24"/>
  <c r="F43" i="24"/>
  <c r="F85" i="24" s="1"/>
  <c r="F105" i="24" s="1"/>
  <c r="I43" i="24"/>
  <c r="I85" i="24" s="1"/>
  <c r="I105" i="24" s="1"/>
  <c r="H378" i="24"/>
  <c r="B7" i="29"/>
  <c r="B19" i="29" s="1"/>
  <c r="D19" i="29" s="1"/>
  <c r="F19" i="29" s="1"/>
  <c r="G288" i="19"/>
  <c r="O211" i="19"/>
  <c r="D341" i="24"/>
  <c r="O22" i="11"/>
  <c r="E16" i="18"/>
  <c r="B3" i="29"/>
  <c r="B15" i="29" s="1"/>
  <c r="D15" i="29" s="1"/>
  <c r="F15" i="29" s="1"/>
  <c r="E43" i="24"/>
  <c r="E85" i="24" s="1"/>
  <c r="E105" i="24" s="1"/>
  <c r="H359" i="24"/>
  <c r="B28" i="29" l="1"/>
  <c r="D28" i="29" s="1"/>
  <c r="F28" i="29" s="1"/>
  <c r="B26" i="29"/>
  <c r="D26" i="29" s="1"/>
  <c r="F26" i="29" s="1"/>
  <c r="O56" i="11"/>
  <c r="O61" i="11"/>
  <c r="G304" i="19"/>
  <c r="K304" i="19" s="1"/>
  <c r="K288" i="19"/>
  <c r="C6" i="29"/>
  <c r="D40" i="29" s="1"/>
  <c r="H374" i="24"/>
  <c r="H364" i="24"/>
  <c r="C4" i="29"/>
  <c r="O46" i="11"/>
  <c r="O51" i="11"/>
  <c r="G289" i="19"/>
  <c r="O212" i="19"/>
  <c r="O60" i="11"/>
  <c r="S100" i="9"/>
  <c r="O8" i="11"/>
  <c r="D21" i="24" s="1"/>
  <c r="E21" i="24" s="1"/>
  <c r="F21" i="24" s="1"/>
  <c r="O55" i="11"/>
  <c r="B30" i="29"/>
  <c r="D30" i="29" s="1"/>
  <c r="F30" i="29" s="1"/>
  <c r="G341" i="24"/>
  <c r="B16" i="29"/>
  <c r="D16" i="29" s="1"/>
  <c r="K213" i="19"/>
  <c r="F156" i="23"/>
  <c r="O45" i="11"/>
  <c r="O50" i="11"/>
  <c r="D43" i="24"/>
  <c r="B2" i="29"/>
  <c r="H355" i="24"/>
  <c r="H382" i="24" s="1"/>
  <c r="H391" i="24" s="1"/>
  <c r="B29" i="29"/>
  <c r="D29" i="29" s="1"/>
  <c r="F29" i="29" s="1"/>
  <c r="C5" i="29"/>
  <c r="D39" i="29" s="1"/>
  <c r="H369" i="24"/>
  <c r="D61" i="29" l="1"/>
  <c r="D41" i="29"/>
  <c r="F41" i="29" s="1"/>
  <c r="D37" i="29"/>
  <c r="D48" i="29" s="1"/>
  <c r="F48" i="29" s="1"/>
  <c r="D59" i="29"/>
  <c r="D70" i="29" s="1"/>
  <c r="F70" i="29" s="1"/>
  <c r="H383" i="24"/>
  <c r="H392" i="24" s="1"/>
  <c r="D62" i="29"/>
  <c r="F62" i="29" s="1"/>
  <c r="G305" i="19"/>
  <c r="K305" i="19" s="1"/>
  <c r="K289" i="19"/>
  <c r="B9" i="29"/>
  <c r="B14" i="29"/>
  <c r="F157" i="23"/>
  <c r="K214" i="19"/>
  <c r="J43" i="24"/>
  <c r="D85" i="24"/>
  <c r="D105" i="24" s="1"/>
  <c r="D63" i="29"/>
  <c r="O65" i="11"/>
  <c r="H396" i="24"/>
  <c r="H400" i="24" s="1"/>
  <c r="B27" i="29"/>
  <c r="D27" i="29" s="1"/>
  <c r="F27" i="29" s="1"/>
  <c r="D38" i="29"/>
  <c r="C9" i="29"/>
  <c r="F16" i="29"/>
  <c r="H397" i="24"/>
  <c r="O66" i="11"/>
  <c r="D50" i="29"/>
  <c r="F50" i="29" s="1"/>
  <c r="F39" i="29"/>
  <c r="O213" i="19"/>
  <c r="G290" i="19"/>
  <c r="D51" i="29"/>
  <c r="F51" i="29" s="1"/>
  <c r="F40" i="29"/>
  <c r="D72" i="29"/>
  <c r="F72" i="29" s="1"/>
  <c r="F61" i="29"/>
  <c r="F37" i="29" l="1"/>
  <c r="D60" i="29"/>
  <c r="D71" i="29" s="1"/>
  <c r="F71" i="29" s="1"/>
  <c r="D52" i="29"/>
  <c r="F52" i="29" s="1"/>
  <c r="F59" i="29"/>
  <c r="D73" i="29"/>
  <c r="F73" i="29" s="1"/>
  <c r="H401" i="24"/>
  <c r="G306" i="19"/>
  <c r="K306" i="19" s="1"/>
  <c r="K290" i="19"/>
  <c r="B25" i="29"/>
  <c r="B21" i="29"/>
  <c r="D14" i="29"/>
  <c r="F38" i="29"/>
  <c r="D49" i="29"/>
  <c r="F49" i="29" s="1"/>
  <c r="F63" i="29"/>
  <c r="D74" i="29"/>
  <c r="F74" i="29" s="1"/>
  <c r="G291" i="19"/>
  <c r="O214" i="19"/>
  <c r="F60" i="29"/>
  <c r="F158" i="23"/>
  <c r="K215" i="19"/>
  <c r="O215" i="19" l="1"/>
  <c r="G292" i="19"/>
  <c r="D25" i="29"/>
  <c r="B32" i="29"/>
  <c r="F159" i="23"/>
  <c r="K216" i="19"/>
  <c r="G307" i="19"/>
  <c r="K307" i="19" s="1"/>
  <c r="K291" i="19"/>
  <c r="D21" i="29"/>
  <c r="F14" i="29"/>
  <c r="F21" i="29" s="1"/>
  <c r="D32" i="29" l="1"/>
  <c r="F25" i="29"/>
  <c r="F32" i="29" s="1"/>
  <c r="B84" i="29" s="1"/>
  <c r="D36" i="29"/>
  <c r="G293" i="19"/>
  <c r="O216" i="19"/>
  <c r="K292" i="19"/>
  <c r="G308" i="19"/>
  <c r="K308" i="19" s="1"/>
  <c r="D58" i="29"/>
  <c r="F160" i="23"/>
  <c r="G160" i="23" s="1"/>
  <c r="K217" i="19"/>
  <c r="F36" i="29" l="1"/>
  <c r="F43" i="29" s="1"/>
  <c r="B86" i="29" s="1"/>
  <c r="D47" i="29"/>
  <c r="F47" i="29" s="1"/>
  <c r="F54" i="29" s="1"/>
  <c r="B87" i="29" s="1"/>
  <c r="O217" i="19"/>
  <c r="G294" i="19"/>
  <c r="F161" i="23"/>
  <c r="H160" i="23"/>
  <c r="K218" i="19"/>
  <c r="M11" i="23"/>
  <c r="M12" i="23" s="1"/>
  <c r="D65" i="29"/>
  <c r="F58" i="29"/>
  <c r="F65" i="29" s="1"/>
  <c r="B85" i="29" s="1"/>
  <c r="D69" i="29"/>
  <c r="G309" i="19"/>
  <c r="K309" i="19" s="1"/>
  <c r="K293" i="19"/>
  <c r="O11" i="23" l="1"/>
  <c r="G310" i="19"/>
  <c r="K310" i="19" s="1"/>
  <c r="K294" i="19"/>
  <c r="F69" i="29"/>
  <c r="F76" i="29" s="1"/>
  <c r="B88" i="29" s="1"/>
  <c r="B90" i="29" s="1"/>
  <c r="D76" i="29"/>
  <c r="G295" i="19"/>
  <c r="O218" i="19"/>
  <c r="O220" i="19" s="1"/>
  <c r="G311" i="19" l="1"/>
  <c r="K311" i="19" s="1"/>
  <c r="K312" i="19" s="1"/>
  <c r="E158" i="24" s="1"/>
  <c r="K295" i="19"/>
  <c r="K296" i="19" s="1"/>
  <c r="E157" i="24" s="1"/>
  <c r="K239" i="19"/>
  <c r="P5" i="11" s="1"/>
  <c r="E156" i="24" l="1"/>
  <c r="C24" i="9"/>
  <c r="K243" i="19"/>
  <c r="L243" i="19" s="1"/>
  <c r="G24" i="9" l="1"/>
  <c r="K84" i="9" s="1"/>
  <c r="K101" i="9" s="1"/>
  <c r="C26" i="9"/>
  <c r="K89" i="9" l="1"/>
  <c r="P93" i="9" s="1"/>
  <c r="M93" i="9"/>
  <c r="O93" i="9" l="1"/>
  <c r="N93" i="9"/>
  <c r="F295" i="24" s="1"/>
  <c r="F301" i="24" s="1"/>
  <c r="L93" i="9"/>
  <c r="D295" i="24" s="1"/>
  <c r="Q93" i="9"/>
  <c r="Q84" i="9" s="1"/>
  <c r="H295" i="24"/>
  <c r="H301" i="24" s="1"/>
  <c r="P84" i="9"/>
  <c r="G295" i="24"/>
  <c r="G301" i="24" s="1"/>
  <c r="O84" i="9"/>
  <c r="M84" i="9"/>
  <c r="E295" i="24"/>
  <c r="E301" i="24" s="1"/>
  <c r="R93" i="9" l="1"/>
  <c r="I295" i="24"/>
  <c r="I301" i="24" s="1"/>
  <c r="L84" i="9"/>
  <c r="L101" i="9" s="1"/>
  <c r="N84" i="9"/>
  <c r="D301" i="24"/>
  <c r="P105" i="9"/>
  <c r="P101" i="9"/>
  <c r="P31" i="11" s="1"/>
  <c r="B6" i="40" s="1"/>
  <c r="D17" i="18"/>
  <c r="M101" i="9"/>
  <c r="P17" i="11" s="1"/>
  <c r="B3" i="40" s="1"/>
  <c r="M105" i="9"/>
  <c r="Q101" i="9"/>
  <c r="P36" i="11" s="1"/>
  <c r="B7" i="40" s="1"/>
  <c r="Q105" i="9"/>
  <c r="O105" i="9"/>
  <c r="O101" i="9"/>
  <c r="P26" i="11" s="1"/>
  <c r="C17" i="18"/>
  <c r="F18" i="18" s="1"/>
  <c r="R84" i="9" l="1"/>
  <c r="S84" i="9" s="1"/>
  <c r="B17" i="18"/>
  <c r="L105" i="9"/>
  <c r="N105" i="9"/>
  <c r="J301" i="24"/>
  <c r="N101" i="9"/>
  <c r="P21" i="11" s="1"/>
  <c r="B4" i="40" s="1"/>
  <c r="B16" i="40" s="1"/>
  <c r="D16" i="40" s="1"/>
  <c r="J295" i="24"/>
  <c r="B18" i="40"/>
  <c r="D18" i="40" s="1"/>
  <c r="B19" i="40"/>
  <c r="D19" i="40" s="1"/>
  <c r="B15" i="40"/>
  <c r="D15" i="40" s="1"/>
  <c r="E342" i="24"/>
  <c r="P27" i="11"/>
  <c r="I378" i="24"/>
  <c r="B7" i="30"/>
  <c r="B19" i="30" s="1"/>
  <c r="D19" i="30" s="1"/>
  <c r="F19" i="30" s="1"/>
  <c r="I44" i="24"/>
  <c r="I86" i="24" s="1"/>
  <c r="I106" i="24" s="1"/>
  <c r="P13" i="11"/>
  <c r="B2" i="40" s="1"/>
  <c r="B6" i="30"/>
  <c r="B18" i="30" s="1"/>
  <c r="D18" i="30" s="1"/>
  <c r="F18" i="30" s="1"/>
  <c r="I373" i="24"/>
  <c r="H44" i="24"/>
  <c r="H86" i="24" s="1"/>
  <c r="H106" i="24" s="1"/>
  <c r="I368" i="24"/>
  <c r="I349" i="24"/>
  <c r="G44" i="24"/>
  <c r="G86" i="24" s="1"/>
  <c r="G106" i="24" s="1"/>
  <c r="B5" i="30"/>
  <c r="B17" i="30" s="1"/>
  <c r="D17" i="30" s="1"/>
  <c r="F17" i="30" s="1"/>
  <c r="D342" i="24"/>
  <c r="P22" i="11"/>
  <c r="C4" i="40" s="1"/>
  <c r="E17" i="18"/>
  <c r="I359" i="24"/>
  <c r="B3" i="30"/>
  <c r="E44" i="24"/>
  <c r="E86" i="24" s="1"/>
  <c r="E106" i="24" s="1"/>
  <c r="F342" i="24"/>
  <c r="P32" i="11"/>
  <c r="C6" i="40" s="1"/>
  <c r="D40" i="40" s="1"/>
  <c r="R101" i="9" l="1"/>
  <c r="B4" i="30"/>
  <c r="B16" i="30" s="1"/>
  <c r="D16" i="30" s="1"/>
  <c r="F16" i="30" s="1"/>
  <c r="I363" i="24"/>
  <c r="F44" i="24"/>
  <c r="F86" i="24" s="1"/>
  <c r="F106" i="24" s="1"/>
  <c r="B27" i="40"/>
  <c r="D27" i="40" s="1"/>
  <c r="F27" i="40" s="1"/>
  <c r="B26" i="40"/>
  <c r="D26" i="40" s="1"/>
  <c r="F26" i="40" s="1"/>
  <c r="B30" i="40"/>
  <c r="D30" i="40" s="1"/>
  <c r="F30" i="40" s="1"/>
  <c r="B29" i="40"/>
  <c r="D29" i="40" s="1"/>
  <c r="F29" i="40" s="1"/>
  <c r="D38" i="40"/>
  <c r="C9" i="40"/>
  <c r="F15" i="40"/>
  <c r="F16" i="40"/>
  <c r="D60" i="40"/>
  <c r="B9" i="40"/>
  <c r="B14" i="40"/>
  <c r="B25" i="40" s="1"/>
  <c r="D51" i="40"/>
  <c r="F51" i="40" s="1"/>
  <c r="F40" i="40"/>
  <c r="F19" i="40"/>
  <c r="F18" i="40"/>
  <c r="B28" i="30"/>
  <c r="D28" i="30" s="1"/>
  <c r="F28" i="30" s="1"/>
  <c r="H28" i="40" s="1"/>
  <c r="B30" i="30"/>
  <c r="D30" i="30" s="1"/>
  <c r="F30" i="30" s="1"/>
  <c r="B29" i="30"/>
  <c r="D29" i="30" s="1"/>
  <c r="F29" i="30" s="1"/>
  <c r="B15" i="30"/>
  <c r="D15" i="30" s="1"/>
  <c r="G342" i="24"/>
  <c r="B2" i="30"/>
  <c r="P45" i="11"/>
  <c r="I355" i="24"/>
  <c r="D44" i="24"/>
  <c r="P50" i="11"/>
  <c r="P56" i="11"/>
  <c r="P61" i="11"/>
  <c r="I364" i="24"/>
  <c r="P46" i="11"/>
  <c r="C4" i="30"/>
  <c r="P51" i="11"/>
  <c r="C6" i="30"/>
  <c r="D40" i="30" s="1"/>
  <c r="I374" i="24"/>
  <c r="P8" i="11"/>
  <c r="D22" i="24" s="1"/>
  <c r="E22" i="24" s="1"/>
  <c r="F22" i="24" s="1"/>
  <c r="P55" i="11"/>
  <c r="S101" i="9"/>
  <c r="P60" i="11"/>
  <c r="I369" i="24"/>
  <c r="C5" i="30"/>
  <c r="D39" i="30" s="1"/>
  <c r="I382" i="24" l="1"/>
  <c r="I391" i="24" s="1"/>
  <c r="B27" i="30"/>
  <c r="D27" i="30" s="1"/>
  <c r="F27" i="30" s="1"/>
  <c r="D41" i="40"/>
  <c r="D52" i="40" s="1"/>
  <c r="F52" i="40" s="1"/>
  <c r="D63" i="40"/>
  <c r="D74" i="40" s="1"/>
  <c r="F74" i="40" s="1"/>
  <c r="D37" i="40"/>
  <c r="D48" i="40" s="1"/>
  <c r="F48" i="40" s="1"/>
  <c r="D62" i="40"/>
  <c r="D73" i="40" s="1"/>
  <c r="F73" i="40" s="1"/>
  <c r="D59" i="40"/>
  <c r="F59" i="40" s="1"/>
  <c r="D71" i="40"/>
  <c r="F71" i="40" s="1"/>
  <c r="F60" i="40"/>
  <c r="D25" i="40"/>
  <c r="B32" i="40"/>
  <c r="D14" i="40"/>
  <c r="B21" i="40"/>
  <c r="D49" i="40"/>
  <c r="F49" i="40" s="1"/>
  <c r="F38" i="40"/>
  <c r="D61" i="30"/>
  <c r="D72" i="30" s="1"/>
  <c r="F72" i="30" s="1"/>
  <c r="H72" i="40" s="1"/>
  <c r="D62" i="30"/>
  <c r="D41" i="30"/>
  <c r="F41" i="30" s="1"/>
  <c r="C9" i="30"/>
  <c r="D38" i="30"/>
  <c r="F15" i="30"/>
  <c r="I396" i="24"/>
  <c r="I400" i="24" s="1"/>
  <c r="P65" i="11"/>
  <c r="B9" i="30"/>
  <c r="B14" i="30"/>
  <c r="D51" i="30"/>
  <c r="F51" i="30" s="1"/>
  <c r="F40" i="30"/>
  <c r="I383" i="24"/>
  <c r="I392" i="24" s="1"/>
  <c r="D86" i="24"/>
  <c r="D106" i="24" s="1"/>
  <c r="J44" i="24"/>
  <c r="F39" i="30"/>
  <c r="H39" i="40" s="1"/>
  <c r="D50" i="30"/>
  <c r="F50" i="30" s="1"/>
  <c r="H50" i="40" s="1"/>
  <c r="P66" i="11"/>
  <c r="I397" i="24"/>
  <c r="B26" i="30"/>
  <c r="D26" i="30" s="1"/>
  <c r="F26" i="30" s="1"/>
  <c r="D63" i="30"/>
  <c r="D60" i="30" l="1"/>
  <c r="D71" i="30" s="1"/>
  <c r="F71" i="30" s="1"/>
  <c r="F63" i="40"/>
  <c r="F41" i="40"/>
  <c r="D70" i="40"/>
  <c r="F70" i="40" s="1"/>
  <c r="F37" i="40"/>
  <c r="F62" i="40"/>
  <c r="D52" i="30"/>
  <c r="F52" i="30" s="1"/>
  <c r="D21" i="40"/>
  <c r="F14" i="40"/>
  <c r="F21" i="40" s="1"/>
  <c r="D58" i="40"/>
  <c r="D36" i="40"/>
  <c r="F25" i="40"/>
  <c r="F32" i="40" s="1"/>
  <c r="D32" i="40"/>
  <c r="F61" i="30"/>
  <c r="H61" i="40" s="1"/>
  <c r="J39" i="40" s="1"/>
  <c r="D73" i="30"/>
  <c r="F73" i="30" s="1"/>
  <c r="F62" i="30"/>
  <c r="I401" i="24"/>
  <c r="F63" i="30"/>
  <c r="D74" i="30"/>
  <c r="F74" i="30" s="1"/>
  <c r="F38" i="30"/>
  <c r="D49" i="30"/>
  <c r="F49" i="30" s="1"/>
  <c r="D37" i="30"/>
  <c r="B25" i="30"/>
  <c r="B21" i="30"/>
  <c r="D14" i="30"/>
  <c r="D59" i="30"/>
  <c r="F60" i="30" l="1"/>
  <c r="B86" i="40"/>
  <c r="F36" i="40"/>
  <c r="F43" i="40" s="1"/>
  <c r="B88" i="40" s="1"/>
  <c r="D47" i="40"/>
  <c r="F47" i="40" s="1"/>
  <c r="F54" i="40" s="1"/>
  <c r="B89" i="40" s="1"/>
  <c r="J28" i="40"/>
  <c r="D69" i="40"/>
  <c r="F58" i="40"/>
  <c r="F65" i="40" s="1"/>
  <c r="B87" i="40" s="1"/>
  <c r="D65" i="40"/>
  <c r="B32" i="30"/>
  <c r="D25" i="30"/>
  <c r="D58" i="30" s="1"/>
  <c r="D21" i="30"/>
  <c r="F14" i="30"/>
  <c r="F21" i="30" s="1"/>
  <c r="F59" i="30"/>
  <c r="D70" i="30"/>
  <c r="F70" i="30" s="1"/>
  <c r="F37" i="30"/>
  <c r="D48" i="30"/>
  <c r="F48" i="30" s="1"/>
  <c r="D36" i="30" l="1"/>
  <c r="D47" i="30" s="1"/>
  <c r="F47" i="30" s="1"/>
  <c r="F54" i="30" s="1"/>
  <c r="B89" i="30" s="1"/>
  <c r="D76" i="40"/>
  <c r="F69" i="40"/>
  <c r="F76" i="40" s="1"/>
  <c r="B90" i="40" s="1"/>
  <c r="B92" i="40" s="1"/>
  <c r="F36" i="30"/>
  <c r="F43" i="30" s="1"/>
  <c r="B88" i="30" s="1"/>
  <c r="F25" i="30"/>
  <c r="F32" i="30" s="1"/>
  <c r="B86" i="30" s="1"/>
  <c r="D32" i="30"/>
  <c r="D65" i="30"/>
  <c r="F58" i="30"/>
  <c r="F65" i="30" s="1"/>
  <c r="B87" i="30" s="1"/>
  <c r="D69" i="30"/>
  <c r="D76" i="30" l="1"/>
  <c r="F69" i="30"/>
  <c r="F76" i="30" s="1"/>
  <c r="B90" i="30" s="1"/>
  <c r="B92" i="30" s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  <author>KellyB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KellyB:</t>
        </r>
        <r>
          <rPr>
            <sz val="9"/>
            <color indexed="81"/>
            <rFont val="Tahoma"/>
            <family val="2"/>
          </rPr>
          <t xml:space="preserve">
LU Adj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  <comment ref="O81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2014 Amount for 2 large users
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7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<sst xmlns="http://schemas.openxmlformats.org/spreadsheetml/2006/main" count="713" uniqueCount="328">
  <si>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</si>
  <si>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</si>
  <si>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</si>
  <si>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</si>
  <si>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</si>
  <si>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</si>
  <si>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</si>
  <si>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</si>
  <si>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</si>
  <si>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</si>
  <si>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</si>
  <si>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</si>
  <si>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</si>
  <si>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</si>
  <si>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</si>
  <si>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</si>
  <si>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</si>
  <si>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</si>
  <si>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</si>
  <si>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</si>
  <si>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</si>
  <si>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</si>
  <si>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</si>
  <si>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</si>
  <si>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</si>
  <si>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</si>
  <si>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</si>
  <si>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</si>
  <si>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</si>
  <si>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</si>
  <si>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</si>
  <si>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</si>
  <si>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</si>
  <si>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</si>
  <si>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</si>
  <si>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</si>
  <si>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</si>
  <si>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</si>
  <si>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</si>
  <si>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</si>
  <si>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</si>
  <si>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</si>
  <si>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</si>
  <si>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</si>
  <si>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</si>
  <si>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</si>
  <si>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Check should all be zero</t>
  </si>
  <si>
    <t>Large User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</si>
  <si>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</si>
  <si>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</si>
  <si>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</si>
  <si>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</si>
  <si>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</si>
  <si>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</si>
  <si>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</si>
  <si>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</si>
  <si>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</si>
  <si>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</si>
  <si>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</si>
  <si>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</si>
  <si>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</si>
  <si>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</si>
  <si>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</si>
  <si>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</si>
  <si>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</si>
  <si>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</si>
  <si>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</si>
  <si>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</si>
  <si>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</si>
  <si>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</si>
  <si>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</si>
  <si>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</si>
  <si>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</si>
  <si>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</si>
  <si>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</si>
  <si>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</si>
  <si>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</si>
  <si>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</si>
  <si>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</si>
  <si>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</si>
  <si>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</si>
  <si>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</si>
  <si>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</si>
  <si>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</si>
  <si>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</si>
  <si>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</si>
  <si>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</si>
  <si>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</si>
  <si>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</si>
  <si>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</si>
  <si>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</si>
  <si>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</si>
  <si>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</si>
  <si>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</si>
  <si>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</si>
  <si>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</si>
  <si>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</si>
  <si>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</si>
  <si>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</si>
  <si>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</si>
  <si>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</si>
  <si>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</si>
  <si>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</si>
  <si>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</si>
  <si>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</si>
  <si>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</si>
  <si>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</si>
  <si>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</si>
  <si>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</si>
  <si>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</si>
  <si>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</si>
  <si>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</si>
  <si>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</si>
  <si>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</si>
  <si>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</si>
  <si>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</si>
  <si>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</si>
  <si>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</si>
  <si>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</si>
  <si>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</si>
  <si>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</si>
  <si>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</si>
  <si>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</si>
  <si>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</si>
  <si>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</si>
  <si>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</si>
  <si>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</si>
  <si>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</si>
  <si>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</si>
  <si>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</si>
  <si>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</si>
  <si>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</si>
  <si>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</si>
  <si>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</si>
  <si>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</si>
  <si>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</si>
  <si>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</si>
  <si>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</si>
  <si>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</si>
  <si>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</si>
  <si>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</si>
  <si>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</si>
  <si>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</si>
  <si>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</si>
  <si>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</si>
  <si>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</si>
  <si>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</si>
  <si>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</si>
  <si>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</si>
  <si>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</si>
  <si>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</si>
  <si>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</si>
  <si>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</si>
  <si>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</si>
  <si>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</si>
  <si>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</si>
  <si>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</si>
  <si>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</si>
  <si>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</si>
  <si>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</si>
  <si>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</si>
  <si>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</si>
  <si>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</si>
  <si>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</si>
  <si>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</si>
  <si>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</si>
  <si>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</si>
  <si>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</si>
  <si>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</si>
  <si>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</si>
  <si>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</si>
  <si>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</si>
  <si>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</si>
  <si>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</si>
  <si>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</si>
  <si>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</si>
  <si>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</si>
  <si>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</si>
  <si>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</si>
  <si>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</si>
  <si>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</si>
  <si>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</si>
  <si>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</si>
  <si>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</si>
  <si>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</si>
  <si>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</si>
  <si>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</si>
  <si>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</si>
  <si>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</si>
  <si>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</si>
  <si>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</si>
  <si>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</si>
  <si>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</si>
  <si>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</si>
  <si>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</si>
  <si>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</si>
  <si>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</si>
  <si>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</si>
  <si>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</si>
  <si>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</si>
  <si>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</si>
  <si>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</si>
  <si>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</si>
  <si>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</si>
  <si>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</si>
  <si>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</si>
  <si>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</si>
  <si>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</si>
  <si>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</si>
  <si>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</si>
  <si>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</si>
  <si>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</si>
  <si>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</si>
  <si>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</si>
  <si>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</si>
  <si>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</si>
  <si>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</si>
  <si>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</si>
  <si>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</si>
  <si>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</si>
  <si>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</si>
  <si>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</si>
  <si>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</si>
  <si>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</si>
  <si>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</si>
  <si>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</si>
  <si>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</si>
  <si>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</si>
  <si>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</si>
  <si>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</si>
  <si>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</si>
  <si>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</si>
  <si>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</si>
  <si>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</si>
  <si>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</si>
  <si>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</si>
  <si>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</si>
  <si>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</si>
  <si>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</si>
  <si>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</si>
  <si>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</si>
  <si>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</si>
  <si>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</si>
  <si>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</si>
  <si>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</si>
  <si>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</si>
  <si>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</si>
  <si>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</si>
  <si>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</si>
  <si>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</si>
  <si>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</si>
  <si>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</si>
  <si>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</si>
  <si>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</si>
  <si>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</si>
  <si>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</si>
  <si>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</si>
  <si>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</si>
  <si>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</si>
  <si>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</si>
  <si>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</si>
  <si>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</si>
  <si>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</si>
  <si>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</si>
  <si>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</si>
  <si>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</si>
  <si>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</si>
  <si>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</si>
  <si>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</si>
  <si>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</si>
  <si>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</si>
  <si>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</si>
  <si>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</si>
  <si>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</si>
  <si>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</si>
  <si>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</si>
  <si>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</si>
  <si>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</si>
  <si>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</si>
  <si>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</si>
  <si>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</si>
  <si>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</si>
  <si>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</si>
  <si>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</si>
  <si>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</si>
  <si>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</si>
  <si>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</si>
  <si>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</si>
  <si>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</si>
  <si>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</si>
  <si>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</si>
  <si>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</si>
  <si>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</si>
  <si>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</si>
  <si>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</si>
  <si>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</si>
  <si>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</si>
  <si>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</si>
  <si>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</si>
  <si>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</si>
  <si>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</si>
  <si>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</si>
  <si>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</si>
  <si>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</si>
  <si>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</si>
  <si>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</si>
  <si>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</si>
  <si>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</si>
  <si>
    <t>Actual 2011 Results and Persistence</t>
  </si>
  <si>
    <t xml:space="preserve">Estimated 2012 Results and Persistence </t>
  </si>
  <si>
    <t>Full year Increase over previous year</t>
  </si>
  <si>
    <t>Half year pattern</t>
  </si>
  <si>
    <t>MAPE</t>
  </si>
  <si>
    <t>Sub-Total of Above</t>
  </si>
  <si>
    <t>Total incl Embedded Distributor</t>
  </si>
  <si>
    <t>Maple Leaf Foods Est.</t>
  </si>
  <si>
    <t>Maple Leaf Difference</t>
  </si>
  <si>
    <t>Third Tranche</t>
  </si>
  <si>
    <t>2006 Programs</t>
  </si>
  <si>
    <t>2007 Programs</t>
  </si>
  <si>
    <t>2008 Programs</t>
  </si>
  <si>
    <t>2009 Programs</t>
  </si>
  <si>
    <t>2010 Programs</t>
  </si>
  <si>
    <t>LU Adj</t>
  </si>
  <si>
    <t>Model Purchases-1 LU</t>
  </si>
  <si>
    <t>GS&gt;50 kW</t>
  </si>
  <si>
    <t>GS&lt;50 kW</t>
  </si>
  <si>
    <t>Usage/Customer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</si>
</sst>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#,##0.0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0.0;\(0.0\)"/>
    <numFmt numFmtId="176" formatCode="0.0%;\(0.0%\)"/>
    <numFmt numFmtId="177" formatCode="0;\(0\)"/>
    <numFmt numFmtId="178" formatCode="#,##0.0;\(#,##0.0\)"/>
    <numFmt numFmtId="179" formatCode="0.0000%;\(0.0%\)"/>
    <numFmt numFmtId="180" formatCode="#,##0.00000_);\(#,##0.00000\)"/>
    <numFmt numFmtId="181" formatCode="&quot;$&quot;#,##0.0000_);\(&quot;$&quot;#,##0.0000\)"/>
    <numFmt numFmtId="182" formatCode="#,##0.0000_);\(#,##0.0000\)"/>
    <numFmt numFmtId="183" formatCode="&quot;$&quot;#,##0.00000_);\(&quot;$&quot;#,##0.00000\)"/>
    <numFmt numFmtId="184" formatCode="#,##0.00000"/>
    <numFmt numFmtId="185" formatCode="#,##0.000000"/>
    <numFmt numFmtId="186" formatCode="_(* #,##0.0000_);_(* \(#,##0.0000\);_(* &quot;-&quot;??_);_(@_)"/>
  </numFmts>
  <fonts count="26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4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7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3" fontId="4" fillId="0" borderId="0" xfId="4" applyNumberFormat="1"/>
    <xf numFmtId="173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5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0" fontId="14" fillId="0" borderId="1" xfId="1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0" fontId="11" fillId="0" borderId="1" xfId="1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center"/>
    </xf>
    <xf numFmtId="165" fontId="11" fillId="0" borderId="0" xfId="13" applyNumberFormat="1" applyFont="1"/>
    <xf numFmtId="176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2" fontId="14" fillId="0" borderId="1" xfId="10" applyNumberFormat="1" applyFont="1" applyFill="1" applyBorder="1" applyAlignment="1">
      <alignment horizontal="center" vertical="center"/>
    </xf>
    <xf numFmtId="175" fontId="14" fillId="0" borderId="1" xfId="10" applyNumberFormat="1" applyFont="1" applyFill="1" applyBorder="1" applyAlignment="1">
      <alignment horizontal="center" vertical="center"/>
    </xf>
    <xf numFmtId="176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horizontal="center" vertical="center" wrapText="1"/>
    </xf>
    <xf numFmtId="165" fontId="11" fillId="0" borderId="0" xfId="13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79" fontId="1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6" fontId="11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0" fontId="11" fillId="0" borderId="14" xfId="10" applyNumberFormat="1" applyFont="1" applyFill="1" applyBorder="1" applyAlignment="1">
      <alignment horizontal="center" vertical="center"/>
    </xf>
    <xf numFmtId="175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6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0" fontId="11" fillId="0" borderId="0" xfId="0" applyNumberFormat="1" applyFont="1"/>
    <xf numFmtId="169" fontId="12" fillId="0" borderId="0" xfId="0" applyNumberFormat="1" applyFont="1"/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0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2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2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0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1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4" fillId="5" borderId="0" xfId="4" applyNumberFormat="1" applyFill="1"/>
    <xf numFmtId="172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 indent="1"/>
    </xf>
    <xf numFmtId="172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2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1" fontId="0" fillId="0" borderId="19" xfId="0" applyNumberFormat="1" applyBorder="1"/>
    <xf numFmtId="171" fontId="0" fillId="0" borderId="18" xfId="0" applyNumberFormat="1" applyBorder="1"/>
    <xf numFmtId="171" fontId="0" fillId="0" borderId="22" xfId="0" applyNumberFormat="1" applyBorder="1"/>
    <xf numFmtId="171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1" fontId="0" fillId="0" borderId="1" xfId="0" applyNumberFormat="1" applyFill="1" applyBorder="1"/>
    <xf numFmtId="182" fontId="0" fillId="0" borderId="1" xfId="0" applyNumberFormat="1" applyFill="1" applyBorder="1" applyAlignment="1">
      <alignment horizontal="center"/>
    </xf>
    <xf numFmtId="0" fontId="0" fillId="0" borderId="9" xfId="0" applyBorder="1"/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6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6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3" fontId="0" fillId="0" borderId="1" xfId="0" applyNumberFormat="1" applyFill="1" applyBorder="1"/>
    <xf numFmtId="183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6" fontId="12" fillId="0" borderId="1" xfId="0" applyNumberFormat="1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horizontal="left" vertical="center" indent="1"/>
    </xf>
    <xf numFmtId="176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0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right" vertical="center" indent="2"/>
    </xf>
    <xf numFmtId="175" fontId="11" fillId="0" borderId="1" xfId="0" applyNumberFormat="1" applyFont="1" applyFill="1" applyBorder="1" applyAlignment="1">
      <alignment horizontal="right" vertical="center" indent="2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72" fontId="12" fillId="6" borderId="1" xfId="0" applyNumberFormat="1" applyFont="1" applyFill="1" applyBorder="1" applyAlignment="1">
      <alignment horizontal="center"/>
    </xf>
    <xf numFmtId="170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0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0" fontId="14" fillId="0" borderId="1" xfId="10" applyNumberFormat="1" applyFont="1" applyFill="1" applyBorder="1" applyAlignment="1">
      <alignment horizontal="right" vertical="center" indent="2"/>
    </xf>
    <xf numFmtId="170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right" vertical="center" indent="2"/>
    </xf>
    <xf numFmtId="176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6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 indent="2"/>
    </xf>
    <xf numFmtId="176" fontId="11" fillId="0" borderId="1" xfId="0" applyNumberFormat="1" applyFont="1" applyFill="1" applyBorder="1" applyAlignment="1">
      <alignment horizontal="right" vertical="center" wrapText="1" indent="2"/>
    </xf>
    <xf numFmtId="165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2" fontId="0" fillId="6" borderId="1" xfId="0" applyNumberFormat="1" applyFill="1" applyBorder="1" applyAlignment="1">
      <alignment horizontal="center"/>
    </xf>
    <xf numFmtId="181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5" fontId="0" fillId="0" borderId="1" xfId="0" applyNumberFormat="1" applyFill="1" applyBorder="1" applyAlignment="1">
      <alignment horizontal="right" indent="2"/>
    </xf>
    <xf numFmtId="165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0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0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5" fontId="2" fillId="0" borderId="1" xfId="0" applyNumberFormat="1" applyFont="1" applyFill="1" applyBorder="1" applyAlignment="1">
      <alignment horizontal="right" vertical="center" wrapText="1" indent="1"/>
    </xf>
    <xf numFmtId="178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right" indent="1"/>
    </xf>
    <xf numFmtId="165" fontId="0" fillId="0" borderId="1" xfId="0" applyNumberFormat="1" applyFill="1" applyBorder="1" applyAlignment="1">
      <alignment horizontal="right" indent="1"/>
    </xf>
    <xf numFmtId="165" fontId="0" fillId="0" borderId="3" xfId="0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6" fontId="0" fillId="0" borderId="0" xfId="0" applyNumberForma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6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164" fontId="4" fillId="0" borderId="0" xfId="4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165" fontId="0" fillId="0" borderId="0" xfId="13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Fill="1" applyBorder="1" applyAlignment="1">
      <alignment horizontal="left" vertical="center"/>
    </xf>
    <xf numFmtId="3" fontId="24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Fill="1" applyBorder="1" applyAlignment="1">
      <alignment horizontal="left" vertical="center"/>
    </xf>
    <xf numFmtId="4" fontId="0" fillId="0" borderId="0" xfId="0" applyNumberFormat="1"/>
    <xf numFmtId="0" fontId="6" fillId="0" borderId="2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7" fontId="25" fillId="0" borderId="1" xfId="0" applyNumberFormat="1" applyFont="1" applyFill="1" applyBorder="1"/>
    <xf numFmtId="171" fontId="25" fillId="0" borderId="1" xfId="1" applyNumberFormat="1" applyFont="1" applyFill="1" applyBorder="1"/>
    <xf numFmtId="183" fontId="25" fillId="0" borderId="1" xfId="0" applyNumberFormat="1" applyFont="1" applyFill="1" applyBorder="1"/>
    <xf numFmtId="5" fontId="25" fillId="0" borderId="0" xfId="0" applyNumberFormat="1" applyFont="1"/>
    <xf numFmtId="0" fontId="25" fillId="0" borderId="0" xfId="0" applyFont="1"/>
    <xf numFmtId="5" fontId="25" fillId="0" borderId="0" xfId="0" applyNumberFormat="1" applyFont="1" applyFill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right" indent="1"/>
    </xf>
    <xf numFmtId="171" fontId="0" fillId="11" borderId="1" xfId="1" applyNumberFormat="1" applyFont="1" applyFill="1" applyBorder="1" applyAlignment="1">
      <alignment horizontal="right" indent="1"/>
    </xf>
    <xf numFmtId="171" fontId="4" fillId="11" borderId="1" xfId="1" applyNumberFormat="1" applyFont="1" applyFill="1" applyBorder="1" applyAlignment="1">
      <alignment horizontal="right" indent="1"/>
    </xf>
    <xf numFmtId="0" fontId="4" fillId="11" borderId="1" xfId="0" applyFont="1" applyFill="1" applyBorder="1" applyAlignment="1">
      <alignment horizontal="right" indent="1"/>
    </xf>
    <xf numFmtId="171" fontId="0" fillId="11" borderId="1" xfId="0" applyNumberFormat="1" applyFill="1" applyBorder="1" applyAlignment="1">
      <alignment horizontal="right" indent="1"/>
    </xf>
    <xf numFmtId="3" fontId="25" fillId="0" borderId="0" xfId="0" applyNumberFormat="1" applyFont="1" applyAlignment="1">
      <alignment horizontal="center"/>
    </xf>
    <xf numFmtId="17" fontId="0" fillId="0" borderId="1" xfId="0" applyNumberFormat="1" applyBorder="1"/>
    <xf numFmtId="3" fontId="0" fillId="0" borderId="1" xfId="0" applyNumberFormat="1" applyBorder="1"/>
    <xf numFmtId="3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6" fontId="4" fillId="0" borderId="25" xfId="0" applyNumberFormat="1" applyFont="1" applyBorder="1" applyAlignment="1">
      <alignment horizontal="left"/>
    </xf>
    <xf numFmtId="166" fontId="4" fillId="0" borderId="26" xfId="0" applyNumberFormat="1" applyFont="1" applyBorder="1" applyAlignment="1">
      <alignment horizontal="left"/>
    </xf>
    <xf numFmtId="166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8" borderId="11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 indent="1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9" xfId="0" applyFont="1" applyFill="1" applyBorder="1" applyAlignment="1">
      <alignment horizontal="left" vertical="center" indent="1"/>
    </xf>
    <xf numFmtId="0" fontId="24" fillId="0" borderId="11" xfId="0" applyFont="1" applyFill="1" applyBorder="1" applyAlignment="1">
      <alignment horizontal="left" vertical="center" indent="1"/>
    </xf>
    <xf numFmtId="0" fontId="2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1917.4293735324929</c:v>
                </c:pt>
                <c:pt idx="1">
                  <c:v>1953.6338404723128</c:v>
                </c:pt>
                <c:pt idx="2">
                  <c:v>1998.7749144968511</c:v>
                </c:pt>
                <c:pt idx="3">
                  <c:v>1988.9259983575248</c:v>
                </c:pt>
                <c:pt idx="4">
                  <c:v>1996.0794997559519</c:v>
                </c:pt>
                <c:pt idx="5">
                  <c:v>2067.680562613481</c:v>
                </c:pt>
                <c:pt idx="6">
                  <c:v>2020.3245638467042</c:v>
                </c:pt>
                <c:pt idx="7">
                  <c:v>2001.2022671673531</c:v>
                </c:pt>
                <c:pt idx="8">
                  <c:v>1964.1481543950456</c:v>
                </c:pt>
                <c:pt idx="9">
                  <c:v>1859.8451042160486</c:v>
                </c:pt>
                <c:pt idx="10">
                  <c:v>1880.8191767808089</c:v>
                </c:pt>
                <c:pt idx="11">
                  <c:v>1887.4270435702879</c:v>
                </c:pt>
                <c:pt idx="12">
                  <c:v>1866.5970536581801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2303488"/>
        <c:axId val="132310528"/>
      </c:barChart>
      <c:catAx>
        <c:axId val="13230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310528"/>
        <c:crosses val="autoZero"/>
        <c:auto val="1"/>
        <c:lblAlgn val="ctr"/>
        <c:lblOffset val="100"/>
        <c:noMultiLvlLbl val="0"/>
      </c:catAx>
      <c:valAx>
        <c:axId val="1323105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303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86784"/>
        <c:axId val="128088320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172601238.53399962</c:v>
                </c:pt>
                <c:pt idx="121">
                  <c:v>157846132.1152662</c:v>
                </c:pt>
                <c:pt idx="122">
                  <c:v>158393911.20567012</c:v>
                </c:pt>
                <c:pt idx="123">
                  <c:v>147065047.58910754</c:v>
                </c:pt>
                <c:pt idx="124">
                  <c:v>147800635.23130214</c:v>
                </c:pt>
                <c:pt idx="125">
                  <c:v>152477325.02618498</c:v>
                </c:pt>
                <c:pt idx="126">
                  <c:v>167843554.79788888</c:v>
                </c:pt>
                <c:pt idx="127">
                  <c:v>159551456.7156384</c:v>
                </c:pt>
                <c:pt idx="128">
                  <c:v>141521438.86520314</c:v>
                </c:pt>
                <c:pt idx="129">
                  <c:v>150881716.96383548</c:v>
                </c:pt>
                <c:pt idx="130">
                  <c:v>152309315.4327094</c:v>
                </c:pt>
                <c:pt idx="131">
                  <c:v>168014746.94940573</c:v>
                </c:pt>
                <c:pt idx="132">
                  <c:v>174756935.36971223</c:v>
                </c:pt>
                <c:pt idx="133">
                  <c:v>156260394.99879783</c:v>
                </c:pt>
                <c:pt idx="134">
                  <c:v>161527759.19301417</c:v>
                </c:pt>
                <c:pt idx="135">
                  <c:v>148861722.32031333</c:v>
                </c:pt>
                <c:pt idx="136">
                  <c:v>148260131.17931977</c:v>
                </c:pt>
                <c:pt idx="137">
                  <c:v>155252117.78980801</c:v>
                </c:pt>
                <c:pt idx="138">
                  <c:v>169281157.68094677</c:v>
                </c:pt>
                <c:pt idx="139">
                  <c:v>159651864.14773977</c:v>
                </c:pt>
                <c:pt idx="140">
                  <c:v>143937126.40170351</c:v>
                </c:pt>
                <c:pt idx="141">
                  <c:v>151960197.86502954</c:v>
                </c:pt>
                <c:pt idx="142">
                  <c:v>152050584.08457404</c:v>
                </c:pt>
                <c:pt idx="143">
                  <c:v>170071278.86356777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6784"/>
        <c:axId val="128088320"/>
      </c:lineChart>
      <c:dateAx>
        <c:axId val="128086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8088320"/>
        <c:crosses val="autoZero"/>
        <c:auto val="1"/>
        <c:lblOffset val="100"/>
        <c:baseTimeUnit val="months"/>
      </c:dateAx>
      <c:valAx>
        <c:axId val="128088320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2808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4048"/>
        <c:axId val="128144512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172601238.53399962</c:v>
                </c:pt>
                <c:pt idx="121">
                  <c:v>157846132.1152662</c:v>
                </c:pt>
                <c:pt idx="122">
                  <c:v>158393911.20567012</c:v>
                </c:pt>
                <c:pt idx="123">
                  <c:v>147065047.58910754</c:v>
                </c:pt>
                <c:pt idx="124">
                  <c:v>147800635.23130214</c:v>
                </c:pt>
                <c:pt idx="125">
                  <c:v>152477325.02618498</c:v>
                </c:pt>
                <c:pt idx="126">
                  <c:v>167843554.79788888</c:v>
                </c:pt>
                <c:pt idx="127">
                  <c:v>159551456.7156384</c:v>
                </c:pt>
                <c:pt idx="128">
                  <c:v>141521438.86520314</c:v>
                </c:pt>
                <c:pt idx="129">
                  <c:v>150881716.96383548</c:v>
                </c:pt>
                <c:pt idx="130">
                  <c:v>152309315.4327094</c:v>
                </c:pt>
                <c:pt idx="131">
                  <c:v>168014746.94940573</c:v>
                </c:pt>
                <c:pt idx="132">
                  <c:v>174756935.36971223</c:v>
                </c:pt>
                <c:pt idx="133">
                  <c:v>156260394.99879783</c:v>
                </c:pt>
                <c:pt idx="134">
                  <c:v>161527759.19301417</c:v>
                </c:pt>
                <c:pt idx="135">
                  <c:v>148861722.32031333</c:v>
                </c:pt>
                <c:pt idx="136">
                  <c:v>148260131.17931977</c:v>
                </c:pt>
                <c:pt idx="137">
                  <c:v>155252117.78980801</c:v>
                </c:pt>
                <c:pt idx="138">
                  <c:v>169281157.68094677</c:v>
                </c:pt>
                <c:pt idx="139">
                  <c:v>159651864.14773977</c:v>
                </c:pt>
                <c:pt idx="140">
                  <c:v>143937126.40170351</c:v>
                </c:pt>
                <c:pt idx="141">
                  <c:v>151960197.86502954</c:v>
                </c:pt>
                <c:pt idx="142">
                  <c:v>152050584.08457404</c:v>
                </c:pt>
                <c:pt idx="143">
                  <c:v>170071278.86356777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4048"/>
        <c:axId val="128144512"/>
      </c:lineChart>
      <c:dateAx>
        <c:axId val="128114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8144512"/>
        <c:crosses val="autoZero"/>
        <c:auto val="1"/>
        <c:lblOffset val="100"/>
        <c:baseTimeUnit val="months"/>
      </c:dateAx>
      <c:valAx>
        <c:axId val="128144512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2811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opLeftCell="K1" zoomScaleNormal="100" zoomScalePageLayoutView="55" workbookViewId="0">
      <selection activeCell="S27" sqref="S27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524" t="s">
        <v>269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</row>
    <row r="3" spans="1:19" ht="38.25" x14ac:dyDescent="0.2">
      <c r="B3" s="45" t="s">
        <v>27</v>
      </c>
      <c r="C3" s="45" t="s">
        <v>28</v>
      </c>
      <c r="D3" s="45" t="s">
        <v>29</v>
      </c>
      <c r="E3" s="45" t="s">
        <v>30</v>
      </c>
      <c r="F3" s="45" t="s">
        <v>31</v>
      </c>
      <c r="G3" s="45" t="s">
        <v>32</v>
      </c>
      <c r="H3" s="45" t="s">
        <v>33</v>
      </c>
      <c r="I3" s="45" t="s">
        <v>34</v>
      </c>
      <c r="J3" s="45" t="s">
        <v>42</v>
      </c>
      <c r="K3" s="45" t="s">
        <v>44</v>
      </c>
      <c r="L3" s="45" t="s">
        <v>48</v>
      </c>
      <c r="M3" s="45" t="s">
        <v>49</v>
      </c>
      <c r="N3" s="45" t="s">
        <v>144</v>
      </c>
      <c r="O3" s="45" t="s">
        <v>50</v>
      </c>
      <c r="P3" s="45" t="s">
        <v>145</v>
      </c>
    </row>
    <row r="4" spans="1:19" x14ac:dyDescent="0.2">
      <c r="A4" s="18" t="s">
        <v>37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38</v>
      </c>
      <c r="B5" s="28">
        <f>'Purchased Power Model '!K225</f>
        <v>1917429373.5324929</v>
      </c>
      <c r="C5" s="28">
        <f>'Purchased Power Model '!K226</f>
        <v>1953633840.4723129</v>
      </c>
      <c r="D5" s="28">
        <f>'Purchased Power Model '!K227</f>
        <v>1998774914.4968512</v>
      </c>
      <c r="E5" s="28">
        <f>'Purchased Power Model '!K228</f>
        <v>1988925998.3575249</v>
      </c>
      <c r="F5" s="28">
        <f>'Purchased Power Model '!K229</f>
        <v>1996079499.7559519</v>
      </c>
      <c r="G5" s="28">
        <f>'Purchased Power Model '!K230</f>
        <v>2067680562.6134808</v>
      </c>
      <c r="H5" s="28">
        <f>'Purchased Power Model '!K231</f>
        <v>2020324563.8467042</v>
      </c>
      <c r="I5" s="28">
        <f>'Purchased Power Model '!K232</f>
        <v>2001202267.1673532</v>
      </c>
      <c r="J5" s="28">
        <f>'Purchased Power Model '!K233</f>
        <v>1964148154.3950455</v>
      </c>
      <c r="K5" s="28">
        <f>'Purchased Power Model '!K234</f>
        <v>1859845104.2160487</v>
      </c>
      <c r="L5" s="28">
        <f>'Purchased Power Model '!K235</f>
        <v>1880819176.7808089</v>
      </c>
      <c r="M5" s="28">
        <f>'Purchased Power Model '!K236</f>
        <v>1887427043.5702879</v>
      </c>
      <c r="N5" s="54">
        <f>'Purchased Power Model '!K237</f>
        <v>1866597053.6581802</v>
      </c>
      <c r="O5" s="28">
        <f>'Purchased Power Model '!K238</f>
        <v>1876306519.4262118</v>
      </c>
      <c r="P5" s="28">
        <f>'Purchased Power Model '!K239-('Rate Class Energy Model'!O81-'Rate Class Energy Model'!O80)</f>
        <v>1860832177.8502116</v>
      </c>
    </row>
    <row r="6" spans="1:19" x14ac:dyDescent="0.2">
      <c r="A6" s="18" t="s">
        <v>9</v>
      </c>
      <c r="B6" s="44">
        <f t="shared" ref="B6:N6" si="0">(B5-B4)/B4</f>
        <v>7.4098196993370205E-5</v>
      </c>
      <c r="C6" s="44">
        <f t="shared" si="0"/>
        <v>-5.2104715215478678E-3</v>
      </c>
      <c r="D6" s="44">
        <f t="shared" si="0"/>
        <v>-1.8723241734087234E-2</v>
      </c>
      <c r="E6" s="44">
        <f t="shared" si="0"/>
        <v>-1.2059077074909674E-2</v>
      </c>
      <c r="F6" s="44">
        <f t="shared" si="0"/>
        <v>-6.8011539372726335E-3</v>
      </c>
      <c r="G6" s="44">
        <f t="shared" si="0"/>
        <v>-8.9550678183676173E-3</v>
      </c>
      <c r="H6" s="44">
        <f t="shared" si="0"/>
        <v>1.8490627301744795E-2</v>
      </c>
      <c r="I6" s="44">
        <f t="shared" si="0"/>
        <v>1.1223951987612649E-2</v>
      </c>
      <c r="J6" s="44">
        <f t="shared" si="0"/>
        <v>1.2936006700146942E-2</v>
      </c>
      <c r="K6" s="44">
        <f t="shared" si="0"/>
        <v>1.2362731067913659E-2</v>
      </c>
      <c r="L6" s="44">
        <f t="shared" si="0"/>
        <v>-6.2422769897802332E-3</v>
      </c>
      <c r="M6" s="44">
        <f t="shared" si="0"/>
        <v>-4.0999368455124623E-3</v>
      </c>
      <c r="N6" s="44">
        <f t="shared" si="0"/>
        <v>-1.0150436304792119E-2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288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1805824684.4650247</v>
      </c>
      <c r="P8" s="54">
        <f>+'Rate Class Energy Model'!R101</f>
        <v>1780569554.6915324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39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24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25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640773193.35766029</v>
      </c>
      <c r="P13" s="5">
        <f>'Rate Class Energy Model'!L101</f>
        <v>647771771.99550164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GS&lt;50 kW</v>
      </c>
    </row>
    <row r="16" spans="1:19" x14ac:dyDescent="0.2">
      <c r="A16" t="s">
        <v>24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25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238668992.13346663</v>
      </c>
      <c r="P17" s="5">
        <f>'Rate Class Energy Model'!M101</f>
        <v>240204686.12850371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GS&gt;50 kW</v>
      </c>
      <c r="O19" s="5"/>
      <c r="P19" s="5"/>
    </row>
    <row r="20" spans="1:16" x14ac:dyDescent="0.2">
      <c r="A20" t="s">
        <v>24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25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840854747.55876219</v>
      </c>
      <c r="P21" s="5">
        <f>'Rate Class Energy Model'!N101</f>
        <v>841248453.12019193</v>
      </c>
    </row>
    <row r="22" spans="1:16" x14ac:dyDescent="0.2">
      <c r="A22" t="s">
        <v>26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2209319.9588224045</v>
      </c>
      <c r="P22" s="5">
        <f>'Rate Class Load Model'!B17</f>
        <v>2225926.8825137992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24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25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26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45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25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26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>USL</v>
      </c>
      <c r="O34" s="5"/>
      <c r="P34" s="5"/>
    </row>
    <row r="35" spans="1:16" x14ac:dyDescent="0.2">
      <c r="A35" t="s">
        <v>45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25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198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45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25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26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291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36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25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1805824684.4650247</v>
      </c>
      <c r="P45" s="5">
        <f t="shared" si="3"/>
        <v>1780569554.6915324</v>
      </c>
    </row>
    <row r="46" spans="1:16" x14ac:dyDescent="0.2">
      <c r="A46" t="s">
        <v>35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2384617.8305604751</v>
      </c>
      <c r="P46" s="5">
        <f t="shared" si="4"/>
        <v>2334073.8868519077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289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36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25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1826153506.8177519</v>
      </c>
      <c r="P50" s="5">
        <f t="shared" si="6"/>
        <v>1800898377.0442595</v>
      </c>
    </row>
    <row r="51" spans="1:16" x14ac:dyDescent="0.2">
      <c r="A51" t="s">
        <v>35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2429291.5978332022</v>
      </c>
      <c r="P51" s="5">
        <f t="shared" si="7"/>
        <v>2378747.6541246348</v>
      </c>
    </row>
    <row r="53" spans="1:16" x14ac:dyDescent="0.2">
      <c r="A53" s="42" t="s">
        <v>292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36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25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1805824684.4650247</v>
      </c>
      <c r="P55" s="5">
        <f>'Rate Class Energy Model'!R101</f>
        <v>1780569554.6915324</v>
      </c>
    </row>
    <row r="56" spans="1:16" x14ac:dyDescent="0.2">
      <c r="A56" t="s">
        <v>35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2384617.8305604751</v>
      </c>
      <c r="P56" s="5">
        <f>'Rate Class Load Model'!E17</f>
        <v>2334073.8868519077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290</v>
      </c>
      <c r="O58" s="5"/>
      <c r="P58" s="5"/>
    </row>
    <row r="59" spans="1:16" x14ac:dyDescent="0.2">
      <c r="A59" t="s">
        <v>36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25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1826153506.8177519</v>
      </c>
      <c r="P60" s="5">
        <f>'Rate Class Energy Model'!R101+ED!C20</f>
        <v>1800898377.0442595</v>
      </c>
    </row>
    <row r="61" spans="1:16" x14ac:dyDescent="0.2">
      <c r="A61" t="s">
        <v>35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2429291.5978332022</v>
      </c>
      <c r="P61" s="5">
        <f>'Rate Class Load Model'!E17+ED!B20</f>
        <v>2378747.6541246348</v>
      </c>
    </row>
    <row r="63" spans="1:16" x14ac:dyDescent="0.2">
      <c r="A63" s="42" t="s">
        <v>46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36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>P49-P59</f>
        <v>0</v>
      </c>
    </row>
    <row r="65" spans="1:19" x14ac:dyDescent="0.2">
      <c r="A65" t="s">
        <v>25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0">F50-F60</f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P65" s="245">
        <f>P50-P60</f>
        <v>0</v>
      </c>
    </row>
    <row r="66" spans="1:19" x14ac:dyDescent="0.2">
      <c r="A66" t="s">
        <v>35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1">F51-F61</f>
        <v>0</v>
      </c>
      <c r="G66" s="245">
        <f t="shared" si="11"/>
        <v>0</v>
      </c>
      <c r="H66" s="245">
        <f t="shared" si="11"/>
        <v>0</v>
      </c>
      <c r="I66" s="245">
        <f t="shared" si="11"/>
        <v>0</v>
      </c>
      <c r="J66" s="245">
        <f t="shared" si="11"/>
        <v>0</v>
      </c>
      <c r="K66" s="245">
        <f t="shared" si="11"/>
        <v>0</v>
      </c>
      <c r="L66" s="245">
        <f t="shared" si="11"/>
        <v>0</v>
      </c>
      <c r="M66" s="245">
        <f t="shared" si="11"/>
        <v>0</v>
      </c>
      <c r="N66" s="245">
        <f t="shared" si="11"/>
        <v>0</v>
      </c>
      <c r="O66" s="245">
        <f t="shared" si="11"/>
        <v>0</v>
      </c>
      <c r="P66" s="245">
        <f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116</v>
      </c>
      <c r="B70" s="153">
        <f t="shared" ref="B70:N70" si="12">B4/1000000</f>
        <v>1917.2873059999999</v>
      </c>
      <c r="C70" s="153">
        <f t="shared" si="12"/>
        <v>1963.8665109999999</v>
      </c>
      <c r="D70" s="153">
        <f t="shared" si="12"/>
        <v>2036.9125200000001</v>
      </c>
      <c r="E70" s="153">
        <f t="shared" si="12"/>
        <v>2013.2033730000001</v>
      </c>
      <c r="F70" s="153">
        <f t="shared" si="12"/>
        <v>2009.748106</v>
      </c>
      <c r="G70" s="153">
        <f t="shared" si="12"/>
        <v>2086.3640945742</v>
      </c>
      <c r="H70" s="153">
        <f t="shared" si="12"/>
        <v>1983.6457103185001</v>
      </c>
      <c r="I70" s="153">
        <f t="shared" si="12"/>
        <v>1978.9901764429999</v>
      </c>
      <c r="J70" s="153">
        <f t="shared" si="12"/>
        <v>1939.0644042694</v>
      </c>
      <c r="K70" s="153">
        <f t="shared" si="12"/>
        <v>1837.1331214989998</v>
      </c>
      <c r="L70" s="153">
        <f t="shared" si="12"/>
        <v>1892.6335194493545</v>
      </c>
      <c r="M70" s="153">
        <f t="shared" si="12"/>
        <v>1895.1972325334652</v>
      </c>
      <c r="N70" s="153">
        <f t="shared" si="12"/>
        <v>1885.7381183156619</v>
      </c>
      <c r="S70" s="1"/>
    </row>
    <row r="71" spans="1:19" x14ac:dyDescent="0.2">
      <c r="A71" t="s">
        <v>117</v>
      </c>
      <c r="B71" s="153">
        <f t="shared" ref="B71:N71" si="13">B5/1000000</f>
        <v>1917.4293735324929</v>
      </c>
      <c r="C71" s="153">
        <f t="shared" si="13"/>
        <v>1953.6338404723128</v>
      </c>
      <c r="D71" s="153">
        <f t="shared" si="13"/>
        <v>1998.7749144968511</v>
      </c>
      <c r="E71" s="153">
        <f t="shared" si="13"/>
        <v>1988.9259983575248</v>
      </c>
      <c r="F71" s="153">
        <f t="shared" si="13"/>
        <v>1996.0794997559519</v>
      </c>
      <c r="G71" s="153">
        <f t="shared" si="13"/>
        <v>2067.680562613481</v>
      </c>
      <c r="H71" s="153">
        <f t="shared" si="13"/>
        <v>2020.3245638467042</v>
      </c>
      <c r="I71" s="153">
        <f t="shared" si="13"/>
        <v>2001.2022671673531</v>
      </c>
      <c r="J71" s="153">
        <f t="shared" si="13"/>
        <v>1964.1481543950456</v>
      </c>
      <c r="K71" s="153">
        <f t="shared" si="13"/>
        <v>1859.8451042160486</v>
      </c>
      <c r="L71" s="153">
        <f t="shared" si="13"/>
        <v>1880.8191767808089</v>
      </c>
      <c r="M71" s="153">
        <f t="shared" si="13"/>
        <v>1887.4270435702879</v>
      </c>
      <c r="N71" s="153">
        <f t="shared" si="13"/>
        <v>1866.5970536581801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workbookViewId="0">
      <selection activeCell="A28" sqref="A28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151</v>
      </c>
      <c r="B1" s="205" t="s">
        <v>102</v>
      </c>
      <c r="C1" s="205" t="s">
        <v>131</v>
      </c>
      <c r="D1" s="205" t="s">
        <v>148</v>
      </c>
    </row>
    <row r="2" spans="1:11" x14ac:dyDescent="0.2">
      <c r="A2" s="434" t="s">
        <v>68</v>
      </c>
      <c r="B2" s="196">
        <f>Summary!P13</f>
        <v>647771771.99550164</v>
      </c>
      <c r="C2" s="195"/>
      <c r="D2" s="283">
        <f>'2013 COP Forecast'!D2</f>
        <v>0.93893975395513607</v>
      </c>
    </row>
    <row r="3" spans="1:11" x14ac:dyDescent="0.2">
      <c r="A3" s="434" t="s">
        <v>69</v>
      </c>
      <c r="B3" s="196">
        <f>Summary!P17</f>
        <v>240204686.12850371</v>
      </c>
      <c r="C3" s="195"/>
      <c r="D3" s="283">
        <f>'2013 COP Forecast'!D3</f>
        <v>0.86067746631608777</v>
      </c>
      <c r="F3" s="282" t="s">
        <v>268</v>
      </c>
    </row>
    <row r="4" spans="1:11" x14ac:dyDescent="0.2">
      <c r="A4" s="434" t="s">
        <v>70</v>
      </c>
      <c r="B4" s="196">
        <f>Summary!P21</f>
        <v>841248453.12019193</v>
      </c>
      <c r="C4" s="204">
        <f>Summary!P22</f>
        <v>2225926.8825137992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47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71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72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198</v>
      </c>
      <c r="B8" s="196"/>
      <c r="C8" s="195"/>
      <c r="D8" s="283"/>
    </row>
    <row r="9" spans="1:11" x14ac:dyDescent="0.2">
      <c r="A9" s="436" t="s">
        <v>122</v>
      </c>
      <c r="B9" s="170">
        <f>SUM(B2:B7)</f>
        <v>1780569554.6915324</v>
      </c>
      <c r="C9" s="170">
        <f>SUM(C2:C7)</f>
        <v>2334073.8868519077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2" t="s">
        <v>149</v>
      </c>
      <c r="C12" s="554" t="s">
        <v>150</v>
      </c>
      <c r="D12" s="171"/>
      <c r="E12" s="198"/>
      <c r="F12" s="197"/>
    </row>
    <row r="13" spans="1:11" x14ac:dyDescent="0.2">
      <c r="A13" s="180" t="s">
        <v>137</v>
      </c>
      <c r="B13" s="553"/>
      <c r="C13" s="555"/>
      <c r="D13" s="556">
        <v>2014</v>
      </c>
      <c r="E13" s="557"/>
      <c r="F13" s="558"/>
    </row>
    <row r="14" spans="1:11" x14ac:dyDescent="0.2">
      <c r="A14" s="434" t="s">
        <v>68</v>
      </c>
      <c r="B14" s="196">
        <f t="shared" ref="B14:B19" si="0">B2*D2</f>
        <v>608218668.21653879</v>
      </c>
      <c r="C14" s="278">
        <f>'2013 COP Forecast'!C14</f>
        <v>1.0351420520000001</v>
      </c>
      <c r="D14" s="183">
        <f t="shared" ref="D14:D19" si="1">B14*C14</f>
        <v>629592720.28237522</v>
      </c>
      <c r="E14" s="508">
        <v>8.8999999999999996E-2</v>
      </c>
      <c r="F14" s="182">
        <f t="shared" ref="F14:F19" si="2">D14*E14</f>
        <v>56033752.105131395</v>
      </c>
    </row>
    <row r="15" spans="1:11" x14ac:dyDescent="0.2">
      <c r="A15" s="434" t="s">
        <v>69</v>
      </c>
      <c r="B15" s="196">
        <f t="shared" si="0"/>
        <v>206738760.65433168</v>
      </c>
      <c r="C15" s="278">
        <f>'2013 COP Forecast'!C15</f>
        <v>1.0351420520000001</v>
      </c>
      <c r="D15" s="183">
        <f t="shared" si="1"/>
        <v>214003984.93166178</v>
      </c>
      <c r="E15" s="508">
        <f>+E14</f>
        <v>8.8999999999999996E-2</v>
      </c>
      <c r="F15" s="182">
        <f t="shared" si="2"/>
        <v>19046354.658917896</v>
      </c>
    </row>
    <row r="16" spans="1:11" x14ac:dyDescent="0.2">
      <c r="A16" s="434" t="s">
        <v>70</v>
      </c>
      <c r="B16" s="196">
        <f t="shared" si="0"/>
        <v>119031407.81004721</v>
      </c>
      <c r="C16" s="278">
        <f>'2013 COP Forecast'!C16</f>
        <v>1.0351420520000001</v>
      </c>
      <c r="D16" s="183">
        <f t="shared" si="1"/>
        <v>123214415.73294111</v>
      </c>
      <c r="E16" s="508">
        <f>+E14</f>
        <v>8.8999999999999996E-2</v>
      </c>
      <c r="F16" s="182">
        <f t="shared" si="2"/>
        <v>10966083.000231758</v>
      </c>
    </row>
    <row r="17" spans="1:6" x14ac:dyDescent="0.2">
      <c r="A17" s="434" t="s">
        <v>47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6" x14ac:dyDescent="0.2">
      <c r="A18" s="434" t="s">
        <v>71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6" x14ac:dyDescent="0.2">
      <c r="A19" s="434" t="s">
        <v>72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6" x14ac:dyDescent="0.2">
      <c r="A20" s="435" t="s">
        <v>198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6" x14ac:dyDescent="0.2">
      <c r="A21" s="436" t="s">
        <v>122</v>
      </c>
      <c r="B21" s="170">
        <f>SUM(B14:B19)</f>
        <v>933988836.68091774</v>
      </c>
      <c r="C21" s="180"/>
      <c r="D21" s="170">
        <f>SUM(D14:D19)</f>
        <v>966811120.94697809</v>
      </c>
      <c r="E21" s="179"/>
      <c r="F21" s="194">
        <f>SUM(F14:F20)</f>
        <v>86046189.764281049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136</v>
      </c>
      <c r="B23" s="552" t="s">
        <v>149</v>
      </c>
      <c r="C23" s="554" t="s">
        <v>150</v>
      </c>
      <c r="D23" s="171"/>
      <c r="E23" s="198"/>
      <c r="F23" s="197"/>
    </row>
    <row r="24" spans="1:6" x14ac:dyDescent="0.2">
      <c r="A24" s="180" t="s">
        <v>128</v>
      </c>
      <c r="B24" s="553"/>
      <c r="C24" s="555"/>
      <c r="D24" s="556">
        <v>2014</v>
      </c>
      <c r="E24" s="557"/>
      <c r="F24" s="558"/>
    </row>
    <row r="25" spans="1:6" x14ac:dyDescent="0.2">
      <c r="A25" s="434" t="s">
        <v>68</v>
      </c>
      <c r="B25" s="196">
        <f>B2-B14</f>
        <v>39553103.778962851</v>
      </c>
      <c r="C25" s="278">
        <f t="shared" ref="C25:C31" si="3">C14</f>
        <v>1.0351420520000001</v>
      </c>
      <c r="D25" s="183">
        <f t="shared" ref="D25:D30" si="4">B25*C25</f>
        <v>40943081.008724563</v>
      </c>
      <c r="E25" s="508">
        <v>8.7599999999999997E-2</v>
      </c>
      <c r="F25" s="182">
        <f t="shared" ref="F25:F30" si="5">D25*E25</f>
        <v>3586613.8963642716</v>
      </c>
    </row>
    <row r="26" spans="1:6" x14ac:dyDescent="0.2">
      <c r="A26" s="434" t="s">
        <v>69</v>
      </c>
      <c r="B26" s="196">
        <f>B3-B15</f>
        <v>33465925.474172026</v>
      </c>
      <c r="C26" s="278">
        <f t="shared" si="3"/>
        <v>1.0351420520000001</v>
      </c>
      <c r="D26" s="183">
        <f t="shared" si="4"/>
        <v>34641986.767413504</v>
      </c>
      <c r="E26" s="508">
        <f t="shared" ref="E26:E31" si="6">E25</f>
        <v>8.7599999999999997E-2</v>
      </c>
      <c r="F26" s="182">
        <f t="shared" si="5"/>
        <v>3034638.0408254229</v>
      </c>
    </row>
    <row r="27" spans="1:6" x14ac:dyDescent="0.2">
      <c r="A27" s="434" t="s">
        <v>70</v>
      </c>
      <c r="B27" s="196">
        <f>B4-B16-F4</f>
        <v>702074336.08294463</v>
      </c>
      <c r="C27" s="278">
        <f t="shared" si="3"/>
        <v>1.0351420520000001</v>
      </c>
      <c r="D27" s="183">
        <f t="shared" si="4"/>
        <v>726746668.90943706</v>
      </c>
      <c r="E27" s="508">
        <f t="shared" si="6"/>
        <v>8.7599999999999997E-2</v>
      </c>
      <c r="F27" s="182">
        <f t="shared" si="5"/>
        <v>63663008.196466684</v>
      </c>
    </row>
    <row r="28" spans="1:6" x14ac:dyDescent="0.2">
      <c r="A28" s="434" t="s">
        <v>47</v>
      </c>
      <c r="B28" s="196">
        <f>B5-B17</f>
        <v>31798990.292463161</v>
      </c>
      <c r="C28" s="278">
        <v>1.0053000000000001</v>
      </c>
      <c r="D28" s="183">
        <f t="shared" si="4"/>
        <v>31967524.941013217</v>
      </c>
      <c r="E28" s="508">
        <f t="shared" si="6"/>
        <v>8.7599999999999997E-2</v>
      </c>
      <c r="F28" s="182">
        <f t="shared" si="5"/>
        <v>2800355.1848327578</v>
      </c>
    </row>
    <row r="29" spans="1:6" x14ac:dyDescent="0.2">
      <c r="A29" s="434" t="s">
        <v>71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</row>
    <row r="30" spans="1:6" x14ac:dyDescent="0.2">
      <c r="A30" s="434" t="s">
        <v>72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</row>
    <row r="31" spans="1:6" x14ac:dyDescent="0.2">
      <c r="A31" s="435" t="s">
        <v>198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</row>
    <row r="32" spans="1:6" x14ac:dyDescent="0.2">
      <c r="A32" s="436" t="s">
        <v>122</v>
      </c>
      <c r="B32" s="170">
        <f>SUM(B25:B30)</f>
        <v>826438008.78341484</v>
      </c>
      <c r="C32" s="180"/>
      <c r="D32" s="170">
        <f>SUM(D25:D30)</f>
        <v>854531789.14100301</v>
      </c>
      <c r="E32" s="179"/>
      <c r="F32" s="194">
        <f>SUM(F25:F31)</f>
        <v>74856984.728751853</v>
      </c>
    </row>
    <row r="34" spans="1:8" x14ac:dyDescent="0.2">
      <c r="A34" s="432" t="s">
        <v>135</v>
      </c>
      <c r="B34" s="188"/>
      <c r="C34" s="193" t="s">
        <v>133</v>
      </c>
      <c r="D34" s="190"/>
      <c r="E34" s="189"/>
      <c r="F34" s="188"/>
    </row>
    <row r="35" spans="1:8" x14ac:dyDescent="0.2">
      <c r="A35" s="180" t="s">
        <v>128</v>
      </c>
      <c r="B35" s="187"/>
      <c r="C35" s="192" t="s">
        <v>132</v>
      </c>
      <c r="D35" s="550">
        <v>2014</v>
      </c>
      <c r="E35" s="548"/>
      <c r="F35" s="549"/>
    </row>
    <row r="36" spans="1:8" x14ac:dyDescent="0.2">
      <c r="A36" s="434" t="str">
        <f t="shared" ref="A36:A41" si="7">A25</f>
        <v xml:space="preserve">Residential </v>
      </c>
      <c r="B36" s="183"/>
      <c r="C36" s="184" t="s">
        <v>102</v>
      </c>
      <c r="D36" s="183">
        <f>D14+D25</f>
        <v>670535801.29109979</v>
      </c>
      <c r="E36" s="277">
        <f>'2013 COP Forecast'!E36</f>
        <v>7.1999999999999998E-3</v>
      </c>
      <c r="F36" s="182">
        <f t="shared" ref="F36:F42" si="8">D36*E36</f>
        <v>4827857.7692959188</v>
      </c>
    </row>
    <row r="37" spans="1:8" x14ac:dyDescent="0.2">
      <c r="A37" s="434" t="str">
        <f t="shared" si="7"/>
        <v>General Service
&lt; 50 kW</v>
      </c>
      <c r="B37" s="183"/>
      <c r="C37" s="184" t="s">
        <v>102</v>
      </c>
      <c r="D37" s="183">
        <f>D15+D26</f>
        <v>248645971.69907528</v>
      </c>
      <c r="E37" s="277">
        <f>'2013 COP Forecast'!E37</f>
        <v>6.1999999999999998E-3</v>
      </c>
      <c r="F37" s="182">
        <f t="shared" si="8"/>
        <v>1541605.0245342667</v>
      </c>
    </row>
    <row r="38" spans="1:8" x14ac:dyDescent="0.2">
      <c r="A38" s="434" t="str">
        <f t="shared" si="7"/>
        <v>General Service
&gt; 50 kW</v>
      </c>
      <c r="B38" s="183"/>
      <c r="C38" s="184" t="s">
        <v>131</v>
      </c>
      <c r="D38" s="183">
        <f>+C4</f>
        <v>2225926.8825137992</v>
      </c>
      <c r="E38" s="277">
        <f>'2013 COP Forecast'!E38</f>
        <v>3.2835999999999999</v>
      </c>
      <c r="F38" s="182">
        <f t="shared" si="8"/>
        <v>7309053.511422311</v>
      </c>
    </row>
    <row r="39" spans="1:8" x14ac:dyDescent="0.2">
      <c r="A39" s="434" t="str">
        <f t="shared" si="7"/>
        <v>Large User</v>
      </c>
      <c r="B39" s="183"/>
      <c r="C39" s="184" t="s">
        <v>131</v>
      </c>
      <c r="D39" s="183">
        <f>C5</f>
        <v>63001.717773348704</v>
      </c>
      <c r="E39" s="277">
        <f>'2013 COP Forecast'!E39</f>
        <v>3.0861999999999998</v>
      </c>
      <c r="F39" s="182">
        <f t="shared" si="8"/>
        <v>194435.90139210876</v>
      </c>
      <c r="H39" s="32"/>
    </row>
    <row r="40" spans="1:8" x14ac:dyDescent="0.2">
      <c r="A40" s="434" t="str">
        <f t="shared" si="7"/>
        <v xml:space="preserve">Streetlights </v>
      </c>
      <c r="B40" s="183"/>
      <c r="C40" s="184" t="s">
        <v>131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</row>
    <row r="41" spans="1:8" x14ac:dyDescent="0.2">
      <c r="A41" s="434" t="str">
        <f t="shared" si="7"/>
        <v xml:space="preserve">Unmetered Loads </v>
      </c>
      <c r="B41" s="183"/>
      <c r="C41" s="184" t="s">
        <v>102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</row>
    <row r="42" spans="1:8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</row>
    <row r="43" spans="1:8" x14ac:dyDescent="0.2">
      <c r="A43" s="436" t="s">
        <v>122</v>
      </c>
      <c r="B43" s="170"/>
      <c r="C43" s="180"/>
      <c r="D43" s="170"/>
      <c r="E43" s="179"/>
      <c r="F43" s="178">
        <f>SUM(F36:F42)</f>
        <v>14123334.891637923</v>
      </c>
    </row>
    <row r="45" spans="1:8" x14ac:dyDescent="0.2">
      <c r="A45" s="432" t="s">
        <v>134</v>
      </c>
      <c r="B45" s="188"/>
      <c r="C45" s="191" t="s">
        <v>133</v>
      </c>
      <c r="D45" s="190"/>
      <c r="E45" s="189"/>
      <c r="F45" s="188"/>
    </row>
    <row r="46" spans="1:8" x14ac:dyDescent="0.2">
      <c r="A46" s="180" t="s">
        <v>128</v>
      </c>
      <c r="B46" s="187"/>
      <c r="C46" s="186" t="s">
        <v>132</v>
      </c>
      <c r="D46" s="550">
        <v>2014</v>
      </c>
      <c r="E46" s="548"/>
      <c r="F46" s="549"/>
    </row>
    <row r="47" spans="1:8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670535801.29109979</v>
      </c>
      <c r="E47" s="277">
        <f>'2013 COP Forecast'!E47</f>
        <v>1.4E-3</v>
      </c>
      <c r="F47" s="182">
        <f t="shared" ref="F47:F53" si="10">D47*E47</f>
        <v>938750.12180753972</v>
      </c>
    </row>
    <row r="48" spans="1:8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248645971.69907528</v>
      </c>
      <c r="E48" s="277">
        <f>'2013 COP Forecast'!E48</f>
        <v>1.2999999999999999E-3</v>
      </c>
      <c r="F48" s="182">
        <f t="shared" si="10"/>
        <v>323239.76320879784</v>
      </c>
    </row>
    <row r="49" spans="1:6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2225926.8825137992</v>
      </c>
      <c r="E49" s="277">
        <f>'2013 COP Forecast'!E49</f>
        <v>0.68510000000000004</v>
      </c>
      <c r="F49" s="182">
        <f t="shared" si="10"/>
        <v>1524982.5072102039</v>
      </c>
    </row>
    <row r="50" spans="1:6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0"/>
        <v>40573.106246036565</v>
      </c>
    </row>
    <row r="51" spans="1:6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</row>
    <row r="52" spans="1:6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</row>
    <row r="53" spans="1:6" x14ac:dyDescent="0.2">
      <c r="A53" s="442" t="s">
        <v>198</v>
      </c>
      <c r="B53" s="443"/>
      <c r="C53" s="444" t="s">
        <v>131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</row>
    <row r="54" spans="1:6" x14ac:dyDescent="0.2">
      <c r="A54" s="436" t="s">
        <v>122</v>
      </c>
      <c r="B54" s="170"/>
      <c r="C54" s="180"/>
      <c r="D54" s="183"/>
      <c r="E54" s="277"/>
      <c r="F54" s="178">
        <f>SUM(F47:F53)</f>
        <v>2879828.7475703722</v>
      </c>
    </row>
    <row r="56" spans="1:6" x14ac:dyDescent="0.2">
      <c r="A56" s="432" t="s">
        <v>130</v>
      </c>
      <c r="B56" s="188"/>
      <c r="C56" s="191"/>
      <c r="D56" s="190"/>
      <c r="E56" s="189"/>
      <c r="F56" s="188"/>
    </row>
    <row r="57" spans="1:6" x14ac:dyDescent="0.2">
      <c r="A57" s="180" t="s">
        <v>128</v>
      </c>
      <c r="B57" s="187"/>
      <c r="C57" s="186"/>
      <c r="D57" s="550">
        <v>2014</v>
      </c>
      <c r="E57" s="548"/>
      <c r="F57" s="551"/>
    </row>
    <row r="58" spans="1:6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670535801.29109979</v>
      </c>
      <c r="E58" s="277">
        <v>4.4000000000000003E-3</v>
      </c>
      <c r="F58" s="182">
        <f t="shared" ref="F58:F64" si="13">D58*E58</f>
        <v>2950357.5256808391</v>
      </c>
    </row>
    <row r="59" spans="1:6" x14ac:dyDescent="0.2">
      <c r="A59" s="434" t="str">
        <f t="shared" si="11"/>
        <v>General Service
&lt; 50 kW</v>
      </c>
      <c r="B59" s="183"/>
      <c r="C59" s="184"/>
      <c r="D59" s="183">
        <f t="shared" si="12"/>
        <v>248645971.69907528</v>
      </c>
      <c r="E59" s="277">
        <f>+E58</f>
        <v>4.4000000000000003E-3</v>
      </c>
      <c r="F59" s="182">
        <f t="shared" si="13"/>
        <v>1094042.2754759314</v>
      </c>
    </row>
    <row r="60" spans="1:6" x14ac:dyDescent="0.2">
      <c r="A60" s="434" t="str">
        <f t="shared" si="11"/>
        <v>General Service
&gt; 50 kW</v>
      </c>
      <c r="B60" s="183"/>
      <c r="C60" s="184"/>
      <c r="D60" s="183">
        <f t="shared" si="12"/>
        <v>849961084.64237821</v>
      </c>
      <c r="E60" s="277">
        <f>+E58</f>
        <v>4.4000000000000003E-3</v>
      </c>
      <c r="F60" s="182">
        <f t="shared" si="13"/>
        <v>3739828.7724264641</v>
      </c>
    </row>
    <row r="61" spans="1:6" x14ac:dyDescent="0.2">
      <c r="A61" s="434" t="str">
        <f t="shared" si="11"/>
        <v>Large User</v>
      </c>
      <c r="B61" s="183"/>
      <c r="C61" s="184"/>
      <c r="D61" s="183">
        <f t="shared" si="12"/>
        <v>31967524.941013217</v>
      </c>
      <c r="E61" s="277">
        <f>+E58</f>
        <v>4.4000000000000003E-3</v>
      </c>
      <c r="F61" s="182">
        <f t="shared" si="13"/>
        <v>140657.10974045817</v>
      </c>
    </row>
    <row r="62" spans="1:6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</row>
    <row r="63" spans="1:6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</row>
    <row r="64" spans="1:6" x14ac:dyDescent="0.2">
      <c r="A64" s="435" t="s">
        <v>198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</row>
    <row r="65" spans="1:6" x14ac:dyDescent="0.2">
      <c r="A65" s="436" t="s">
        <v>122</v>
      </c>
      <c r="B65" s="170"/>
      <c r="C65" s="180"/>
      <c r="D65" s="170">
        <f>SUM(D58:D63)</f>
        <v>1821342910.087981</v>
      </c>
      <c r="E65" s="179"/>
      <c r="F65" s="178">
        <f>SUM(F58:F64)</f>
        <v>8013908.8043871168</v>
      </c>
    </row>
    <row r="67" spans="1:6" x14ac:dyDescent="0.2">
      <c r="A67" s="432" t="s">
        <v>129</v>
      </c>
      <c r="B67" s="188"/>
      <c r="C67" s="191"/>
      <c r="D67" s="190"/>
      <c r="E67" s="189"/>
      <c r="F67" s="188"/>
    </row>
    <row r="68" spans="1:6" x14ac:dyDescent="0.2">
      <c r="A68" s="180" t="s">
        <v>128</v>
      </c>
      <c r="B68" s="187"/>
      <c r="C68" s="186"/>
      <c r="D68" s="547">
        <v>2014</v>
      </c>
      <c r="E68" s="548"/>
      <c r="F68" s="549"/>
    </row>
    <row r="69" spans="1:6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670535801.29109979</v>
      </c>
      <c r="E69" s="277">
        <v>1.1999999999999999E-3</v>
      </c>
      <c r="F69" s="182">
        <f t="shared" ref="F69:F75" si="16">D69*E69</f>
        <v>804642.96154931968</v>
      </c>
    </row>
    <row r="70" spans="1:6" x14ac:dyDescent="0.2">
      <c r="A70" s="434" t="str">
        <f t="shared" si="14"/>
        <v>General Service
&lt; 50 kW</v>
      </c>
      <c r="B70" s="183"/>
      <c r="C70" s="184"/>
      <c r="D70" s="183">
        <f t="shared" si="15"/>
        <v>248645971.69907528</v>
      </c>
      <c r="E70" s="277">
        <v>1.1999999999999999E-3</v>
      </c>
      <c r="F70" s="182">
        <f t="shared" si="16"/>
        <v>298375.16603889031</v>
      </c>
    </row>
    <row r="71" spans="1:6" x14ac:dyDescent="0.2">
      <c r="A71" s="434" t="str">
        <f t="shared" si="14"/>
        <v>General Service
&gt; 50 kW</v>
      </c>
      <c r="B71" s="183"/>
      <c r="C71" s="184"/>
      <c r="D71" s="183">
        <f t="shared" si="15"/>
        <v>849961084.64237821</v>
      </c>
      <c r="E71" s="277">
        <v>1.1999999999999999E-3</v>
      </c>
      <c r="F71" s="182">
        <f t="shared" si="16"/>
        <v>1019953.3015708538</v>
      </c>
    </row>
    <row r="72" spans="1:6" x14ac:dyDescent="0.2">
      <c r="A72" s="434" t="str">
        <f t="shared" si="14"/>
        <v>Large User</v>
      </c>
      <c r="B72" s="183"/>
      <c r="C72" s="184"/>
      <c r="D72" s="183">
        <f t="shared" si="15"/>
        <v>31967524.941013217</v>
      </c>
      <c r="E72" s="277">
        <v>1.1999999999999999E-3</v>
      </c>
      <c r="F72" s="182">
        <f t="shared" si="16"/>
        <v>38361.02992921586</v>
      </c>
    </row>
    <row r="73" spans="1:6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</row>
    <row r="74" spans="1:6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</row>
    <row r="75" spans="1:6" x14ac:dyDescent="0.2">
      <c r="A75" s="435" t="s">
        <v>198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</row>
    <row r="76" spans="1:6" x14ac:dyDescent="0.2">
      <c r="A76" s="436" t="s">
        <v>122</v>
      </c>
      <c r="B76" s="170"/>
      <c r="C76" s="180"/>
      <c r="D76" s="170">
        <f>SUM(D69:D74)</f>
        <v>1821342910.087981</v>
      </c>
      <c r="E76" s="179"/>
      <c r="F76" s="178">
        <f>SUM(F69:F75)</f>
        <v>2185611.4921055776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226</v>
      </c>
      <c r="B78" s="188"/>
      <c r="C78" s="191"/>
      <c r="D78" s="190"/>
      <c r="E78" s="189"/>
      <c r="F78" s="188"/>
    </row>
    <row r="79" spans="1:6" x14ac:dyDescent="0.2">
      <c r="A79" s="180" t="s">
        <v>128</v>
      </c>
      <c r="B79" s="297"/>
      <c r="C79" s="186"/>
      <c r="D79" s="547">
        <v>2014</v>
      </c>
      <c r="E79" s="548"/>
      <c r="F79" s="549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</row>
    <row r="82" spans="1:6" x14ac:dyDescent="0.2">
      <c r="A82" s="181" t="s">
        <v>122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127</v>
      </c>
      <c r="B86" s="174">
        <f>F21+F32</f>
        <v>160903174.4930329</v>
      </c>
    </row>
    <row r="87" spans="1:6" x14ac:dyDescent="0.2">
      <c r="A87" s="172" t="s">
        <v>126</v>
      </c>
      <c r="B87" s="173">
        <f>F65</f>
        <v>8013908.8043871168</v>
      </c>
    </row>
    <row r="88" spans="1:6" x14ac:dyDescent="0.2">
      <c r="A88" s="172" t="s">
        <v>125</v>
      </c>
      <c r="B88" s="173">
        <f>F43</f>
        <v>14123334.891637923</v>
      </c>
    </row>
    <row r="89" spans="1:6" x14ac:dyDescent="0.2">
      <c r="A89" s="172" t="s">
        <v>124</v>
      </c>
      <c r="B89" s="173">
        <f>F54</f>
        <v>2879828.7475703722</v>
      </c>
    </row>
    <row r="90" spans="1:6" x14ac:dyDescent="0.2">
      <c r="A90" s="172" t="s">
        <v>123</v>
      </c>
      <c r="B90" s="173">
        <f>F76</f>
        <v>2185611.4921055776</v>
      </c>
    </row>
    <row r="91" spans="1:6" x14ac:dyDescent="0.2">
      <c r="A91" s="268" t="s">
        <v>227</v>
      </c>
      <c r="B91" s="174">
        <f>+F82</f>
        <v>857059.70712328504</v>
      </c>
    </row>
    <row r="92" spans="1:6" x14ac:dyDescent="0.2">
      <c r="A92" s="171" t="s">
        <v>122</v>
      </c>
      <c r="B92" s="178">
        <f>SUM(B86:B91)</f>
        <v>188962918.13585716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23" bottom="0.28999999999999998" header="0.18" footer="0.17"/>
  <pageSetup scale="66" orientation="portrait" r:id="rId1"/>
  <headerFooter alignWithMargins="0"/>
  <ignoredErrors>
    <ignoredError sqref="B88:B89 B92" evalError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topLeftCell="A13" workbookViewId="0">
      <selection activeCell="P42" sqref="P42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72" t="s">
        <v>229</v>
      </c>
      <c r="C3" s="572" t="s">
        <v>230</v>
      </c>
      <c r="D3" s="574" t="s">
        <v>231</v>
      </c>
      <c r="E3" s="575"/>
      <c r="F3" s="575"/>
      <c r="G3" s="576"/>
      <c r="H3" s="580" t="s">
        <v>232</v>
      </c>
      <c r="I3" s="581"/>
      <c r="J3" s="581"/>
      <c r="K3" s="582"/>
      <c r="L3" s="574" t="s">
        <v>233</v>
      </c>
      <c r="M3" s="575"/>
      <c r="N3" s="575"/>
      <c r="O3" s="576"/>
      <c r="P3" s="561" t="s">
        <v>234</v>
      </c>
      <c r="Q3" s="561" t="s">
        <v>235</v>
      </c>
    </row>
    <row r="4" spans="2:23" ht="55.5" customHeight="1" thickBot="1" x14ac:dyDescent="0.25">
      <c r="B4" s="573"/>
      <c r="C4" s="573"/>
      <c r="D4" s="577"/>
      <c r="E4" s="578"/>
      <c r="F4" s="578"/>
      <c r="G4" s="579"/>
      <c r="H4" s="583"/>
      <c r="I4" s="584"/>
      <c r="J4" s="584"/>
      <c r="K4" s="585"/>
      <c r="L4" s="577"/>
      <c r="M4" s="578"/>
      <c r="N4" s="578"/>
      <c r="O4" s="579"/>
      <c r="P4" s="562"/>
      <c r="Q4" s="562"/>
      <c r="R4" s="315"/>
      <c r="S4" s="315"/>
      <c r="T4" s="315"/>
      <c r="U4" s="315"/>
    </row>
    <row r="5" spans="2:23" ht="16.5" thickBot="1" x14ac:dyDescent="0.3">
      <c r="B5" s="573"/>
      <c r="C5" s="573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63" t="s">
        <v>236</v>
      </c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316" t="s">
        <v>237</v>
      </c>
      <c r="S7" s="316" t="s">
        <v>238</v>
      </c>
      <c r="T7" s="316" t="s">
        <v>239</v>
      </c>
      <c r="U7" s="325"/>
    </row>
    <row r="8" spans="2:23" ht="15" x14ac:dyDescent="0.25">
      <c r="B8" s="326" t="s">
        <v>240</v>
      </c>
      <c r="C8" s="279" t="s">
        <v>241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110</v>
      </c>
    </row>
    <row r="9" spans="2:23" ht="15" x14ac:dyDescent="0.25">
      <c r="B9" s="326" t="s">
        <v>242</v>
      </c>
      <c r="C9" s="279" t="s">
        <v>241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110</v>
      </c>
    </row>
    <row r="10" spans="2:23" ht="15" x14ac:dyDescent="0.25">
      <c r="B10" s="326" t="s">
        <v>243</v>
      </c>
      <c r="C10" s="279" t="s">
        <v>244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297</v>
      </c>
    </row>
    <row r="11" spans="2:23" ht="15" x14ac:dyDescent="0.25">
      <c r="B11" s="326" t="s">
        <v>298</v>
      </c>
      <c r="C11" s="279" t="s">
        <v>245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110</v>
      </c>
    </row>
    <row r="12" spans="2:23" ht="15" x14ac:dyDescent="0.25">
      <c r="B12" s="326" t="s">
        <v>246</v>
      </c>
      <c r="C12" s="279" t="s">
        <v>245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110</v>
      </c>
    </row>
    <row r="13" spans="2:23" ht="15" x14ac:dyDescent="0.25">
      <c r="B13" s="334" t="s">
        <v>247</v>
      </c>
      <c r="C13" s="335" t="s">
        <v>248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249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63" t="s">
        <v>250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333"/>
      <c r="S16" s="333"/>
      <c r="T16" s="333"/>
      <c r="U16" s="325"/>
    </row>
    <row r="17" spans="2:21" ht="15" x14ac:dyDescent="0.25">
      <c r="B17" s="326" t="s">
        <v>251</v>
      </c>
      <c r="C17" s="279" t="s">
        <v>252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253</v>
      </c>
    </row>
    <row r="18" spans="2:21" ht="15" x14ac:dyDescent="0.25">
      <c r="B18" s="326" t="s">
        <v>254</v>
      </c>
      <c r="C18" s="279" t="s">
        <v>252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238</v>
      </c>
    </row>
    <row r="19" spans="2:21" ht="15" x14ac:dyDescent="0.25">
      <c r="B19" s="334" t="s">
        <v>255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256</v>
      </c>
      <c r="C20" s="335" t="s">
        <v>257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239</v>
      </c>
    </row>
    <row r="21" spans="2:21" ht="15.75" thickBot="1" x14ac:dyDescent="0.3">
      <c r="B21" s="359" t="s">
        <v>258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 t="shared" ref="L21:Q21" si="0">SUM(L17:L20)</f>
        <v>3706474</v>
      </c>
      <c r="M21" s="362">
        <f t="shared" si="0"/>
        <v>4433768</v>
      </c>
      <c r="N21" s="365">
        <f t="shared" si="0"/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66"/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333"/>
      <c r="S23" s="333"/>
      <c r="T23" s="333"/>
      <c r="U23" s="325"/>
    </row>
    <row r="24" spans="2:21" ht="15" x14ac:dyDescent="0.25">
      <c r="B24" s="326" t="s">
        <v>251</v>
      </c>
      <c r="C24" s="279" t="s">
        <v>252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239</v>
      </c>
    </row>
    <row r="25" spans="2:21" ht="15" x14ac:dyDescent="0.25">
      <c r="B25" s="334" t="s">
        <v>256</v>
      </c>
      <c r="C25" s="335" t="s">
        <v>257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239</v>
      </c>
    </row>
    <row r="26" spans="2:21" ht="15.75" thickBot="1" x14ac:dyDescent="0.3">
      <c r="B26" s="359" t="s">
        <v>259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67" t="s">
        <v>260</v>
      </c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333"/>
      <c r="S28" s="333"/>
      <c r="T28" s="333"/>
      <c r="U28" s="325"/>
    </row>
    <row r="29" spans="2:21" ht="15" x14ac:dyDescent="0.25">
      <c r="B29" s="326" t="s">
        <v>261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253</v>
      </c>
    </row>
    <row r="30" spans="2:21" ht="15" x14ac:dyDescent="0.25">
      <c r="B30" s="326" t="s">
        <v>262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239</v>
      </c>
    </row>
    <row r="31" spans="2:21" ht="15.75" thickBot="1" x14ac:dyDescent="0.3">
      <c r="B31" s="359" t="s">
        <v>263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264</v>
      </c>
      <c r="C33" s="569"/>
      <c r="D33" s="570"/>
      <c r="E33" s="570"/>
      <c r="F33" s="570"/>
      <c r="G33" s="570"/>
      <c r="H33" s="570"/>
      <c r="I33" s="570"/>
      <c r="J33" s="570"/>
      <c r="K33" s="571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265</v>
      </c>
      <c r="Q34" t="s">
        <v>265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60" t="s">
        <v>266</v>
      </c>
      <c r="N35" s="560"/>
      <c r="O35" s="560"/>
      <c r="P35" s="371">
        <v>21560</v>
      </c>
      <c r="Q35" s="371">
        <v>90290000</v>
      </c>
      <c r="U35" s="64" t="s">
        <v>265</v>
      </c>
    </row>
    <row r="36" spans="2:21" ht="13.5" thickBot="1" x14ac:dyDescent="0.25"/>
    <row r="37" spans="2:21" ht="15.75" thickBot="1" x14ac:dyDescent="0.3">
      <c r="B37" s="374"/>
      <c r="M37" s="560" t="s">
        <v>267</v>
      </c>
      <c r="N37" s="560"/>
      <c r="O37" s="560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8"/>
  <sheetViews>
    <sheetView view="pageBreakPreview" zoomScaleNormal="100" zoomScaleSheetLayoutView="100" workbookViewId="0">
      <selection activeCell="E10" sqref="E10"/>
    </sheetView>
  </sheetViews>
  <sheetFormatPr defaultColWidth="9.140625"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94" t="s">
        <v>202</v>
      </c>
      <c r="B2" s="595"/>
      <c r="C2" s="595"/>
      <c r="D2" s="595"/>
      <c r="E2" s="595"/>
      <c r="F2" s="595"/>
      <c r="G2" s="595"/>
      <c r="H2" s="595"/>
      <c r="I2" s="596"/>
      <c r="J2" s="74"/>
    </row>
    <row r="3" spans="1:17" ht="45" x14ac:dyDescent="0.2">
      <c r="A3" s="597" t="s">
        <v>79</v>
      </c>
      <c r="B3" s="598"/>
      <c r="C3" s="377"/>
      <c r="D3" s="378" t="s">
        <v>271</v>
      </c>
      <c r="E3" s="378" t="s">
        <v>272</v>
      </c>
      <c r="F3" s="378" t="s">
        <v>80</v>
      </c>
      <c r="G3" s="378" t="s">
        <v>81</v>
      </c>
      <c r="H3" s="378" t="s">
        <v>82</v>
      </c>
      <c r="I3" s="378" t="s">
        <v>83</v>
      </c>
      <c r="J3" s="75"/>
    </row>
    <row r="4" spans="1:17" ht="15" x14ac:dyDescent="0.2">
      <c r="A4" s="594" t="s">
        <v>281</v>
      </c>
      <c r="B4" s="595"/>
      <c r="C4" s="595"/>
      <c r="D4" s="595"/>
      <c r="E4" s="595"/>
      <c r="F4" s="595"/>
      <c r="G4" s="595"/>
      <c r="H4" s="595"/>
      <c r="I4" s="596"/>
      <c r="J4" s="74"/>
    </row>
    <row r="5" spans="1:17" ht="7.5" customHeight="1" x14ac:dyDescent="0.2">
      <c r="A5" s="605"/>
      <c r="B5" s="606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153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607"/>
      <c r="B7" s="608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114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28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29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30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31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32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33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34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84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85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48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49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154</v>
      </c>
      <c r="B20" s="304"/>
      <c r="C20" s="74"/>
      <c r="D20" s="78">
        <f>Summary!N8/1000000</f>
        <v>1825.2340899999999</v>
      </c>
      <c r="E20" s="381">
        <f>D20-D19</f>
        <v>-8.6472620000001825</v>
      </c>
      <c r="F20" s="383">
        <f>E20/D19</f>
        <v>-4.7152788759041711E-3</v>
      </c>
      <c r="G20" s="81">
        <f>Summary!N49</f>
        <v>91039.840909090897</v>
      </c>
      <c r="H20" s="460">
        <f>G20-G19</f>
        <v>1354.1742424242257</v>
      </c>
      <c r="I20" s="383">
        <f>H20/G19</f>
        <v>1.5099115530436587E-2</v>
      </c>
      <c r="J20" s="82"/>
      <c r="K20" s="85"/>
    </row>
    <row r="21" spans="1:30" s="86" customFormat="1" ht="15" customHeight="1" x14ac:dyDescent="0.25">
      <c r="A21" s="305" t="s">
        <v>155</v>
      </c>
      <c r="B21" s="303"/>
      <c r="C21" s="74"/>
      <c r="D21" s="87">
        <f>Summary!O8/1000000</f>
        <v>1805.8246844650248</v>
      </c>
      <c r="E21" s="382">
        <f>D21-D20</f>
        <v>-19.409405534975122</v>
      </c>
      <c r="F21" s="384">
        <f>E21/D20</f>
        <v>-1.063392670634106E-2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156</v>
      </c>
      <c r="B22" s="306"/>
      <c r="C22" s="74"/>
      <c r="D22" s="87">
        <f>Summary!P8/1000000</f>
        <v>1780.5695546915324</v>
      </c>
      <c r="E22" s="382">
        <f t="shared" si="0"/>
        <v>-25.255129773492399</v>
      </c>
      <c r="F22" s="384">
        <f>E22/D21</f>
        <v>-1.3985371886182974E-2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94" t="s">
        <v>203</v>
      </c>
      <c r="B24" s="595"/>
      <c r="C24" s="595"/>
      <c r="D24" s="595"/>
      <c r="E24" s="595"/>
      <c r="F24" s="595"/>
      <c r="G24" s="595"/>
      <c r="H24" s="595"/>
      <c r="I24" s="595"/>
      <c r="J24" s="596"/>
      <c r="K24" s="121"/>
      <c r="L24" s="121"/>
      <c r="M24" s="91"/>
    </row>
    <row r="25" spans="1:30" ht="30" x14ac:dyDescent="0.2">
      <c r="A25" s="597" t="s">
        <v>79</v>
      </c>
      <c r="B25" s="609"/>
      <c r="C25" s="385"/>
      <c r="D25" s="386" t="s">
        <v>68</v>
      </c>
      <c r="E25" s="386" t="s">
        <v>111</v>
      </c>
      <c r="F25" s="386" t="s">
        <v>112</v>
      </c>
      <c r="G25" s="386" t="str">
        <f>Summary!A24</f>
        <v>Large User</v>
      </c>
      <c r="H25" s="386" t="s">
        <v>86</v>
      </c>
      <c r="I25" s="386" t="s">
        <v>113</v>
      </c>
      <c r="J25" s="386" t="s">
        <v>10</v>
      </c>
    </row>
    <row r="26" spans="1:30" ht="14.25" customHeight="1" x14ac:dyDescent="0.2">
      <c r="A26" s="93" t="s">
        <v>278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610"/>
      <c r="B27" s="610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604"/>
      <c r="B29" s="604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4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5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4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5"/>
        <v>1864.9571660000001</v>
      </c>
      <c r="M31"/>
      <c r="N31"/>
    </row>
    <row r="32" spans="1:30" ht="15" customHeight="1" x14ac:dyDescent="0.2">
      <c r="A32" s="298" t="str">
        <f t="shared" si="4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5"/>
        <v>1966.6381249999997</v>
      </c>
      <c r="M32"/>
      <c r="N32"/>
    </row>
    <row r="33" spans="1:14" ht="15" customHeight="1" x14ac:dyDescent="0.2">
      <c r="A33" s="298" t="str">
        <f t="shared" si="4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5"/>
        <v>1970.3830290000001</v>
      </c>
      <c r="M33"/>
      <c r="N33"/>
    </row>
    <row r="34" spans="1:14" ht="15" customHeight="1" x14ac:dyDescent="0.2">
      <c r="A34" s="298" t="str">
        <f t="shared" si="4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5"/>
        <v>1947.4839019999999</v>
      </c>
      <c r="M34"/>
      <c r="N34"/>
    </row>
    <row r="35" spans="1:14" ht="15" customHeight="1" x14ac:dyDescent="0.2">
      <c r="A35" s="298" t="str">
        <f t="shared" si="4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5"/>
        <v>2040.8725189999998</v>
      </c>
      <c r="M35"/>
      <c r="N35"/>
    </row>
    <row r="36" spans="1:14" ht="15" customHeight="1" x14ac:dyDescent="0.2">
      <c r="A36" s="298" t="str">
        <f t="shared" si="4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5"/>
        <v>1917.7350120000001</v>
      </c>
      <c r="M36"/>
      <c r="N36"/>
    </row>
    <row r="37" spans="1:14" ht="15" customHeight="1" x14ac:dyDescent="0.2">
      <c r="A37" s="298" t="str">
        <f t="shared" si="4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5"/>
        <v>1918.1903560000001</v>
      </c>
      <c r="M37"/>
      <c r="N37"/>
    </row>
    <row r="38" spans="1:14" ht="15" customHeight="1" x14ac:dyDescent="0.2">
      <c r="A38" s="298" t="str">
        <f t="shared" si="4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5"/>
        <v>1877.4041660000003</v>
      </c>
      <c r="M38"/>
      <c r="N38"/>
    </row>
    <row r="39" spans="1:14" ht="15" customHeight="1" x14ac:dyDescent="0.2">
      <c r="A39" s="298" t="str">
        <f t="shared" si="4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5"/>
        <v>1777.401233</v>
      </c>
      <c r="M39"/>
      <c r="N39"/>
    </row>
    <row r="40" spans="1:14" s="97" customFormat="1" ht="15" customHeight="1" x14ac:dyDescent="0.2">
      <c r="A40" s="298" t="str">
        <f t="shared" si="4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5"/>
        <v>1829.5004919999999</v>
      </c>
      <c r="M40"/>
      <c r="N40"/>
    </row>
    <row r="41" spans="1:14" s="86" customFormat="1" ht="15" customHeight="1" x14ac:dyDescent="0.25">
      <c r="A41" s="298" t="str">
        <f t="shared" si="4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5"/>
        <v>1833.8813519999999</v>
      </c>
      <c r="M41"/>
      <c r="N41"/>
    </row>
    <row r="42" spans="1:14" s="86" customFormat="1" ht="15" customHeight="1" x14ac:dyDescent="0.25">
      <c r="A42" s="298" t="str">
        <f t="shared" si="4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>SUM(D42:I42)</f>
        <v>1825.2340899999999</v>
      </c>
      <c r="M42"/>
      <c r="N42"/>
    </row>
    <row r="43" spans="1:14" s="86" customFormat="1" ht="15" customHeight="1" x14ac:dyDescent="0.25">
      <c r="A43" s="306" t="str">
        <f t="shared" si="4"/>
        <v>2013 Bridge</v>
      </c>
      <c r="B43" s="306"/>
      <c r="C43" s="76"/>
      <c r="D43" s="87">
        <f>Summary!O13/1000000</f>
        <v>640.77319335766026</v>
      </c>
      <c r="E43" s="87">
        <f>Summary!O17/1000000</f>
        <v>238.66899213346665</v>
      </c>
      <c r="F43" s="87">
        <f>Summary!O21/1000000</f>
        <v>840.85474755876214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1805.8246844650243</v>
      </c>
      <c r="M43" s="18"/>
      <c r="N43" s="18"/>
    </row>
    <row r="44" spans="1:14" s="86" customFormat="1" ht="15" customHeight="1" x14ac:dyDescent="0.25">
      <c r="A44" s="306" t="str">
        <f t="shared" si="4"/>
        <v>2014 Test</v>
      </c>
      <c r="B44" s="306"/>
      <c r="C44" s="223"/>
      <c r="D44" s="87">
        <f>Summary!P13/1000000</f>
        <v>647.77177199550158</v>
      </c>
      <c r="E44" s="87">
        <f>Summary!P17/1000000</f>
        <v>240.20468612850371</v>
      </c>
      <c r="F44" s="87">
        <f>Summary!P21/1000000</f>
        <v>841.24845312019193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1780.5695546915326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94" t="s">
        <v>204</v>
      </c>
      <c r="B46" s="595"/>
      <c r="C46" s="595"/>
      <c r="D46" s="595"/>
      <c r="E46" s="595"/>
      <c r="F46" s="595"/>
      <c r="G46" s="595"/>
      <c r="H46" s="595"/>
      <c r="I46" s="595"/>
      <c r="J46" s="596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588"/>
      <c r="B49" s="588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6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7">SUM(D50:I50)</f>
        <v>73368.030303030304</v>
      </c>
      <c r="M50" s="99"/>
      <c r="N50" s="99"/>
    </row>
    <row r="51" spans="1:20" ht="15" customHeight="1" x14ac:dyDescent="0.2">
      <c r="A51" s="298" t="str">
        <f t="shared" si="6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7"/>
        <v>74010.606060606064</v>
      </c>
      <c r="M51" s="99"/>
      <c r="N51" s="99"/>
    </row>
    <row r="52" spans="1:20" ht="15" customHeight="1" x14ac:dyDescent="0.2">
      <c r="A52" s="298" t="str">
        <f t="shared" si="6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7"/>
        <v>75483.393939393936</v>
      </c>
      <c r="M52" s="99"/>
      <c r="N52" s="99"/>
    </row>
    <row r="53" spans="1:20" ht="15" customHeight="1" x14ac:dyDescent="0.2">
      <c r="A53" s="298" t="str">
        <f t="shared" si="6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7"/>
        <v>77439</v>
      </c>
      <c r="M53" s="99"/>
      <c r="N53" s="99"/>
    </row>
    <row r="54" spans="1:20" ht="15" customHeight="1" x14ac:dyDescent="0.2">
      <c r="A54" s="298" t="str">
        <f t="shared" si="6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7"/>
        <v>79602</v>
      </c>
      <c r="M54" s="99"/>
      <c r="N54" s="99"/>
    </row>
    <row r="55" spans="1:20" ht="15" customHeight="1" x14ac:dyDescent="0.2">
      <c r="A55" s="298" t="str">
        <f t="shared" si="6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7"/>
        <v>81811</v>
      </c>
      <c r="M55" s="99"/>
      <c r="N55" s="99"/>
    </row>
    <row r="56" spans="1:20" ht="15" customHeight="1" x14ac:dyDescent="0.2">
      <c r="A56" s="298" t="str">
        <f t="shared" si="6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7"/>
        <v>83280</v>
      </c>
      <c r="M56" s="99"/>
      <c r="N56" s="99"/>
    </row>
    <row r="57" spans="1:20" ht="15" customHeight="1" x14ac:dyDescent="0.2">
      <c r="A57" s="298" t="str">
        <f t="shared" si="6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7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6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7"/>
        <v>85779.159090909103</v>
      </c>
      <c r="M58" s="99"/>
      <c r="N58" s="99"/>
    </row>
    <row r="59" spans="1:20" ht="15" customHeight="1" x14ac:dyDescent="0.2">
      <c r="A59" s="298" t="str">
        <f t="shared" si="6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7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6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7"/>
        <v>88328.996523716705</v>
      </c>
      <c r="M60" s="99"/>
      <c r="N60" s="99"/>
    </row>
    <row r="61" spans="1:20" s="97" customFormat="1" ht="15" customHeight="1" x14ac:dyDescent="0.2">
      <c r="A61" s="298" t="str">
        <f t="shared" si="6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7"/>
        <v>89684.666666666672</v>
      </c>
      <c r="M61" s="99"/>
      <c r="N61" s="99"/>
    </row>
    <row r="62" spans="1:20" s="97" customFormat="1" ht="15" customHeight="1" x14ac:dyDescent="0.2">
      <c r="A62" s="298" t="str">
        <f t="shared" si="6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6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6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94" t="s">
        <v>205</v>
      </c>
      <c r="B66" s="595"/>
      <c r="C66" s="595"/>
      <c r="D66" s="595"/>
      <c r="E66" s="595"/>
      <c r="F66" s="595"/>
      <c r="G66" s="595"/>
      <c r="H66" s="595"/>
      <c r="I66" s="596"/>
      <c r="J66" s="121"/>
      <c r="K66" s="121"/>
      <c r="L66" s="121"/>
    </row>
    <row r="67" spans="1:12" ht="30" x14ac:dyDescent="0.2">
      <c r="A67" s="597" t="s">
        <v>79</v>
      </c>
      <c r="B67" s="609"/>
      <c r="C67" s="385"/>
      <c r="D67" s="386" t="str">
        <f t="shared" ref="D67:I67" si="8">D25</f>
        <v xml:space="preserve">Residential </v>
      </c>
      <c r="E67" s="386" t="str">
        <f t="shared" si="8"/>
        <v>GS&lt;50</v>
      </c>
      <c r="F67" s="386" t="str">
        <f t="shared" si="8"/>
        <v>GS&gt;50</v>
      </c>
      <c r="G67" s="386" t="str">
        <f t="shared" si="8"/>
        <v>Large User</v>
      </c>
      <c r="H67" s="386" t="str">
        <f t="shared" si="8"/>
        <v>Street Lighting</v>
      </c>
      <c r="I67" s="386" t="str">
        <f t="shared" si="8"/>
        <v>USL</v>
      </c>
      <c r="J67" s="232"/>
      <c r="L67"/>
    </row>
    <row r="68" spans="1:12" ht="15" x14ac:dyDescent="0.2">
      <c r="A68" s="594" t="s">
        <v>206</v>
      </c>
      <c r="B68" s="595"/>
      <c r="C68" s="595"/>
      <c r="D68" s="595"/>
      <c r="E68" s="595"/>
      <c r="F68" s="595"/>
      <c r="G68" s="595"/>
      <c r="H68" s="595"/>
      <c r="I68" s="596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9">D28/D48*1000000</f>
        <v>8319</v>
      </c>
      <c r="E70" s="395">
        <f t="shared" si="9"/>
        <v>31462.000000000004</v>
      </c>
      <c r="F70" s="395">
        <f t="shared" si="9"/>
        <v>881407.28414755734</v>
      </c>
      <c r="G70" s="395">
        <f t="shared" si="9"/>
        <v>35841302</v>
      </c>
      <c r="H70" s="395">
        <f t="shared" si="9"/>
        <v>10529.795583596215</v>
      </c>
      <c r="I70" s="395">
        <f t="shared" si="9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0">A8</f>
        <v xml:space="preserve">2000 Actual </v>
      </c>
      <c r="B72" s="306"/>
      <c r="C72" s="142"/>
      <c r="D72" s="81">
        <f t="shared" ref="D72:I86" si="11">D30/D50*1000000</f>
        <v>8814.4659454876582</v>
      </c>
      <c r="E72" s="81">
        <f t="shared" si="11"/>
        <v>33004.454218081861</v>
      </c>
      <c r="F72" s="81">
        <f t="shared" si="11"/>
        <v>815112.49273959338</v>
      </c>
      <c r="G72" s="81">
        <f t="shared" si="11"/>
        <v>62695621.666666664</v>
      </c>
      <c r="H72" s="81">
        <f t="shared" si="11"/>
        <v>10208.93862758823</v>
      </c>
      <c r="I72" s="81">
        <f t="shared" si="11"/>
        <v>5880.6303733333334</v>
      </c>
      <c r="J72" s="233"/>
    </row>
    <row r="73" spans="1:12" ht="15" x14ac:dyDescent="0.2">
      <c r="A73" s="298" t="str">
        <f t="shared" si="10"/>
        <v xml:space="preserve">2001 Actual </v>
      </c>
      <c r="B73" s="306"/>
      <c r="C73" s="142"/>
      <c r="D73" s="81">
        <f t="shared" si="11"/>
        <v>8413.6553419202282</v>
      </c>
      <c r="E73" s="81">
        <f t="shared" si="11"/>
        <v>29601.438045066992</v>
      </c>
      <c r="F73" s="81">
        <f t="shared" si="11"/>
        <v>852902.01062801946</v>
      </c>
      <c r="G73" s="81">
        <f t="shared" si="11"/>
        <v>57268001.25</v>
      </c>
      <c r="H73" s="81">
        <f t="shared" si="11"/>
        <v>10132.923910879041</v>
      </c>
      <c r="I73" s="81">
        <f t="shared" si="11"/>
        <v>5290.4012266666668</v>
      </c>
      <c r="J73" s="233"/>
    </row>
    <row r="74" spans="1:12" x14ac:dyDescent="0.2">
      <c r="A74" s="298" t="str">
        <f t="shared" si="10"/>
        <v xml:space="preserve">2002 Actual </v>
      </c>
      <c r="B74" s="298"/>
      <c r="C74" s="95"/>
      <c r="D74" s="81">
        <f t="shared" si="11"/>
        <v>9275.8476318073172</v>
      </c>
      <c r="E74" s="81">
        <f t="shared" si="11"/>
        <v>33393.802995889782</v>
      </c>
      <c r="F74" s="81">
        <f t="shared" si="11"/>
        <v>808692.80149812729</v>
      </c>
      <c r="G74" s="81">
        <f t="shared" si="11"/>
        <v>64339798.5</v>
      </c>
      <c r="H74" s="81">
        <f t="shared" si="11"/>
        <v>8956.4452678474408</v>
      </c>
      <c r="I74" s="81">
        <f t="shared" si="11"/>
        <v>5852.0446013071896</v>
      </c>
      <c r="J74" s="233"/>
    </row>
    <row r="75" spans="1:12" x14ac:dyDescent="0.2">
      <c r="A75" s="298" t="str">
        <f t="shared" si="10"/>
        <v xml:space="preserve">2003 Actual </v>
      </c>
      <c r="B75" s="298"/>
      <c r="C75" s="95"/>
      <c r="D75" s="81">
        <f t="shared" si="11"/>
        <v>9036.5820486620159</v>
      </c>
      <c r="E75" s="81">
        <f t="shared" si="11"/>
        <v>33640.760008951213</v>
      </c>
      <c r="F75" s="81">
        <f t="shared" si="11"/>
        <v>833019.04734299518</v>
      </c>
      <c r="G75" s="81">
        <f t="shared" si="11"/>
        <v>63268131.75</v>
      </c>
      <c r="H75" s="81">
        <f t="shared" si="11"/>
        <v>10552.725266903915</v>
      </c>
      <c r="I75" s="81">
        <f t="shared" si="11"/>
        <v>6015.5799477124183</v>
      </c>
      <c r="J75" s="233"/>
    </row>
    <row r="76" spans="1:12" x14ac:dyDescent="0.2">
      <c r="A76" s="298" t="str">
        <f t="shared" si="10"/>
        <v xml:space="preserve">2004 Actual </v>
      </c>
      <c r="B76" s="298"/>
      <c r="C76" s="95"/>
      <c r="D76" s="81">
        <f t="shared" si="11"/>
        <v>8549.5855629997841</v>
      </c>
      <c r="E76" s="81">
        <f t="shared" si="11"/>
        <v>32039.489958920192</v>
      </c>
      <c r="F76" s="81">
        <f t="shared" si="11"/>
        <v>833183.23913043481</v>
      </c>
      <c r="G76" s="81">
        <f t="shared" si="11"/>
        <v>58684490.75</v>
      </c>
      <c r="H76" s="81">
        <f t="shared" si="11"/>
        <v>10030.837675350702</v>
      </c>
      <c r="I76" s="81">
        <f t="shared" si="11"/>
        <v>5421.8472506082735</v>
      </c>
      <c r="J76" s="233"/>
    </row>
    <row r="77" spans="1:12" x14ac:dyDescent="0.2">
      <c r="A77" s="298" t="str">
        <f t="shared" si="10"/>
        <v xml:space="preserve">2005 Actual </v>
      </c>
      <c r="B77" s="298"/>
      <c r="C77" s="95"/>
      <c r="D77" s="81">
        <f t="shared" si="11"/>
        <v>8958.948622184922</v>
      </c>
      <c r="E77" s="81">
        <f t="shared" si="11"/>
        <v>33198.624251012145</v>
      </c>
      <c r="F77" s="81">
        <f t="shared" si="11"/>
        <v>853252.41597028787</v>
      </c>
      <c r="G77" s="81">
        <f t="shared" si="11"/>
        <v>58014601</v>
      </c>
      <c r="H77" s="81">
        <f t="shared" si="11"/>
        <v>9952.9281476598553</v>
      </c>
      <c r="I77" s="81">
        <f t="shared" si="11"/>
        <v>5806.3800247831468</v>
      </c>
      <c r="J77" s="233"/>
    </row>
    <row r="78" spans="1:12" x14ac:dyDescent="0.2">
      <c r="A78" s="298" t="str">
        <f t="shared" si="10"/>
        <v xml:space="preserve">2006 Actual </v>
      </c>
      <c r="B78" s="298"/>
      <c r="C78" s="95"/>
      <c r="D78" s="81">
        <f t="shared" si="11"/>
        <v>8566.3567370241271</v>
      </c>
      <c r="E78" s="81">
        <f t="shared" si="11"/>
        <v>32788.765640516387</v>
      </c>
      <c r="F78" s="81">
        <f t="shared" si="11"/>
        <v>842714.21057786478</v>
      </c>
      <c r="G78" s="81">
        <f t="shared" si="11"/>
        <v>45493949.75</v>
      </c>
      <c r="H78" s="81">
        <f t="shared" si="11"/>
        <v>9974.3783431180691</v>
      </c>
      <c r="I78" s="81">
        <f t="shared" si="11"/>
        <v>5865.0842627013626</v>
      </c>
      <c r="J78" s="233"/>
    </row>
    <row r="79" spans="1:12" x14ac:dyDescent="0.2">
      <c r="A79" s="298" t="str">
        <f t="shared" si="10"/>
        <v xml:space="preserve">2007 Actual </v>
      </c>
      <c r="B79" s="298"/>
      <c r="C79" s="95"/>
      <c r="D79" s="81">
        <f t="shared" si="11"/>
        <v>8596.5004167114748</v>
      </c>
      <c r="E79" s="81">
        <f t="shared" si="11"/>
        <v>32465.357738260627</v>
      </c>
      <c r="F79" s="81">
        <f t="shared" si="11"/>
        <v>862481.7970149254</v>
      </c>
      <c r="G79" s="81">
        <f t="shared" si="11"/>
        <v>39420194.25</v>
      </c>
      <c r="H79" s="81">
        <f t="shared" si="11"/>
        <v>10204.524622455679</v>
      </c>
      <c r="I79" s="81">
        <f t="shared" si="11"/>
        <v>6084.8141809290955</v>
      </c>
      <c r="J79" s="233"/>
    </row>
    <row r="80" spans="1:12" x14ac:dyDescent="0.2">
      <c r="A80" s="298" t="str">
        <f t="shared" si="10"/>
        <v xml:space="preserve">2008 Actual </v>
      </c>
      <c r="B80" s="298"/>
      <c r="C80" s="95"/>
      <c r="D80" s="81">
        <f t="shared" si="11"/>
        <v>8491.4811087480575</v>
      </c>
      <c r="E80" s="81">
        <f t="shared" si="11"/>
        <v>32135.830417875863</v>
      </c>
      <c r="F80" s="81">
        <f t="shared" si="11"/>
        <v>826307.69334428932</v>
      </c>
      <c r="G80" s="81">
        <f t="shared" si="11"/>
        <v>36732194.25</v>
      </c>
      <c r="H80" s="81">
        <f t="shared" si="11"/>
        <v>11524.052753115418</v>
      </c>
      <c r="I80" s="81">
        <f t="shared" si="11"/>
        <v>4009.490243902439</v>
      </c>
      <c r="J80" s="233"/>
    </row>
    <row r="81" spans="1:11" x14ac:dyDescent="0.2">
      <c r="A81" s="298" t="str">
        <f t="shared" si="10"/>
        <v>2009 Actual</v>
      </c>
      <c r="B81" s="298"/>
      <c r="C81" s="95"/>
      <c r="D81" s="81">
        <f t="shared" si="11"/>
        <v>8220.6849896509721</v>
      </c>
      <c r="E81" s="81">
        <f t="shared" si="11"/>
        <v>31283.907466871693</v>
      </c>
      <c r="F81" s="81">
        <f t="shared" si="11"/>
        <v>816903.56049423665</v>
      </c>
      <c r="G81" s="81">
        <f t="shared" si="11"/>
        <v>26607461.666666664</v>
      </c>
      <c r="H81" s="81">
        <f t="shared" si="11"/>
        <v>10264.934880722114</v>
      </c>
      <c r="I81" s="81">
        <f t="shared" si="11"/>
        <v>4033.5385556915539</v>
      </c>
      <c r="J81" s="233"/>
    </row>
    <row r="82" spans="1:11" s="97" customFormat="1" x14ac:dyDescent="0.2">
      <c r="A82" s="298" t="str">
        <f t="shared" si="10"/>
        <v xml:space="preserve">2010 Actual </v>
      </c>
      <c r="B82" s="298"/>
      <c r="C82" s="95"/>
      <c r="D82" s="81">
        <f t="shared" si="11"/>
        <v>8394.8683530612179</v>
      </c>
      <c r="E82" s="81">
        <f t="shared" si="11"/>
        <v>31701.012050888996</v>
      </c>
      <c r="F82" s="81">
        <f t="shared" si="11"/>
        <v>886712.54470380046</v>
      </c>
      <c r="G82" s="81">
        <f t="shared" si="11"/>
        <v>34922719.5</v>
      </c>
      <c r="H82" s="81">
        <f t="shared" si="11"/>
        <v>10185.89957698752</v>
      </c>
      <c r="I82" s="81">
        <f t="shared" si="11"/>
        <v>4030.8742293464857</v>
      </c>
      <c r="J82" s="233"/>
    </row>
    <row r="83" spans="1:11" s="86" customFormat="1" ht="15" x14ac:dyDescent="0.25">
      <c r="A83" s="298" t="str">
        <f t="shared" si="10"/>
        <v xml:space="preserve">2011 Actual </v>
      </c>
      <c r="B83" s="298"/>
      <c r="C83" s="76"/>
      <c r="D83" s="81">
        <f t="shared" si="11"/>
        <v>8218.2833001104609</v>
      </c>
      <c r="E83" s="81">
        <f t="shared" si="11"/>
        <v>31859.315866277528</v>
      </c>
      <c r="F83" s="81">
        <f t="shared" si="11"/>
        <v>893593.8953846154</v>
      </c>
      <c r="G83" s="81">
        <f t="shared" si="11"/>
        <v>28007634.5</v>
      </c>
      <c r="H83" s="81">
        <f t="shared" si="11"/>
        <v>10115.363385073357</v>
      </c>
      <c r="I83" s="81">
        <f t="shared" si="11"/>
        <v>3946.2342449464918</v>
      </c>
      <c r="J83" s="233"/>
    </row>
    <row r="84" spans="1:11" s="86" customFormat="1" ht="15" x14ac:dyDescent="0.25">
      <c r="A84" s="298" t="str">
        <f t="shared" si="10"/>
        <v>2012 Actual</v>
      </c>
      <c r="B84" s="298"/>
      <c r="C84" s="223"/>
      <c r="D84" s="81">
        <f t="shared" si="11"/>
        <v>8056.1433553758279</v>
      </c>
      <c r="E84" s="81">
        <f t="shared" si="11"/>
        <v>31520.139082664809</v>
      </c>
      <c r="F84" s="81">
        <f t="shared" si="11"/>
        <v>893372.57577878889</v>
      </c>
      <c r="G84" s="81">
        <f t="shared" si="11"/>
        <v>34678188</v>
      </c>
      <c r="H84" s="81">
        <f t="shared" si="11"/>
        <v>10132.995647400958</v>
      </c>
      <c r="I84" s="81">
        <f t="shared" si="11"/>
        <v>4254.9179856115115</v>
      </c>
      <c r="J84" s="233"/>
    </row>
    <row r="85" spans="1:11" s="86" customFormat="1" ht="15" x14ac:dyDescent="0.25">
      <c r="A85" s="306" t="str">
        <f t="shared" si="10"/>
        <v>2013 Bridge</v>
      </c>
      <c r="B85" s="306"/>
      <c r="C85" s="76"/>
      <c r="D85" s="89">
        <f t="shared" si="11"/>
        <v>7883.824104989324</v>
      </c>
      <c r="E85" s="89">
        <f t="shared" si="11"/>
        <v>30847.757120023787</v>
      </c>
      <c r="F85" s="89">
        <f t="shared" si="11"/>
        <v>886537.22080391634</v>
      </c>
      <c r="G85" s="89">
        <f t="shared" si="11"/>
        <v>33008414.327518649</v>
      </c>
      <c r="H85" s="89">
        <f t="shared" si="11"/>
        <v>10133.002168928137</v>
      </c>
      <c r="I85" s="89">
        <f t="shared" si="11"/>
        <v>4107.3584019596638</v>
      </c>
      <c r="J85" s="234"/>
    </row>
    <row r="86" spans="1:11" s="86" customFormat="1" ht="15" x14ac:dyDescent="0.25">
      <c r="A86" s="306" t="str">
        <f t="shared" si="10"/>
        <v>2014 Test</v>
      </c>
      <c r="B86" s="306"/>
      <c r="C86" s="223"/>
      <c r="D86" s="89">
        <f t="shared" si="11"/>
        <v>7844.4211555553384</v>
      </c>
      <c r="E86" s="89">
        <f t="shared" si="11"/>
        <v>30678.427028033966</v>
      </c>
      <c r="F86" s="89">
        <f t="shared" si="11"/>
        <v>890564.2372707742</v>
      </c>
      <c r="G86" s="89">
        <f t="shared" si="11"/>
        <v>31798990.292463161</v>
      </c>
      <c r="H86" s="89">
        <f t="shared" si="11"/>
        <v>10133.00869045951</v>
      </c>
      <c r="I86" s="89">
        <f t="shared" si="11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207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157</v>
      </c>
      <c r="B90" s="310"/>
      <c r="C90" s="224"/>
      <c r="D90" s="383">
        <f t="shared" ref="D90:I90" si="12">D70/D81-1</f>
        <v>1.1959466938922692E-2</v>
      </c>
      <c r="E90" s="383">
        <f t="shared" si="12"/>
        <v>5.6927841676077673E-3</v>
      </c>
      <c r="F90" s="383">
        <f t="shared" si="12"/>
        <v>7.8961246801636076E-2</v>
      </c>
      <c r="G90" s="383">
        <f t="shared" si="12"/>
        <v>0.34703950527161043</v>
      </c>
      <c r="H90" s="383">
        <f t="shared" si="12"/>
        <v>2.580247278251302E-2</v>
      </c>
      <c r="I90" s="396">
        <f t="shared" si="12"/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3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3"/>
        <v xml:space="preserve">2001 Actual </v>
      </c>
      <c r="B93" s="310"/>
      <c r="C93" s="88"/>
      <c r="D93" s="383">
        <f t="shared" ref="D93:G102" si="14">D73/D72-1</f>
        <v>-4.5471910158393025E-2</v>
      </c>
      <c r="E93" s="383">
        <f t="shared" si="14"/>
        <v>-0.10310778510466889</v>
      </c>
      <c r="F93" s="383">
        <f t="shared" si="14"/>
        <v>4.6361107485195729E-2</v>
      </c>
      <c r="G93" s="383">
        <f t="shared" si="14"/>
        <v>-8.6570964165945341E-2</v>
      </c>
      <c r="H93" s="383">
        <f t="shared" ref="H93:I104" si="15">H73/H72-1</f>
        <v>-7.4458980979442702E-3</v>
      </c>
      <c r="I93" s="396">
        <f t="shared" si="15"/>
        <v>-0.10036834645196469</v>
      </c>
      <c r="J93" s="82"/>
    </row>
    <row r="94" spans="1:11" x14ac:dyDescent="0.2">
      <c r="A94" s="312" t="str">
        <f t="shared" si="13"/>
        <v xml:space="preserve">2002 Actual </v>
      </c>
      <c r="B94" s="312"/>
      <c r="C94" s="104"/>
      <c r="D94" s="383">
        <f t="shared" si="14"/>
        <v>0.10247535165735866</v>
      </c>
      <c r="E94" s="383">
        <f t="shared" si="14"/>
        <v>0.12811421340574958</v>
      </c>
      <c r="F94" s="383">
        <f t="shared" si="14"/>
        <v>-5.1833866703326792E-2</v>
      </c>
      <c r="G94" s="383">
        <f t="shared" si="14"/>
        <v>0.12348601480132859</v>
      </c>
      <c r="H94" s="383">
        <f t="shared" si="15"/>
        <v>-0.11610455712279588</v>
      </c>
      <c r="I94" s="396">
        <f t="shared" si="15"/>
        <v>0.10616271820925727</v>
      </c>
      <c r="J94" s="82"/>
    </row>
    <row r="95" spans="1:11" x14ac:dyDescent="0.2">
      <c r="A95" s="312" t="str">
        <f t="shared" si="13"/>
        <v xml:space="preserve">2003 Actual </v>
      </c>
      <c r="B95" s="312"/>
      <c r="C95" s="104"/>
      <c r="D95" s="383">
        <f t="shared" si="14"/>
        <v>-2.5794471043794287E-2</v>
      </c>
      <c r="E95" s="383">
        <f t="shared" si="14"/>
        <v>7.3952946626603122E-3</v>
      </c>
      <c r="F95" s="383">
        <f t="shared" si="14"/>
        <v>3.0080947672345815E-2</v>
      </c>
      <c r="G95" s="383">
        <f t="shared" si="14"/>
        <v>-1.6656358505692248E-2</v>
      </c>
      <c r="H95" s="383">
        <f t="shared" si="15"/>
        <v>0.1782269584995877</v>
      </c>
      <c r="I95" s="396">
        <f t="shared" si="15"/>
        <v>2.7944993168490084E-2</v>
      </c>
      <c r="J95" s="82"/>
    </row>
    <row r="96" spans="1:11" x14ac:dyDescent="0.2">
      <c r="A96" s="312" t="str">
        <f t="shared" si="13"/>
        <v xml:space="preserve">2004 Actual </v>
      </c>
      <c r="B96" s="312"/>
      <c r="C96" s="104"/>
      <c r="D96" s="383">
        <f t="shared" si="14"/>
        <v>-5.389166866850259E-2</v>
      </c>
      <c r="E96" s="383">
        <f t="shared" si="14"/>
        <v>-4.7599104467465958E-2</v>
      </c>
      <c r="F96" s="383">
        <f t="shared" si="14"/>
        <v>1.9710448154008908E-4</v>
      </c>
      <c r="G96" s="383">
        <f t="shared" si="14"/>
        <v>-7.2447863927956102E-2</v>
      </c>
      <c r="H96" s="383">
        <f t="shared" si="15"/>
        <v>-4.9455242920991127E-2</v>
      </c>
      <c r="I96" s="396">
        <f t="shared" si="15"/>
        <v>-9.8699161554643977E-2</v>
      </c>
      <c r="J96" s="82"/>
    </row>
    <row r="97" spans="1:17" x14ac:dyDescent="0.2">
      <c r="A97" s="312" t="str">
        <f t="shared" si="13"/>
        <v xml:space="preserve">2005 Actual </v>
      </c>
      <c r="B97" s="312"/>
      <c r="C97" s="104"/>
      <c r="D97" s="383">
        <f t="shared" si="14"/>
        <v>4.788104127020465E-2</v>
      </c>
      <c r="E97" s="383">
        <f t="shared" si="14"/>
        <v>3.6178300390491636E-2</v>
      </c>
      <c r="F97" s="383">
        <f t="shared" si="14"/>
        <v>2.4087350653859252E-2</v>
      </c>
      <c r="G97" s="383">
        <f t="shared" si="14"/>
        <v>-1.1415107150776427E-2</v>
      </c>
      <c r="H97" s="383">
        <f t="shared" si="15"/>
        <v>-7.7670011431146824E-3</v>
      </c>
      <c r="I97" s="396">
        <f t="shared" si="15"/>
        <v>7.0922834303702054E-2</v>
      </c>
      <c r="J97" s="82"/>
    </row>
    <row r="98" spans="1:17" x14ac:dyDescent="0.2">
      <c r="A98" s="312" t="str">
        <f t="shared" si="13"/>
        <v xml:space="preserve">2006 Actual </v>
      </c>
      <c r="B98" s="312"/>
      <c r="C98" s="104"/>
      <c r="D98" s="383">
        <f t="shared" si="14"/>
        <v>-4.3821200647208181E-2</v>
      </c>
      <c r="E98" s="383">
        <f t="shared" si="14"/>
        <v>-1.2345650452164847E-2</v>
      </c>
      <c r="F98" s="383">
        <f t="shared" si="14"/>
        <v>-1.2350630593221834E-2</v>
      </c>
      <c r="G98" s="383">
        <f t="shared" si="14"/>
        <v>-0.21581896684939705</v>
      </c>
      <c r="H98" s="383">
        <f t="shared" si="15"/>
        <v>2.155164303407231E-3</v>
      </c>
      <c r="I98" s="396">
        <f t="shared" si="15"/>
        <v>1.0110298958671438E-2</v>
      </c>
      <c r="J98" s="82"/>
    </row>
    <row r="99" spans="1:17" x14ac:dyDescent="0.2">
      <c r="A99" s="312" t="str">
        <f t="shared" si="13"/>
        <v xml:space="preserve">2007 Actual </v>
      </c>
      <c r="B99" s="312"/>
      <c r="C99" s="104"/>
      <c r="D99" s="383">
        <f t="shared" si="14"/>
        <v>3.5188447799594513E-3</v>
      </c>
      <c r="E99" s="383">
        <f t="shared" si="14"/>
        <v>-9.8633753341459407E-3</v>
      </c>
      <c r="F99" s="383">
        <f t="shared" si="14"/>
        <v>2.345704651581193E-2</v>
      </c>
      <c r="G99" s="383">
        <f t="shared" si="14"/>
        <v>-0.13350688461601423</v>
      </c>
      <c r="H99" s="383">
        <f t="shared" si="15"/>
        <v>2.3073746695843278E-2</v>
      </c>
      <c r="I99" s="396">
        <f t="shared" si="15"/>
        <v>3.7464068440600462E-2</v>
      </c>
      <c r="J99" s="82"/>
    </row>
    <row r="100" spans="1:17" x14ac:dyDescent="0.2">
      <c r="A100" s="312" t="str">
        <f t="shared" si="13"/>
        <v xml:space="preserve">2008 Actual </v>
      </c>
      <c r="B100" s="312"/>
      <c r="C100" s="104"/>
      <c r="D100" s="383">
        <f t="shared" si="14"/>
        <v>-1.2216518684657007E-2</v>
      </c>
      <c r="E100" s="383">
        <f t="shared" si="14"/>
        <v>-1.0150121339843277E-2</v>
      </c>
      <c r="F100" s="383">
        <f t="shared" si="14"/>
        <v>-4.1941874942561963E-2</v>
      </c>
      <c r="G100" s="383">
        <f t="shared" si="14"/>
        <v>-6.818840066979126E-2</v>
      </c>
      <c r="H100" s="383">
        <f t="shared" si="15"/>
        <v>0.12930814315015104</v>
      </c>
      <c r="I100" s="396">
        <f t="shared" si="15"/>
        <v>-0.34106611563112244</v>
      </c>
      <c r="J100" s="82"/>
    </row>
    <row r="101" spans="1:17" s="86" customFormat="1" ht="15" x14ac:dyDescent="0.25">
      <c r="A101" s="312" t="str">
        <f t="shared" si="13"/>
        <v>2009 Actual</v>
      </c>
      <c r="B101" s="312"/>
      <c r="C101" s="105"/>
      <c r="D101" s="383">
        <f t="shared" si="14"/>
        <v>-3.1890328157016978E-2</v>
      </c>
      <c r="E101" s="383">
        <f t="shared" si="14"/>
        <v>-2.6510064931456689E-2</v>
      </c>
      <c r="F101" s="383">
        <f t="shared" si="14"/>
        <v>-1.1380909225220504E-2</v>
      </c>
      <c r="G101" s="383">
        <f t="shared" si="14"/>
        <v>-0.27563647612294051</v>
      </c>
      <c r="H101" s="383">
        <f t="shared" si="15"/>
        <v>-0.1092599885967126</v>
      </c>
      <c r="I101" s="396">
        <f t="shared" si="15"/>
        <v>5.9978476879167797E-3</v>
      </c>
      <c r="J101" s="82"/>
    </row>
    <row r="102" spans="1:17" s="86" customFormat="1" ht="15" x14ac:dyDescent="0.25">
      <c r="A102" s="312" t="str">
        <f t="shared" si="13"/>
        <v xml:space="preserve">2010 Actual </v>
      </c>
      <c r="B102" s="310"/>
      <c r="C102" s="105"/>
      <c r="D102" s="383">
        <f t="shared" si="14"/>
        <v>2.1188424520526716E-2</v>
      </c>
      <c r="E102" s="383">
        <f t="shared" si="14"/>
        <v>1.3332879994578661E-2</v>
      </c>
      <c r="F102" s="383">
        <f t="shared" si="14"/>
        <v>8.5455600373841589E-2</v>
      </c>
      <c r="G102" s="383">
        <f t="shared" si="14"/>
        <v>0.31251601289538034</v>
      </c>
      <c r="H102" s="383">
        <f t="shared" si="15"/>
        <v>-7.6995426325621175E-3</v>
      </c>
      <c r="I102" s="396">
        <f t="shared" si="15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3"/>
        <v xml:space="preserve">2011 Actual </v>
      </c>
      <c r="B103" s="310"/>
      <c r="C103" s="105"/>
      <c r="D103" s="383">
        <f t="shared" ref="D103:G104" si="16">D83/D82-1</f>
        <v>-2.1034880539414824E-2</v>
      </c>
      <c r="E103" s="383">
        <f t="shared" si="16"/>
        <v>4.9936517841893124E-3</v>
      </c>
      <c r="F103" s="383">
        <f t="shared" si="16"/>
        <v>7.760520274485927E-3</v>
      </c>
      <c r="G103" s="383">
        <f t="shared" si="16"/>
        <v>-0.19801106841063743</v>
      </c>
      <c r="H103" s="383">
        <f t="shared" si="15"/>
        <v>-6.9248858562793725E-3</v>
      </c>
      <c r="I103" s="396">
        <f t="shared" si="15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3"/>
        <v>2012 Actual</v>
      </c>
      <c r="B104" s="310"/>
      <c r="C104" s="224"/>
      <c r="D104" s="383">
        <f t="shared" si="16"/>
        <v>-1.9729174428977592E-2</v>
      </c>
      <c r="E104" s="383">
        <f t="shared" si="16"/>
        <v>-1.0646078686571192E-2</v>
      </c>
      <c r="F104" s="383">
        <f t="shared" si="16"/>
        <v>-2.4767358748711832E-4</v>
      </c>
      <c r="G104" s="383">
        <f t="shared" si="16"/>
        <v>0.23816911421062703</v>
      </c>
      <c r="H104" s="383">
        <f t="shared" si="15"/>
        <v>1.7431170444770494E-3</v>
      </c>
      <c r="I104" s="396">
        <f t="shared" si="15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3"/>
        <v>2013 Bridge</v>
      </c>
      <c r="B105" s="310"/>
      <c r="C105" s="105"/>
      <c r="D105" s="384">
        <f t="shared" ref="D105:I105" si="17">D85/D84-1</f>
        <v>-2.1389794444449106E-2</v>
      </c>
      <c r="E105" s="384">
        <f t="shared" si="17"/>
        <v>-2.1331820931298262E-2</v>
      </c>
      <c r="F105" s="384">
        <f t="shared" si="17"/>
        <v>-7.6511806610068955E-3</v>
      </c>
      <c r="G105" s="384">
        <f t="shared" si="17"/>
        <v>-4.8150545596019945E-2</v>
      </c>
      <c r="H105" s="384">
        <f t="shared" si="17"/>
        <v>6.4359320828266675E-7</v>
      </c>
      <c r="I105" s="399">
        <f t="shared" si="17"/>
        <v>-3.4679771537509563E-2</v>
      </c>
      <c r="J105" s="90"/>
    </row>
    <row r="106" spans="1:17" s="86" customFormat="1" ht="15" x14ac:dyDescent="0.25">
      <c r="A106" s="310" t="str">
        <f t="shared" si="13"/>
        <v>2014 Test</v>
      </c>
      <c r="B106" s="310"/>
      <c r="C106" s="105"/>
      <c r="D106" s="384">
        <f t="shared" ref="D106:I106" si="18">D86/D85-1</f>
        <v>-4.997948826515497E-3</v>
      </c>
      <c r="E106" s="384">
        <f t="shared" si="18"/>
        <v>-5.4892189189309493E-3</v>
      </c>
      <c r="F106" s="384">
        <f t="shared" si="18"/>
        <v>4.5424110486935732E-3</v>
      </c>
      <c r="G106" s="384">
        <f t="shared" si="18"/>
        <v>-3.6639870763110483E-2</v>
      </c>
      <c r="H106" s="384">
        <f t="shared" si="18"/>
        <v>6.4359320806062215E-7</v>
      </c>
      <c r="I106" s="399">
        <f t="shared" si="18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591" t="s">
        <v>302</v>
      </c>
      <c r="E108" s="592"/>
      <c r="F108" s="592"/>
      <c r="G108" s="592"/>
      <c r="H108" s="593"/>
      <c r="J108" s="83"/>
    </row>
    <row r="109" spans="1:17" x14ac:dyDescent="0.2">
      <c r="D109" s="611" t="s">
        <v>301</v>
      </c>
      <c r="E109" s="612"/>
      <c r="F109" s="612"/>
      <c r="G109" s="612"/>
      <c r="H109" s="613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611" t="s">
        <v>88</v>
      </c>
      <c r="E114" s="616"/>
      <c r="F114" s="616"/>
      <c r="G114" s="616"/>
      <c r="H114" s="617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A118" s="119"/>
      <c r="B118" s="119"/>
      <c r="C118" s="119"/>
      <c r="D118" s="56"/>
      <c r="E118" s="56"/>
      <c r="F118" s="56"/>
      <c r="G118" s="56"/>
      <c r="H118" s="56"/>
      <c r="L118"/>
    </row>
    <row r="119" spans="1:12" ht="15" x14ac:dyDescent="0.2">
      <c r="A119" s="589" t="s">
        <v>201</v>
      </c>
      <c r="B119" s="589"/>
      <c r="C119" s="589"/>
      <c r="D119" s="589"/>
      <c r="E119" s="589"/>
      <c r="L119"/>
    </row>
    <row r="120" spans="1:12" ht="15" x14ac:dyDescent="0.2">
      <c r="A120" s="614" t="s">
        <v>89</v>
      </c>
      <c r="B120" s="614"/>
      <c r="C120" s="614"/>
      <c r="D120" s="614"/>
      <c r="E120" s="236" t="s">
        <v>90</v>
      </c>
      <c r="K120" s="91"/>
    </row>
    <row r="121" spans="1:12" x14ac:dyDescent="0.2">
      <c r="A121" s="615" t="s">
        <v>17</v>
      </c>
      <c r="B121" s="615"/>
      <c r="C121" s="615"/>
      <c r="D121" s="615"/>
      <c r="E121" s="110">
        <f>'Purchased Power Model '!R6</f>
        <v>0.89425105826991758</v>
      </c>
      <c r="K121"/>
    </row>
    <row r="122" spans="1:12" x14ac:dyDescent="0.2">
      <c r="A122" s="615" t="s">
        <v>18</v>
      </c>
      <c r="B122" s="615"/>
      <c r="C122" s="615"/>
      <c r="D122" s="615"/>
      <c r="E122" s="110">
        <f>'Purchased Power Model '!R7</f>
        <v>0.88902171499755078</v>
      </c>
      <c r="K122"/>
    </row>
    <row r="123" spans="1:12" x14ac:dyDescent="0.2">
      <c r="A123" s="615" t="s">
        <v>91</v>
      </c>
      <c r="B123" s="615"/>
      <c r="C123" s="615"/>
      <c r="D123" s="615"/>
      <c r="E123" s="111">
        <f>'Purchased Power Model '!U13</f>
        <v>171.00637913662811</v>
      </c>
      <c r="K123"/>
    </row>
    <row r="124" spans="1:12" x14ac:dyDescent="0.2">
      <c r="A124" s="615" t="s">
        <v>92</v>
      </c>
      <c r="B124" s="615"/>
      <c r="C124" s="615"/>
      <c r="D124" s="615"/>
      <c r="E124" s="111"/>
      <c r="K124"/>
    </row>
    <row r="125" spans="1:12" x14ac:dyDescent="0.2">
      <c r="A125" s="601" t="str">
        <f>'Purchased Power Model '!Q19</f>
        <v>Heating Degree Days</v>
      </c>
      <c r="B125" s="602"/>
      <c r="C125" s="602"/>
      <c r="D125" s="603"/>
      <c r="E125" s="112">
        <f>'Purchased Power Model '!T19</f>
        <v>23.045668321533118</v>
      </c>
      <c r="K125"/>
    </row>
    <row r="126" spans="1:12" x14ac:dyDescent="0.2">
      <c r="A126" s="601" t="str">
        <f>'Purchased Power Model '!Q20</f>
        <v>Cooling Degree Days</v>
      </c>
      <c r="B126" s="602"/>
      <c r="C126" s="602"/>
      <c r="D126" s="603"/>
      <c r="E126" s="112">
        <f>'Purchased Power Model '!T20</f>
        <v>17.237508194922398</v>
      </c>
      <c r="K126"/>
    </row>
    <row r="127" spans="1:12" x14ac:dyDescent="0.2">
      <c r="A127" s="601" t="str">
        <f>'Purchased Power Model '!Q21</f>
        <v>Ontario Real GDP Monthly %</v>
      </c>
      <c r="B127" s="602"/>
      <c r="C127" s="602"/>
      <c r="D127" s="603"/>
      <c r="E127" s="112">
        <f>'Purchased Power Model '!T21</f>
        <v>2.1396770863831547</v>
      </c>
      <c r="K127"/>
    </row>
    <row r="128" spans="1:12" x14ac:dyDescent="0.2">
      <c r="A128" s="601" t="str">
        <f>'Purchased Power Model '!Q22</f>
        <v>Number of Days in Month</v>
      </c>
      <c r="B128" s="602"/>
      <c r="C128" s="602"/>
      <c r="D128" s="603"/>
      <c r="E128" s="112">
        <f>'Purchased Power Model '!T22</f>
        <v>9.0520620059612504</v>
      </c>
      <c r="K128"/>
    </row>
    <row r="129" spans="1:11" ht="14.25" customHeight="1" x14ac:dyDescent="0.2">
      <c r="A129" s="601" t="str">
        <f>'Purchased Power Model '!Q23</f>
        <v>Spring Fall Flag</v>
      </c>
      <c r="B129" s="602"/>
      <c r="C129" s="602"/>
      <c r="D129" s="603"/>
      <c r="E129" s="112">
        <f>'Purchased Power Model '!T23</f>
        <v>-5.6565340530415966</v>
      </c>
    </row>
    <row r="130" spans="1:11" x14ac:dyDescent="0.2">
      <c r="A130" s="601" t="str">
        <f>'Purchased Power Model '!Q24</f>
        <v>CDM
 Activity</v>
      </c>
      <c r="B130" s="602"/>
      <c r="C130" s="602"/>
      <c r="D130" s="603"/>
      <c r="E130" s="112">
        <f>'Purchased Power Model '!T24</f>
        <v>-8.3446863796697333</v>
      </c>
    </row>
    <row r="131" spans="1:11" x14ac:dyDescent="0.2">
      <c r="A131" s="601" t="str">
        <f>'Purchased Power Model '!Q25</f>
        <v>Number of Peak Hours</v>
      </c>
      <c r="B131" s="602"/>
      <c r="C131" s="602"/>
      <c r="D131" s="603"/>
      <c r="E131" s="112">
        <f>'Purchased Power Model '!T25</f>
        <v>4.0101086899778924</v>
      </c>
    </row>
    <row r="132" spans="1:11" x14ac:dyDescent="0.2">
      <c r="A132" s="601" t="str">
        <f>'Purchased Power Model '!Q26</f>
        <v>Employment Kitchener-Waterloo-Barrie (000's)</v>
      </c>
      <c r="B132" s="602"/>
      <c r="C132" s="602"/>
      <c r="D132" s="603"/>
      <c r="E132" s="112">
        <f>'Purchased Power Model '!T26</f>
        <v>2.8517102008068127</v>
      </c>
    </row>
    <row r="133" spans="1:11" x14ac:dyDescent="0.2">
      <c r="A133" s="601" t="str">
        <f>'Purchased Power Model '!Q27</f>
        <v>Unemployment Kitchener-Waterloo-Barrie (000's)</v>
      </c>
      <c r="B133" s="602"/>
      <c r="C133" s="602"/>
      <c r="D133" s="603"/>
      <c r="E133" s="112">
        <f>'Purchased Power Model '!T27</f>
        <v>-3.0499959068623115</v>
      </c>
    </row>
    <row r="134" spans="1:11" x14ac:dyDescent="0.2">
      <c r="A134" s="632" t="str">
        <f>'Purchased Power Model '!Q18</f>
        <v>Intercept</v>
      </c>
      <c r="B134" s="632"/>
      <c r="C134" s="632"/>
      <c r="D134" s="632"/>
      <c r="E134" s="112">
        <f>'Purchased Power Model '!T18</f>
        <v>-3.1554958364563599</v>
      </c>
    </row>
    <row r="135" spans="1:11" x14ac:dyDescent="0.2">
      <c r="K135" s="91"/>
    </row>
    <row r="136" spans="1:11" ht="15" x14ac:dyDescent="0.2">
      <c r="A136" s="594" t="s">
        <v>115</v>
      </c>
      <c r="B136" s="595"/>
      <c r="C136" s="595"/>
      <c r="D136" s="595"/>
      <c r="E136" s="595"/>
      <c r="F136" s="596"/>
      <c r="K136" s="83"/>
    </row>
    <row r="137" spans="1:11" ht="15" x14ac:dyDescent="0.2">
      <c r="A137" s="597" t="s">
        <v>79</v>
      </c>
      <c r="B137" s="598"/>
      <c r="C137" s="412"/>
      <c r="D137" s="378" t="s">
        <v>93</v>
      </c>
      <c r="E137" s="378" t="s">
        <v>94</v>
      </c>
      <c r="F137" s="378" t="s">
        <v>9</v>
      </c>
      <c r="K137" s="83"/>
    </row>
    <row r="138" spans="1:11" ht="15" x14ac:dyDescent="0.2">
      <c r="A138" s="594" t="s">
        <v>270</v>
      </c>
      <c r="B138" s="595"/>
      <c r="C138" s="595"/>
      <c r="D138" s="595"/>
      <c r="E138" s="595"/>
      <c r="F138" s="596"/>
      <c r="K138" s="83"/>
    </row>
    <row r="139" spans="1:11" ht="15" customHeight="1" x14ac:dyDescent="0.2">
      <c r="A139" s="599">
        <v>1997</v>
      </c>
      <c r="B139" s="600"/>
      <c r="C139" s="73"/>
      <c r="D139" s="78">
        <f>'Purchased Power Model '!E222/1000000</f>
        <v>1835.0953099999999</v>
      </c>
      <c r="E139" s="78">
        <f>'Purchased Power Model '!K222/1000000</f>
        <v>1826.0496428521842</v>
      </c>
      <c r="F139" s="113">
        <f t="shared" ref="F139:F154" si="19">E139/D139-1</f>
        <v>-4.9292628554621354E-3</v>
      </c>
      <c r="G139"/>
      <c r="H139"/>
      <c r="I139"/>
      <c r="J139"/>
      <c r="K139"/>
    </row>
    <row r="140" spans="1:11" ht="15" customHeight="1" x14ac:dyDescent="0.2">
      <c r="A140" s="599">
        <v>1998</v>
      </c>
      <c r="B140" s="600"/>
      <c r="C140" s="73"/>
      <c r="D140" s="78">
        <f>'Purchased Power Model '!E223/1000000</f>
        <v>1835.3451239999999</v>
      </c>
      <c r="E140" s="78">
        <f>'Purchased Power Model '!K223/1000000</f>
        <v>1857.2965431168896</v>
      </c>
      <c r="F140" s="113">
        <f t="shared" si="19"/>
        <v>1.1960376732332634E-2</v>
      </c>
      <c r="K140" s="83"/>
    </row>
    <row r="141" spans="1:11" ht="15" customHeight="1" x14ac:dyDescent="0.2">
      <c r="A141" s="599">
        <v>1999</v>
      </c>
      <c r="B141" s="600"/>
      <c r="C141" s="73"/>
      <c r="D141" s="78">
        <f>'Purchased Power Model '!E224/1000000</f>
        <v>1899.849275</v>
      </c>
      <c r="E141" s="78">
        <f>'Purchased Power Model '!K224/1000000</f>
        <v>1923.8401635704618</v>
      </c>
      <c r="F141" s="113">
        <f t="shared" si="19"/>
        <v>1.2627785207045772E-2</v>
      </c>
      <c r="K141" s="83"/>
    </row>
    <row r="142" spans="1:11" ht="15" customHeight="1" x14ac:dyDescent="0.2">
      <c r="A142" s="599">
        <v>2000</v>
      </c>
      <c r="B142" s="600"/>
      <c r="C142" s="73"/>
      <c r="D142" s="78">
        <f>'Purchased Power Model '!E225/1000000</f>
        <v>1917.2873059999999</v>
      </c>
      <c r="E142" s="78">
        <f>'Purchased Power Model '!K225/1000000</f>
        <v>1917.4293735324929</v>
      </c>
      <c r="F142" s="113">
        <f t="shared" si="19"/>
        <v>7.4098196993332976E-5</v>
      </c>
      <c r="K142" s="83"/>
    </row>
    <row r="143" spans="1:11" ht="15" customHeight="1" x14ac:dyDescent="0.2">
      <c r="A143" s="599">
        <v>2001</v>
      </c>
      <c r="B143" s="600"/>
      <c r="C143" s="73"/>
      <c r="D143" s="78">
        <f>'Purchased Power Model '!E226/1000000</f>
        <v>1963.8665109999999</v>
      </c>
      <c r="E143" s="78">
        <f>'Purchased Power Model '!K226/1000000</f>
        <v>1953.6338404723128</v>
      </c>
      <c r="F143" s="113">
        <f t="shared" si="19"/>
        <v>-5.2104715215478548E-3</v>
      </c>
      <c r="K143" s="83"/>
    </row>
    <row r="144" spans="1:11" ht="15" customHeight="1" x14ac:dyDescent="0.2">
      <c r="A144" s="599">
        <v>2002</v>
      </c>
      <c r="B144" s="600"/>
      <c r="C144" s="77"/>
      <c r="D144" s="78">
        <f>'Purchased Power Model '!E227/1000000</f>
        <v>2036.9125200000001</v>
      </c>
      <c r="E144" s="78">
        <f>'Purchased Power Model '!K227/1000000</f>
        <v>1998.7749144968511</v>
      </c>
      <c r="F144" s="113">
        <f t="shared" si="19"/>
        <v>-1.8723241734087348E-2</v>
      </c>
      <c r="K144" s="83"/>
    </row>
    <row r="145" spans="1:12" ht="15" customHeight="1" x14ac:dyDescent="0.2">
      <c r="A145" s="599">
        <v>2003</v>
      </c>
      <c r="B145" s="600"/>
      <c r="C145" s="73"/>
      <c r="D145" s="78">
        <f>'Purchased Power Model '!E228/1000000</f>
        <v>2013.2033730000001</v>
      </c>
      <c r="E145" s="78">
        <f>'Purchased Power Model '!K228/1000000</f>
        <v>1988.9259983575248</v>
      </c>
      <c r="F145" s="113">
        <f t="shared" si="19"/>
        <v>-1.2059077074909719E-2</v>
      </c>
      <c r="K145" s="83"/>
    </row>
    <row r="146" spans="1:12" ht="15" customHeight="1" x14ac:dyDescent="0.2">
      <c r="A146" s="599">
        <v>2004</v>
      </c>
      <c r="B146" s="600"/>
      <c r="C146" s="77"/>
      <c r="D146" s="78">
        <f>'Purchased Power Model '!E229/1000000</f>
        <v>2009.748106</v>
      </c>
      <c r="E146" s="78">
        <f>'Purchased Power Model '!K229/1000000</f>
        <v>1996.0794997559519</v>
      </c>
      <c r="F146" s="113">
        <f t="shared" si="19"/>
        <v>-6.8011539372726526E-3</v>
      </c>
      <c r="G146"/>
      <c r="K146" s="83"/>
    </row>
    <row r="147" spans="1:12" ht="15" customHeight="1" x14ac:dyDescent="0.2">
      <c r="A147" s="599">
        <v>2005</v>
      </c>
      <c r="B147" s="600"/>
      <c r="C147" s="77"/>
      <c r="D147" s="78">
        <f>'Purchased Power Model '!E230/1000000</f>
        <v>2086.3640945742</v>
      </c>
      <c r="E147" s="78">
        <f>'Purchased Power Model '!K230/1000000</f>
        <v>2067.680562613481</v>
      </c>
      <c r="F147" s="113">
        <f t="shared" si="19"/>
        <v>-8.9550678183675236E-3</v>
      </c>
      <c r="G147"/>
      <c r="K147" s="83"/>
    </row>
    <row r="148" spans="1:12" ht="15" customHeight="1" x14ac:dyDescent="0.2">
      <c r="A148" s="599">
        <v>2006</v>
      </c>
      <c r="B148" s="600"/>
      <c r="C148" s="77"/>
      <c r="D148" s="78">
        <f>'Purchased Power Model '!E231/1000000</f>
        <v>1983.6457103185001</v>
      </c>
      <c r="E148" s="78">
        <f>'Purchased Power Model '!K231/1000000</f>
        <v>2020.3245638467042</v>
      </c>
      <c r="F148" s="113">
        <f t="shared" si="19"/>
        <v>1.8490627301744889E-2</v>
      </c>
      <c r="G148"/>
      <c r="K148" s="83"/>
    </row>
    <row r="149" spans="1:12" ht="15" customHeight="1" x14ac:dyDescent="0.2">
      <c r="A149" s="599">
        <v>2007</v>
      </c>
      <c r="B149" s="600"/>
      <c r="C149" s="77"/>
      <c r="D149" s="78">
        <f>'Purchased Power Model '!E232/1000000</f>
        <v>1978.9901764429999</v>
      </c>
      <c r="E149" s="78">
        <f>'Purchased Power Model '!K232/1000000</f>
        <v>2001.2022671673531</v>
      </c>
      <c r="F149" s="113">
        <f t="shared" si="19"/>
        <v>1.1223951987612502E-2</v>
      </c>
      <c r="G149"/>
      <c r="K149" s="83"/>
    </row>
    <row r="150" spans="1:12" ht="15" customHeight="1" x14ac:dyDescent="0.2">
      <c r="A150" s="599">
        <v>2008</v>
      </c>
      <c r="B150" s="600"/>
      <c r="C150" s="77"/>
      <c r="D150" s="78">
        <f>'Purchased Power Model '!E233/1000000</f>
        <v>1939.0644042694</v>
      </c>
      <c r="E150" s="78">
        <f>'Purchased Power Model '!K233/1000000</f>
        <v>1964.1481543950456</v>
      </c>
      <c r="F150" s="113">
        <f t="shared" si="19"/>
        <v>1.293600670014694E-2</v>
      </c>
      <c r="G150"/>
      <c r="K150" s="83"/>
    </row>
    <row r="151" spans="1:12" ht="15" customHeight="1" x14ac:dyDescent="0.2">
      <c r="A151" s="599">
        <v>2009</v>
      </c>
      <c r="B151" s="600"/>
      <c r="C151" s="77"/>
      <c r="D151" s="78">
        <f>'Purchased Power Model '!E234/1000000</f>
        <v>1837.1331214989998</v>
      </c>
      <c r="E151" s="78">
        <f>'Purchased Power Model '!K234/1000000</f>
        <v>1859.8451042160486</v>
      </c>
      <c r="F151" s="113">
        <f t="shared" si="19"/>
        <v>1.2362731067913746E-2</v>
      </c>
      <c r="G151"/>
      <c r="K151" s="83"/>
    </row>
    <row r="152" spans="1:12" ht="15" customHeight="1" x14ac:dyDescent="0.2">
      <c r="A152" s="599">
        <v>2010</v>
      </c>
      <c r="B152" s="600"/>
      <c r="C152" s="77"/>
      <c r="D152" s="78">
        <f>'Purchased Power Model '!E235/1000000</f>
        <v>1892.6335194493545</v>
      </c>
      <c r="E152" s="78">
        <f>'Purchased Power Model '!K235/1000000</f>
        <v>1880.8191767808089</v>
      </c>
      <c r="F152" s="113">
        <f t="shared" si="19"/>
        <v>-6.2422769897803043E-3</v>
      </c>
      <c r="G152"/>
      <c r="K152" s="83"/>
    </row>
    <row r="153" spans="1:12" ht="15" customHeight="1" x14ac:dyDescent="0.2">
      <c r="A153" s="599">
        <v>2011</v>
      </c>
      <c r="B153" s="600"/>
      <c r="C153" s="77"/>
      <c r="D153" s="78">
        <f>'Purchased Power Model '!E236/1000000</f>
        <v>1895.1972325334652</v>
      </c>
      <c r="E153" s="78">
        <f>'Purchased Power Model '!K236/1000000</f>
        <v>1887.4270435702879</v>
      </c>
      <c r="F153" s="113">
        <f t="shared" si="19"/>
        <v>-4.0999368455125751E-3</v>
      </c>
      <c r="G153"/>
      <c r="K153" s="83"/>
    </row>
    <row r="154" spans="1:12" ht="15" customHeight="1" x14ac:dyDescent="0.2">
      <c r="A154" s="599">
        <v>2012</v>
      </c>
      <c r="B154" s="600"/>
      <c r="C154" s="114"/>
      <c r="D154" s="78">
        <f>'Purchased Power Model '!E237/1000000</f>
        <v>1885.7381183156619</v>
      </c>
      <c r="E154" s="78">
        <f>'Purchased Power Model '!K237/1000000</f>
        <v>1866.5970536581801</v>
      </c>
      <c r="F154" s="113">
        <f t="shared" si="19"/>
        <v>-1.0150436304792176E-2</v>
      </c>
      <c r="G154"/>
    </row>
    <row r="155" spans="1:12" s="86" customFormat="1" ht="15" customHeight="1" x14ac:dyDescent="0.25">
      <c r="A155" s="594" t="s">
        <v>50</v>
      </c>
      <c r="B155" s="595"/>
      <c r="C155" s="595"/>
      <c r="D155" s="596"/>
      <c r="E155" s="87">
        <f>'Purchased Power Model '!K238/1000000</f>
        <v>1876.3065194262119</v>
      </c>
      <c r="F155" s="115"/>
      <c r="K155" s="116"/>
    </row>
    <row r="156" spans="1:12" s="86" customFormat="1" ht="15" customHeight="1" x14ac:dyDescent="0.25">
      <c r="A156" s="594" t="s">
        <v>145</v>
      </c>
      <c r="B156" s="595"/>
      <c r="C156" s="595"/>
      <c r="D156" s="596"/>
      <c r="E156" s="87">
        <f>'Purchased Power Model '!K239/1000000</f>
        <v>1891.8712698945267</v>
      </c>
      <c r="F156" s="115"/>
      <c r="K156" s="116"/>
    </row>
    <row r="157" spans="1:12" s="86" customFormat="1" ht="15" customHeight="1" x14ac:dyDescent="0.25">
      <c r="A157" s="594" t="s">
        <v>286</v>
      </c>
      <c r="B157" s="595"/>
      <c r="C157" s="595"/>
      <c r="D157" s="596"/>
      <c r="E157" s="87">
        <f>'Purchased Power Model '!K296/1000000</f>
        <v>1891.1805913347696</v>
      </c>
      <c r="F157" s="115"/>
      <c r="K157" s="116"/>
    </row>
    <row r="158" spans="1:12" s="83" customFormat="1" ht="15" customHeight="1" x14ac:dyDescent="0.2">
      <c r="A158" s="594" t="s">
        <v>287</v>
      </c>
      <c r="B158" s="595"/>
      <c r="C158" s="595"/>
      <c r="D158" s="596"/>
      <c r="E158" s="87">
        <f>'Purchased Power Model '!K312/1000000</f>
        <v>1892.2033239520522</v>
      </c>
      <c r="F158" s="113"/>
      <c r="K158" s="229"/>
      <c r="L158" s="230"/>
    </row>
    <row r="159" spans="1:12" x14ac:dyDescent="0.2">
      <c r="K159"/>
    </row>
    <row r="160" spans="1:12" ht="15" x14ac:dyDescent="0.2">
      <c r="A160" s="594" t="s">
        <v>208</v>
      </c>
      <c r="B160" s="595"/>
      <c r="C160" s="595"/>
      <c r="D160" s="595"/>
      <c r="E160" s="595"/>
      <c r="F160" s="595"/>
      <c r="G160" s="595"/>
      <c r="H160" s="595"/>
      <c r="I160" s="595"/>
      <c r="J160" s="596"/>
      <c r="K160" s="121"/>
      <c r="L160" s="121"/>
    </row>
    <row r="161" spans="1:16" ht="30" x14ac:dyDescent="0.2">
      <c r="A161" s="619" t="s">
        <v>79</v>
      </c>
      <c r="B161" s="620"/>
      <c r="C161" s="416"/>
      <c r="D161" s="386" t="str">
        <f t="shared" ref="D161:I161" si="20">D67</f>
        <v xml:space="preserve">Residential </v>
      </c>
      <c r="E161" s="386" t="str">
        <f t="shared" si="20"/>
        <v>GS&lt;50</v>
      </c>
      <c r="F161" s="386" t="str">
        <f t="shared" si="20"/>
        <v>GS&gt;50</v>
      </c>
      <c r="G161" s="386" t="str">
        <f t="shared" si="20"/>
        <v>Large User</v>
      </c>
      <c r="H161" s="386" t="str">
        <f t="shared" si="20"/>
        <v>Street Lighting</v>
      </c>
      <c r="I161" s="386" t="str">
        <f t="shared" si="20"/>
        <v>USL</v>
      </c>
      <c r="J161" s="386" t="s">
        <v>10</v>
      </c>
    </row>
    <row r="162" spans="1:16" ht="15" x14ac:dyDescent="0.2">
      <c r="A162" s="226" t="s">
        <v>87</v>
      </c>
      <c r="B162" s="227"/>
      <c r="C162" s="227"/>
      <c r="D162" s="227"/>
      <c r="E162" s="227"/>
      <c r="F162" s="227"/>
      <c r="G162" s="227"/>
      <c r="H162" s="227"/>
      <c r="I162" s="227"/>
      <c r="J162" s="228"/>
    </row>
    <row r="163" spans="1:16" ht="15" x14ac:dyDescent="0.2">
      <c r="A163" s="599">
        <f t="shared" ref="A163:A175" si="21">+A142</f>
        <v>2000</v>
      </c>
      <c r="B163" s="618"/>
      <c r="C163" s="76"/>
      <c r="D163" s="117">
        <f>'Rate Class Customer Model'!B6</f>
        <v>63692</v>
      </c>
      <c r="E163" s="117">
        <f>'Rate Class Customer Model'!C6</f>
        <v>6548</v>
      </c>
      <c r="F163" s="447">
        <f>'Rate Class Customer Model'!D6</f>
        <v>1033</v>
      </c>
      <c r="G163" s="117">
        <f>'Rate Class Customer Model'!E6</f>
        <v>3</v>
      </c>
      <c r="H163" s="117">
        <f>'Rate Class Customer Model'!F6</f>
        <v>1342.030303030303</v>
      </c>
      <c r="I163" s="117">
        <f>'Rate Class Customer Model'!G6</f>
        <v>750</v>
      </c>
      <c r="J163" s="117">
        <f t="shared" ref="J163:J174" si="22">SUM(D163:I163)</f>
        <v>73368.030303030304</v>
      </c>
      <c r="N163"/>
      <c r="O163"/>
      <c r="P163"/>
    </row>
    <row r="164" spans="1:16" ht="15" x14ac:dyDescent="0.2">
      <c r="A164" s="599">
        <f t="shared" si="21"/>
        <v>2001</v>
      </c>
      <c r="B164" s="618"/>
      <c r="C164" s="76"/>
      <c r="D164" s="117">
        <f>'Rate Class Customer Model'!B7</f>
        <v>64284</v>
      </c>
      <c r="E164" s="117">
        <f>'Rate Class Customer Model'!C7</f>
        <v>6568</v>
      </c>
      <c r="F164" s="447">
        <f>'Rate Class Customer Model'!D7</f>
        <v>1035</v>
      </c>
      <c r="G164" s="117">
        <f>'Rate Class Customer Model'!E7</f>
        <v>4</v>
      </c>
      <c r="H164" s="117">
        <f>'Rate Class Customer Model'!F7</f>
        <v>1369.6060606060605</v>
      </c>
      <c r="I164" s="117">
        <f>'Rate Class Customer Model'!G7</f>
        <v>750</v>
      </c>
      <c r="J164" s="117">
        <f t="shared" si="22"/>
        <v>74010.606060606064</v>
      </c>
      <c r="N164"/>
      <c r="O164"/>
      <c r="P164"/>
    </row>
    <row r="165" spans="1:16" x14ac:dyDescent="0.2">
      <c r="A165" s="599">
        <f t="shared" si="21"/>
        <v>2002</v>
      </c>
      <c r="B165" s="618"/>
      <c r="C165" s="95"/>
      <c r="D165" s="117">
        <f>'Rate Class Customer Model'!B8</f>
        <v>65683</v>
      </c>
      <c r="E165" s="117">
        <f>'Rate Class Customer Model'!C8</f>
        <v>6569</v>
      </c>
      <c r="F165" s="447">
        <f>'Rate Class Customer Model'!D8</f>
        <v>1068</v>
      </c>
      <c r="G165" s="117">
        <f>'Rate Class Customer Model'!E8</f>
        <v>4</v>
      </c>
      <c r="H165" s="117">
        <f>'Rate Class Customer Model'!F8</f>
        <v>1394.3939393939395</v>
      </c>
      <c r="I165" s="117">
        <f>'Rate Class Customer Model'!G8</f>
        <v>765</v>
      </c>
      <c r="J165" s="117">
        <f t="shared" si="22"/>
        <v>75483.393939393936</v>
      </c>
      <c r="N165"/>
      <c r="O165"/>
      <c r="P165"/>
    </row>
    <row r="166" spans="1:16" x14ac:dyDescent="0.2">
      <c r="A166" s="599">
        <f t="shared" si="21"/>
        <v>2003</v>
      </c>
      <c r="B166" s="618"/>
      <c r="C166" s="95"/>
      <c r="D166" s="117">
        <f>'Rate Class Customer Model'!B9</f>
        <v>67527</v>
      </c>
      <c r="E166" s="117">
        <f>'Rate Class Customer Model'!C9</f>
        <v>6703</v>
      </c>
      <c r="F166" s="447">
        <f>'Rate Class Customer Model'!D9</f>
        <v>1035</v>
      </c>
      <c r="G166" s="117">
        <f>'Rate Class Customer Model'!E9</f>
        <v>4</v>
      </c>
      <c r="H166" s="117">
        <f>'Rate Class Customer Model'!F9</f>
        <v>1405</v>
      </c>
      <c r="I166" s="117">
        <f>'Rate Class Customer Model'!G9</f>
        <v>765</v>
      </c>
      <c r="J166" s="117">
        <f t="shared" si="22"/>
        <v>77439</v>
      </c>
      <c r="N166"/>
      <c r="O166"/>
      <c r="P166"/>
    </row>
    <row r="167" spans="1:16" x14ac:dyDescent="0.2">
      <c r="A167" s="599">
        <f t="shared" si="21"/>
        <v>2004</v>
      </c>
      <c r="B167" s="618"/>
      <c r="C167" s="95"/>
      <c r="D167" s="117">
        <f>'Rate Class Customer Model'!B10</f>
        <v>69405</v>
      </c>
      <c r="E167" s="117">
        <f>'Rate Class Customer Model'!C10</f>
        <v>6816</v>
      </c>
      <c r="F167" s="447">
        <f>'Rate Class Customer Model'!D10</f>
        <v>1058</v>
      </c>
      <c r="G167" s="117">
        <f>'Rate Class Customer Model'!E10</f>
        <v>4</v>
      </c>
      <c r="H167" s="117">
        <f>'Rate Class Customer Model'!F10</f>
        <v>1497</v>
      </c>
      <c r="I167" s="117">
        <f>'Rate Class Customer Model'!G10</f>
        <v>822</v>
      </c>
      <c r="J167" s="117">
        <f t="shared" si="22"/>
        <v>79602</v>
      </c>
      <c r="N167"/>
      <c r="O167"/>
      <c r="P167"/>
    </row>
    <row r="168" spans="1:16" x14ac:dyDescent="0.2">
      <c r="A168" s="599">
        <f t="shared" si="21"/>
        <v>2005</v>
      </c>
      <c r="B168" s="618"/>
      <c r="C168" s="95"/>
      <c r="D168" s="117">
        <f>'Rate Class Customer Model'!B11</f>
        <v>71490</v>
      </c>
      <c r="E168" s="117">
        <f>'Rate Class Customer Model'!C11</f>
        <v>6916</v>
      </c>
      <c r="F168" s="447">
        <f>'Rate Class Customer Model'!D11</f>
        <v>1077</v>
      </c>
      <c r="G168" s="117">
        <f>'Rate Class Customer Model'!E11</f>
        <v>4</v>
      </c>
      <c r="H168" s="117">
        <f>'Rate Class Customer Model'!F11</f>
        <v>1517</v>
      </c>
      <c r="I168" s="117">
        <f>'Rate Class Customer Model'!G11</f>
        <v>807</v>
      </c>
      <c r="J168" s="117">
        <f t="shared" si="22"/>
        <v>81811</v>
      </c>
      <c r="N168"/>
      <c r="O168"/>
      <c r="P168"/>
    </row>
    <row r="169" spans="1:16" x14ac:dyDescent="0.2">
      <c r="A169" s="599">
        <f t="shared" si="21"/>
        <v>2006</v>
      </c>
      <c r="B169" s="618"/>
      <c r="C169" s="95"/>
      <c r="D169" s="117">
        <f>'Rate Class Customer Model'!B12</f>
        <v>72866</v>
      </c>
      <c r="E169" s="117">
        <f>'Rate Class Customer Model'!C12</f>
        <v>7049</v>
      </c>
      <c r="F169" s="447">
        <f>'Rate Class Customer Model'!D12</f>
        <v>1021</v>
      </c>
      <c r="G169" s="117">
        <f>'Rate Class Customer Model'!E12</f>
        <v>4</v>
      </c>
      <c r="H169" s="117">
        <f>'Rate Class Customer Model'!F12</f>
        <v>1533</v>
      </c>
      <c r="I169" s="117">
        <f>'Rate Class Customer Model'!G12</f>
        <v>807</v>
      </c>
      <c r="J169" s="117">
        <f t="shared" si="22"/>
        <v>83280</v>
      </c>
      <c r="N169"/>
      <c r="O169"/>
      <c r="P169"/>
    </row>
    <row r="170" spans="1:16" x14ac:dyDescent="0.2">
      <c r="A170" s="599">
        <f t="shared" si="21"/>
        <v>2007</v>
      </c>
      <c r="B170" s="618"/>
      <c r="C170" s="95"/>
      <c r="D170" s="117">
        <f>'Rate Class Customer Model'!B13</f>
        <v>74392</v>
      </c>
      <c r="E170" s="117">
        <f>'Rate Class Customer Model'!C13</f>
        <v>7198</v>
      </c>
      <c r="F170" s="447">
        <f>'Rate Class Customer Model'!D13</f>
        <v>1005</v>
      </c>
      <c r="G170" s="117">
        <f>'Rate Class Customer Model'!E13</f>
        <v>4</v>
      </c>
      <c r="H170" s="117">
        <f>'Rate Class Customer Model'!F13</f>
        <v>1523</v>
      </c>
      <c r="I170" s="117">
        <f>'Rate Class Customer Model'!G13</f>
        <v>818</v>
      </c>
      <c r="J170" s="117">
        <f t="shared" si="22"/>
        <v>84940</v>
      </c>
      <c r="N170"/>
      <c r="O170"/>
      <c r="P170"/>
    </row>
    <row r="171" spans="1:16" x14ac:dyDescent="0.2">
      <c r="A171" s="599">
        <f t="shared" si="21"/>
        <v>2008</v>
      </c>
      <c r="B171" s="618"/>
      <c r="C171" s="95"/>
      <c r="D171" s="117">
        <f>'Rate Class Customer Model'!B14</f>
        <v>75153.833333333328</v>
      </c>
      <c r="E171" s="117">
        <f>'Rate Class Customer Model'!C14</f>
        <v>7264.916666666667</v>
      </c>
      <c r="F171" s="447">
        <f>'Rate Class Customer Model'!D14</f>
        <v>1014.1666666666666</v>
      </c>
      <c r="G171" s="117">
        <f>'Rate Class Customer Model'!E14</f>
        <v>4</v>
      </c>
      <c r="H171" s="117">
        <f>'Rate Class Customer Model'!F14</f>
        <v>1522.2424242424242</v>
      </c>
      <c r="I171" s="117">
        <f>'Rate Class Customer Model'!G14</f>
        <v>820</v>
      </c>
      <c r="J171" s="117">
        <f t="shared" si="22"/>
        <v>85779.159090909103</v>
      </c>
      <c r="N171"/>
      <c r="O171"/>
      <c r="P171"/>
    </row>
    <row r="172" spans="1:16" x14ac:dyDescent="0.2">
      <c r="A172" s="599">
        <f t="shared" si="21"/>
        <v>2009</v>
      </c>
      <c r="B172" s="618"/>
      <c r="C172" s="95"/>
      <c r="D172" s="117">
        <f>'Rate Class Customer Model'!B15</f>
        <v>76255.166666666672</v>
      </c>
      <c r="E172" s="117">
        <f>'Rate Class Customer Model'!C15</f>
        <v>7370.333333333333</v>
      </c>
      <c r="F172" s="447">
        <f>'Rate Class Customer Model'!D15</f>
        <v>1004.9166666666666</v>
      </c>
      <c r="G172" s="117">
        <f>'Rate Class Customer Model'!E15</f>
        <v>3</v>
      </c>
      <c r="H172" s="117">
        <f>'Rate Class Customer Model'!F15</f>
        <v>1551</v>
      </c>
      <c r="I172" s="117">
        <f>'Rate Class Customer Model'!G15</f>
        <v>817</v>
      </c>
      <c r="J172" s="117">
        <f t="shared" si="22"/>
        <v>87001.416666666672</v>
      </c>
      <c r="N172"/>
      <c r="O172"/>
      <c r="P172"/>
    </row>
    <row r="173" spans="1:16" x14ac:dyDescent="0.2">
      <c r="A173" s="599">
        <f t="shared" si="21"/>
        <v>2010</v>
      </c>
      <c r="B173" s="618"/>
      <c r="C173" s="95"/>
      <c r="D173" s="117">
        <f>'Rate Class Customer Model'!B16</f>
        <v>77505.916666666672</v>
      </c>
      <c r="E173" s="117">
        <f>'Rate Class Customer Model'!C16</f>
        <v>7447.583333333333</v>
      </c>
      <c r="F173" s="447">
        <f>'Rate Class Customer Model'!D16</f>
        <v>988.91666666666663</v>
      </c>
      <c r="G173" s="117">
        <f>'Rate Class Customer Model'!E16</f>
        <v>1.3333333333333333</v>
      </c>
      <c r="H173" s="117">
        <f>'Rate Class Customer Model'!F16</f>
        <v>1574.2465237166991</v>
      </c>
      <c r="I173" s="117">
        <f>'Rate Class Customer Model'!G16</f>
        <v>811</v>
      </c>
      <c r="J173" s="117">
        <f t="shared" si="22"/>
        <v>88328.996523716705</v>
      </c>
      <c r="N173"/>
      <c r="O173"/>
      <c r="P173"/>
    </row>
    <row r="174" spans="1:16" x14ac:dyDescent="0.2">
      <c r="A174" s="599">
        <f t="shared" si="21"/>
        <v>2011</v>
      </c>
      <c r="B174" s="618"/>
      <c r="C174" s="95"/>
      <c r="D174" s="117">
        <f>'Rate Class Customer Model'!B17</f>
        <v>78761</v>
      </c>
      <c r="E174" s="117">
        <f>'Rate Class Customer Model'!C17</f>
        <v>7538</v>
      </c>
      <c r="F174" s="447">
        <f>'Rate Class Customer Model'!D17</f>
        <v>975</v>
      </c>
      <c r="G174" s="117">
        <f>'Rate Class Customer Model'!E17</f>
        <v>2</v>
      </c>
      <c r="H174" s="117">
        <f>'Rate Class Customer Model'!F17</f>
        <v>1567.6666666666667</v>
      </c>
      <c r="I174" s="117">
        <f>'Rate Class Customer Model'!G17</f>
        <v>841</v>
      </c>
      <c r="J174" s="117">
        <f t="shared" si="22"/>
        <v>89684.666666666672</v>
      </c>
      <c r="N174"/>
      <c r="O174"/>
      <c r="P174"/>
    </row>
    <row r="175" spans="1:16" x14ac:dyDescent="0.2">
      <c r="A175" s="599">
        <f t="shared" si="21"/>
        <v>2012</v>
      </c>
      <c r="B175" s="618"/>
      <c r="C175" s="241"/>
      <c r="D175" s="117">
        <f>'Rate Class Customer Model'!B18</f>
        <v>79997</v>
      </c>
      <c r="E175" s="117">
        <f>'Rate Class Customer Model'!C18</f>
        <v>7645.333333333333</v>
      </c>
      <c r="F175" s="447">
        <f>'Rate Class Customer Model'!D18</f>
        <v>952.33333333333337</v>
      </c>
      <c r="G175" s="117">
        <f>'Rate Class Customer Model'!E18</f>
        <v>2</v>
      </c>
      <c r="H175" s="117">
        <f>'Rate Class Customer Model'!F18</f>
        <v>1573.4242424242425</v>
      </c>
      <c r="I175" s="117">
        <f>'Rate Class Customer Model'!G18</f>
        <v>868.75</v>
      </c>
      <c r="J175" s="117">
        <f>SUM(D175:I175)</f>
        <v>91038.840909090897</v>
      </c>
      <c r="N175"/>
      <c r="O175"/>
      <c r="P175"/>
    </row>
    <row r="177" spans="1:14" ht="15" x14ac:dyDescent="0.2">
      <c r="A177" s="594" t="s">
        <v>209</v>
      </c>
      <c r="B177" s="595"/>
      <c r="C177" s="595"/>
      <c r="D177" s="595"/>
      <c r="E177" s="595"/>
      <c r="F177" s="595"/>
      <c r="G177" s="595"/>
      <c r="H177" s="595"/>
      <c r="I177" s="596"/>
      <c r="J177" s="121"/>
      <c r="K177" s="121"/>
    </row>
    <row r="178" spans="1:14" ht="30" x14ac:dyDescent="0.2">
      <c r="A178" s="621" t="s">
        <v>79</v>
      </c>
      <c r="B178" s="621"/>
      <c r="C178" s="416"/>
      <c r="D178" s="386" t="str">
        <f t="shared" ref="D178:I178" si="23">D161</f>
        <v xml:space="preserve">Residential </v>
      </c>
      <c r="E178" s="386" t="str">
        <f t="shared" si="23"/>
        <v>GS&lt;50</v>
      </c>
      <c r="F178" s="386" t="str">
        <f t="shared" si="23"/>
        <v>GS&gt;50</v>
      </c>
      <c r="G178" s="386" t="str">
        <f t="shared" si="23"/>
        <v>Large User</v>
      </c>
      <c r="H178" s="386" t="str">
        <f t="shared" si="23"/>
        <v>Street Lighting</v>
      </c>
      <c r="I178" s="386" t="str">
        <f t="shared" si="23"/>
        <v>USL</v>
      </c>
    </row>
    <row r="179" spans="1:14" ht="15" customHeight="1" x14ac:dyDescent="0.2">
      <c r="A179" s="226" t="s">
        <v>210</v>
      </c>
      <c r="B179" s="227"/>
      <c r="C179" s="227"/>
      <c r="D179" s="227"/>
      <c r="E179" s="227"/>
      <c r="F179" s="227"/>
      <c r="G179" s="227"/>
      <c r="H179" s="227"/>
      <c r="I179" s="228"/>
    </row>
    <row r="180" spans="1:14" ht="15" customHeight="1" x14ac:dyDescent="0.2">
      <c r="A180" s="588">
        <f t="shared" ref="A180:A192" si="24">A163</f>
        <v>2000</v>
      </c>
      <c r="B180" s="588"/>
      <c r="C180" s="76"/>
      <c r="D180" s="118"/>
      <c r="E180" s="76"/>
      <c r="F180" s="76"/>
      <c r="G180" s="76"/>
      <c r="H180" s="76"/>
      <c r="I180" s="94"/>
    </row>
    <row r="181" spans="1:14" ht="15" customHeight="1" x14ac:dyDescent="0.2">
      <c r="A181" s="588">
        <f t="shared" si="24"/>
        <v>2001</v>
      </c>
      <c r="B181" s="588"/>
      <c r="C181" s="76"/>
      <c r="D181" s="118">
        <f t="shared" ref="D181:G190" si="25">D164/D163-1</f>
        <v>9.2947308924198335E-3</v>
      </c>
      <c r="E181" s="118">
        <f t="shared" si="25"/>
        <v>3.0543677458765295E-3</v>
      </c>
      <c r="F181" s="118">
        <f t="shared" si="25"/>
        <v>1.9361084220717029E-3</v>
      </c>
      <c r="G181" s="118">
        <f t="shared" si="25"/>
        <v>0.33333333333333326</v>
      </c>
      <c r="H181" s="118">
        <f t="shared" ref="H181:I192" si="26">H164/H163-1</f>
        <v>2.0547790548016254E-2</v>
      </c>
      <c r="I181" s="118">
        <f t="shared" si="26"/>
        <v>0</v>
      </c>
      <c r="L181" s="155"/>
      <c r="M181" s="156"/>
      <c r="N181" s="156"/>
    </row>
    <row r="182" spans="1:14" ht="15" customHeight="1" x14ac:dyDescent="0.2">
      <c r="A182" s="588">
        <f t="shared" si="24"/>
        <v>2002</v>
      </c>
      <c r="B182" s="588"/>
      <c r="C182" s="76"/>
      <c r="D182" s="118">
        <f t="shared" si="25"/>
        <v>2.176280256362384E-2</v>
      </c>
      <c r="E182" s="118">
        <f t="shared" si="25"/>
        <v>1.5225334957369441E-4</v>
      </c>
      <c r="F182" s="118">
        <f t="shared" si="25"/>
        <v>3.1884057971014457E-2</v>
      </c>
      <c r="G182" s="118">
        <f t="shared" si="25"/>
        <v>0</v>
      </c>
      <c r="H182" s="118">
        <f t="shared" si="26"/>
        <v>1.8098546363696899E-2</v>
      </c>
      <c r="I182" s="118">
        <f t="shared" si="26"/>
        <v>2.0000000000000018E-2</v>
      </c>
      <c r="L182" s="155"/>
      <c r="M182" s="156"/>
      <c r="N182" s="156"/>
    </row>
    <row r="183" spans="1:14" ht="15" customHeight="1" x14ac:dyDescent="0.2">
      <c r="A183" s="588">
        <f t="shared" si="24"/>
        <v>2003</v>
      </c>
      <c r="B183" s="588"/>
      <c r="C183" s="95"/>
      <c r="D183" s="118">
        <f t="shared" si="25"/>
        <v>2.8074235342478326E-2</v>
      </c>
      <c r="E183" s="118">
        <f t="shared" si="25"/>
        <v>2.0398843050692728E-2</v>
      </c>
      <c r="F183" s="118">
        <f t="shared" si="25"/>
        <v>-3.0898876404494402E-2</v>
      </c>
      <c r="G183" s="118">
        <f t="shared" si="25"/>
        <v>0</v>
      </c>
      <c r="H183" s="118">
        <f t="shared" si="26"/>
        <v>7.606215364554858E-3</v>
      </c>
      <c r="I183" s="118">
        <f t="shared" si="26"/>
        <v>0</v>
      </c>
      <c r="L183" s="155"/>
      <c r="M183" s="156"/>
      <c r="N183" s="156"/>
    </row>
    <row r="184" spans="1:14" ht="15" customHeight="1" x14ac:dyDescent="0.2">
      <c r="A184" s="588">
        <f t="shared" si="24"/>
        <v>2004</v>
      </c>
      <c r="B184" s="588"/>
      <c r="C184" s="95"/>
      <c r="D184" s="118">
        <f t="shared" si="25"/>
        <v>2.7811097783108973E-2</v>
      </c>
      <c r="E184" s="118">
        <f t="shared" si="25"/>
        <v>1.6858123228405297E-2</v>
      </c>
      <c r="F184" s="118">
        <f t="shared" si="25"/>
        <v>2.2222222222222143E-2</v>
      </c>
      <c r="G184" s="118">
        <f t="shared" si="25"/>
        <v>0</v>
      </c>
      <c r="H184" s="118">
        <f t="shared" si="26"/>
        <v>6.5480427046263445E-2</v>
      </c>
      <c r="I184" s="118">
        <f t="shared" si="26"/>
        <v>7.4509803921568585E-2</v>
      </c>
      <c r="L184" s="155"/>
      <c r="M184" s="156"/>
      <c r="N184" s="156"/>
    </row>
    <row r="185" spans="1:14" ht="15" customHeight="1" x14ac:dyDescent="0.2">
      <c r="A185" s="588">
        <f t="shared" si="24"/>
        <v>2005</v>
      </c>
      <c r="B185" s="588"/>
      <c r="C185" s="95"/>
      <c r="D185" s="118">
        <f t="shared" si="25"/>
        <v>3.0041063323968054E-2</v>
      </c>
      <c r="E185" s="118">
        <f t="shared" si="25"/>
        <v>1.4671361502347491E-2</v>
      </c>
      <c r="F185" s="118">
        <f t="shared" si="25"/>
        <v>1.7958412098298737E-2</v>
      </c>
      <c r="G185" s="118">
        <f t="shared" si="25"/>
        <v>0</v>
      </c>
      <c r="H185" s="118">
        <f t="shared" si="26"/>
        <v>1.3360053440213848E-2</v>
      </c>
      <c r="I185" s="118">
        <f t="shared" si="26"/>
        <v>-1.8248175182481785E-2</v>
      </c>
      <c r="L185" s="155"/>
      <c r="M185" s="156"/>
      <c r="N185" s="156"/>
    </row>
    <row r="186" spans="1:14" ht="15" customHeight="1" x14ac:dyDescent="0.2">
      <c r="A186" s="588">
        <f t="shared" si="24"/>
        <v>2006</v>
      </c>
      <c r="B186" s="588"/>
      <c r="C186" s="95"/>
      <c r="D186" s="118">
        <f t="shared" si="25"/>
        <v>1.9247447195412049E-2</v>
      </c>
      <c r="E186" s="118">
        <f t="shared" si="25"/>
        <v>1.9230769230769162E-2</v>
      </c>
      <c r="F186" s="118">
        <f t="shared" si="25"/>
        <v>-5.1996285979572843E-2</v>
      </c>
      <c r="G186" s="118">
        <f t="shared" si="25"/>
        <v>0</v>
      </c>
      <c r="H186" s="118">
        <f t="shared" si="26"/>
        <v>1.054713249835193E-2</v>
      </c>
      <c r="I186" s="118">
        <f t="shared" si="26"/>
        <v>0</v>
      </c>
      <c r="L186" s="155"/>
      <c r="M186" s="156"/>
      <c r="N186" s="156"/>
    </row>
    <row r="187" spans="1:14" ht="15" customHeight="1" x14ac:dyDescent="0.2">
      <c r="A187" s="588">
        <f t="shared" si="24"/>
        <v>2007</v>
      </c>
      <c r="B187" s="588"/>
      <c r="C187" s="95"/>
      <c r="D187" s="118">
        <f t="shared" si="25"/>
        <v>2.0942552081903765E-2</v>
      </c>
      <c r="E187" s="118">
        <f t="shared" si="25"/>
        <v>2.1137750035465919E-2</v>
      </c>
      <c r="F187" s="118">
        <f t="shared" si="25"/>
        <v>-1.5670910871694366E-2</v>
      </c>
      <c r="G187" s="118">
        <f t="shared" si="25"/>
        <v>0</v>
      </c>
      <c r="H187" s="118">
        <f t="shared" si="26"/>
        <v>-6.5231572080887146E-3</v>
      </c>
      <c r="I187" s="118">
        <f t="shared" si="26"/>
        <v>1.3630731102850069E-2</v>
      </c>
      <c r="L187" s="155"/>
      <c r="M187" s="156"/>
      <c r="N187" s="156"/>
    </row>
    <row r="188" spans="1:14" ht="15" customHeight="1" x14ac:dyDescent="0.2">
      <c r="A188" s="588">
        <f t="shared" si="24"/>
        <v>2008</v>
      </c>
      <c r="B188" s="588"/>
      <c r="C188" s="95"/>
      <c r="D188" s="118">
        <f t="shared" si="25"/>
        <v>1.0240796501415961E-2</v>
      </c>
      <c r="E188" s="118">
        <f t="shared" si="25"/>
        <v>9.2965638603315082E-3</v>
      </c>
      <c r="F188" s="118">
        <f t="shared" si="25"/>
        <v>9.121061359867344E-3</v>
      </c>
      <c r="G188" s="118">
        <f t="shared" si="25"/>
        <v>0</v>
      </c>
      <c r="H188" s="118">
        <f t="shared" si="26"/>
        <v>-4.9742334706226465E-4</v>
      </c>
      <c r="I188" s="118">
        <f t="shared" si="26"/>
        <v>2.4449877750611915E-3</v>
      </c>
      <c r="L188" s="155"/>
      <c r="M188" s="156"/>
      <c r="N188" s="156"/>
    </row>
    <row r="189" spans="1:14" ht="15" customHeight="1" x14ac:dyDescent="0.2">
      <c r="A189" s="588">
        <f t="shared" si="24"/>
        <v>2009</v>
      </c>
      <c r="B189" s="588"/>
      <c r="C189" s="95"/>
      <c r="D189" s="118">
        <f t="shared" si="25"/>
        <v>1.4654386669121111E-2</v>
      </c>
      <c r="E189" s="118">
        <f t="shared" si="25"/>
        <v>1.4510375205037729E-2</v>
      </c>
      <c r="F189" s="118">
        <f t="shared" si="25"/>
        <v>-9.1207888249794644E-3</v>
      </c>
      <c r="G189" s="118">
        <f t="shared" si="25"/>
        <v>-0.25</v>
      </c>
      <c r="H189" s="118">
        <f t="shared" si="26"/>
        <v>1.8891587371103302E-2</v>
      </c>
      <c r="I189" s="118">
        <f t="shared" si="26"/>
        <v>-3.6585365853658569E-3</v>
      </c>
      <c r="L189" s="155"/>
      <c r="M189" s="156"/>
      <c r="N189" s="156"/>
    </row>
    <row r="190" spans="1:14" ht="15" customHeight="1" x14ac:dyDescent="0.2">
      <c r="A190" s="588">
        <f t="shared" si="24"/>
        <v>2010</v>
      </c>
      <c r="B190" s="588"/>
      <c r="C190" s="95"/>
      <c r="D190" s="118">
        <f t="shared" si="25"/>
        <v>1.6402167284839786E-2</v>
      </c>
      <c r="E190" s="118">
        <f t="shared" si="25"/>
        <v>1.0481208448283708E-2</v>
      </c>
      <c r="F190" s="118">
        <f t="shared" si="25"/>
        <v>-1.5921718218757763E-2</v>
      </c>
      <c r="G190" s="118">
        <f t="shared" si="25"/>
        <v>-0.55555555555555558</v>
      </c>
      <c r="H190" s="118">
        <f t="shared" si="26"/>
        <v>1.4988087502707303E-2</v>
      </c>
      <c r="I190" s="118">
        <f t="shared" si="26"/>
        <v>-7.3439412484700428E-3</v>
      </c>
      <c r="L190" s="155"/>
      <c r="M190" s="156"/>
      <c r="N190" s="156"/>
    </row>
    <row r="191" spans="1:14" ht="15" customHeight="1" x14ac:dyDescent="0.2">
      <c r="A191" s="588">
        <f t="shared" si="24"/>
        <v>2011</v>
      </c>
      <c r="B191" s="588"/>
      <c r="C191" s="95"/>
      <c r="D191" s="118">
        <f t="shared" ref="D191:G192" si="27">D174/D173-1</f>
        <v>1.6193387386554292E-2</v>
      </c>
      <c r="E191" s="118">
        <f t="shared" si="27"/>
        <v>1.2140403486589735E-2</v>
      </c>
      <c r="F191" s="118">
        <f t="shared" si="27"/>
        <v>-1.4072638409033389E-2</v>
      </c>
      <c r="G191" s="118">
        <f t="shared" si="27"/>
        <v>0.5</v>
      </c>
      <c r="H191" s="118">
        <f t="shared" si="26"/>
        <v>-4.1796865680845396E-3</v>
      </c>
      <c r="I191" s="118">
        <f t="shared" si="26"/>
        <v>3.6991368680641123E-2</v>
      </c>
      <c r="L191" s="155"/>
      <c r="M191" s="156"/>
      <c r="N191" s="156"/>
    </row>
    <row r="192" spans="1:14" ht="15" customHeight="1" x14ac:dyDescent="0.2">
      <c r="A192" s="588">
        <f t="shared" si="24"/>
        <v>2012</v>
      </c>
      <c r="B192" s="588"/>
      <c r="C192" s="241"/>
      <c r="D192" s="118">
        <f t="shared" si="27"/>
        <v>1.5693046050710313E-2</v>
      </c>
      <c r="E192" s="118">
        <f t="shared" si="27"/>
        <v>1.4238967011585668E-2</v>
      </c>
      <c r="F192" s="118">
        <f t="shared" si="27"/>
        <v>-2.324786324786321E-2</v>
      </c>
      <c r="G192" s="118">
        <f t="shared" si="27"/>
        <v>0</v>
      </c>
      <c r="H192" s="118">
        <f t="shared" si="26"/>
        <v>3.6727040767015051E-3</v>
      </c>
      <c r="I192" s="118">
        <f t="shared" si="26"/>
        <v>3.2996432818073629E-2</v>
      </c>
      <c r="L192" s="155"/>
      <c r="M192" s="156"/>
      <c r="N192" s="156"/>
    </row>
    <row r="193" spans="1:14" ht="15" customHeight="1" x14ac:dyDescent="0.2">
      <c r="A193" s="589" t="s">
        <v>95</v>
      </c>
      <c r="B193" s="589"/>
      <c r="C193" s="76"/>
      <c r="D193" s="120">
        <f>'Rate Class Customer Model'!B42-1</f>
        <v>1.8946055149189567E-2</v>
      </c>
      <c r="E193" s="120">
        <f>'Rate Class Customer Model'!C42-1</f>
        <v>1.1989440937038243E-2</v>
      </c>
      <c r="F193" s="120">
        <f>'Rate Class Customer Model'!D42-1</f>
        <v>-4.0557674299953606E-3</v>
      </c>
      <c r="G193" s="120">
        <f>'Rate Class Customer Model'!E42-1</f>
        <v>-3.0708245041122573E-2</v>
      </c>
      <c r="H193" s="120">
        <f>'Rate Class Customer Model'!F42-1</f>
        <v>1.3334882458073682E-2</v>
      </c>
      <c r="I193" s="120">
        <f>'Rate Class Customer Model'!G42-1</f>
        <v>1.2323836139192634E-2</v>
      </c>
    </row>
    <row r="194" spans="1:14" x14ac:dyDescent="0.2">
      <c r="I194"/>
      <c r="J194"/>
      <c r="L194" s="83"/>
    </row>
    <row r="195" spans="1:14" ht="15" x14ac:dyDescent="0.2">
      <c r="A195" s="594" t="s">
        <v>211</v>
      </c>
      <c r="B195" s="595"/>
      <c r="C195" s="595"/>
      <c r="D195" s="595"/>
      <c r="E195" s="595"/>
      <c r="F195" s="595"/>
      <c r="G195" s="595"/>
      <c r="H195" s="595"/>
      <c r="I195" s="595"/>
      <c r="J195" s="596"/>
      <c r="K195" s="121"/>
      <c r="L195" s="121"/>
    </row>
    <row r="196" spans="1:14" ht="30" x14ac:dyDescent="0.2">
      <c r="A196" s="597" t="s">
        <v>79</v>
      </c>
      <c r="B196" s="609"/>
      <c r="C196" s="417"/>
      <c r="D196" s="386" t="str">
        <f t="shared" ref="D196:I196" si="28">D178</f>
        <v xml:space="preserve">Residential </v>
      </c>
      <c r="E196" s="386" t="str">
        <f t="shared" si="28"/>
        <v>GS&lt;50</v>
      </c>
      <c r="F196" s="386" t="str">
        <f t="shared" si="28"/>
        <v>GS&gt;50</v>
      </c>
      <c r="G196" s="386" t="str">
        <f t="shared" si="28"/>
        <v>Large User</v>
      </c>
      <c r="H196" s="386" t="str">
        <f t="shared" si="28"/>
        <v>Street Lighting</v>
      </c>
      <c r="I196" s="386" t="str">
        <f t="shared" si="28"/>
        <v>USL</v>
      </c>
      <c r="J196" s="386" t="s">
        <v>10</v>
      </c>
    </row>
    <row r="197" spans="1:14" ht="15" customHeight="1" x14ac:dyDescent="0.2">
      <c r="A197" s="226" t="s">
        <v>212</v>
      </c>
      <c r="B197" s="227"/>
      <c r="C197" s="227"/>
      <c r="D197" s="227"/>
      <c r="E197" s="227"/>
      <c r="F197" s="227"/>
      <c r="G197" s="227"/>
      <c r="H197" s="227"/>
      <c r="I197" s="227"/>
      <c r="J197" s="228"/>
    </row>
    <row r="198" spans="1:14" ht="15" customHeight="1" x14ac:dyDescent="0.2">
      <c r="A198" s="588">
        <v>2013</v>
      </c>
      <c r="B198" s="588"/>
      <c r="C198" s="248"/>
      <c r="D198" s="249">
        <f>+'Rate Class Customer Model'!B19</f>
        <v>81276.952000000005</v>
      </c>
      <c r="E198" s="249">
        <f>+'Rate Class Customer Model'!C19</f>
        <v>7736.9966057773026</v>
      </c>
      <c r="F198" s="249">
        <f>+'Rate Class Customer Model'!D19</f>
        <v>948.47089081750107</v>
      </c>
      <c r="G198" s="249">
        <f>+'Rate Class Customer Model'!E19</f>
        <v>2</v>
      </c>
      <c r="H198" s="249">
        <f>+'Rate Class Customer Model'!F19</f>
        <v>1569</v>
      </c>
      <c r="I198" s="249">
        <f>+'Rate Class Customer Model'!G19</f>
        <v>879.45633264592357</v>
      </c>
      <c r="J198" s="249">
        <f>SUM(D198:I198)</f>
        <v>92412.875829240715</v>
      </c>
      <c r="M198"/>
      <c r="N198"/>
    </row>
    <row r="199" spans="1:14" ht="15" customHeight="1" x14ac:dyDescent="0.2">
      <c r="A199" s="588">
        <v>2014</v>
      </c>
      <c r="B199" s="588"/>
      <c r="C199" s="246"/>
      <c r="D199" s="249">
        <f>+'Rate Class Customer Model'!B20</f>
        <v>82577.383232000007</v>
      </c>
      <c r="E199" s="249">
        <f>+'Rate Class Customer Model'!C20</f>
        <v>7829.7588696123348</v>
      </c>
      <c r="F199" s="249">
        <f>+'Rate Class Customer Model'!D20</f>
        <v>944.62411347022476</v>
      </c>
      <c r="G199" s="249">
        <f>+'Rate Class Customer Model'!E20</f>
        <v>1</v>
      </c>
      <c r="H199" s="249">
        <f>+'Rate Class Customer Model'!F20</f>
        <v>1591.6757998109217</v>
      </c>
      <c r="I199" s="249">
        <f>+'Rate Class Customer Model'!G20</f>
        <v>890.29460838102727</v>
      </c>
      <c r="J199" s="249">
        <f>SUM(D199:I199)</f>
        <v>93834.736623274526</v>
      </c>
      <c r="L199" s="250"/>
      <c r="M199"/>
      <c r="N199"/>
    </row>
    <row r="200" spans="1:14" x14ac:dyDescent="0.2">
      <c r="K200"/>
    </row>
    <row r="201" spans="1:14" ht="15" x14ac:dyDescent="0.2">
      <c r="A201" s="589" t="s">
        <v>300</v>
      </c>
      <c r="B201" s="589"/>
      <c r="C201" s="589"/>
      <c r="D201" s="589"/>
      <c r="E201" s="589"/>
      <c r="F201" s="589"/>
      <c r="G201" s="589"/>
      <c r="H201" s="589"/>
      <c r="I201" s="589"/>
      <c r="J201" s="589"/>
      <c r="K201" s="121"/>
    </row>
    <row r="202" spans="1:14" ht="30" x14ac:dyDescent="0.2">
      <c r="A202" s="622" t="s">
        <v>79</v>
      </c>
      <c r="B202" s="622"/>
      <c r="C202" s="427"/>
      <c r="D202" s="378" t="str">
        <f t="shared" ref="D202:I202" si="29">D196</f>
        <v xml:space="preserve">Residential </v>
      </c>
      <c r="E202" s="378" t="str">
        <f t="shared" si="29"/>
        <v>GS&lt;50</v>
      </c>
      <c r="F202" s="378" t="str">
        <f t="shared" si="29"/>
        <v>GS&gt;50</v>
      </c>
      <c r="G202" s="378" t="str">
        <f t="shared" si="29"/>
        <v>Large User</v>
      </c>
      <c r="H202" s="378" t="str">
        <f t="shared" si="29"/>
        <v>Street Lighting</v>
      </c>
      <c r="I202" s="378" t="str">
        <f t="shared" si="29"/>
        <v>USL</v>
      </c>
      <c r="J202" s="378" t="s">
        <v>277</v>
      </c>
    </row>
    <row r="203" spans="1:14" ht="15" x14ac:dyDescent="0.2">
      <c r="A203" s="589" t="s">
        <v>213</v>
      </c>
      <c r="B203" s="589"/>
      <c r="C203" s="589"/>
      <c r="D203" s="589"/>
      <c r="E203" s="589"/>
      <c r="F203" s="589"/>
      <c r="G203" s="589"/>
      <c r="H203" s="589"/>
      <c r="I203" s="589"/>
      <c r="J203" s="589"/>
    </row>
    <row r="204" spans="1:14" ht="15" customHeight="1" x14ac:dyDescent="0.2">
      <c r="A204" s="588">
        <f t="shared" ref="A204:A216" si="30">A180</f>
        <v>2000</v>
      </c>
      <c r="B204" s="588"/>
      <c r="C204" s="413"/>
      <c r="D204" s="117">
        <f t="shared" ref="D204:I216" si="31">D72</f>
        <v>8814.4659454876582</v>
      </c>
      <c r="E204" s="117">
        <f t="shared" si="31"/>
        <v>33004.454218081861</v>
      </c>
      <c r="F204" s="117">
        <f t="shared" si="31"/>
        <v>815112.49273959338</v>
      </c>
      <c r="G204" s="117">
        <f t="shared" si="31"/>
        <v>62695621.666666664</v>
      </c>
      <c r="H204" s="447">
        <f t="shared" si="31"/>
        <v>10208.93862758823</v>
      </c>
      <c r="I204" s="117">
        <f t="shared" si="31"/>
        <v>5880.6303733333334</v>
      </c>
      <c r="J204" s="406"/>
    </row>
    <row r="205" spans="1:14" ht="15" customHeight="1" x14ac:dyDescent="0.2">
      <c r="A205" s="588">
        <f t="shared" si="30"/>
        <v>2001</v>
      </c>
      <c r="B205" s="588"/>
      <c r="C205" s="413"/>
      <c r="D205" s="117">
        <f t="shared" si="31"/>
        <v>8413.6553419202282</v>
      </c>
      <c r="E205" s="117">
        <f t="shared" si="31"/>
        <v>29601.438045066992</v>
      </c>
      <c r="F205" s="117">
        <f t="shared" si="31"/>
        <v>852902.01062801946</v>
      </c>
      <c r="G205" s="117">
        <f t="shared" si="31"/>
        <v>57268001.25</v>
      </c>
      <c r="H205" s="447">
        <f t="shared" si="31"/>
        <v>10132.923910879041</v>
      </c>
      <c r="I205" s="117">
        <f t="shared" si="31"/>
        <v>5290.4012266666668</v>
      </c>
      <c r="J205" s="406"/>
    </row>
    <row r="206" spans="1:14" ht="15" customHeight="1" x14ac:dyDescent="0.2">
      <c r="A206" s="588">
        <f t="shared" si="30"/>
        <v>2002</v>
      </c>
      <c r="B206" s="588"/>
      <c r="C206" s="413"/>
      <c r="D206" s="117">
        <f t="shared" si="31"/>
        <v>9275.8476318073172</v>
      </c>
      <c r="E206" s="117">
        <f t="shared" si="31"/>
        <v>33393.802995889782</v>
      </c>
      <c r="F206" s="117">
        <f t="shared" si="31"/>
        <v>808692.80149812729</v>
      </c>
      <c r="G206" s="117">
        <f t="shared" si="31"/>
        <v>64339798.5</v>
      </c>
      <c r="H206" s="447">
        <f t="shared" si="31"/>
        <v>8956.4452678474408</v>
      </c>
      <c r="I206" s="117">
        <f t="shared" si="31"/>
        <v>5852.0446013071896</v>
      </c>
      <c r="J206" s="117">
        <f>+ED!C6</f>
        <v>15328897</v>
      </c>
    </row>
    <row r="207" spans="1:14" ht="15" customHeight="1" x14ac:dyDescent="0.2">
      <c r="A207" s="588">
        <f t="shared" si="30"/>
        <v>2003</v>
      </c>
      <c r="B207" s="588"/>
      <c r="C207" s="414"/>
      <c r="D207" s="117">
        <f t="shared" si="31"/>
        <v>9036.5820486620159</v>
      </c>
      <c r="E207" s="117">
        <f t="shared" si="31"/>
        <v>33640.760008951213</v>
      </c>
      <c r="F207" s="117">
        <f t="shared" si="31"/>
        <v>833019.04734299518</v>
      </c>
      <c r="G207" s="117">
        <f t="shared" si="31"/>
        <v>63268131.75</v>
      </c>
      <c r="H207" s="447">
        <f t="shared" si="31"/>
        <v>10552.725266903915</v>
      </c>
      <c r="I207" s="117">
        <f t="shared" si="31"/>
        <v>6015.5799477124183</v>
      </c>
      <c r="J207" s="117">
        <f>+ED!C7</f>
        <v>20418900.809999999</v>
      </c>
    </row>
    <row r="208" spans="1:14" ht="15" customHeight="1" x14ac:dyDescent="0.2">
      <c r="A208" s="588">
        <f t="shared" si="30"/>
        <v>2004</v>
      </c>
      <c r="B208" s="588"/>
      <c r="C208" s="414"/>
      <c r="D208" s="117">
        <f t="shared" si="31"/>
        <v>8549.5855629997841</v>
      </c>
      <c r="E208" s="117">
        <f t="shared" si="31"/>
        <v>32039.489958920192</v>
      </c>
      <c r="F208" s="117">
        <f t="shared" si="31"/>
        <v>833183.23913043481</v>
      </c>
      <c r="G208" s="117">
        <f t="shared" si="31"/>
        <v>58684490.75</v>
      </c>
      <c r="H208" s="447">
        <f t="shared" si="31"/>
        <v>10030.837675350702</v>
      </c>
      <c r="I208" s="117">
        <f t="shared" si="31"/>
        <v>5421.8472506082735</v>
      </c>
      <c r="J208" s="117">
        <f>+ED!C8</f>
        <v>19486435.960000001</v>
      </c>
    </row>
    <row r="209" spans="1:22" ht="15" customHeight="1" x14ac:dyDescent="0.2">
      <c r="A209" s="588">
        <f t="shared" si="30"/>
        <v>2005</v>
      </c>
      <c r="B209" s="588"/>
      <c r="C209" s="414"/>
      <c r="D209" s="117">
        <f t="shared" si="31"/>
        <v>8958.948622184922</v>
      </c>
      <c r="E209" s="117">
        <f t="shared" si="31"/>
        <v>33198.624251012145</v>
      </c>
      <c r="F209" s="117">
        <f t="shared" si="31"/>
        <v>853252.41597028787</v>
      </c>
      <c r="G209" s="117">
        <f t="shared" si="31"/>
        <v>58014601</v>
      </c>
      <c r="H209" s="447">
        <f t="shared" si="31"/>
        <v>9952.9281476598553</v>
      </c>
      <c r="I209" s="117">
        <f t="shared" si="31"/>
        <v>5806.3800247831468</v>
      </c>
      <c r="J209" s="117">
        <f>+ED!C9</f>
        <v>16865800.48</v>
      </c>
    </row>
    <row r="210" spans="1:22" ht="15" customHeight="1" x14ac:dyDescent="0.2">
      <c r="A210" s="588">
        <f t="shared" si="30"/>
        <v>2006</v>
      </c>
      <c r="B210" s="588"/>
      <c r="C210" s="414"/>
      <c r="D210" s="117">
        <f t="shared" si="31"/>
        <v>8566.3567370241271</v>
      </c>
      <c r="E210" s="117">
        <f t="shared" si="31"/>
        <v>32788.765640516387</v>
      </c>
      <c r="F210" s="117">
        <f t="shared" si="31"/>
        <v>842714.21057786478</v>
      </c>
      <c r="G210" s="117">
        <f t="shared" si="31"/>
        <v>45493949.75</v>
      </c>
      <c r="H210" s="447">
        <f t="shared" si="31"/>
        <v>9974.3783431180691</v>
      </c>
      <c r="I210" s="117">
        <f t="shared" si="31"/>
        <v>5865.0842627013626</v>
      </c>
      <c r="J210" s="117">
        <f>+ED!C10</f>
        <v>21112323.120000001</v>
      </c>
    </row>
    <row r="211" spans="1:22" ht="15" customHeight="1" x14ac:dyDescent="0.2">
      <c r="A211" s="588">
        <f t="shared" si="30"/>
        <v>2007</v>
      </c>
      <c r="B211" s="588"/>
      <c r="C211" s="414"/>
      <c r="D211" s="117">
        <f t="shared" si="31"/>
        <v>8596.5004167114748</v>
      </c>
      <c r="E211" s="117">
        <f t="shared" si="31"/>
        <v>32465.357738260627</v>
      </c>
      <c r="F211" s="117">
        <f t="shared" si="31"/>
        <v>862481.7970149254</v>
      </c>
      <c r="G211" s="117">
        <f t="shared" si="31"/>
        <v>39420194.25</v>
      </c>
      <c r="H211" s="447">
        <f t="shared" si="31"/>
        <v>10204.524622455679</v>
      </c>
      <c r="I211" s="117">
        <f t="shared" si="31"/>
        <v>6084.8141809290955</v>
      </c>
      <c r="J211" s="117">
        <f>+ED!C11</f>
        <v>22263925.140000001</v>
      </c>
    </row>
    <row r="212" spans="1:22" ht="15" customHeight="1" x14ac:dyDescent="0.2">
      <c r="A212" s="588">
        <f t="shared" si="30"/>
        <v>2008</v>
      </c>
      <c r="B212" s="588"/>
      <c r="C212" s="414"/>
      <c r="D212" s="117">
        <f t="shared" si="31"/>
        <v>8491.4811087480575</v>
      </c>
      <c r="E212" s="117">
        <f t="shared" si="31"/>
        <v>32135.830417875863</v>
      </c>
      <c r="F212" s="117">
        <f t="shared" si="31"/>
        <v>826307.69334428932</v>
      </c>
      <c r="G212" s="117">
        <f t="shared" si="31"/>
        <v>36732194.25</v>
      </c>
      <c r="H212" s="447">
        <f t="shared" si="31"/>
        <v>11524.052753115418</v>
      </c>
      <c r="I212" s="117">
        <f t="shared" si="31"/>
        <v>4009.490243902439</v>
      </c>
      <c r="J212" s="117">
        <f>+ED!C12</f>
        <v>22427621.300000001</v>
      </c>
    </row>
    <row r="213" spans="1:22" ht="15" customHeight="1" x14ac:dyDescent="0.2">
      <c r="A213" s="588">
        <f t="shared" si="30"/>
        <v>2009</v>
      </c>
      <c r="B213" s="588"/>
      <c r="C213" s="414"/>
      <c r="D213" s="117">
        <f t="shared" si="31"/>
        <v>8220.6849896509721</v>
      </c>
      <c r="E213" s="117">
        <f t="shared" si="31"/>
        <v>31283.907466871693</v>
      </c>
      <c r="F213" s="117">
        <f t="shared" si="31"/>
        <v>816903.56049423665</v>
      </c>
      <c r="G213" s="117">
        <f t="shared" si="31"/>
        <v>26607461.666666664</v>
      </c>
      <c r="H213" s="447">
        <f t="shared" si="31"/>
        <v>10264.934880722114</v>
      </c>
      <c r="I213" s="117">
        <f t="shared" si="31"/>
        <v>4033.5385556915539</v>
      </c>
      <c r="J213" s="117">
        <f>+ED!C13</f>
        <v>22622441.550000001</v>
      </c>
    </row>
    <row r="214" spans="1:22" ht="15" customHeight="1" x14ac:dyDescent="0.2">
      <c r="A214" s="588">
        <f t="shared" si="30"/>
        <v>2010</v>
      </c>
      <c r="B214" s="588"/>
      <c r="C214" s="414"/>
      <c r="D214" s="117">
        <f t="shared" si="31"/>
        <v>8394.8683530612179</v>
      </c>
      <c r="E214" s="117">
        <f t="shared" si="31"/>
        <v>31701.012050888996</v>
      </c>
      <c r="F214" s="117">
        <f t="shared" si="31"/>
        <v>886712.54470380046</v>
      </c>
      <c r="G214" s="117">
        <f t="shared" si="31"/>
        <v>34922719.5</v>
      </c>
      <c r="H214" s="447">
        <f t="shared" si="31"/>
        <v>10185.89957698752</v>
      </c>
      <c r="I214" s="117">
        <f t="shared" si="31"/>
        <v>4030.8742293464857</v>
      </c>
      <c r="J214" s="117">
        <f>+ED!C14</f>
        <v>24190281.48</v>
      </c>
    </row>
    <row r="215" spans="1:22" ht="15" customHeight="1" x14ac:dyDescent="0.2">
      <c r="A215" s="588">
        <f t="shared" si="30"/>
        <v>2011</v>
      </c>
      <c r="B215" s="588"/>
      <c r="C215" s="414"/>
      <c r="D215" s="117">
        <f t="shared" si="31"/>
        <v>8218.2833001104609</v>
      </c>
      <c r="E215" s="117">
        <f t="shared" si="31"/>
        <v>31859.315866277528</v>
      </c>
      <c r="F215" s="117">
        <f t="shared" si="31"/>
        <v>893593.8953846154</v>
      </c>
      <c r="G215" s="117">
        <f t="shared" si="31"/>
        <v>28007634.5</v>
      </c>
      <c r="H215" s="447">
        <f t="shared" si="31"/>
        <v>10115.363385073357</v>
      </c>
      <c r="I215" s="117">
        <f t="shared" si="31"/>
        <v>3946.2342449464918</v>
      </c>
      <c r="J215" s="117">
        <f>+ED!C15</f>
        <v>21309995.489999998</v>
      </c>
      <c r="M215" s="99"/>
      <c r="N215" s="99"/>
      <c r="O215" s="99"/>
      <c r="P215" s="99"/>
      <c r="Q215" s="99"/>
      <c r="R215" s="99"/>
      <c r="S215" s="99"/>
      <c r="T215" s="99"/>
      <c r="U215" s="99"/>
      <c r="V215" s="99"/>
    </row>
    <row r="216" spans="1:22" ht="15" customHeight="1" x14ac:dyDescent="0.2">
      <c r="A216" s="588">
        <f t="shared" si="30"/>
        <v>2012</v>
      </c>
      <c r="B216" s="588"/>
      <c r="C216" s="414"/>
      <c r="D216" s="117">
        <f t="shared" si="31"/>
        <v>8056.1433553758279</v>
      </c>
      <c r="E216" s="117">
        <f t="shared" si="31"/>
        <v>31520.139082664809</v>
      </c>
      <c r="F216" s="117">
        <f t="shared" si="31"/>
        <v>893372.57577878889</v>
      </c>
      <c r="G216" s="117">
        <f t="shared" si="31"/>
        <v>34678188</v>
      </c>
      <c r="H216" s="447">
        <f t="shared" si="31"/>
        <v>10132.995647400958</v>
      </c>
      <c r="I216" s="117">
        <f t="shared" si="31"/>
        <v>4254.9179856115115</v>
      </c>
      <c r="J216" s="117">
        <f>+ED!C16</f>
        <v>17590423.550000001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x14ac:dyDescent="0.2">
      <c r="M217" s="99"/>
      <c r="N217" s="99"/>
      <c r="O217" s="99"/>
      <c r="P217" s="99"/>
      <c r="Q217" s="99"/>
      <c r="R217" s="99"/>
      <c r="S217" s="99"/>
      <c r="T217" s="99"/>
    </row>
    <row r="218" spans="1:22" ht="15" x14ac:dyDescent="0.2">
      <c r="A218" s="594" t="s">
        <v>214</v>
      </c>
      <c r="B218" s="595"/>
      <c r="C218" s="595"/>
      <c r="D218" s="595"/>
      <c r="E218" s="595"/>
      <c r="F218" s="595"/>
      <c r="G218" s="595"/>
      <c r="H218" s="595"/>
      <c r="I218" s="596"/>
      <c r="J218" s="121"/>
      <c r="K218" s="121"/>
      <c r="M218" s="99"/>
      <c r="N218" s="99"/>
      <c r="O218" s="99"/>
      <c r="P218" s="99"/>
      <c r="Q218" s="99"/>
      <c r="R218" s="99"/>
      <c r="S218" s="99"/>
      <c r="T218" s="99"/>
    </row>
    <row r="219" spans="1:22" ht="30" x14ac:dyDescent="0.2">
      <c r="A219" s="597" t="s">
        <v>79</v>
      </c>
      <c r="B219" s="609"/>
      <c r="C219" s="416"/>
      <c r="D219" s="418" t="str">
        <f t="shared" ref="D219:I219" si="32">D202</f>
        <v xml:space="preserve">Residential </v>
      </c>
      <c r="E219" s="418" t="str">
        <f t="shared" si="32"/>
        <v>GS&lt;50</v>
      </c>
      <c r="F219" s="418" t="str">
        <f t="shared" si="32"/>
        <v>GS&gt;50</v>
      </c>
      <c r="G219" s="418" t="str">
        <f t="shared" si="32"/>
        <v>Large User</v>
      </c>
      <c r="H219" s="418" t="str">
        <f t="shared" si="32"/>
        <v>Street Lighting</v>
      </c>
      <c r="I219" s="418" t="str">
        <f t="shared" si="32"/>
        <v>USL</v>
      </c>
    </row>
    <row r="220" spans="1:22" ht="15" customHeight="1" x14ac:dyDescent="0.2">
      <c r="A220" s="226" t="s">
        <v>215</v>
      </c>
      <c r="B220" s="227"/>
      <c r="C220" s="227"/>
      <c r="D220" s="227"/>
      <c r="E220" s="227"/>
      <c r="F220" s="227"/>
      <c r="G220" s="227"/>
      <c r="H220" s="227"/>
      <c r="I220" s="228"/>
    </row>
    <row r="221" spans="1:22" ht="15" customHeight="1" x14ac:dyDescent="0.2">
      <c r="A221" s="588">
        <f t="shared" ref="A221:A233" si="33">A204</f>
        <v>2000</v>
      </c>
      <c r="B221" s="588"/>
      <c r="C221" s="76"/>
      <c r="D221" s="76"/>
      <c r="E221" s="76"/>
      <c r="F221" s="76"/>
      <c r="G221" s="76"/>
      <c r="H221" s="76"/>
      <c r="I221" s="92"/>
    </row>
    <row r="222" spans="1:22" ht="15" customHeight="1" x14ac:dyDescent="0.2">
      <c r="A222" s="588">
        <f t="shared" si="33"/>
        <v>2001</v>
      </c>
      <c r="B222" s="588"/>
      <c r="C222" s="76"/>
      <c r="D222" s="422">
        <f t="shared" ref="D222:I223" si="34">D205/D204-1</f>
        <v>-4.5471910158393025E-2</v>
      </c>
      <c r="E222" s="422">
        <f t="shared" si="34"/>
        <v>-0.10310778510466889</v>
      </c>
      <c r="F222" s="422">
        <f t="shared" si="34"/>
        <v>4.6361107485195729E-2</v>
      </c>
      <c r="G222" s="422">
        <f t="shared" si="34"/>
        <v>-8.6570964165945341E-2</v>
      </c>
      <c r="H222" s="422">
        <f t="shared" si="34"/>
        <v>-7.4458980979442702E-3</v>
      </c>
      <c r="I222" s="422">
        <f t="shared" si="34"/>
        <v>-0.10036834645196469</v>
      </c>
      <c r="M222" s="155">
        <f t="shared" ref="M222:M234" si="35">SUM(D222:I222)</f>
        <v>-0.29660379649372048</v>
      </c>
      <c r="N222" s="156">
        <f>'Rate Class Energy Model'!Z55</f>
        <v>0</v>
      </c>
      <c r="O222" s="157">
        <f>M222-N222</f>
        <v>-0.29660379649372048</v>
      </c>
    </row>
    <row r="223" spans="1:22" ht="15" customHeight="1" x14ac:dyDescent="0.2">
      <c r="A223" s="588">
        <f t="shared" si="33"/>
        <v>2002</v>
      </c>
      <c r="B223" s="588"/>
      <c r="C223" s="76"/>
      <c r="D223" s="422">
        <f t="shared" si="34"/>
        <v>0.10247535165735866</v>
      </c>
      <c r="E223" s="422">
        <f t="shared" si="34"/>
        <v>0.12811421340574958</v>
      </c>
      <c r="F223" s="422">
        <f t="shared" si="34"/>
        <v>-5.1833866703326792E-2</v>
      </c>
      <c r="G223" s="422">
        <f t="shared" si="34"/>
        <v>0.12348601480132859</v>
      </c>
      <c r="H223" s="422">
        <f t="shared" si="34"/>
        <v>-0.11610455712279588</v>
      </c>
      <c r="I223" s="422">
        <f t="shared" si="34"/>
        <v>0.10616271820925727</v>
      </c>
      <c r="M223" s="155">
        <f t="shared" si="35"/>
        <v>0.29229987424757142</v>
      </c>
      <c r="N223" s="156">
        <f>'Rate Class Energy Model'!Z56</f>
        <v>0</v>
      </c>
      <c r="O223" s="157">
        <f t="shared" ref="O223:O234" si="36">M223-N223</f>
        <v>0.29229987424757142</v>
      </c>
    </row>
    <row r="224" spans="1:22" ht="15" customHeight="1" x14ac:dyDescent="0.2">
      <c r="A224" s="588">
        <f t="shared" si="33"/>
        <v>2003</v>
      </c>
      <c r="B224" s="588"/>
      <c r="C224" s="95"/>
      <c r="D224" s="422">
        <f t="shared" ref="D224:G231" si="37">D207/D206-1</f>
        <v>-2.5794471043794287E-2</v>
      </c>
      <c r="E224" s="422">
        <f t="shared" si="37"/>
        <v>7.3952946626603122E-3</v>
      </c>
      <c r="F224" s="422">
        <f t="shared" si="37"/>
        <v>3.0080947672345815E-2</v>
      </c>
      <c r="G224" s="422">
        <f t="shared" si="37"/>
        <v>-1.6656358505692248E-2</v>
      </c>
      <c r="H224" s="422">
        <f t="shared" ref="H224:I233" si="38">H207/H206-1</f>
        <v>0.1782269584995877</v>
      </c>
      <c r="I224" s="422">
        <f t="shared" si="38"/>
        <v>2.7944993168490084E-2</v>
      </c>
      <c r="M224" s="155">
        <f t="shared" si="35"/>
        <v>0.20119736445359737</v>
      </c>
      <c r="N224" s="156">
        <f>'Rate Class Energy Model'!Z57</f>
        <v>0</v>
      </c>
      <c r="O224" s="157">
        <f t="shared" si="36"/>
        <v>0.20119736445359737</v>
      </c>
    </row>
    <row r="225" spans="1:20" ht="15" customHeight="1" x14ac:dyDescent="0.2">
      <c r="A225" s="588">
        <f t="shared" si="33"/>
        <v>2004</v>
      </c>
      <c r="B225" s="588"/>
      <c r="C225" s="95"/>
      <c r="D225" s="422">
        <f t="shared" si="37"/>
        <v>-5.389166866850259E-2</v>
      </c>
      <c r="E225" s="422">
        <f t="shared" si="37"/>
        <v>-4.7599104467465958E-2</v>
      </c>
      <c r="F225" s="422">
        <f t="shared" si="37"/>
        <v>1.9710448154008908E-4</v>
      </c>
      <c r="G225" s="422">
        <f t="shared" si="37"/>
        <v>-7.2447863927956102E-2</v>
      </c>
      <c r="H225" s="422">
        <f t="shared" si="38"/>
        <v>-4.9455242920991127E-2</v>
      </c>
      <c r="I225" s="422">
        <f t="shared" si="38"/>
        <v>-9.8699161554643977E-2</v>
      </c>
      <c r="M225" s="155">
        <f t="shared" si="35"/>
        <v>-0.32189593705801967</v>
      </c>
      <c r="N225" s="156">
        <f>'Rate Class Energy Model'!Z58</f>
        <v>0</v>
      </c>
      <c r="O225" s="157">
        <f t="shared" si="36"/>
        <v>-0.32189593705801967</v>
      </c>
    </row>
    <row r="226" spans="1:20" ht="15" customHeight="1" x14ac:dyDescent="0.2">
      <c r="A226" s="588">
        <f t="shared" si="33"/>
        <v>2005</v>
      </c>
      <c r="B226" s="588"/>
      <c r="C226" s="95"/>
      <c r="D226" s="422">
        <f t="shared" si="37"/>
        <v>4.788104127020465E-2</v>
      </c>
      <c r="E226" s="422">
        <f t="shared" si="37"/>
        <v>3.6178300390491636E-2</v>
      </c>
      <c r="F226" s="422">
        <f t="shared" si="37"/>
        <v>2.4087350653859252E-2</v>
      </c>
      <c r="G226" s="422">
        <f t="shared" si="37"/>
        <v>-1.1415107150776427E-2</v>
      </c>
      <c r="H226" s="422">
        <f t="shared" si="38"/>
        <v>-7.7670011431146824E-3</v>
      </c>
      <c r="I226" s="422">
        <f t="shared" si="38"/>
        <v>7.0922834303702054E-2</v>
      </c>
      <c r="M226" s="155">
        <f t="shared" si="35"/>
        <v>0.15988741832436648</v>
      </c>
      <c r="N226" s="156">
        <f>'Rate Class Energy Model'!Z59</f>
        <v>0</v>
      </c>
      <c r="O226" s="157">
        <f t="shared" si="36"/>
        <v>0.15988741832436648</v>
      </c>
    </row>
    <row r="227" spans="1:20" ht="15" customHeight="1" x14ac:dyDescent="0.2">
      <c r="A227" s="588">
        <f t="shared" si="33"/>
        <v>2006</v>
      </c>
      <c r="B227" s="588"/>
      <c r="C227" s="95"/>
      <c r="D227" s="422">
        <f t="shared" si="37"/>
        <v>-4.3821200647208181E-2</v>
      </c>
      <c r="E227" s="422">
        <f t="shared" si="37"/>
        <v>-1.2345650452164847E-2</v>
      </c>
      <c r="F227" s="422">
        <f t="shared" si="37"/>
        <v>-1.2350630593221834E-2</v>
      </c>
      <c r="G227" s="422">
        <f t="shared" si="37"/>
        <v>-0.21581896684939705</v>
      </c>
      <c r="H227" s="422">
        <f t="shared" si="38"/>
        <v>2.155164303407231E-3</v>
      </c>
      <c r="I227" s="422">
        <f t="shared" si="38"/>
        <v>1.0110298958671438E-2</v>
      </c>
      <c r="M227" s="155">
        <f t="shared" si="35"/>
        <v>-0.27207098527991325</v>
      </c>
      <c r="N227" s="156">
        <f>'Rate Class Energy Model'!Z60</f>
        <v>0</v>
      </c>
      <c r="O227" s="157">
        <f t="shared" si="36"/>
        <v>-0.27207098527991325</v>
      </c>
    </row>
    <row r="228" spans="1:20" ht="15" customHeight="1" x14ac:dyDescent="0.2">
      <c r="A228" s="588">
        <f t="shared" si="33"/>
        <v>2007</v>
      </c>
      <c r="B228" s="588"/>
      <c r="C228" s="95"/>
      <c r="D228" s="422">
        <f t="shared" si="37"/>
        <v>3.5188447799594513E-3</v>
      </c>
      <c r="E228" s="422">
        <f t="shared" si="37"/>
        <v>-9.8633753341459407E-3</v>
      </c>
      <c r="F228" s="422">
        <f t="shared" si="37"/>
        <v>2.345704651581193E-2</v>
      </c>
      <c r="G228" s="422">
        <f t="shared" si="37"/>
        <v>-0.13350688461601423</v>
      </c>
      <c r="H228" s="422">
        <f t="shared" si="38"/>
        <v>2.3073746695843278E-2</v>
      </c>
      <c r="I228" s="422">
        <f t="shared" si="38"/>
        <v>3.7464068440600462E-2</v>
      </c>
      <c r="M228" s="155">
        <f t="shared" si="35"/>
        <v>-5.5856553517945051E-2</v>
      </c>
      <c r="N228" s="156">
        <f>'Rate Class Energy Model'!Z61</f>
        <v>0</v>
      </c>
      <c r="O228" s="157">
        <f t="shared" si="36"/>
        <v>-5.5856553517945051E-2</v>
      </c>
    </row>
    <row r="229" spans="1:20" ht="15" customHeight="1" x14ac:dyDescent="0.2">
      <c r="A229" s="588">
        <f t="shared" si="33"/>
        <v>2008</v>
      </c>
      <c r="B229" s="588"/>
      <c r="C229" s="95"/>
      <c r="D229" s="422">
        <f t="shared" si="37"/>
        <v>-1.2216518684657007E-2</v>
      </c>
      <c r="E229" s="422">
        <f t="shared" si="37"/>
        <v>-1.0150121339843277E-2</v>
      </c>
      <c r="F229" s="422">
        <f t="shared" si="37"/>
        <v>-4.1941874942561963E-2</v>
      </c>
      <c r="G229" s="422">
        <f t="shared" si="37"/>
        <v>-6.818840066979126E-2</v>
      </c>
      <c r="H229" s="422">
        <f t="shared" si="38"/>
        <v>0.12930814315015104</v>
      </c>
      <c r="I229" s="422">
        <f t="shared" si="38"/>
        <v>-0.34106611563112244</v>
      </c>
      <c r="M229" s="155">
        <f t="shared" si="35"/>
        <v>-0.3442548881178249</v>
      </c>
      <c r="N229" s="156">
        <f>'Rate Class Energy Model'!Z62</f>
        <v>0</v>
      </c>
      <c r="O229" s="157">
        <f t="shared" si="36"/>
        <v>-0.3442548881178249</v>
      </c>
    </row>
    <row r="230" spans="1:20" ht="15" customHeight="1" x14ac:dyDescent="0.2">
      <c r="A230" s="588">
        <f t="shared" si="33"/>
        <v>2009</v>
      </c>
      <c r="B230" s="588"/>
      <c r="C230" s="95"/>
      <c r="D230" s="422">
        <f t="shared" si="37"/>
        <v>-3.1890328157016978E-2</v>
      </c>
      <c r="E230" s="422">
        <f t="shared" si="37"/>
        <v>-2.6510064931456689E-2</v>
      </c>
      <c r="F230" s="422">
        <f t="shared" si="37"/>
        <v>-1.1380909225220504E-2</v>
      </c>
      <c r="G230" s="422">
        <f t="shared" si="37"/>
        <v>-0.27563647612294051</v>
      </c>
      <c r="H230" s="422">
        <f t="shared" si="38"/>
        <v>-0.1092599885967126</v>
      </c>
      <c r="I230" s="422">
        <f t="shared" si="38"/>
        <v>5.9978476879167797E-3</v>
      </c>
      <c r="M230" s="155">
        <f t="shared" si="35"/>
        <v>-0.4486799193454305</v>
      </c>
      <c r="N230" s="156">
        <f>'Rate Class Energy Model'!Z63</f>
        <v>0</v>
      </c>
      <c r="O230" s="157">
        <f t="shared" si="36"/>
        <v>-0.4486799193454305</v>
      </c>
    </row>
    <row r="231" spans="1:20" ht="15" customHeight="1" x14ac:dyDescent="0.2">
      <c r="A231" s="588">
        <f t="shared" si="33"/>
        <v>2010</v>
      </c>
      <c r="B231" s="588"/>
      <c r="C231" s="95"/>
      <c r="D231" s="422">
        <f t="shared" si="37"/>
        <v>2.1188424520526716E-2</v>
      </c>
      <c r="E231" s="422">
        <f t="shared" si="37"/>
        <v>1.3332879994578661E-2</v>
      </c>
      <c r="F231" s="422">
        <f t="shared" si="37"/>
        <v>8.5455600373841589E-2</v>
      </c>
      <c r="G231" s="422">
        <f t="shared" si="37"/>
        <v>0.31251601289538034</v>
      </c>
      <c r="H231" s="422">
        <f t="shared" si="38"/>
        <v>-7.6995426325621175E-3</v>
      </c>
      <c r="I231" s="422">
        <f t="shared" si="38"/>
        <v>-6.6054317029118348E-4</v>
      </c>
      <c r="L231" s="123"/>
      <c r="M231" s="155">
        <f t="shared" si="35"/>
        <v>0.424132831981474</v>
      </c>
      <c r="N231" s="156">
        <f>'Rate Class Energy Model'!Z64</f>
        <v>0</v>
      </c>
      <c r="O231" s="157">
        <f t="shared" si="36"/>
        <v>0.424132831981474</v>
      </c>
      <c r="P231" s="123"/>
      <c r="Q231" s="123"/>
      <c r="R231" s="123"/>
      <c r="S231" s="123"/>
      <c r="T231" s="123"/>
    </row>
    <row r="232" spans="1:20" ht="15" customHeight="1" x14ac:dyDescent="0.2">
      <c r="A232" s="588">
        <f t="shared" si="33"/>
        <v>2011</v>
      </c>
      <c r="B232" s="588"/>
      <c r="C232" s="95"/>
      <c r="D232" s="422">
        <f t="shared" ref="D232:G233" si="39">D215/D214-1</f>
        <v>-2.1034880539414824E-2</v>
      </c>
      <c r="E232" s="422">
        <f t="shared" si="39"/>
        <v>4.9936517841893124E-3</v>
      </c>
      <c r="F232" s="422">
        <f t="shared" si="39"/>
        <v>7.760520274485927E-3</v>
      </c>
      <c r="G232" s="422">
        <f t="shared" si="39"/>
        <v>-0.19801106841063743</v>
      </c>
      <c r="H232" s="422">
        <f t="shared" si="38"/>
        <v>-6.9248858562793725E-3</v>
      </c>
      <c r="I232" s="422">
        <f t="shared" si="38"/>
        <v>-2.099792243175902E-2</v>
      </c>
      <c r="L232" s="123"/>
      <c r="M232" s="155">
        <f t="shared" si="35"/>
        <v>-0.2342145851794154</v>
      </c>
      <c r="N232" s="156">
        <f>'Rate Class Energy Model'!Z65</f>
        <v>0</v>
      </c>
      <c r="O232" s="157">
        <f t="shared" si="36"/>
        <v>-0.2342145851794154</v>
      </c>
      <c r="P232" s="123"/>
      <c r="Q232" s="123"/>
      <c r="R232" s="123"/>
      <c r="S232" s="123"/>
      <c r="T232" s="123"/>
    </row>
    <row r="233" spans="1:20" ht="15" customHeight="1" x14ac:dyDescent="0.2">
      <c r="A233" s="588">
        <f t="shared" si="33"/>
        <v>2012</v>
      </c>
      <c r="B233" s="588"/>
      <c r="C233" s="241"/>
      <c r="D233" s="422">
        <f t="shared" si="39"/>
        <v>-1.9729174428977592E-2</v>
      </c>
      <c r="E233" s="422">
        <f t="shared" si="39"/>
        <v>-1.0646078686571192E-2</v>
      </c>
      <c r="F233" s="422">
        <f t="shared" si="39"/>
        <v>-2.4767358748711832E-4</v>
      </c>
      <c r="G233" s="422">
        <f t="shared" si="39"/>
        <v>0.23816911421062703</v>
      </c>
      <c r="H233" s="422">
        <f t="shared" si="38"/>
        <v>1.7431170444770494E-3</v>
      </c>
      <c r="I233" s="422">
        <f t="shared" si="38"/>
        <v>7.8222356176731456E-2</v>
      </c>
      <c r="L233" s="123"/>
      <c r="M233" s="155"/>
      <c r="N233" s="156"/>
      <c r="O233" s="157"/>
      <c r="P233" s="123"/>
      <c r="Q233" s="123"/>
      <c r="R233" s="123"/>
      <c r="S233" s="123"/>
      <c r="T233" s="123"/>
    </row>
    <row r="234" spans="1:20" ht="15" customHeight="1" x14ac:dyDescent="0.2">
      <c r="A234" s="589" t="str">
        <f>A193</f>
        <v>Geometric Mean</v>
      </c>
      <c r="B234" s="589"/>
      <c r="C234" s="76"/>
      <c r="D234" s="423">
        <f>'Rate Class Energy Model'!K70-1</f>
        <v>-7.468577126746867E-3</v>
      </c>
      <c r="E234" s="423">
        <f>'Rate Class Energy Model'!L70-1</f>
        <v>-3.8273113657024682E-3</v>
      </c>
      <c r="F234" s="423">
        <f>'Rate Class Energy Model'!M70-1</f>
        <v>7.6690560835313004E-3</v>
      </c>
      <c r="G234" s="423">
        <f>'Rate Class Energy Model'!N70-1</f>
        <v>-4.8150545596019945E-2</v>
      </c>
      <c r="H234" s="423">
        <f>'Rate Class Energy Model'!O70-1</f>
        <v>6.4359320806062215E-7</v>
      </c>
      <c r="I234" s="423">
        <f>'Rate Class Energy Model'!P70-1</f>
        <v>-6.5514460849548706E-2</v>
      </c>
      <c r="M234" s="155">
        <f t="shared" si="35"/>
        <v>-0.11729119526127862</v>
      </c>
      <c r="N234" s="156">
        <f>'Rate Class Energy Model'!Z70</f>
        <v>0</v>
      </c>
      <c r="O234" s="157">
        <f t="shared" si="36"/>
        <v>-0.11729119526127862</v>
      </c>
    </row>
    <row r="235" spans="1:20" ht="15" x14ac:dyDescent="0.2">
      <c r="K235" s="124"/>
    </row>
    <row r="236" spans="1:20" ht="15" customHeight="1" x14ac:dyDescent="0.2">
      <c r="A236" s="594" t="s">
        <v>216</v>
      </c>
      <c r="B236" s="595"/>
      <c r="C236" s="595"/>
      <c r="D236" s="595"/>
      <c r="E236" s="595"/>
      <c r="F236" s="595"/>
      <c r="G236" s="595"/>
      <c r="H236" s="595"/>
      <c r="I236" s="596"/>
      <c r="J236" s="121"/>
      <c r="K236" s="121"/>
    </row>
    <row r="237" spans="1:20" ht="30" x14ac:dyDescent="0.2">
      <c r="A237" s="597" t="s">
        <v>79</v>
      </c>
      <c r="B237" s="609"/>
      <c r="C237" s="416"/>
      <c r="D237" s="418" t="str">
        <f t="shared" ref="D237:I237" si="40">D219</f>
        <v xml:space="preserve">Residential </v>
      </c>
      <c r="E237" s="418" t="str">
        <f t="shared" si="40"/>
        <v>GS&lt;50</v>
      </c>
      <c r="F237" s="418" t="str">
        <f t="shared" si="40"/>
        <v>GS&gt;50</v>
      </c>
      <c r="G237" s="418" t="str">
        <f t="shared" si="40"/>
        <v>Large User</v>
      </c>
      <c r="H237" s="418" t="str">
        <f t="shared" si="40"/>
        <v>Street Lighting</v>
      </c>
      <c r="I237" s="418" t="str">
        <f t="shared" si="40"/>
        <v>USL</v>
      </c>
    </row>
    <row r="238" spans="1:20" ht="15" customHeight="1" x14ac:dyDescent="0.2">
      <c r="A238" s="226" t="s">
        <v>217</v>
      </c>
      <c r="B238" s="227"/>
      <c r="C238" s="227"/>
      <c r="D238" s="227"/>
      <c r="E238" s="227"/>
      <c r="F238" s="227"/>
      <c r="G238" s="227"/>
      <c r="H238" s="227"/>
      <c r="I238" s="228"/>
    </row>
    <row r="239" spans="1:20" ht="15" customHeight="1" x14ac:dyDescent="0.2">
      <c r="A239" s="588">
        <f>+A198</f>
        <v>2013</v>
      </c>
      <c r="B239" s="588"/>
      <c r="C239" s="248"/>
      <c r="D239" s="249">
        <f t="shared" ref="D239:I239" si="41">D216*(1+D234)</f>
        <v>7995.9754273820745</v>
      </c>
      <c r="E239" s="249">
        <f t="shared" si="41"/>
        <v>31399.501696105202</v>
      </c>
      <c r="F239" s="249">
        <f t="shared" si="41"/>
        <v>900223.90016592527</v>
      </c>
      <c r="G239" s="249">
        <f t="shared" si="41"/>
        <v>33008414.327518649</v>
      </c>
      <c r="H239" s="249">
        <f t="shared" si="41"/>
        <v>10133.002168928133</v>
      </c>
      <c r="I239" s="249">
        <f t="shared" si="41"/>
        <v>3976.1593278251257</v>
      </c>
    </row>
    <row r="240" spans="1:20" ht="15" customHeight="1" x14ac:dyDescent="0.2">
      <c r="A240" s="588">
        <f>+A199</f>
        <v>2014</v>
      </c>
      <c r="B240" s="588"/>
      <c r="C240" s="246"/>
      <c r="D240" s="249">
        <f t="shared" ref="D240:I240" si="42">D239*(1+D234)</f>
        <v>7936.2568681990988</v>
      </c>
      <c r="E240" s="249">
        <f t="shared" si="42"/>
        <v>31279.326026386305</v>
      </c>
      <c r="F240" s="249">
        <f t="shared" si="42"/>
        <v>907127.76774403302</v>
      </c>
      <c r="G240" s="249">
        <f t="shared" si="42"/>
        <v>31419041.168389145</v>
      </c>
      <c r="H240" s="249">
        <f t="shared" si="42"/>
        <v>10133.008690459506</v>
      </c>
      <c r="I240" s="249">
        <f t="shared" si="42"/>
        <v>3715.6633932107588</v>
      </c>
      <c r="J240" s="250"/>
      <c r="L240" s="99"/>
      <c r="M240" s="99"/>
      <c r="N240" s="99"/>
      <c r="O240" s="99"/>
    </row>
    <row r="241" spans="1:12" x14ac:dyDescent="0.2">
      <c r="H241"/>
      <c r="I241"/>
      <c r="J241"/>
    </row>
    <row r="242" spans="1:12" ht="15" x14ac:dyDescent="0.2">
      <c r="A242" s="594" t="s">
        <v>273</v>
      </c>
      <c r="B242" s="595"/>
      <c r="C242" s="595"/>
      <c r="D242" s="595"/>
      <c r="E242" s="595"/>
      <c r="F242" s="595"/>
      <c r="G242" s="595"/>
      <c r="H242" s="595"/>
      <c r="I242" s="595"/>
      <c r="J242" s="596"/>
      <c r="K242" s="121"/>
      <c r="L242" s="121"/>
    </row>
    <row r="243" spans="1:12" ht="30" x14ac:dyDescent="0.2">
      <c r="A243" s="597" t="s">
        <v>79</v>
      </c>
      <c r="B243" s="609"/>
      <c r="C243" s="416"/>
      <c r="D243" s="418" t="str">
        <f t="shared" ref="D243:I243" si="43">D237</f>
        <v xml:space="preserve">Residential </v>
      </c>
      <c r="E243" s="418" t="str">
        <f t="shared" si="43"/>
        <v>GS&lt;50</v>
      </c>
      <c r="F243" s="418" t="str">
        <f t="shared" si="43"/>
        <v>GS&gt;50</v>
      </c>
      <c r="G243" s="418" t="str">
        <f t="shared" si="43"/>
        <v>Large User</v>
      </c>
      <c r="H243" s="418" t="str">
        <f t="shared" si="43"/>
        <v>Street Lighting</v>
      </c>
      <c r="I243" s="418" t="str">
        <f t="shared" si="43"/>
        <v>USL</v>
      </c>
      <c r="J243" s="418" t="s">
        <v>10</v>
      </c>
    </row>
    <row r="244" spans="1:12" ht="15" customHeight="1" x14ac:dyDescent="0.2">
      <c r="A244" s="93" t="s">
        <v>274</v>
      </c>
      <c r="B244" s="93"/>
      <c r="C244" s="93"/>
      <c r="D244" s="93"/>
      <c r="E244" s="93"/>
      <c r="F244" s="93"/>
      <c r="G244" s="93"/>
      <c r="H244" s="93"/>
      <c r="I244" s="93"/>
      <c r="J244" s="93"/>
    </row>
    <row r="245" spans="1:12" ht="15" customHeight="1" x14ac:dyDescent="0.2">
      <c r="A245" s="298" t="s">
        <v>96</v>
      </c>
      <c r="B245" s="246"/>
      <c r="C245" s="246"/>
      <c r="D245" s="247">
        <f>+'Rate Class Energy Model'!L79/1000000</f>
        <v>649.88851100451234</v>
      </c>
      <c r="E245" s="247">
        <f>+'Rate Class Energy Model'!M79/1000000</f>
        <v>242.93783804586462</v>
      </c>
      <c r="F245" s="247">
        <f>+'Rate Class Energy Model'!N79/1000000</f>
        <v>853.83616452558033</v>
      </c>
      <c r="G245" s="247">
        <f>+'Rate Class Energy Model'!O79/1000000</f>
        <v>66.016828655037301</v>
      </c>
      <c r="H245" s="247">
        <f>+'Rate Class Energy Model'!P79/1000000</f>
        <v>15.898680403048244</v>
      </c>
      <c r="I245" s="247">
        <f>+'Rate Class Energy Model'!Q79/1000000</f>
        <v>3.6122423570498672</v>
      </c>
      <c r="J245" s="247">
        <f>SUM(D245:I245)</f>
        <v>1832.1902649910926</v>
      </c>
    </row>
    <row r="246" spans="1:12" ht="15" customHeight="1" x14ac:dyDescent="0.2">
      <c r="A246" s="298" t="s">
        <v>191</v>
      </c>
      <c r="B246" s="246"/>
      <c r="C246" s="246"/>
      <c r="D246" s="247">
        <f>+'Rate Class Energy Model'!L80/1000000</f>
        <v>655.35532483286909</v>
      </c>
      <c r="E246" s="247">
        <f>+'Rate Class Energy Model'!M80/1000000</f>
        <v>244.90958039059413</v>
      </c>
      <c r="F246" s="247">
        <f>+'Rate Class Energy Model'!N80/1000000</f>
        <v>856.89476340943111</v>
      </c>
      <c r="G246" s="247">
        <f>+'Rate Class Energy Model'!O80/1000000</f>
        <v>31.798990292463159</v>
      </c>
      <c r="H246" s="247">
        <f>+'Rate Class Energy Model'!P80/1000000</f>
        <v>16.128464711878159</v>
      </c>
      <c r="I246" s="247">
        <f>+'Rate Class Energy Model'!Q80/1000000</f>
        <v>3.4171884429939534</v>
      </c>
      <c r="J246" s="247">
        <f>SUM(D246:I246)</f>
        <v>1808.5043120802297</v>
      </c>
    </row>
    <row r="247" spans="1:12" ht="15" x14ac:dyDescent="0.2">
      <c r="A247" s="74"/>
      <c r="B247" s="74"/>
      <c r="C247" s="74"/>
      <c r="D247" s="122"/>
      <c r="E247" s="122"/>
      <c r="F247" s="122"/>
      <c r="G247" s="122"/>
      <c r="H247" s="122"/>
      <c r="I247" s="122"/>
      <c r="J247" s="122"/>
      <c r="K247" s="122"/>
      <c r="L247" s="122"/>
    </row>
    <row r="249" spans="1:12" ht="15" x14ac:dyDescent="0.2">
      <c r="D249" s="594" t="s">
        <v>218</v>
      </c>
      <c r="E249" s="595"/>
      <c r="F249" s="595"/>
      <c r="G249" s="595"/>
      <c r="H249" s="595"/>
      <c r="I249" s="596"/>
      <c r="J249" s="121"/>
      <c r="K249" s="121"/>
    </row>
    <row r="250" spans="1:12" ht="30" x14ac:dyDescent="0.2">
      <c r="D250" s="418" t="str">
        <f t="shared" ref="D250:I250" si="44">D243</f>
        <v xml:space="preserve">Residential </v>
      </c>
      <c r="E250" s="418" t="str">
        <f t="shared" si="44"/>
        <v>GS&lt;50</v>
      </c>
      <c r="F250" s="418" t="str">
        <f t="shared" si="44"/>
        <v>GS&gt;50</v>
      </c>
      <c r="G250" s="418" t="str">
        <f t="shared" si="44"/>
        <v>Large User</v>
      </c>
      <c r="H250" s="418" t="str">
        <f t="shared" si="44"/>
        <v>Street Lighting</v>
      </c>
      <c r="I250" s="418" t="str">
        <f t="shared" si="44"/>
        <v>USL</v>
      </c>
    </row>
    <row r="251" spans="1:12" ht="15" x14ac:dyDescent="0.2">
      <c r="D251" s="226" t="s">
        <v>97</v>
      </c>
      <c r="E251" s="227"/>
      <c r="F251" s="227"/>
      <c r="G251" s="227"/>
      <c r="H251" s="227"/>
      <c r="I251" s="228"/>
    </row>
    <row r="252" spans="1:12" x14ac:dyDescent="0.2">
      <c r="D252" s="125">
        <f>'Rate Class Energy Model'!L87</f>
        <v>0.82000000000000006</v>
      </c>
      <c r="E252" s="125">
        <f>'Rate Class Energy Model'!M87</f>
        <v>0.82000000000000006</v>
      </c>
      <c r="F252" s="125">
        <f>'Rate Class Energy Model'!N87</f>
        <v>0.64</v>
      </c>
      <c r="G252" s="125">
        <f>'Rate Class Energy Model'!O87</f>
        <v>0</v>
      </c>
      <c r="H252" s="125">
        <f>'Rate Class Energy Model'!P87</f>
        <v>0</v>
      </c>
      <c r="I252" s="125">
        <f>'Rate Class Energy Model'!Q87</f>
        <v>0</v>
      </c>
    </row>
    <row r="253" spans="1:12" x14ac:dyDescent="0.2">
      <c r="D253" s="126"/>
      <c r="E253" s="126"/>
      <c r="F253" s="126"/>
      <c r="G253" s="126"/>
      <c r="H253" s="126"/>
      <c r="I253"/>
      <c r="J253"/>
    </row>
    <row r="254" spans="1:12" ht="15" x14ac:dyDescent="0.2">
      <c r="D254" s="589" t="s">
        <v>120</v>
      </c>
      <c r="E254" s="589"/>
      <c r="F254" s="589"/>
      <c r="G254" s="589"/>
      <c r="H254" s="589"/>
    </row>
    <row r="255" spans="1:12" ht="25.5" x14ac:dyDescent="0.2">
      <c r="D255" s="57"/>
      <c r="E255" s="451" t="s">
        <v>279</v>
      </c>
      <c r="F255" s="451" t="s">
        <v>280</v>
      </c>
      <c r="G255" s="127" t="s">
        <v>75</v>
      </c>
      <c r="H255" s="127" t="s">
        <v>76</v>
      </c>
    </row>
    <row r="256" spans="1:12" ht="15" customHeight="1" x14ac:dyDescent="0.2">
      <c r="D256" s="128">
        <v>2005</v>
      </c>
      <c r="E256" s="448">
        <f>'CDM Activity'!B2</f>
        <v>292583</v>
      </c>
      <c r="F256" s="448">
        <f>'CDM Activity'!C2</f>
        <v>292583</v>
      </c>
      <c r="G256" s="448">
        <f t="shared" ref="G256:G264" si="45">E256-F256</f>
        <v>0</v>
      </c>
      <c r="H256" s="424">
        <f t="shared" ref="H256:H266" si="46">G256/F256</f>
        <v>0</v>
      </c>
    </row>
    <row r="257" spans="2:8" ht="15" customHeight="1" x14ac:dyDescent="0.2">
      <c r="D257" s="128">
        <v>2006</v>
      </c>
      <c r="E257" s="448">
        <f>'CDM Activity'!B3</f>
        <v>11429858.065328151</v>
      </c>
      <c r="F257" s="448">
        <f>'CDM Activity'!C3</f>
        <v>10724826.971235819</v>
      </c>
      <c r="G257" s="448">
        <f t="shared" si="45"/>
        <v>705031.09409233183</v>
      </c>
      <c r="H257" s="424">
        <f t="shared" si="46"/>
        <v>6.5738225519464136E-2</v>
      </c>
    </row>
    <row r="258" spans="2:8" ht="15" customHeight="1" x14ac:dyDescent="0.2">
      <c r="D258" s="128">
        <v>2007</v>
      </c>
      <c r="E258" s="448">
        <f>'CDM Activity'!B4</f>
        <v>30126927.641539197</v>
      </c>
      <c r="F258" s="448">
        <f>'CDM Activity'!C4</f>
        <v>21463789.011532571</v>
      </c>
      <c r="G258" s="448">
        <f t="shared" si="45"/>
        <v>8663138.6300066262</v>
      </c>
      <c r="H258" s="424">
        <f t="shared" si="46"/>
        <v>0.40361646423899761</v>
      </c>
    </row>
    <row r="259" spans="2:8" ht="15" customHeight="1" x14ac:dyDescent="0.2">
      <c r="D259" s="128">
        <v>2008</v>
      </c>
      <c r="E259" s="448">
        <f>'CDM Activity'!B5</f>
        <v>34400975.704919301</v>
      </c>
      <c r="F259" s="448">
        <f>'CDM Activity'!C5</f>
        <v>27058909.442072801</v>
      </c>
      <c r="G259" s="448">
        <f t="shared" si="45"/>
        <v>7342066.2628464997</v>
      </c>
      <c r="H259" s="424">
        <f t="shared" si="46"/>
        <v>0.27133636995106014</v>
      </c>
    </row>
    <row r="260" spans="2:8" ht="15" customHeight="1" x14ac:dyDescent="0.2">
      <c r="D260" s="128">
        <v>2009</v>
      </c>
      <c r="E260" s="448">
        <f>'CDM Activity'!B6</f>
        <v>47381960.2825993</v>
      </c>
      <c r="F260" s="448">
        <f>'CDM Activity'!C6</f>
        <v>36655514.888181098</v>
      </c>
      <c r="G260" s="448">
        <f t="shared" si="45"/>
        <v>10726445.394418202</v>
      </c>
      <c r="H260" s="424">
        <f t="shared" si="46"/>
        <v>0.2926284196836299</v>
      </c>
    </row>
    <row r="261" spans="2:8" ht="15" customHeight="1" x14ac:dyDescent="0.2">
      <c r="D261" s="128">
        <v>2010</v>
      </c>
      <c r="E261" s="448">
        <f>'CDM Activity'!B7</f>
        <v>54664486.6800697</v>
      </c>
      <c r="F261" s="448">
        <f>'CDM Activity'!C7</f>
        <v>39643598.152045503</v>
      </c>
      <c r="G261" s="448">
        <f t="shared" si="45"/>
        <v>15020888.528024197</v>
      </c>
      <c r="H261" s="424">
        <f t="shared" si="46"/>
        <v>0.37889821379014155</v>
      </c>
    </row>
    <row r="262" spans="2:8" ht="15" customHeight="1" x14ac:dyDescent="0.2">
      <c r="D262" s="128">
        <v>2011</v>
      </c>
      <c r="E262" s="448">
        <f>'CDM Activity'!B8</f>
        <v>52431811.111596398</v>
      </c>
      <c r="F262" s="448">
        <f>'CDM Activity'!C8</f>
        <v>37374960.879255295</v>
      </c>
      <c r="G262" s="448">
        <f t="shared" si="45"/>
        <v>15056850.232341103</v>
      </c>
      <c r="H262" s="424">
        <f t="shared" si="46"/>
        <v>0.40285929076913901</v>
      </c>
    </row>
    <row r="263" spans="2:8" ht="15" customHeight="1" x14ac:dyDescent="0.2">
      <c r="D263" s="128">
        <v>2012</v>
      </c>
      <c r="E263" s="448">
        <f>'CDM Activity'!B9</f>
        <v>50947313.907669194</v>
      </c>
      <c r="F263" s="448">
        <f>'CDM Activity'!C9</f>
        <v>36539763.596583202</v>
      </c>
      <c r="G263" s="448">
        <f t="shared" si="45"/>
        <v>14407550.311085992</v>
      </c>
      <c r="H263" s="424">
        <f t="shared" si="46"/>
        <v>0.39429785233841053</v>
      </c>
    </row>
    <row r="264" spans="2:8" ht="15" customHeight="1" x14ac:dyDescent="0.2">
      <c r="D264" s="128">
        <v>2013</v>
      </c>
      <c r="E264" s="448">
        <f>'CDM Activity'!B10</f>
        <v>45587649.596601203</v>
      </c>
      <c r="F264" s="448">
        <f>'CDM Activity'!C10</f>
        <v>31270273.197305299</v>
      </c>
      <c r="G264" s="448">
        <f t="shared" si="45"/>
        <v>14317376.399295904</v>
      </c>
      <c r="H264" s="424">
        <f t="shared" si="46"/>
        <v>0.4578590122624735</v>
      </c>
    </row>
    <row r="265" spans="2:8" ht="15" customHeight="1" x14ac:dyDescent="0.2">
      <c r="D265" s="128">
        <v>2014</v>
      </c>
      <c r="E265" s="448">
        <f>'CDM Activity'!B11</f>
        <v>44094366.763853706</v>
      </c>
      <c r="F265" s="448">
        <f>'CDM Activity'!C11</f>
        <v>30516052.283574499</v>
      </c>
      <c r="G265" s="448">
        <f>E265-F265</f>
        <v>13578314.480279207</v>
      </c>
      <c r="H265" s="424">
        <f>G265/F265</f>
        <v>0.44495645616611557</v>
      </c>
    </row>
    <row r="266" spans="2:8" ht="15" customHeight="1" x14ac:dyDescent="0.2">
      <c r="D266" s="128" t="s">
        <v>10</v>
      </c>
      <c r="E266" s="448">
        <f>SUM(E256:E265)</f>
        <v>371357932.75417614</v>
      </c>
      <c r="F266" s="448">
        <f>SUM(F256:F265)</f>
        <v>271540271.42178607</v>
      </c>
      <c r="G266" s="448">
        <f>SUM(G256:G265)</f>
        <v>99817661.33239007</v>
      </c>
      <c r="H266" s="424">
        <f t="shared" si="46"/>
        <v>0.36759800235060658</v>
      </c>
    </row>
    <row r="268" spans="2:8" ht="15" customHeight="1" x14ac:dyDescent="0.2">
      <c r="B268" s="624" t="s">
        <v>303</v>
      </c>
      <c r="C268" s="540"/>
      <c r="D268" s="540"/>
      <c r="E268" s="540"/>
      <c r="F268" s="540"/>
      <c r="G268" s="540"/>
      <c r="H268" s="540"/>
    </row>
    <row r="269" spans="2:8" ht="15" customHeight="1" x14ac:dyDescent="0.2">
      <c r="B269" s="633">
        <f>'CDM Activity'!A17</f>
        <v>98411344</v>
      </c>
      <c r="C269" s="633"/>
      <c r="D269" s="633"/>
      <c r="E269" s="633"/>
      <c r="F269" s="633"/>
      <c r="G269" s="633"/>
      <c r="H269" s="633"/>
    </row>
    <row r="270" spans="2:8" ht="15" customHeight="1" x14ac:dyDescent="0.2">
      <c r="B270" s="94"/>
      <c r="C270" s="94"/>
      <c r="D270" s="57">
        <v>2011</v>
      </c>
      <c r="E270" s="57">
        <v>2012</v>
      </c>
      <c r="F270" s="57">
        <v>2013</v>
      </c>
      <c r="G270" s="57">
        <v>2014</v>
      </c>
      <c r="H270" s="57" t="s">
        <v>10</v>
      </c>
    </row>
    <row r="271" spans="2:8" ht="15" customHeight="1" x14ac:dyDescent="0.2">
      <c r="B271" s="313" t="s">
        <v>98</v>
      </c>
      <c r="C271" s="94"/>
      <c r="D271" s="449">
        <f>D277/$B$269</f>
        <v>0.13090593079435131</v>
      </c>
      <c r="E271" s="449">
        <f>E277/$B$269</f>
        <v>0.12983547106100696</v>
      </c>
      <c r="F271" s="449">
        <f>F277/$B$269</f>
        <v>0.12972826368902959</v>
      </c>
      <c r="G271" s="449">
        <f>G277/$B$269</f>
        <v>0.12791385227962132</v>
      </c>
      <c r="H271" s="450">
        <f>SUM(D271:G271)</f>
        <v>0.51838351782400927</v>
      </c>
    </row>
    <row r="272" spans="2:8" ht="15" customHeight="1" x14ac:dyDescent="0.2">
      <c r="B272" s="313" t="s">
        <v>99</v>
      </c>
      <c r="C272" s="94"/>
      <c r="D272" s="450"/>
      <c r="E272" s="450">
        <f>+'CDM Activity'!B22</f>
        <v>6.6673644859478798E-2</v>
      </c>
      <c r="F272" s="450">
        <f>+'CDM Activity'!C22</f>
        <v>6.6049296105538405E-2</v>
      </c>
      <c r="G272" s="450">
        <f>+'CDM Activity'!D22</f>
        <v>6.5033153088530124E-2</v>
      </c>
      <c r="H272" s="450">
        <f>SUM(D272:G272)</f>
        <v>0.19775609405354733</v>
      </c>
    </row>
    <row r="273" spans="1:12" ht="15" customHeight="1" x14ac:dyDescent="0.2">
      <c r="B273" s="313" t="s">
        <v>100</v>
      </c>
      <c r="C273" s="94"/>
      <c r="D273" s="450"/>
      <c r="E273" s="450"/>
      <c r="F273" s="450">
        <f>+'CDM Activity'!C23</f>
        <v>9.4620129374147807E-2</v>
      </c>
      <c r="G273" s="450">
        <f>+'CDM Activity'!D23</f>
        <v>9.4620129374147807E-2</v>
      </c>
      <c r="H273" s="450">
        <f>SUM(D273:G273)</f>
        <v>0.18924025874829561</v>
      </c>
    </row>
    <row r="274" spans="1:12" ht="15" customHeight="1" x14ac:dyDescent="0.2">
      <c r="B274" s="313" t="s">
        <v>101</v>
      </c>
      <c r="C274" s="94"/>
      <c r="D274" s="450"/>
      <c r="E274" s="450"/>
      <c r="F274" s="450"/>
      <c r="G274" s="450">
        <f>G273</f>
        <v>9.4620129374147807E-2</v>
      </c>
      <c r="H274" s="450">
        <f>SUM(D274:G274)</f>
        <v>9.4620129374147807E-2</v>
      </c>
    </row>
    <row r="275" spans="1:12" ht="15" customHeight="1" x14ac:dyDescent="0.2">
      <c r="B275" s="129"/>
      <c r="C275" s="94"/>
      <c r="D275" s="450">
        <f>SUM(D271:D274)</f>
        <v>0.13090593079435131</v>
      </c>
      <c r="E275" s="450">
        <f>SUM(E271:E274)</f>
        <v>0.19650911592048576</v>
      </c>
      <c r="F275" s="450">
        <f>SUM(F271:F274)</f>
        <v>0.29039768916871583</v>
      </c>
      <c r="G275" s="450">
        <f>SUM(G271:G274)</f>
        <v>0.3821872641164471</v>
      </c>
      <c r="H275" s="450">
        <f>SUM(D275:G275)</f>
        <v>1</v>
      </c>
    </row>
    <row r="276" spans="1:12" ht="15" customHeight="1" x14ac:dyDescent="0.2">
      <c r="B276" s="540" t="s">
        <v>102</v>
      </c>
      <c r="C276" s="540"/>
      <c r="D276" s="540"/>
      <c r="E276" s="540"/>
      <c r="F276" s="540"/>
      <c r="G276" s="540"/>
      <c r="H276" s="540"/>
    </row>
    <row r="277" spans="1:12" ht="15" customHeight="1" x14ac:dyDescent="0.2">
      <c r="B277" s="313" t="s">
        <v>98</v>
      </c>
      <c r="C277" s="94"/>
      <c r="D277" s="251">
        <f>'CDM Activity'!A27</f>
        <v>12882628.587043101</v>
      </c>
      <c r="E277" s="251">
        <f>'CDM Activity'!B27</f>
        <v>12777283.2059868</v>
      </c>
      <c r="F277" s="251">
        <f>'CDM Activity'!C27</f>
        <v>12766732.7844238</v>
      </c>
      <c r="G277" s="251">
        <f>'CDM Activity'!D27</f>
        <v>12588174.119054999</v>
      </c>
      <c r="H277" s="251">
        <f>SUM(D277:G277)</f>
        <v>51014818.696508706</v>
      </c>
    </row>
    <row r="278" spans="1:12" ht="15" customHeight="1" x14ac:dyDescent="0.2">
      <c r="B278" s="313" t="s">
        <v>99</v>
      </c>
      <c r="C278" s="94"/>
      <c r="D278" s="251"/>
      <c r="E278" s="251">
        <f>+'CDM Activity'!B28</f>
        <v>6561443</v>
      </c>
      <c r="F278" s="251">
        <f>+'CDM Activity'!C28</f>
        <v>6500000</v>
      </c>
      <c r="G278" s="251">
        <f>+'CDM Activity'!D28</f>
        <v>6400000</v>
      </c>
      <c r="H278" s="251">
        <f>SUM(D278:G278)</f>
        <v>19461443</v>
      </c>
    </row>
    <row r="279" spans="1:12" ht="15" customHeight="1" x14ac:dyDescent="0.2">
      <c r="B279" s="313" t="s">
        <v>100</v>
      </c>
      <c r="C279" s="94"/>
      <c r="D279" s="251"/>
      <c r="E279" s="251"/>
      <c r="F279" s="251">
        <f>F273*$B$269</f>
        <v>9311694.1011637654</v>
      </c>
      <c r="G279" s="251">
        <f>G273*$B$269</f>
        <v>9311694.1011637654</v>
      </c>
      <c r="H279" s="251">
        <f>SUM(D279:G279)</f>
        <v>18623388.202327531</v>
      </c>
    </row>
    <row r="280" spans="1:12" ht="15" customHeight="1" x14ac:dyDescent="0.2">
      <c r="B280" s="313" t="s">
        <v>101</v>
      </c>
      <c r="C280" s="94"/>
      <c r="D280" s="251"/>
      <c r="E280" s="251"/>
      <c r="F280" s="251"/>
      <c r="G280" s="251">
        <f>G274*$B$269</f>
        <v>9311694.1011637654</v>
      </c>
      <c r="H280" s="251">
        <f>SUM(D280:G280)</f>
        <v>9311694.1011637654</v>
      </c>
    </row>
    <row r="281" spans="1:12" ht="15" customHeight="1" x14ac:dyDescent="0.2">
      <c r="B281" s="94"/>
      <c r="C281" s="94"/>
      <c r="D281" s="251">
        <f>SUM(D277:D280)</f>
        <v>12882628.587043101</v>
      </c>
      <c r="E281" s="251">
        <f>SUM(E277:E280)</f>
        <v>19338726.205986798</v>
      </c>
      <c r="F281" s="251">
        <f>SUM(F277:F280)</f>
        <v>28578426.885587566</v>
      </c>
      <c r="G281" s="251">
        <f>SUM(G277:G280)</f>
        <v>37611562.32138253</v>
      </c>
      <c r="H281" s="251">
        <f>SUM(D281:G281)</f>
        <v>98411344</v>
      </c>
      <c r="L281" s="99"/>
    </row>
    <row r="283" spans="1:12" ht="15" x14ac:dyDescent="0.2">
      <c r="A283" s="594" t="s">
        <v>284</v>
      </c>
      <c r="B283" s="595"/>
      <c r="C283" s="595"/>
      <c r="D283" s="595"/>
      <c r="E283" s="595"/>
      <c r="F283" s="595"/>
      <c r="G283" s="595"/>
      <c r="H283" s="595"/>
      <c r="I283" s="595"/>
      <c r="J283" s="596"/>
      <c r="K283" s="121"/>
      <c r="L283" s="121"/>
    </row>
    <row r="284" spans="1:12" ht="30" x14ac:dyDescent="0.2">
      <c r="A284" s="425"/>
      <c r="B284" s="426"/>
      <c r="C284" s="415"/>
      <c r="D284" s="418" t="str">
        <f t="shared" ref="D284:J284" si="47">D243</f>
        <v xml:space="preserve">Residential </v>
      </c>
      <c r="E284" s="418" t="str">
        <f t="shared" si="47"/>
        <v>GS&lt;50</v>
      </c>
      <c r="F284" s="418" t="str">
        <f t="shared" si="47"/>
        <v>GS&gt;50</v>
      </c>
      <c r="G284" s="418" t="str">
        <f t="shared" si="47"/>
        <v>Large User</v>
      </c>
      <c r="H284" s="418" t="str">
        <f t="shared" si="47"/>
        <v>Street Lighting</v>
      </c>
      <c r="I284" s="418" t="str">
        <f t="shared" si="47"/>
        <v>USL</v>
      </c>
      <c r="J284" s="418" t="str">
        <f t="shared" si="47"/>
        <v>Total</v>
      </c>
    </row>
    <row r="285" spans="1:12" ht="15" x14ac:dyDescent="0.2">
      <c r="A285" s="294"/>
      <c r="B285" s="295" t="s">
        <v>102</v>
      </c>
      <c r="C285" s="291"/>
      <c r="D285" s="452">
        <f>+G281*'CDM Forecast'!R34</f>
        <v>6761784.8037318503</v>
      </c>
      <c r="E285" s="452">
        <f>+G281*'CDM Forecast'!S34</f>
        <v>6625741.7309467699</v>
      </c>
      <c r="F285" s="452">
        <f>+G281*'CDM Forecast'!T34</f>
        <v>24224035.786703914</v>
      </c>
      <c r="G285" s="452"/>
      <c r="H285" s="452"/>
      <c r="I285" s="452"/>
      <c r="J285" s="452">
        <f>SUM(D285:I285)</f>
        <v>37611562.321382537</v>
      </c>
    </row>
    <row r="286" spans="1:12" ht="15" x14ac:dyDescent="0.2">
      <c r="A286" s="296"/>
      <c r="B286" s="290" t="s">
        <v>188</v>
      </c>
      <c r="C286" s="291"/>
      <c r="D286" s="453"/>
      <c r="E286" s="453"/>
      <c r="F286" s="452">
        <f>F285*'Rate Class Load Model'!B34</f>
        <v>63264.80588114835</v>
      </c>
      <c r="G286" s="452"/>
      <c r="H286" s="452"/>
      <c r="I286" s="454"/>
      <c r="J286" s="452">
        <f>SUM(D286:I286)</f>
        <v>63264.80588114835</v>
      </c>
    </row>
    <row r="288" spans="1:12" ht="15" x14ac:dyDescent="0.2">
      <c r="A288" s="594" t="s">
        <v>219</v>
      </c>
      <c r="B288" s="595"/>
      <c r="C288" s="595"/>
      <c r="D288" s="595"/>
      <c r="E288" s="595"/>
      <c r="F288" s="595"/>
      <c r="G288" s="595"/>
      <c r="H288" s="595"/>
      <c r="I288" s="595"/>
      <c r="J288" s="596"/>
    </row>
    <row r="289" spans="1:10" ht="30" x14ac:dyDescent="0.2">
      <c r="A289" s="597" t="s">
        <v>79</v>
      </c>
      <c r="B289" s="609"/>
      <c r="C289" s="427"/>
      <c r="D289" s="378" t="str">
        <f t="shared" ref="D289:I289" si="48">D250</f>
        <v xml:space="preserve">Residential </v>
      </c>
      <c r="E289" s="378" t="str">
        <f t="shared" si="48"/>
        <v>GS&lt;50</v>
      </c>
      <c r="F289" s="378" t="str">
        <f t="shared" si="48"/>
        <v>GS&gt;50</v>
      </c>
      <c r="G289" s="378" t="str">
        <f t="shared" si="48"/>
        <v>Large User</v>
      </c>
      <c r="H289" s="378" t="str">
        <f t="shared" si="48"/>
        <v>Street Lighting</v>
      </c>
      <c r="I289" s="378" t="str">
        <f t="shared" si="48"/>
        <v>USL</v>
      </c>
      <c r="J289" s="378" t="str">
        <f>J284</f>
        <v>Total</v>
      </c>
    </row>
    <row r="290" spans="1:10" ht="15" customHeight="1" x14ac:dyDescent="0.2">
      <c r="A290" s="226" t="s">
        <v>304</v>
      </c>
      <c r="B290" s="227"/>
      <c r="C290" s="227"/>
      <c r="D290" s="227"/>
      <c r="E290" s="227"/>
      <c r="F290" s="227"/>
      <c r="G290" s="227"/>
      <c r="H290" s="227"/>
      <c r="I290" s="227"/>
      <c r="J290" s="228"/>
    </row>
    <row r="291" spans="1:10" ht="15" customHeight="1" x14ac:dyDescent="0.2">
      <c r="A291" s="314" t="s">
        <v>189</v>
      </c>
      <c r="B291" s="246"/>
      <c r="C291" s="246"/>
      <c r="D291" s="455">
        <f t="shared" ref="D291:I292" si="49">D245</f>
        <v>649.88851100451234</v>
      </c>
      <c r="E291" s="455">
        <f t="shared" si="49"/>
        <v>242.93783804586462</v>
      </c>
      <c r="F291" s="455">
        <f t="shared" si="49"/>
        <v>853.83616452558033</v>
      </c>
      <c r="G291" s="455">
        <f t="shared" si="49"/>
        <v>66.016828655037301</v>
      </c>
      <c r="H291" s="455">
        <f t="shared" si="49"/>
        <v>15.898680403048244</v>
      </c>
      <c r="I291" s="455">
        <f t="shared" si="49"/>
        <v>3.6122423570498672</v>
      </c>
      <c r="J291" s="455">
        <f>SUM(D291:I291)</f>
        <v>1832.1902649910926</v>
      </c>
    </row>
    <row r="292" spans="1:10" ht="15" customHeight="1" x14ac:dyDescent="0.2">
      <c r="A292" s="314" t="s">
        <v>190</v>
      </c>
      <c r="B292" s="246"/>
      <c r="C292" s="246"/>
      <c r="D292" s="455">
        <f t="shared" si="49"/>
        <v>655.35532483286909</v>
      </c>
      <c r="E292" s="455">
        <f t="shared" si="49"/>
        <v>244.90958039059413</v>
      </c>
      <c r="F292" s="455">
        <f t="shared" si="49"/>
        <v>856.89476340943111</v>
      </c>
      <c r="G292" s="455">
        <f t="shared" si="49"/>
        <v>31.798990292463159</v>
      </c>
      <c r="H292" s="455">
        <f t="shared" si="49"/>
        <v>16.128464711878159</v>
      </c>
      <c r="I292" s="455">
        <f t="shared" si="49"/>
        <v>3.4171884429939534</v>
      </c>
      <c r="J292" s="455">
        <f>SUM(D292:I292)</f>
        <v>1808.5043120802297</v>
      </c>
    </row>
    <row r="293" spans="1:10" ht="15" customHeight="1" x14ac:dyDescent="0.2">
      <c r="A293" s="226" t="s">
        <v>305</v>
      </c>
      <c r="B293" s="227"/>
      <c r="C293" s="227"/>
      <c r="D293" s="407"/>
      <c r="E293" s="407"/>
      <c r="F293" s="407"/>
      <c r="G293" s="407"/>
      <c r="H293" s="407"/>
      <c r="I293" s="407"/>
      <c r="J293" s="456"/>
    </row>
    <row r="294" spans="1:10" ht="15" customHeight="1" x14ac:dyDescent="0.2">
      <c r="A294" s="623">
        <f>A239</f>
        <v>2013</v>
      </c>
      <c r="B294" s="623"/>
      <c r="C294" s="248"/>
      <c r="D294" s="457">
        <f>'Rate Class Energy Model'!L92/1000000</f>
        <v>-7.6940090611977876</v>
      </c>
      <c r="E294" s="457">
        <f>'Rate Class Energy Model'!M92/1000000</f>
        <v>-2.8761332068227703</v>
      </c>
      <c r="F294" s="457">
        <f>'Rate Class Energy Model'!N92/1000000</f>
        <v>-7.8895912074657186</v>
      </c>
      <c r="G294" s="457">
        <f>'Rate Class Energy Model'!O92/1000000</f>
        <v>0</v>
      </c>
      <c r="H294" s="457">
        <f>'Rate Class Energy Model'!P92/1000000</f>
        <v>0</v>
      </c>
      <c r="I294" s="457">
        <f>'Rate Class Energy Model'!Q92/1000000</f>
        <v>0</v>
      </c>
      <c r="J294" s="457">
        <f>SUM(D294:I294)</f>
        <v>-18.459733475486274</v>
      </c>
    </row>
    <row r="295" spans="1:10" ht="15" customHeight="1" x14ac:dyDescent="0.2">
      <c r="A295" s="623">
        <f>A240</f>
        <v>2014</v>
      </c>
      <c r="B295" s="623"/>
      <c r="C295" s="246"/>
      <c r="D295" s="457">
        <f>'Rate Class Energy Model'!L93/1000000</f>
        <v>-4.4971822717044132</v>
      </c>
      <c r="E295" s="457">
        <f>'Rate Class Energy Model'!M93/1000000</f>
        <v>-1.6806196293347124</v>
      </c>
      <c r="F295" s="457">
        <f>'Rate Class Energy Model'!N93/1000000</f>
        <v>-4.5894143359122257</v>
      </c>
      <c r="G295" s="457">
        <f>'Rate Class Energy Model'!O93/1000000</f>
        <v>0</v>
      </c>
      <c r="H295" s="457">
        <f>'Rate Class Energy Model'!P93/1000000</f>
        <v>0</v>
      </c>
      <c r="I295" s="457">
        <f>'Rate Class Energy Model'!Q93/1000000</f>
        <v>0</v>
      </c>
      <c r="J295" s="457">
        <f>SUM(D295:I295)</f>
        <v>-10.767216236951352</v>
      </c>
    </row>
    <row r="296" spans="1:10" ht="15" customHeight="1" x14ac:dyDescent="0.2">
      <c r="A296" s="226" t="s">
        <v>306</v>
      </c>
      <c r="B296" s="227"/>
      <c r="C296" s="227"/>
      <c r="D296" s="407"/>
      <c r="E296" s="407"/>
      <c r="F296" s="407"/>
      <c r="G296" s="407"/>
      <c r="H296" s="407"/>
      <c r="I296" s="407"/>
      <c r="J296" s="456"/>
    </row>
    <row r="297" spans="1:10" ht="15" customHeight="1" x14ac:dyDescent="0.2">
      <c r="A297" s="623">
        <f>A294</f>
        <v>2013</v>
      </c>
      <c r="B297" s="623"/>
      <c r="C297" s="246"/>
      <c r="D297" s="457">
        <f>'Rate Class Energy Model'!L96/1000000</f>
        <v>-1.421308585654302</v>
      </c>
      <c r="E297" s="457">
        <f>'Rate Class Energy Model'!M96/1000000</f>
        <v>-1.3927127055751976</v>
      </c>
      <c r="F297" s="457">
        <f>'Rate Class Energy Model'!N96/1000000</f>
        <v>-5.0918257593523846</v>
      </c>
      <c r="G297" s="457">
        <f>'Rate Class Energy Model'!O96/1000000</f>
        <v>0</v>
      </c>
      <c r="H297" s="457">
        <f>'Rate Class Energy Model'!P96/1000000</f>
        <v>0</v>
      </c>
      <c r="I297" s="457">
        <f>'Rate Class Energy Model'!Q96/1000000</f>
        <v>0</v>
      </c>
      <c r="J297" s="457">
        <f>SUM(D297:I297)</f>
        <v>-7.9058470505818841</v>
      </c>
    </row>
    <row r="298" spans="1:10" ht="15" customHeight="1" x14ac:dyDescent="0.2">
      <c r="A298" s="623">
        <f>A295</f>
        <v>2014</v>
      </c>
      <c r="B298" s="623"/>
      <c r="C298" s="246"/>
      <c r="D298" s="457">
        <f>'Rate Class Energy Model'!L97/1000000</f>
        <v>-3.0863705656630089</v>
      </c>
      <c r="E298" s="457">
        <f>'Rate Class Energy Model'!M97/1000000</f>
        <v>-3.0242746327556955</v>
      </c>
      <c r="F298" s="457">
        <f>'Rate Class Energy Model'!N97/1000000</f>
        <v>-11.056895953326944</v>
      </c>
      <c r="G298" s="457">
        <f>'Rate Class Energy Model'!O97/1000000</f>
        <v>0</v>
      </c>
      <c r="H298" s="457">
        <f>'Rate Class Energy Model'!P97/1000000</f>
        <v>0</v>
      </c>
      <c r="I298" s="457">
        <f>'Rate Class Energy Model'!Q97/1000000</f>
        <v>0</v>
      </c>
      <c r="J298" s="457">
        <f>SUM(D298:I298)</f>
        <v>-17.167541151745649</v>
      </c>
    </row>
    <row r="299" spans="1:10" ht="15" customHeight="1" x14ac:dyDescent="0.2">
      <c r="A299" s="226" t="s">
        <v>307</v>
      </c>
      <c r="B299" s="227"/>
      <c r="C299" s="227"/>
      <c r="D299" s="227"/>
      <c r="E299" s="227"/>
      <c r="F299" s="227"/>
      <c r="G299" s="227"/>
      <c r="H299" s="227"/>
      <c r="I299" s="227"/>
      <c r="J299" s="228"/>
    </row>
    <row r="300" spans="1:10" ht="15" customHeight="1" x14ac:dyDescent="0.2">
      <c r="A300" s="314" t="s">
        <v>158</v>
      </c>
      <c r="B300" s="248"/>
      <c r="C300" s="248"/>
      <c r="D300" s="458">
        <f t="shared" ref="D300:G301" si="50">D291+D294+D297</f>
        <v>640.77319335766026</v>
      </c>
      <c r="E300" s="458">
        <f t="shared" si="50"/>
        <v>238.66899213346665</v>
      </c>
      <c r="F300" s="458">
        <f t="shared" si="50"/>
        <v>840.85474755876226</v>
      </c>
      <c r="G300" s="458">
        <f t="shared" si="50"/>
        <v>66.016828655037301</v>
      </c>
      <c r="H300" s="458">
        <f>H291+H294+H297</f>
        <v>15.898680403048244</v>
      </c>
      <c r="I300" s="458">
        <f>I291+I294+I297</f>
        <v>3.6122423570498672</v>
      </c>
      <c r="J300" s="455">
        <f>SUM(D300:I300)</f>
        <v>1805.8246844650243</v>
      </c>
    </row>
    <row r="301" spans="1:10" ht="15" customHeight="1" x14ac:dyDescent="0.2">
      <c r="A301" s="314" t="s">
        <v>159</v>
      </c>
      <c r="B301" s="246"/>
      <c r="C301" s="246"/>
      <c r="D301" s="458">
        <f t="shared" si="50"/>
        <v>647.77177199550158</v>
      </c>
      <c r="E301" s="458">
        <f t="shared" si="50"/>
        <v>240.20468612850374</v>
      </c>
      <c r="F301" s="458">
        <f t="shared" si="50"/>
        <v>841.24845312019193</v>
      </c>
      <c r="G301" s="458">
        <f t="shared" si="50"/>
        <v>31.798990292463159</v>
      </c>
      <c r="H301" s="458">
        <f>H292+H295+H298</f>
        <v>16.128464711878159</v>
      </c>
      <c r="I301" s="458">
        <f>I292+I295+I298</f>
        <v>3.4171884429939534</v>
      </c>
      <c r="J301" s="455">
        <f>SUM(D301:I301)</f>
        <v>1780.5695546915326</v>
      </c>
    </row>
    <row r="303" spans="1:10" ht="15" x14ac:dyDescent="0.2">
      <c r="A303" s="589" t="s">
        <v>220</v>
      </c>
      <c r="B303" s="589"/>
      <c r="C303" s="589"/>
      <c r="D303" s="589"/>
      <c r="E303" s="589"/>
      <c r="F303" s="589"/>
      <c r="G303" s="589"/>
      <c r="H303" s="121"/>
      <c r="I303" s="121"/>
    </row>
    <row r="304" spans="1:10" ht="30" x14ac:dyDescent="0.2">
      <c r="A304" s="622" t="s">
        <v>79</v>
      </c>
      <c r="B304" s="622"/>
      <c r="C304" s="427"/>
      <c r="D304" s="378" t="str">
        <f>F289</f>
        <v>GS&gt;50</v>
      </c>
      <c r="E304" s="378" t="str">
        <f>G289</f>
        <v>Large User</v>
      </c>
      <c r="F304" s="378" t="str">
        <f>H289</f>
        <v>Street Lighting</v>
      </c>
      <c r="G304" s="378" t="str">
        <f>J289</f>
        <v>Total</v>
      </c>
      <c r="H304" s="75"/>
      <c r="I304" s="75"/>
    </row>
    <row r="305" spans="1:12" ht="15" customHeight="1" x14ac:dyDescent="0.2">
      <c r="A305" s="589" t="s">
        <v>103</v>
      </c>
      <c r="B305" s="589"/>
      <c r="C305" s="589"/>
      <c r="D305" s="589"/>
      <c r="E305" s="589"/>
      <c r="F305" s="589"/>
      <c r="G305" s="589"/>
      <c r="H305" s="121"/>
      <c r="I305" s="121"/>
    </row>
    <row r="306" spans="1:12" ht="15" customHeight="1" x14ac:dyDescent="0.2">
      <c r="A306" s="588">
        <f t="shared" ref="A306:A318" si="51">A221</f>
        <v>2000</v>
      </c>
      <c r="B306" s="588"/>
      <c r="C306" s="413"/>
      <c r="D306" s="448">
        <f>'Rate Class Load Model'!B3</f>
        <v>1702404</v>
      </c>
      <c r="E306" s="448">
        <f>'Rate Class Load Model'!C3</f>
        <v>339080</v>
      </c>
      <c r="F306" s="448">
        <f>'Rate Class Load Model'!D3</f>
        <v>39194</v>
      </c>
      <c r="G306" s="448">
        <f>SUM(D306:F306)</f>
        <v>2080678</v>
      </c>
      <c r="H306" s="437"/>
      <c r="I306" s="437"/>
      <c r="K306" s="99"/>
      <c r="L306" s="99"/>
    </row>
    <row r="307" spans="1:12" ht="15" customHeight="1" x14ac:dyDescent="0.2">
      <c r="A307" s="588">
        <f t="shared" si="51"/>
        <v>2001</v>
      </c>
      <c r="B307" s="588"/>
      <c r="C307" s="413"/>
      <c r="D307" s="448">
        <f>'Rate Class Load Model'!B4</f>
        <v>2097765</v>
      </c>
      <c r="E307" s="448">
        <f>'Rate Class Load Model'!C4</f>
        <v>423831</v>
      </c>
      <c r="F307" s="448">
        <f>'Rate Class Load Model'!D4</f>
        <v>39703</v>
      </c>
      <c r="G307" s="448">
        <f t="shared" ref="G307:G317" si="52">SUM(D307:F307)</f>
        <v>2561299</v>
      </c>
      <c r="H307" s="437"/>
      <c r="I307" s="437"/>
      <c r="K307" s="99"/>
      <c r="L307" s="99"/>
    </row>
    <row r="308" spans="1:12" ht="15" customHeight="1" x14ac:dyDescent="0.2">
      <c r="A308" s="588">
        <f t="shared" si="51"/>
        <v>2002</v>
      </c>
      <c r="B308" s="588"/>
      <c r="C308" s="413"/>
      <c r="D308" s="448">
        <f>'Rate Class Load Model'!B5</f>
        <v>2249449</v>
      </c>
      <c r="E308" s="448">
        <f>'Rate Class Load Model'!C5</f>
        <v>475022</v>
      </c>
      <c r="F308" s="448">
        <f>'Rate Class Load Model'!D5</f>
        <v>36995</v>
      </c>
      <c r="G308" s="448">
        <f t="shared" si="52"/>
        <v>2761466</v>
      </c>
      <c r="H308" s="437"/>
      <c r="I308" s="437"/>
      <c r="K308" s="99"/>
      <c r="L308" s="99"/>
    </row>
    <row r="309" spans="1:12" ht="15" customHeight="1" x14ac:dyDescent="0.2">
      <c r="A309" s="588">
        <f t="shared" si="51"/>
        <v>2003</v>
      </c>
      <c r="B309" s="588"/>
      <c r="C309" s="413"/>
      <c r="D309" s="448">
        <f>'Rate Class Load Model'!B6</f>
        <v>2243396</v>
      </c>
      <c r="E309" s="448">
        <f>'Rate Class Load Model'!C6</f>
        <v>474685</v>
      </c>
      <c r="F309" s="448">
        <f>'Rate Class Load Model'!D6</f>
        <v>41407</v>
      </c>
      <c r="G309" s="448">
        <f t="shared" si="52"/>
        <v>2759488</v>
      </c>
      <c r="H309" s="437"/>
      <c r="I309" s="437"/>
      <c r="K309" s="99"/>
      <c r="L309" s="99"/>
    </row>
    <row r="310" spans="1:12" ht="15" customHeight="1" x14ac:dyDescent="0.2">
      <c r="A310" s="588">
        <f t="shared" si="51"/>
        <v>2004</v>
      </c>
      <c r="B310" s="588"/>
      <c r="C310" s="414"/>
      <c r="D310" s="448">
        <f>'Rate Class Load Model'!B7</f>
        <v>2273819</v>
      </c>
      <c r="E310" s="448">
        <f>'Rate Class Load Model'!C7</f>
        <v>460426</v>
      </c>
      <c r="F310" s="448">
        <f>'Rate Class Load Model'!D7</f>
        <v>41732</v>
      </c>
      <c r="G310" s="448">
        <f t="shared" si="52"/>
        <v>2775977</v>
      </c>
      <c r="H310" s="437"/>
      <c r="I310" s="437"/>
      <c r="K310" s="99"/>
      <c r="L310" s="99"/>
    </row>
    <row r="311" spans="1:12" ht="15" customHeight="1" x14ac:dyDescent="0.2">
      <c r="A311" s="588">
        <f t="shared" si="51"/>
        <v>2005</v>
      </c>
      <c r="B311" s="588"/>
      <c r="C311" s="414"/>
      <c r="D311" s="448">
        <f>'Rate Class Load Model'!B8</f>
        <v>2343889</v>
      </c>
      <c r="E311" s="448">
        <f>'Rate Class Load Model'!C8</f>
        <v>445748</v>
      </c>
      <c r="F311" s="448">
        <f>'Rate Class Load Model'!D8</f>
        <v>42148</v>
      </c>
      <c r="G311" s="448">
        <f t="shared" si="52"/>
        <v>2831785</v>
      </c>
      <c r="H311" s="437"/>
      <c r="I311" s="437"/>
      <c r="K311" s="99"/>
      <c r="L311" s="99"/>
    </row>
    <row r="312" spans="1:12" ht="15" customHeight="1" x14ac:dyDescent="0.2">
      <c r="A312" s="588">
        <f t="shared" si="51"/>
        <v>2006</v>
      </c>
      <c r="B312" s="588"/>
      <c r="C312" s="414"/>
      <c r="D312" s="448">
        <f>'Rate Class Load Model'!B9</f>
        <v>2306337</v>
      </c>
      <c r="E312" s="448">
        <f>'Rate Class Load Model'!C9</f>
        <v>381847</v>
      </c>
      <c r="F312" s="448">
        <f>'Rate Class Load Model'!D9</f>
        <v>42692</v>
      </c>
      <c r="G312" s="448">
        <f t="shared" si="52"/>
        <v>2730876</v>
      </c>
      <c r="H312" s="437"/>
      <c r="I312" s="437"/>
      <c r="K312" s="99"/>
      <c r="L312" s="99"/>
    </row>
    <row r="313" spans="1:12" ht="15" customHeight="1" x14ac:dyDescent="0.2">
      <c r="A313" s="588">
        <f t="shared" si="51"/>
        <v>2007</v>
      </c>
      <c r="B313" s="588"/>
      <c r="C313" s="414"/>
      <c r="D313" s="448">
        <f>'Rate Class Load Model'!B10</f>
        <v>2286676</v>
      </c>
      <c r="E313" s="448">
        <f>'Rate Class Load Model'!C10</f>
        <v>330481</v>
      </c>
      <c r="F313" s="448">
        <f>'Rate Class Load Model'!D10</f>
        <v>43371</v>
      </c>
      <c r="G313" s="448">
        <f t="shared" si="52"/>
        <v>2660528</v>
      </c>
      <c r="H313" s="437"/>
      <c r="I313" s="437"/>
      <c r="K313" s="99"/>
      <c r="L313" s="99"/>
    </row>
    <row r="314" spans="1:12" ht="15" customHeight="1" x14ac:dyDescent="0.2">
      <c r="A314" s="588">
        <f t="shared" si="51"/>
        <v>2008</v>
      </c>
      <c r="B314" s="588"/>
      <c r="C314" s="414"/>
      <c r="D314" s="448">
        <f>'Rate Class Load Model'!B11</f>
        <v>2227288</v>
      </c>
      <c r="E314" s="448">
        <f>'Rate Class Load Model'!C11</f>
        <v>329862</v>
      </c>
      <c r="F314" s="448">
        <f>'Rate Class Load Model'!D11</f>
        <v>45893</v>
      </c>
      <c r="G314" s="448">
        <f t="shared" si="52"/>
        <v>2603043</v>
      </c>
      <c r="H314" s="437"/>
      <c r="I314" s="437"/>
      <c r="K314" s="99"/>
      <c r="L314" s="99"/>
    </row>
    <row r="315" spans="1:12" ht="15" customHeight="1" x14ac:dyDescent="0.2">
      <c r="A315" s="588">
        <f t="shared" si="51"/>
        <v>2009</v>
      </c>
      <c r="B315" s="588"/>
      <c r="C315" s="414"/>
      <c r="D315" s="448">
        <f>'Rate Class Load Model'!B12</f>
        <v>2169096</v>
      </c>
      <c r="E315" s="448">
        <f>'Rate Class Load Model'!C12</f>
        <v>171311</v>
      </c>
      <c r="F315" s="448">
        <f>'Rate Class Load Model'!D12</f>
        <v>44226</v>
      </c>
      <c r="G315" s="448">
        <f t="shared" si="52"/>
        <v>2384633</v>
      </c>
      <c r="H315" s="437"/>
      <c r="I315" s="437"/>
      <c r="K315" s="99"/>
      <c r="L315" s="99"/>
    </row>
    <row r="316" spans="1:12" ht="15" customHeight="1" x14ac:dyDescent="0.2">
      <c r="A316" s="588">
        <f t="shared" si="51"/>
        <v>2010</v>
      </c>
      <c r="B316" s="588"/>
      <c r="C316" s="414"/>
      <c r="D316" s="448">
        <f>'Rate Class Load Model'!B13</f>
        <v>2260312</v>
      </c>
      <c r="E316" s="448">
        <f>'Rate Class Load Model'!C13</f>
        <v>95621</v>
      </c>
      <c r="F316" s="448">
        <f>'Rate Class Load Model'!D13</f>
        <v>44895</v>
      </c>
      <c r="G316" s="448">
        <f t="shared" si="52"/>
        <v>2400828</v>
      </c>
      <c r="H316" s="437"/>
      <c r="I316" s="437"/>
      <c r="K316" s="99"/>
      <c r="L316" s="99"/>
    </row>
    <row r="317" spans="1:12" ht="15" customHeight="1" x14ac:dyDescent="0.2">
      <c r="A317" s="588">
        <f t="shared" si="51"/>
        <v>2011</v>
      </c>
      <c r="B317" s="588"/>
      <c r="C317" s="414"/>
      <c r="D317" s="448">
        <f>'Rate Class Load Model'!B14</f>
        <v>2244883</v>
      </c>
      <c r="E317" s="448">
        <f>'Rate Class Load Model'!C14</f>
        <v>105771</v>
      </c>
      <c r="F317" s="448">
        <f>'Rate Class Load Model'!D14</f>
        <v>44252</v>
      </c>
      <c r="G317" s="448">
        <f t="shared" si="52"/>
        <v>2394906</v>
      </c>
      <c r="H317" s="437"/>
      <c r="I317" s="437"/>
      <c r="K317" s="99"/>
      <c r="L317" s="99"/>
    </row>
    <row r="318" spans="1:12" ht="15" customHeight="1" x14ac:dyDescent="0.2">
      <c r="A318" s="588">
        <f t="shared" si="51"/>
        <v>2012</v>
      </c>
      <c r="B318" s="588"/>
      <c r="C318" s="414"/>
      <c r="D318" s="448">
        <f>'Rate Class Load Model'!B15</f>
        <v>2227931</v>
      </c>
      <c r="E318" s="448">
        <f>'Rate Class Load Model'!C15</f>
        <v>136790</v>
      </c>
      <c r="F318" s="448">
        <f>'Rate Class Load Model'!D15</f>
        <v>44229</v>
      </c>
      <c r="G318" s="448">
        <f>SUM(D318:F318)</f>
        <v>2408950</v>
      </c>
      <c r="H318" s="437"/>
      <c r="I318" s="437"/>
      <c r="K318" s="99"/>
      <c r="L318" s="99"/>
    </row>
    <row r="320" spans="1:12" ht="15" customHeight="1" x14ac:dyDescent="0.2">
      <c r="A320" s="590" t="s">
        <v>275</v>
      </c>
      <c r="B320" s="590"/>
      <c r="C320" s="590"/>
      <c r="D320" s="590"/>
      <c r="E320" s="590"/>
      <c r="F320" s="590"/>
      <c r="G320" s="252"/>
      <c r="H320" s="252"/>
    </row>
    <row r="321" spans="1:7" ht="30" x14ac:dyDescent="0.2">
      <c r="A321" s="622" t="s">
        <v>79</v>
      </c>
      <c r="B321" s="622"/>
      <c r="C321" s="427"/>
      <c r="D321" s="378" t="str">
        <f>D304</f>
        <v>GS&gt;50</v>
      </c>
      <c r="E321" s="378" t="str">
        <f>E304</f>
        <v>Large User</v>
      </c>
      <c r="F321" s="378" t="str">
        <f>F304</f>
        <v>Street Lighting</v>
      </c>
      <c r="G321" s="75"/>
    </row>
    <row r="322" spans="1:7" ht="15" customHeight="1" x14ac:dyDescent="0.2">
      <c r="A322" s="590" t="s">
        <v>104</v>
      </c>
      <c r="B322" s="590"/>
      <c r="C322" s="590"/>
      <c r="D322" s="590"/>
      <c r="E322" s="590"/>
      <c r="F322" s="590"/>
      <c r="G322" s="252"/>
    </row>
    <row r="323" spans="1:7" ht="15" customHeight="1" x14ac:dyDescent="0.2">
      <c r="A323" s="588">
        <f t="shared" ref="A323:A335" si="53">A306</f>
        <v>2000</v>
      </c>
      <c r="B323" s="588"/>
      <c r="C323" s="93"/>
      <c r="D323" s="130">
        <f>'Rate Class Load Model'!B20</f>
        <v>2.0218305764707727E-3</v>
      </c>
      <c r="E323" s="130">
        <f>'Rate Class Load Model'!C20</f>
        <v>1.802784048742585E-3</v>
      </c>
      <c r="F323" s="130">
        <f>'Rate Class Load Model'!D20</f>
        <v>2.8607286997274959E-3</v>
      </c>
      <c r="G323" s="438"/>
    </row>
    <row r="324" spans="1:7" ht="15" customHeight="1" x14ac:dyDescent="0.2">
      <c r="A324" s="588">
        <f t="shared" si="53"/>
        <v>2001</v>
      </c>
      <c r="B324" s="588"/>
      <c r="C324" s="93"/>
      <c r="D324" s="130">
        <f>'Rate Class Load Model'!B21</f>
        <v>2.3763879809171797E-3</v>
      </c>
      <c r="E324" s="130">
        <f>'Rate Class Load Model'!C21</f>
        <v>1.8502086276321718E-3</v>
      </c>
      <c r="F324" s="130">
        <f>'Rate Class Load Model'!D21</f>
        <v>2.860835413226898E-3</v>
      </c>
      <c r="G324" s="438"/>
    </row>
    <row r="325" spans="1:7" ht="15" customHeight="1" x14ac:dyDescent="0.2">
      <c r="A325" s="588">
        <f t="shared" si="53"/>
        <v>2002</v>
      </c>
      <c r="B325" s="588"/>
      <c r="C325" s="93"/>
      <c r="D325" s="130">
        <f>'Rate Class Load Model'!B22</f>
        <v>2.604481765546653E-3</v>
      </c>
      <c r="E325" s="130">
        <f>'Rate Class Load Model'!C22</f>
        <v>1.8457549257012362E-3</v>
      </c>
      <c r="F325" s="130">
        <f>'Rate Class Load Model'!D22</f>
        <v>2.9622510962410919E-3</v>
      </c>
      <c r="G325" s="439"/>
    </row>
    <row r="326" spans="1:7" ht="15" customHeight="1" x14ac:dyDescent="0.2">
      <c r="A326" s="588">
        <f t="shared" si="53"/>
        <v>2003</v>
      </c>
      <c r="B326" s="588"/>
      <c r="C326" s="93"/>
      <c r="D326" s="130">
        <f>'Rate Class Load Model'!B23</f>
        <v>2.602020174764717E-3</v>
      </c>
      <c r="E326" s="130">
        <f>'Rate Class Load Model'!C23</f>
        <v>1.8756875968603262E-3</v>
      </c>
      <c r="F326" s="130">
        <f>'Rate Class Load Model'!D23</f>
        <v>2.7927548222688456E-3</v>
      </c>
      <c r="G326" s="439"/>
    </row>
    <row r="327" spans="1:7" ht="15" customHeight="1" x14ac:dyDescent="0.2">
      <c r="A327" s="588">
        <f t="shared" si="53"/>
        <v>2004</v>
      </c>
      <c r="B327" s="588"/>
      <c r="C327" s="414"/>
      <c r="D327" s="130">
        <f>'Rate Class Load Model'!B24</f>
        <v>2.5794653514986726E-3</v>
      </c>
      <c r="E327" s="130">
        <f>'Rate Class Load Model'!C24</f>
        <v>1.9614466876838326E-3</v>
      </c>
      <c r="F327" s="130">
        <f>'Rate Class Load Model'!D24</f>
        <v>2.7791385336494727E-3</v>
      </c>
      <c r="G327" s="439"/>
    </row>
    <row r="328" spans="1:7" ht="15" customHeight="1" x14ac:dyDescent="0.2">
      <c r="A328" s="588">
        <f t="shared" si="53"/>
        <v>2005</v>
      </c>
      <c r="B328" s="588"/>
      <c r="C328" s="414"/>
      <c r="D328" s="130">
        <f>'Rate Class Load Model'!B25</f>
        <v>2.5506085485221389E-3</v>
      </c>
      <c r="E328" s="130">
        <f>'Rate Class Load Model'!C25</f>
        <v>1.9208440302812735E-3</v>
      </c>
      <c r="F328" s="130">
        <f>'Rate Class Load Model'!D25</f>
        <v>2.7915185733875052E-3</v>
      </c>
      <c r="G328" s="439"/>
    </row>
    <row r="329" spans="1:7" ht="15" customHeight="1" x14ac:dyDescent="0.2">
      <c r="A329" s="588">
        <f t="shared" si="53"/>
        <v>2006</v>
      </c>
      <c r="B329" s="588"/>
      <c r="C329" s="414"/>
      <c r="D329" s="130">
        <f>'Rate Class Load Model'!B26</f>
        <v>2.6805055255852668E-3</v>
      </c>
      <c r="E329" s="130">
        <f>'Rate Class Load Model'!C26</f>
        <v>2.0983394610620725E-3</v>
      </c>
      <c r="F329" s="130">
        <f>'Rate Class Load Model'!D26</f>
        <v>2.7920198928474403E-3</v>
      </c>
      <c r="G329" s="439"/>
    </row>
    <row r="330" spans="1:7" ht="15" customHeight="1" x14ac:dyDescent="0.2">
      <c r="A330" s="588">
        <f t="shared" si="53"/>
        <v>2007</v>
      </c>
      <c r="B330" s="588"/>
      <c r="C330" s="414"/>
      <c r="D330" s="130">
        <f>'Rate Class Load Model'!B27</f>
        <v>2.6380840852090327E-3</v>
      </c>
      <c r="E330" s="130">
        <f>'Rate Class Load Model'!C27</f>
        <v>2.0958864250142551E-3</v>
      </c>
      <c r="F330" s="130">
        <f>'Rate Class Load Model'!D27</f>
        <v>2.7906588885197696E-3</v>
      </c>
      <c r="G330" s="439"/>
    </row>
    <row r="331" spans="1:7" ht="15" customHeight="1" x14ac:dyDescent="0.2">
      <c r="A331" s="588">
        <f t="shared" si="53"/>
        <v>2008</v>
      </c>
      <c r="B331" s="588"/>
      <c r="C331" s="414"/>
      <c r="D331" s="130">
        <f>'Rate Class Load Model'!B28</f>
        <v>2.657818063715971E-3</v>
      </c>
      <c r="E331" s="130">
        <f>'Rate Class Load Model'!C28</f>
        <v>2.2450469318205787E-3</v>
      </c>
      <c r="F331" s="130">
        <f>'Rate Class Load Model'!D28</f>
        <v>2.6161183628102924E-3</v>
      </c>
      <c r="G331" s="439"/>
    </row>
    <row r="332" spans="1:7" ht="15" customHeight="1" x14ac:dyDescent="0.2">
      <c r="A332" s="588">
        <f t="shared" si="53"/>
        <v>2009</v>
      </c>
      <c r="B332" s="588"/>
      <c r="C332" s="414"/>
      <c r="D332" s="130">
        <f>'Rate Class Load Model'!B29</f>
        <v>2.642274511612796E-3</v>
      </c>
      <c r="E332" s="130">
        <f>'Rate Class Load Model'!C29</f>
        <v>2.1461523606441978E-3</v>
      </c>
      <c r="F332" s="130">
        <f>'Rate Class Load Model'!D29</f>
        <v>2.7778555929640725E-3</v>
      </c>
      <c r="G332" s="439"/>
    </row>
    <row r="333" spans="1:7" ht="15" customHeight="1" x14ac:dyDescent="0.2">
      <c r="A333" s="588">
        <f t="shared" si="53"/>
        <v>2010</v>
      </c>
      <c r="B333" s="588"/>
      <c r="C333" s="414"/>
      <c r="D333" s="130">
        <f>'Rate Class Load Model'!B30</f>
        <v>2.5776612434298585E-3</v>
      </c>
      <c r="E333" s="130">
        <f>'Rate Class Load Model'!C30</f>
        <v>2.0535557089132192E-3</v>
      </c>
      <c r="F333" s="130">
        <f>'Rate Class Load Model'!D30</f>
        <v>2.7997924804664663E-3</v>
      </c>
      <c r="G333" s="439"/>
    </row>
    <row r="334" spans="1:7" ht="15" customHeight="1" x14ac:dyDescent="0.2">
      <c r="A334" s="588">
        <f t="shared" si="53"/>
        <v>2011</v>
      </c>
      <c r="B334" s="588"/>
      <c r="C334" s="414"/>
      <c r="D334" s="130">
        <f>'Rate Class Load Model'!B31</f>
        <v>2.576611271021607E-3</v>
      </c>
      <c r="E334" s="130">
        <f>'Rate Class Load Model'!C31</f>
        <v>1.8882530047298353E-3</v>
      </c>
      <c r="F334" s="130">
        <f>'Rate Class Load Model'!D31</f>
        <v>2.7906006475918867E-3</v>
      </c>
      <c r="G334" s="439"/>
    </row>
    <row r="335" spans="1:7" ht="15" customHeight="1" x14ac:dyDescent="0.2">
      <c r="A335" s="588">
        <f t="shared" si="53"/>
        <v>2012</v>
      </c>
      <c r="B335" s="588"/>
      <c r="C335" s="414"/>
      <c r="D335" s="130">
        <f>'Rate Class Load Model'!B32</f>
        <v>2.6186661485402361E-3</v>
      </c>
      <c r="E335" s="130">
        <f>'Rate Class Load Model'!C32</f>
        <v>1.9722772135614469E-3</v>
      </c>
      <c r="F335" s="130">
        <f>'Rate Class Load Model'!D32</f>
        <v>2.7741083968947596E-3</v>
      </c>
      <c r="G335" s="439"/>
    </row>
    <row r="336" spans="1:7" ht="15" customHeight="1" x14ac:dyDescent="0.2">
      <c r="A336" s="589" t="s">
        <v>192</v>
      </c>
      <c r="B336" s="589"/>
      <c r="C336" s="413"/>
      <c r="D336" s="131">
        <f>AVERAGE(D323:D335)</f>
        <v>2.5481857882180691E-3</v>
      </c>
      <c r="E336" s="131">
        <f>AVERAGE(E323:E335)</f>
        <v>1.9812490017420792E-3</v>
      </c>
      <c r="F336" s="131">
        <f>AVERAGE(F323:F335)</f>
        <v>2.7991062615843076E-3</v>
      </c>
      <c r="G336" s="440"/>
    </row>
    <row r="337" spans="1:19" x14ac:dyDescent="0.2">
      <c r="K337" s="159"/>
      <c r="L337" s="159"/>
      <c r="M337" s="159"/>
      <c r="N337" s="159"/>
      <c r="O337" s="159"/>
    </row>
    <row r="338" spans="1:19" ht="15" x14ac:dyDescent="0.2">
      <c r="A338" s="589" t="s">
        <v>221</v>
      </c>
      <c r="B338" s="589"/>
      <c r="C338" s="589"/>
      <c r="D338" s="589"/>
      <c r="E338" s="589"/>
      <c r="F338" s="589"/>
      <c r="G338" s="589"/>
      <c r="H338" s="121"/>
      <c r="I338" s="121"/>
    </row>
    <row r="339" spans="1:19" ht="30" x14ac:dyDescent="0.2">
      <c r="A339" s="622" t="s">
        <v>79</v>
      </c>
      <c r="B339" s="622"/>
      <c r="C339" s="427"/>
      <c r="D339" s="378" t="str">
        <f>D304</f>
        <v>GS&gt;50</v>
      </c>
      <c r="E339" s="378" t="str">
        <f>E304</f>
        <v>Large User</v>
      </c>
      <c r="F339" s="378" t="str">
        <f>F304</f>
        <v>Street Lighting</v>
      </c>
      <c r="G339" s="378" t="str">
        <f>G304</f>
        <v>Total</v>
      </c>
      <c r="H339" s="75"/>
      <c r="I339" s="75"/>
    </row>
    <row r="340" spans="1:19" ht="15" x14ac:dyDescent="0.2">
      <c r="A340" s="594" t="s">
        <v>105</v>
      </c>
      <c r="B340" s="595"/>
      <c r="C340" s="595"/>
      <c r="D340" s="595"/>
      <c r="E340" s="595"/>
      <c r="F340" s="595"/>
      <c r="G340" s="596"/>
      <c r="H340" s="121"/>
      <c r="I340" s="121"/>
    </row>
    <row r="341" spans="1:19" x14ac:dyDescent="0.2">
      <c r="A341" s="430" t="s">
        <v>158</v>
      </c>
      <c r="B341" s="430"/>
      <c r="C341" s="430"/>
      <c r="D341" s="459">
        <f>+'Rate Class Load Model'!B16</f>
        <v>2209319.9588224045</v>
      </c>
      <c r="E341" s="459">
        <f>+'Rate Class Load Model'!C16</f>
        <v>130795.77587097054</v>
      </c>
      <c r="F341" s="459">
        <f>+'Rate Class Load Model'!D16</f>
        <v>44502.095867100063</v>
      </c>
      <c r="G341" s="459">
        <f>SUM(D341:F341)</f>
        <v>2384617.8305604751</v>
      </c>
      <c r="H341" s="441"/>
      <c r="I341" s="441"/>
      <c r="J341" s="99"/>
      <c r="K341" s="99"/>
      <c r="M341" s="99"/>
      <c r="N341" s="99"/>
      <c r="O341" s="99"/>
      <c r="P341" s="99"/>
      <c r="Q341" s="99"/>
      <c r="R341" s="99"/>
      <c r="S341" s="99"/>
    </row>
    <row r="342" spans="1:19" x14ac:dyDescent="0.2">
      <c r="A342" s="430" t="s">
        <v>159</v>
      </c>
      <c r="B342" s="430"/>
      <c r="C342" s="430"/>
      <c r="D342" s="459">
        <f>+'Rate Class Load Model'!B17</f>
        <v>2225926.8825137992</v>
      </c>
      <c r="E342" s="459">
        <f>+'Rate Class Load Model'!C17</f>
        <v>63001.717773348704</v>
      </c>
      <c r="F342" s="459">
        <f>+'Rate Class Load Model'!D17</f>
        <v>45145.286564759699</v>
      </c>
      <c r="G342" s="459">
        <f>SUM(D342:F342)</f>
        <v>2334073.8868519077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ht="15" x14ac:dyDescent="0.2">
      <c r="A343" s="74"/>
      <c r="B343" s="132"/>
      <c r="C343" s="132"/>
      <c r="D343" s="133"/>
      <c r="E343" s="133"/>
      <c r="F343" s="133"/>
      <c r="G343" s="133"/>
    </row>
    <row r="344" spans="1:19" ht="15" x14ac:dyDescent="0.2">
      <c r="A344" s="589" t="s">
        <v>222</v>
      </c>
      <c r="B344" s="589"/>
      <c r="C344" s="589"/>
      <c r="D344" s="589"/>
      <c r="E344" s="589"/>
      <c r="F344" s="589"/>
      <c r="G344" s="589"/>
      <c r="H344" s="589"/>
      <c r="I344" s="589"/>
      <c r="J344" s="74"/>
    </row>
    <row r="345" spans="1:19" ht="60" x14ac:dyDescent="0.2">
      <c r="A345" s="622"/>
      <c r="B345" s="622"/>
      <c r="C345" s="427"/>
      <c r="D345" s="428" t="s">
        <v>153</v>
      </c>
      <c r="E345" s="428" t="s">
        <v>160</v>
      </c>
      <c r="F345" s="428" t="s">
        <v>106</v>
      </c>
      <c r="G345" s="428" t="s">
        <v>161</v>
      </c>
      <c r="H345" s="429" t="s">
        <v>162</v>
      </c>
      <c r="I345" s="429" t="s">
        <v>163</v>
      </c>
    </row>
    <row r="346" spans="1:19" x14ac:dyDescent="0.2">
      <c r="A346" s="626"/>
      <c r="B346" s="626"/>
      <c r="C346" s="95"/>
      <c r="D346" s="98"/>
      <c r="E346" s="98"/>
      <c r="F346" s="98"/>
      <c r="G346" s="98"/>
      <c r="H346" s="98"/>
      <c r="I346" s="94"/>
      <c r="J346" s="119"/>
    </row>
    <row r="347" spans="1:19" ht="15" x14ac:dyDescent="0.2">
      <c r="A347" s="589" t="s">
        <v>107</v>
      </c>
      <c r="B347" s="589"/>
      <c r="C347" s="589"/>
      <c r="D347" s="589"/>
      <c r="E347" s="589"/>
      <c r="F347" s="589"/>
      <c r="G347" s="589"/>
      <c r="H347" s="589"/>
      <c r="I347" s="589"/>
      <c r="J347" s="74"/>
    </row>
    <row r="348" spans="1:19" x14ac:dyDescent="0.2">
      <c r="A348" s="95" t="s">
        <v>37</v>
      </c>
      <c r="B348" s="95"/>
      <c r="C348" s="95"/>
      <c r="D348" s="98"/>
      <c r="E348" s="98">
        <f>Summary!L4</f>
        <v>1892633519.4493544</v>
      </c>
      <c r="F348" s="98">
        <f>Summary!M4</f>
        <v>1895197232.5334651</v>
      </c>
      <c r="G348" s="98">
        <f>Summary!N4</f>
        <v>1885738118.3156619</v>
      </c>
      <c r="H348" s="98"/>
      <c r="I348" s="94"/>
      <c r="J348" s="134"/>
    </row>
    <row r="349" spans="1:19" x14ac:dyDescent="0.2">
      <c r="A349" s="95" t="s">
        <v>38</v>
      </c>
      <c r="B349" s="95"/>
      <c r="C349" s="95"/>
      <c r="D349" s="98"/>
      <c r="E349" s="98">
        <f>Summary!L5</f>
        <v>1880819176.7808089</v>
      </c>
      <c r="F349" s="98">
        <f>Summary!M5</f>
        <v>1887427043.5702879</v>
      </c>
      <c r="G349" s="98">
        <f>Summary!N5</f>
        <v>1866597053.6581802</v>
      </c>
      <c r="H349" s="98">
        <f>Summary!O5</f>
        <v>1876306519.4262118</v>
      </c>
      <c r="I349" s="98">
        <f>Summary!P5</f>
        <v>1860832177.8502116</v>
      </c>
      <c r="J349" s="134"/>
    </row>
    <row r="350" spans="1:19" ht="15" x14ac:dyDescent="0.2">
      <c r="A350" s="135" t="s">
        <v>108</v>
      </c>
      <c r="B350" s="135"/>
      <c r="C350" s="101"/>
      <c r="D350" s="136"/>
      <c r="E350" s="137">
        <f>E349/E348-1</f>
        <v>-6.2422769897801933E-3</v>
      </c>
      <c r="F350" s="137">
        <f>F349/F348-1</f>
        <v>-4.0999368455124641E-3</v>
      </c>
      <c r="G350" s="137">
        <f>G349/G348-1</f>
        <v>-1.0150436304792065E-2</v>
      </c>
      <c r="H350" s="94"/>
      <c r="I350" s="94"/>
      <c r="J350" s="119"/>
    </row>
    <row r="351" spans="1:19" ht="12.75" customHeight="1" x14ac:dyDescent="0.2">
      <c r="A351" s="626"/>
      <c r="B351" s="626"/>
      <c r="C351" s="95"/>
      <c r="D351" s="111"/>
      <c r="E351" s="137"/>
      <c r="F351" s="100"/>
      <c r="G351" s="100"/>
      <c r="H351" s="100"/>
      <c r="I351" s="94"/>
      <c r="J351" s="119"/>
    </row>
    <row r="352" spans="1:19" ht="15" x14ac:dyDescent="0.2">
      <c r="A352" s="589" t="s">
        <v>109</v>
      </c>
      <c r="B352" s="589"/>
      <c r="C352" s="589"/>
      <c r="D352" s="589"/>
      <c r="E352" s="589"/>
      <c r="F352" s="589"/>
      <c r="G352" s="589"/>
      <c r="H352" s="589"/>
      <c r="I352" s="589"/>
      <c r="J352" s="74"/>
    </row>
    <row r="353" spans="1:11" x14ac:dyDescent="0.2">
      <c r="A353" s="138" t="s">
        <v>110</v>
      </c>
      <c r="B353" s="95"/>
      <c r="C353" s="95"/>
      <c r="D353" s="98"/>
      <c r="E353" s="98"/>
      <c r="F353" s="139"/>
      <c r="G353" s="139"/>
      <c r="H353" s="139"/>
      <c r="I353" s="94"/>
      <c r="J353" s="119"/>
    </row>
    <row r="354" spans="1:11" x14ac:dyDescent="0.2">
      <c r="A354" s="95" t="s">
        <v>24</v>
      </c>
      <c r="B354" s="95"/>
      <c r="C354" s="95"/>
      <c r="D354" s="98">
        <f>D48</f>
        <v>78139</v>
      </c>
      <c r="E354" s="98">
        <f>Summary!L12</f>
        <v>77505.916666666672</v>
      </c>
      <c r="F354" s="98">
        <f>Summary!M12</f>
        <v>78761</v>
      </c>
      <c r="G354" s="98">
        <f>Summary!N12</f>
        <v>79997</v>
      </c>
      <c r="H354" s="98">
        <f>Summary!O12</f>
        <v>81276.952000000005</v>
      </c>
      <c r="I354" s="98">
        <f>Summary!P12</f>
        <v>82577.383232000007</v>
      </c>
      <c r="J354" s="134"/>
      <c r="K354" s="72">
        <f>H354*12</f>
        <v>975323.42400000012</v>
      </c>
    </row>
    <row r="355" spans="1:11" x14ac:dyDescent="0.2">
      <c r="A355" s="615" t="s">
        <v>25</v>
      </c>
      <c r="B355" s="615"/>
      <c r="C355" s="95"/>
      <c r="D355" s="98">
        <f>D28*1000000</f>
        <v>650038341</v>
      </c>
      <c r="E355" s="98">
        <f>Summary!L13</f>
        <v>650651967</v>
      </c>
      <c r="F355" s="98">
        <f>Summary!M13</f>
        <v>647280211</v>
      </c>
      <c r="G355" s="98">
        <f>Summary!N13</f>
        <v>644467300</v>
      </c>
      <c r="H355" s="98">
        <f>Summary!O13</f>
        <v>640773193.35766029</v>
      </c>
      <c r="I355" s="98">
        <f>Summary!P13</f>
        <v>647771771.99550164</v>
      </c>
      <c r="J355" s="134"/>
    </row>
    <row r="356" spans="1:11" x14ac:dyDescent="0.2">
      <c r="A356" s="626"/>
      <c r="B356" s="626"/>
      <c r="C356" s="95"/>
      <c r="D356" s="98"/>
      <c r="E356" s="98"/>
      <c r="F356" s="139"/>
      <c r="G356" s="139"/>
      <c r="H356" s="139"/>
      <c r="I356" s="94"/>
      <c r="J356" s="119"/>
    </row>
    <row r="357" spans="1:11" x14ac:dyDescent="0.2">
      <c r="A357" s="628" t="str">
        <f>E289</f>
        <v>GS&lt;50</v>
      </c>
      <c r="B357" s="628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95" t="s">
        <v>24</v>
      </c>
      <c r="B358" s="95"/>
      <c r="C358" s="95"/>
      <c r="D358" s="98">
        <f>E48</f>
        <v>7484</v>
      </c>
      <c r="E358" s="98">
        <f>Summary!L16</f>
        <v>7447.583333333333</v>
      </c>
      <c r="F358" s="98">
        <f>Summary!M16</f>
        <v>7538</v>
      </c>
      <c r="G358" s="98">
        <f>Summary!N16</f>
        <v>7645.333333333333</v>
      </c>
      <c r="H358" s="98">
        <f>Summary!O16</f>
        <v>7736.9966057773026</v>
      </c>
      <c r="I358" s="98">
        <f>Summary!P16</f>
        <v>7829.7588696123348</v>
      </c>
      <c r="J358" s="134"/>
      <c r="K358" s="72">
        <f>H358*12</f>
        <v>92843.959269327635</v>
      </c>
    </row>
    <row r="359" spans="1:11" x14ac:dyDescent="0.2">
      <c r="A359" s="615" t="s">
        <v>25</v>
      </c>
      <c r="B359" s="615"/>
      <c r="C359" s="95"/>
      <c r="D359" s="98">
        <f>E28*1000000</f>
        <v>235461608</v>
      </c>
      <c r="E359" s="98">
        <f>Summary!L17</f>
        <v>236095929</v>
      </c>
      <c r="F359" s="98">
        <f>Summary!M17</f>
        <v>240155523</v>
      </c>
      <c r="G359" s="98">
        <f>Summary!N17</f>
        <v>240981970</v>
      </c>
      <c r="H359" s="98">
        <f>Summary!O17</f>
        <v>238668992.13346663</v>
      </c>
      <c r="I359" s="98">
        <f>Summary!P17</f>
        <v>240204686.12850371</v>
      </c>
      <c r="J359" s="134"/>
    </row>
    <row r="360" spans="1:11" x14ac:dyDescent="0.2">
      <c r="A360" s="626"/>
      <c r="B360" s="626"/>
      <c r="C360" s="95"/>
      <c r="D360" s="98"/>
      <c r="E360" s="98"/>
      <c r="F360" s="139"/>
      <c r="G360" s="139"/>
      <c r="H360" s="139"/>
      <c r="I360" s="94"/>
      <c r="J360" s="119"/>
    </row>
    <row r="361" spans="1:11" x14ac:dyDescent="0.2">
      <c r="A361" s="628" t="s">
        <v>112</v>
      </c>
      <c r="B361" s="628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95" t="s">
        <v>24</v>
      </c>
      <c r="B362" s="95"/>
      <c r="C362" s="95"/>
      <c r="D362" s="98">
        <f>F48</f>
        <v>1003</v>
      </c>
      <c r="E362" s="98">
        <f>Summary!L20</f>
        <v>988.91666666666663</v>
      </c>
      <c r="F362" s="98">
        <f>Summary!M20</f>
        <v>975</v>
      </c>
      <c r="G362" s="98">
        <f>Summary!N20</f>
        <v>952.33333333333337</v>
      </c>
      <c r="H362" s="98">
        <f>Summary!O20</f>
        <v>948.47089081750107</v>
      </c>
      <c r="I362" s="98">
        <f>Summary!P20</f>
        <v>944.62411347022476</v>
      </c>
      <c r="J362" s="134"/>
      <c r="K362" s="72">
        <f>H362*12</f>
        <v>11381.650689810012</v>
      </c>
    </row>
    <row r="363" spans="1:11" x14ac:dyDescent="0.2">
      <c r="A363" s="615" t="s">
        <v>25</v>
      </c>
      <c r="B363" s="615"/>
      <c r="C363" s="95"/>
      <c r="D363" s="98">
        <f>F28*1000000</f>
        <v>884051506</v>
      </c>
      <c r="E363" s="98">
        <f>Summary!L21</f>
        <v>876884814</v>
      </c>
      <c r="F363" s="98">
        <f>Summary!M21</f>
        <v>871254048</v>
      </c>
      <c r="G363" s="98">
        <f>Summary!N21</f>
        <v>850788483</v>
      </c>
      <c r="H363" s="98">
        <f>Summary!O21</f>
        <v>840854747.55876219</v>
      </c>
      <c r="I363" s="98">
        <f>Summary!P21</f>
        <v>841248453.12019193</v>
      </c>
      <c r="J363" s="134"/>
    </row>
    <row r="364" spans="1:11" x14ac:dyDescent="0.2">
      <c r="A364" s="615" t="s">
        <v>26</v>
      </c>
      <c r="B364" s="615"/>
      <c r="C364" s="95"/>
      <c r="D364" s="98">
        <v>2231346</v>
      </c>
      <c r="E364" s="98">
        <f>Summary!L22</f>
        <v>2260312</v>
      </c>
      <c r="F364" s="98">
        <f>Summary!M22</f>
        <v>2244883</v>
      </c>
      <c r="G364" s="98">
        <f>Summary!N22</f>
        <v>2227931</v>
      </c>
      <c r="H364" s="98">
        <f>Summary!O22</f>
        <v>2209319.9588224045</v>
      </c>
      <c r="I364" s="98">
        <f>Summary!P22</f>
        <v>2225926.8825137992</v>
      </c>
      <c r="J364" s="134"/>
    </row>
    <row r="365" spans="1:11" x14ac:dyDescent="0.2">
      <c r="A365" s="626"/>
      <c r="B365" s="626"/>
      <c r="C365" s="95"/>
      <c r="D365" s="98"/>
      <c r="E365" s="98"/>
      <c r="F365" s="98"/>
      <c r="G365" s="98"/>
      <c r="H365" s="98"/>
      <c r="I365" s="94"/>
      <c r="J365" s="119"/>
    </row>
    <row r="366" spans="1:11" x14ac:dyDescent="0.2">
      <c r="A366" s="628" t="str">
        <f>Summary!A24</f>
        <v>Large User</v>
      </c>
      <c r="B366" s="628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95" t="str">
        <f>Summary!A25</f>
        <v xml:space="preserve">  Customers</v>
      </c>
      <c r="B367" s="95"/>
      <c r="C367" s="95"/>
      <c r="D367" s="98">
        <f>G48</f>
        <v>2</v>
      </c>
      <c r="E367" s="98">
        <f>Summary!L25</f>
        <v>1.3333333333333333</v>
      </c>
      <c r="F367" s="98">
        <f>Summary!M25</f>
        <v>2</v>
      </c>
      <c r="G367" s="98">
        <f>Summary!N25</f>
        <v>2</v>
      </c>
      <c r="H367" s="98">
        <f>Summary!O25</f>
        <v>2</v>
      </c>
      <c r="I367" s="98">
        <f>Summary!P25</f>
        <v>1</v>
      </c>
      <c r="J367" s="119"/>
      <c r="K367" s="72">
        <f>H367*12</f>
        <v>24</v>
      </c>
    </row>
    <row r="368" spans="1:11" x14ac:dyDescent="0.2">
      <c r="A368" s="615" t="s">
        <v>25</v>
      </c>
      <c r="B368" s="615"/>
      <c r="C368" s="95"/>
      <c r="D368" s="98">
        <f>G28*1000000</f>
        <v>71682604</v>
      </c>
      <c r="E368" s="98">
        <f>Summary!L26</f>
        <v>46563626</v>
      </c>
      <c r="F368" s="98">
        <f>Summary!M26</f>
        <v>56015269</v>
      </c>
      <c r="G368" s="98">
        <f>Summary!N26</f>
        <v>69356376</v>
      </c>
      <c r="H368" s="98">
        <f>Summary!O26</f>
        <v>66016828.655037299</v>
      </c>
      <c r="I368" s="98">
        <f>Summary!P26</f>
        <v>31798990.292463161</v>
      </c>
      <c r="J368" s="119"/>
    </row>
    <row r="369" spans="1:11" x14ac:dyDescent="0.2">
      <c r="A369" s="615" t="s">
        <v>26</v>
      </c>
      <c r="B369" s="615"/>
      <c r="C369" s="95"/>
      <c r="D369" s="98">
        <v>140928</v>
      </c>
      <c r="E369" s="98">
        <f>Summary!L27</f>
        <v>95621</v>
      </c>
      <c r="F369" s="98">
        <f>Summary!M27</f>
        <v>105771</v>
      </c>
      <c r="G369" s="98">
        <f>Summary!N27</f>
        <v>136790</v>
      </c>
      <c r="H369" s="98">
        <f>Summary!O27</f>
        <v>130795.77587097054</v>
      </c>
      <c r="I369" s="98">
        <f>Summary!P27</f>
        <v>63001.717773348704</v>
      </c>
      <c r="J369" s="119"/>
    </row>
    <row r="370" spans="1:11" x14ac:dyDescent="0.2">
      <c r="A370" s="630"/>
      <c r="B370" s="631"/>
      <c r="C370" s="95"/>
      <c r="D370" s="98"/>
      <c r="E370" s="98"/>
      <c r="F370" s="98"/>
      <c r="G370" s="98"/>
      <c r="H370" s="98"/>
      <c r="I370" s="94"/>
      <c r="J370" s="119"/>
    </row>
    <row r="371" spans="1:11" x14ac:dyDescent="0.2">
      <c r="A371" s="138" t="s">
        <v>86</v>
      </c>
      <c r="B371" s="95"/>
      <c r="C371" s="95"/>
      <c r="D371" s="98"/>
      <c r="E371" s="98"/>
      <c r="F371" s="139"/>
      <c r="G371" s="139"/>
      <c r="H371" s="139"/>
      <c r="I371" s="94"/>
      <c r="J371" s="119"/>
    </row>
    <row r="372" spans="1:11" x14ac:dyDescent="0.2">
      <c r="A372" s="599" t="s">
        <v>164</v>
      </c>
      <c r="B372" s="618"/>
      <c r="C372" s="95"/>
      <c r="D372" s="98">
        <f>H48</f>
        <v>1585</v>
      </c>
      <c r="E372" s="98">
        <f>Summary!L30</f>
        <v>1574.2465237166991</v>
      </c>
      <c r="F372" s="98">
        <f>Summary!M30</f>
        <v>1567.6666666666667</v>
      </c>
      <c r="G372" s="98">
        <f>Summary!N30</f>
        <v>1573.4242424242425</v>
      </c>
      <c r="H372" s="98">
        <f>Summary!O30</f>
        <v>1569</v>
      </c>
      <c r="I372" s="98">
        <f>Summary!P30</f>
        <v>1591.6757998109217</v>
      </c>
      <c r="J372" s="119"/>
      <c r="K372" s="72">
        <f>H372*12</f>
        <v>18828</v>
      </c>
    </row>
    <row r="373" spans="1:11" x14ac:dyDescent="0.2">
      <c r="A373" s="625" t="s">
        <v>102</v>
      </c>
      <c r="B373" s="618"/>
      <c r="C373" s="95"/>
      <c r="D373" s="98">
        <f>H28*1000000</f>
        <v>16689726</v>
      </c>
      <c r="E373" s="98">
        <f>Summary!L31</f>
        <v>16035117</v>
      </c>
      <c r="F373" s="98">
        <f>Summary!M31</f>
        <v>15857518</v>
      </c>
      <c r="G373" s="98">
        <f>Summary!N31</f>
        <v>15943501</v>
      </c>
      <c r="H373" s="98">
        <f>Summary!O31</f>
        <v>15898680.403048243</v>
      </c>
      <c r="I373" s="98">
        <f>Summary!P31</f>
        <v>16128464.711878158</v>
      </c>
      <c r="J373" s="119"/>
    </row>
    <row r="374" spans="1:11" x14ac:dyDescent="0.2">
      <c r="A374" s="625" t="s">
        <v>131</v>
      </c>
      <c r="B374" s="618"/>
      <c r="C374" s="95"/>
      <c r="D374" s="98">
        <v>46815</v>
      </c>
      <c r="E374" s="98">
        <f>Summary!L32</f>
        <v>44895</v>
      </c>
      <c r="F374" s="98">
        <f>Summary!M32</f>
        <v>44252</v>
      </c>
      <c r="G374" s="98">
        <f>Summary!N32</f>
        <v>44229</v>
      </c>
      <c r="H374" s="98">
        <f>Summary!O32</f>
        <v>44502.095867100063</v>
      </c>
      <c r="I374" s="98">
        <f>Summary!P32</f>
        <v>45145.286564759699</v>
      </c>
      <c r="J374" s="119"/>
    </row>
    <row r="375" spans="1:11" x14ac:dyDescent="0.2">
      <c r="A375" s="630"/>
      <c r="B375" s="631"/>
      <c r="C375" s="95"/>
      <c r="D375" s="98"/>
      <c r="E375" s="98"/>
      <c r="F375" s="98"/>
      <c r="G375" s="98"/>
      <c r="H375" s="98"/>
      <c r="I375" s="98"/>
      <c r="J375" s="119"/>
    </row>
    <row r="376" spans="1:11" x14ac:dyDescent="0.2">
      <c r="A376" s="628" t="s">
        <v>113</v>
      </c>
      <c r="B376" s="628"/>
      <c r="C376" s="95"/>
      <c r="D376" s="98"/>
      <c r="E376" s="98"/>
      <c r="F376" s="98"/>
      <c r="G376" s="98"/>
      <c r="H376" s="98"/>
      <c r="I376" s="94"/>
      <c r="J376" s="119"/>
    </row>
    <row r="377" spans="1:11" x14ac:dyDescent="0.2">
      <c r="A377" s="599" t="s">
        <v>164</v>
      </c>
      <c r="B377" s="618"/>
      <c r="C377" s="95"/>
      <c r="D377" s="98">
        <f>I48</f>
        <v>820</v>
      </c>
      <c r="E377" s="98">
        <f>Summary!L35</f>
        <v>811</v>
      </c>
      <c r="F377" s="98">
        <f>Summary!M35</f>
        <v>841</v>
      </c>
      <c r="G377" s="98">
        <f>Summary!N35</f>
        <v>868.75</v>
      </c>
      <c r="H377" s="98">
        <f>Summary!O35</f>
        <v>879.45633264592357</v>
      </c>
      <c r="I377" s="98">
        <f>Summary!P35</f>
        <v>890.29460838102727</v>
      </c>
      <c r="J377" s="134"/>
      <c r="K377" s="72">
        <f>H377*12</f>
        <v>10553.475991751082</v>
      </c>
    </row>
    <row r="378" spans="1:11" x14ac:dyDescent="0.2">
      <c r="A378" s="625" t="s">
        <v>102</v>
      </c>
      <c r="B378" s="618"/>
      <c r="C378" s="95"/>
      <c r="D378" s="98">
        <f>I28*1000000</f>
        <v>3287380</v>
      </c>
      <c r="E378" s="98">
        <f>Summary!L36</f>
        <v>3269039</v>
      </c>
      <c r="F378" s="98">
        <f>Summary!M36</f>
        <v>3318783</v>
      </c>
      <c r="G378" s="98">
        <f>Summary!N36</f>
        <v>3696460</v>
      </c>
      <c r="H378" s="98">
        <f>Summary!O36</f>
        <v>3612242.357049867</v>
      </c>
      <c r="I378" s="98">
        <f>Summary!P36</f>
        <v>3417188.4429939534</v>
      </c>
      <c r="J378" s="134"/>
    </row>
    <row r="379" spans="1:11" x14ac:dyDescent="0.2">
      <c r="A379" s="626"/>
      <c r="B379" s="626"/>
      <c r="C379" s="95"/>
      <c r="D379" s="98"/>
      <c r="E379" s="98"/>
      <c r="F379" s="98"/>
      <c r="G379" s="98"/>
      <c r="H379" s="98"/>
      <c r="I379" s="98"/>
      <c r="J379" s="134"/>
    </row>
    <row r="380" spans="1:11" x14ac:dyDescent="0.2">
      <c r="A380" s="627" t="s">
        <v>313</v>
      </c>
      <c r="B380" s="628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135" t="s">
        <v>36</v>
      </c>
      <c r="B381" s="95"/>
      <c r="C381" s="95"/>
      <c r="D381" s="140">
        <f t="shared" ref="D381:I383" si="54">D354+D358+D362+D372+D377+D367</f>
        <v>89033</v>
      </c>
      <c r="E381" s="140">
        <f t="shared" si="54"/>
        <v>88328.996523716705</v>
      </c>
      <c r="F381" s="140">
        <f t="shared" si="54"/>
        <v>89684.666666666672</v>
      </c>
      <c r="G381" s="140">
        <f t="shared" si="54"/>
        <v>91038.840909090897</v>
      </c>
      <c r="H381" s="140">
        <f t="shared" si="54"/>
        <v>92412.875829240715</v>
      </c>
      <c r="I381" s="140">
        <f t="shared" si="54"/>
        <v>93834.736623274526</v>
      </c>
      <c r="J381" s="141"/>
    </row>
    <row r="382" spans="1:11" x14ac:dyDescent="0.2">
      <c r="A382" s="629" t="s">
        <v>25</v>
      </c>
      <c r="B382" s="629"/>
      <c r="C382" s="95"/>
      <c r="D382" s="140">
        <f t="shared" si="54"/>
        <v>1861211165</v>
      </c>
      <c r="E382" s="140">
        <f t="shared" si="54"/>
        <v>1829500492</v>
      </c>
      <c r="F382" s="140">
        <f t="shared" si="54"/>
        <v>1833881352</v>
      </c>
      <c r="G382" s="140">
        <f t="shared" si="54"/>
        <v>1825234090</v>
      </c>
      <c r="H382" s="140">
        <f t="shared" si="54"/>
        <v>1805824684.4650247</v>
      </c>
      <c r="I382" s="140">
        <f t="shared" si="54"/>
        <v>1780569554.6915324</v>
      </c>
      <c r="J382" s="141"/>
    </row>
    <row r="383" spans="1:11" x14ac:dyDescent="0.2">
      <c r="A383" s="629" t="s">
        <v>35</v>
      </c>
      <c r="B383" s="629"/>
      <c r="C383" s="95"/>
      <c r="D383" s="140">
        <f t="shared" si="54"/>
        <v>2419089</v>
      </c>
      <c r="E383" s="140">
        <f t="shared" si="54"/>
        <v>2400828</v>
      </c>
      <c r="F383" s="140">
        <f t="shared" si="54"/>
        <v>2394906</v>
      </c>
      <c r="G383" s="140">
        <f t="shared" si="54"/>
        <v>2408950</v>
      </c>
      <c r="H383" s="140">
        <f t="shared" si="54"/>
        <v>2384617.8305604751</v>
      </c>
      <c r="I383" s="140">
        <f t="shared" si="54"/>
        <v>2334073.8868519077</v>
      </c>
      <c r="J383" s="141"/>
    </row>
    <row r="384" spans="1:11" x14ac:dyDescent="0.2">
      <c r="A384" s="634"/>
      <c r="B384" s="635"/>
      <c r="C384" s="77"/>
      <c r="D384" s="140"/>
      <c r="E384" s="140"/>
      <c r="F384" s="140"/>
      <c r="G384" s="140"/>
      <c r="H384" s="140"/>
      <c r="I384" s="140"/>
      <c r="J384" s="141"/>
    </row>
    <row r="385" spans="1:10" x14ac:dyDescent="0.2">
      <c r="A385" s="636" t="s">
        <v>198</v>
      </c>
      <c r="B385" s="637"/>
      <c r="C385" s="499"/>
      <c r="D385" s="500">
        <v>1</v>
      </c>
      <c r="E385" s="500">
        <v>1</v>
      </c>
      <c r="F385" s="500">
        <v>1</v>
      </c>
      <c r="G385" s="500">
        <v>1</v>
      </c>
      <c r="H385" s="500">
        <v>1</v>
      </c>
      <c r="I385" s="500">
        <v>1</v>
      </c>
      <c r="J385" s="141"/>
    </row>
    <row r="386" spans="1:10" x14ac:dyDescent="0.2">
      <c r="A386" s="638" t="s">
        <v>102</v>
      </c>
      <c r="B386" s="639"/>
      <c r="C386" s="499"/>
      <c r="D386" s="500">
        <f>ED!$I$11</f>
        <v>21955687.685988676</v>
      </c>
      <c r="E386" s="500">
        <f>ED!$C$14</f>
        <v>24190281.48</v>
      </c>
      <c r="F386" s="500">
        <f>ED!$C$15</f>
        <v>21309995.489999998</v>
      </c>
      <c r="G386" s="500">
        <f>ED!$C$16</f>
        <v>17590423.550000001</v>
      </c>
      <c r="H386" s="500">
        <f>ED!$C$20</f>
        <v>20328822.352727275</v>
      </c>
      <c r="I386" s="500">
        <f>ED!$C$20</f>
        <v>20328822.352727275</v>
      </c>
      <c r="J386" s="141"/>
    </row>
    <row r="387" spans="1:10" x14ac:dyDescent="0.2">
      <c r="A387" s="638" t="s">
        <v>131</v>
      </c>
      <c r="B387" s="639"/>
      <c r="C387" s="499"/>
      <c r="D387" s="500">
        <f>ED!$I$12</f>
        <v>49062.720000000001</v>
      </c>
      <c r="E387" s="500">
        <f>ED!$B$14</f>
        <v>53143.520000000004</v>
      </c>
      <c r="F387" s="500">
        <f>ED!$B$15</f>
        <v>49138.899999999994</v>
      </c>
      <c r="G387" s="500">
        <f>ED!$B$16</f>
        <v>37866.879999999997</v>
      </c>
      <c r="H387" s="500">
        <f>ED!$B$20</f>
        <v>44673.767272727266</v>
      </c>
      <c r="I387" s="500">
        <f>ED!$B$20</f>
        <v>44673.767272727266</v>
      </c>
      <c r="J387" s="141"/>
    </row>
    <row r="388" spans="1:10" x14ac:dyDescent="0.2">
      <c r="A388" s="636"/>
      <c r="B388" s="637"/>
      <c r="C388" s="499"/>
      <c r="D388" s="500"/>
      <c r="E388" s="500"/>
      <c r="F388" s="500"/>
      <c r="G388" s="500"/>
      <c r="H388" s="500"/>
      <c r="I388" s="500"/>
      <c r="J388" s="141"/>
    </row>
    <row r="389" spans="1:10" x14ac:dyDescent="0.2">
      <c r="A389" s="636" t="s">
        <v>314</v>
      </c>
      <c r="B389" s="637"/>
      <c r="C389" s="499"/>
      <c r="D389" s="500"/>
      <c r="E389" s="500"/>
      <c r="F389" s="500"/>
      <c r="G389" s="500"/>
      <c r="H389" s="500"/>
      <c r="I389" s="500"/>
      <c r="J389" s="141"/>
    </row>
    <row r="390" spans="1:10" x14ac:dyDescent="0.2">
      <c r="A390" s="501" t="s">
        <v>36</v>
      </c>
      <c r="B390" s="502"/>
      <c r="C390" s="499"/>
      <c r="D390" s="500">
        <f t="shared" ref="D390:I392" si="55">+D381+D385</f>
        <v>89034</v>
      </c>
      <c r="E390" s="500">
        <f t="shared" si="55"/>
        <v>88329.996523716705</v>
      </c>
      <c r="F390" s="500">
        <f t="shared" si="55"/>
        <v>89685.666666666672</v>
      </c>
      <c r="G390" s="500">
        <f t="shared" si="55"/>
        <v>91039.840909090897</v>
      </c>
      <c r="H390" s="500">
        <f t="shared" si="55"/>
        <v>92413.875829240715</v>
      </c>
      <c r="I390" s="500">
        <f t="shared" si="55"/>
        <v>93835.736623274526</v>
      </c>
      <c r="J390" s="141"/>
    </row>
    <row r="391" spans="1:10" x14ac:dyDescent="0.2">
      <c r="A391" s="640" t="s">
        <v>25</v>
      </c>
      <c r="B391" s="640"/>
      <c r="C391" s="499"/>
      <c r="D391" s="500">
        <f t="shared" si="55"/>
        <v>1883166852.6859887</v>
      </c>
      <c r="E391" s="500">
        <f t="shared" si="55"/>
        <v>1853690773.48</v>
      </c>
      <c r="F391" s="500">
        <f t="shared" si="55"/>
        <v>1855191347.49</v>
      </c>
      <c r="G391" s="500">
        <f t="shared" si="55"/>
        <v>1842824513.55</v>
      </c>
      <c r="H391" s="500">
        <f t="shared" si="55"/>
        <v>1826153506.8177519</v>
      </c>
      <c r="I391" s="500">
        <f t="shared" si="55"/>
        <v>1800898377.0442595</v>
      </c>
      <c r="J391" s="141"/>
    </row>
    <row r="392" spans="1:10" x14ac:dyDescent="0.2">
      <c r="A392" s="640" t="s">
        <v>35</v>
      </c>
      <c r="B392" s="640"/>
      <c r="C392" s="499"/>
      <c r="D392" s="500">
        <f t="shared" si="55"/>
        <v>2468151.7200000002</v>
      </c>
      <c r="E392" s="500">
        <f t="shared" si="55"/>
        <v>2453971.52</v>
      </c>
      <c r="F392" s="500">
        <f t="shared" si="55"/>
        <v>2444044.9</v>
      </c>
      <c r="G392" s="500">
        <f t="shared" si="55"/>
        <v>2446816.88</v>
      </c>
      <c r="H392" s="500">
        <f t="shared" si="55"/>
        <v>2429291.5978332022</v>
      </c>
      <c r="I392" s="500">
        <f t="shared" si="55"/>
        <v>2378747.6541246348</v>
      </c>
      <c r="J392" s="141"/>
    </row>
    <row r="393" spans="1:10" x14ac:dyDescent="0.2">
      <c r="A393" s="586"/>
      <c r="B393" s="587"/>
      <c r="C393" s="77"/>
      <c r="D393" s="98"/>
      <c r="E393" s="98"/>
      <c r="F393" s="98"/>
      <c r="G393" s="98"/>
      <c r="H393" s="98"/>
      <c r="I393" s="94"/>
      <c r="J393" s="119"/>
    </row>
    <row r="394" spans="1:10" customFormat="1" ht="12.75" x14ac:dyDescent="0.2">
      <c r="E394" s="64"/>
      <c r="F394" s="64"/>
      <c r="G394" s="64"/>
      <c r="H394" s="64"/>
      <c r="I394" s="64"/>
      <c r="J394" s="64"/>
    </row>
    <row r="395" spans="1:10" customFormat="1" ht="12.75" x14ac:dyDescent="0.2">
      <c r="D395" s="154"/>
      <c r="E395" s="64">
        <f>+Summary!L59-Summary!L39</f>
        <v>88328.996523716705</v>
      </c>
      <c r="F395" s="64">
        <f>Summary!M49-Summary!M39</f>
        <v>89684.666666666672</v>
      </c>
      <c r="G395" s="64">
        <f>Summary!N49-Summary!N39</f>
        <v>91038.840909090897</v>
      </c>
      <c r="H395" s="64">
        <f>Summary!O49-Summary!O39</f>
        <v>92412.875829240715</v>
      </c>
      <c r="I395" s="64">
        <f>Summary!P49-Summary!P39</f>
        <v>93834.736623274526</v>
      </c>
      <c r="J395" s="64"/>
    </row>
    <row r="396" spans="1:10" customFormat="1" ht="12.75" x14ac:dyDescent="0.2">
      <c r="D396" s="64"/>
      <c r="E396" s="64">
        <f>Summary!L50-ED!C14</f>
        <v>1829500492</v>
      </c>
      <c r="F396" s="64">
        <f>Summary!M50-Summary!M40</f>
        <v>1833881352</v>
      </c>
      <c r="G396" s="64">
        <f>Summary!N50-Summary!N40</f>
        <v>1825234090</v>
      </c>
      <c r="H396" s="64">
        <f>Summary!O50-Summary!O40</f>
        <v>1805824684.4650247</v>
      </c>
      <c r="I396" s="64">
        <f>Summary!P50-Summary!P40</f>
        <v>1780569554.6915324</v>
      </c>
      <c r="J396" s="64"/>
    </row>
    <row r="397" spans="1:10" customFormat="1" ht="12.75" x14ac:dyDescent="0.2">
      <c r="D397" s="64"/>
      <c r="E397" s="64">
        <f>Summary!L51-ED!B14</f>
        <v>2400828</v>
      </c>
      <c r="F397" s="64">
        <f>Summary!M51-Summary!M41</f>
        <v>2394906</v>
      </c>
      <c r="G397" s="64">
        <f>Summary!N51-Summary!N41</f>
        <v>2408950</v>
      </c>
      <c r="H397" s="64">
        <f>Summary!O51-Summary!O41</f>
        <v>2384617.8305604751</v>
      </c>
      <c r="I397" s="64">
        <f>Summary!P51-Summary!P41</f>
        <v>2334073.8868519077</v>
      </c>
    </row>
    <row r="398" spans="1:10" customFormat="1" ht="12.75" x14ac:dyDescent="0.2">
      <c r="E398" s="64"/>
      <c r="F398" s="64"/>
      <c r="G398" s="64"/>
      <c r="H398" s="64"/>
      <c r="I398" s="64"/>
      <c r="J398" s="64"/>
    </row>
    <row r="399" spans="1:10" customFormat="1" ht="12.75" x14ac:dyDescent="0.2">
      <c r="D399" s="64"/>
      <c r="E399" s="64">
        <f t="shared" ref="E399:I401" si="56">E381-E395</f>
        <v>0</v>
      </c>
      <c r="F399" s="64">
        <f t="shared" si="56"/>
        <v>0</v>
      </c>
      <c r="G399" s="64">
        <f t="shared" si="56"/>
        <v>0</v>
      </c>
      <c r="H399" s="64">
        <f t="shared" si="56"/>
        <v>0</v>
      </c>
      <c r="I399" s="64">
        <f t="shared" si="56"/>
        <v>0</v>
      </c>
      <c r="J399" s="64"/>
    </row>
    <row r="400" spans="1:10" customFormat="1" ht="12.75" x14ac:dyDescent="0.2">
      <c r="D400" s="64"/>
      <c r="E400" s="64">
        <f t="shared" si="56"/>
        <v>0</v>
      </c>
      <c r="F400" s="64">
        <f t="shared" si="56"/>
        <v>0</v>
      </c>
      <c r="G400" s="64">
        <f t="shared" si="56"/>
        <v>0</v>
      </c>
      <c r="H400" s="64">
        <f t="shared" si="56"/>
        <v>0</v>
      </c>
      <c r="I400" s="64">
        <f t="shared" si="56"/>
        <v>0</v>
      </c>
      <c r="J400" s="64"/>
    </row>
    <row r="401" spans="4:9" customFormat="1" ht="12.75" x14ac:dyDescent="0.2">
      <c r="D401" s="64"/>
      <c r="E401" s="64">
        <f t="shared" si="56"/>
        <v>0</v>
      </c>
      <c r="F401" s="64">
        <f t="shared" si="56"/>
        <v>0</v>
      </c>
      <c r="G401" s="64">
        <f t="shared" si="56"/>
        <v>0</v>
      </c>
      <c r="H401" s="64">
        <f t="shared" si="56"/>
        <v>0</v>
      </c>
      <c r="I401" s="64">
        <f t="shared" si="56"/>
        <v>0</v>
      </c>
    </row>
    <row r="402" spans="4:9" customFormat="1" ht="12.75" x14ac:dyDescent="0.2"/>
    <row r="403" spans="4:9" customFormat="1" ht="12.75" x14ac:dyDescent="0.2"/>
    <row r="404" spans="4:9" customFormat="1" ht="12.75" x14ac:dyDescent="0.2"/>
    <row r="405" spans="4:9" customFormat="1" ht="12.75" x14ac:dyDescent="0.2"/>
    <row r="406" spans="4:9" customFormat="1" ht="12.75" x14ac:dyDescent="0.2"/>
    <row r="407" spans="4:9" customFormat="1" ht="12.75" x14ac:dyDescent="0.2"/>
    <row r="408" spans="4:9" customFormat="1" ht="12.75" x14ac:dyDescent="0.2"/>
    <row r="409" spans="4:9" customFormat="1" ht="12.75" x14ac:dyDescent="0.2"/>
    <row r="410" spans="4:9" customFormat="1" ht="12.75" x14ac:dyDescent="0.2"/>
    <row r="411" spans="4:9" customFormat="1" ht="12.75" x14ac:dyDescent="0.2"/>
    <row r="412" spans="4:9" customFormat="1" ht="12.75" x14ac:dyDescent="0.2"/>
    <row r="413" spans="4:9" customFormat="1" ht="12.75" x14ac:dyDescent="0.2"/>
    <row r="414" spans="4:9" customFormat="1" ht="12.75" x14ac:dyDescent="0.2"/>
    <row r="415" spans="4:9" customFormat="1" ht="12.75" x14ac:dyDescent="0.2"/>
    <row r="416" spans="4:9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</sheetData>
  <mergeCells count="216">
    <mergeCell ref="A384:B384"/>
    <mergeCell ref="A385:B385"/>
    <mergeCell ref="A386:B386"/>
    <mergeCell ref="A387:B387"/>
    <mergeCell ref="A388:B388"/>
    <mergeCell ref="A389:B389"/>
    <mergeCell ref="A392:B392"/>
    <mergeCell ref="A391:B391"/>
    <mergeCell ref="A195:J195"/>
    <mergeCell ref="A218:I218"/>
    <mergeCell ref="A236:I236"/>
    <mergeCell ref="A242:J242"/>
    <mergeCell ref="D249:I249"/>
    <mergeCell ref="A283:J283"/>
    <mergeCell ref="A288:J288"/>
    <mergeCell ref="B276:H276"/>
    <mergeCell ref="A352:I352"/>
    <mergeCell ref="A361:B361"/>
    <mergeCell ref="A363:B363"/>
    <mergeCell ref="A364:B364"/>
    <mergeCell ref="A365:B365"/>
    <mergeCell ref="A366:B366"/>
    <mergeCell ref="A368:B368"/>
    <mergeCell ref="A355:B355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B269:H269"/>
    <mergeCell ref="A227:B227"/>
    <mergeCell ref="A228:B228"/>
    <mergeCell ref="A229:B229"/>
    <mergeCell ref="A230:B230"/>
    <mergeCell ref="A213:B213"/>
    <mergeCell ref="A214:B214"/>
    <mergeCell ref="A215:B215"/>
    <mergeCell ref="A231:B231"/>
    <mergeCell ref="A232:B232"/>
    <mergeCell ref="A219:B219"/>
    <mergeCell ref="A223:B223"/>
    <mergeCell ref="A224:B224"/>
    <mergeCell ref="A225:B225"/>
    <mergeCell ref="A226:B226"/>
    <mergeCell ref="A221:B221"/>
    <mergeCell ref="A356:B356"/>
    <mergeCell ref="A357:B357"/>
    <mergeCell ref="A359:B359"/>
    <mergeCell ref="A360:B360"/>
    <mergeCell ref="A339:B339"/>
    <mergeCell ref="A344:I344"/>
    <mergeCell ref="A345:B345"/>
    <mergeCell ref="A346:B346"/>
    <mergeCell ref="A347:I347"/>
    <mergeCell ref="A329:B329"/>
    <mergeCell ref="A330:B330"/>
    <mergeCell ref="A351:B351"/>
    <mergeCell ref="A331:B331"/>
    <mergeCell ref="A332:B332"/>
    <mergeCell ref="A333:B333"/>
    <mergeCell ref="A334:B334"/>
    <mergeCell ref="A336:B336"/>
    <mergeCell ref="A338:G338"/>
    <mergeCell ref="A340:G340"/>
    <mergeCell ref="A378:B378"/>
    <mergeCell ref="A379:B379"/>
    <mergeCell ref="A380:B380"/>
    <mergeCell ref="A382:B382"/>
    <mergeCell ref="A383:B383"/>
    <mergeCell ref="A373:B373"/>
    <mergeCell ref="A374:B374"/>
    <mergeCell ref="A376:B376"/>
    <mergeCell ref="A369:B369"/>
    <mergeCell ref="A370:B370"/>
    <mergeCell ref="A372:B372"/>
    <mergeCell ref="A377:B377"/>
    <mergeCell ref="A375:B375"/>
    <mergeCell ref="A297:B297"/>
    <mergeCell ref="A298:B298"/>
    <mergeCell ref="A304:B304"/>
    <mergeCell ref="A308:B308"/>
    <mergeCell ref="A309:B309"/>
    <mergeCell ref="A310:B310"/>
    <mergeCell ref="A311:B311"/>
    <mergeCell ref="A312:B312"/>
    <mergeCell ref="A313:B313"/>
    <mergeCell ref="A307:B307"/>
    <mergeCell ref="A314:B314"/>
    <mergeCell ref="A315:B315"/>
    <mergeCell ref="A316:B316"/>
    <mergeCell ref="A317:B317"/>
    <mergeCell ref="A321:B321"/>
    <mergeCell ref="A325:B325"/>
    <mergeCell ref="A326:B326"/>
    <mergeCell ref="A327:B327"/>
    <mergeCell ref="A328:B328"/>
    <mergeCell ref="A323:B323"/>
    <mergeCell ref="A324:B324"/>
    <mergeCell ref="A289:B289"/>
    <mergeCell ref="A294:B294"/>
    <mergeCell ref="A295:B295"/>
    <mergeCell ref="A243:B243"/>
    <mergeCell ref="D254:H254"/>
    <mergeCell ref="B268:H268"/>
    <mergeCell ref="A234:B234"/>
    <mergeCell ref="A237:B237"/>
    <mergeCell ref="A239:B239"/>
    <mergeCell ref="A240:B240"/>
    <mergeCell ref="A222:B222"/>
    <mergeCell ref="A206:B206"/>
    <mergeCell ref="A207:B207"/>
    <mergeCell ref="A208:B208"/>
    <mergeCell ref="A209:B209"/>
    <mergeCell ref="A210:B210"/>
    <mergeCell ref="A204:B204"/>
    <mergeCell ref="A205:B205"/>
    <mergeCell ref="A211:B211"/>
    <mergeCell ref="A212:B212"/>
    <mergeCell ref="A189:B189"/>
    <mergeCell ref="A161:B161"/>
    <mergeCell ref="A164:B164"/>
    <mergeCell ref="A163:B163"/>
    <mergeCell ref="A306:B306"/>
    <mergeCell ref="A168:B168"/>
    <mergeCell ref="A169:B169"/>
    <mergeCell ref="A170:B170"/>
    <mergeCell ref="A171:B171"/>
    <mergeCell ref="A172:B172"/>
    <mergeCell ref="A173:B173"/>
    <mergeCell ref="A174:B174"/>
    <mergeCell ref="A178:B178"/>
    <mergeCell ref="A182:B182"/>
    <mergeCell ref="A190:B190"/>
    <mergeCell ref="A191:B191"/>
    <mergeCell ref="A193:B193"/>
    <mergeCell ref="A196:B196"/>
    <mergeCell ref="A198:B198"/>
    <mergeCell ref="A199:B199"/>
    <mergeCell ref="A202:B202"/>
    <mergeCell ref="A183:B183"/>
    <mergeCell ref="A184:B184"/>
    <mergeCell ref="A185:B185"/>
    <mergeCell ref="A166:B166"/>
    <mergeCell ref="A167:B167"/>
    <mergeCell ref="A180:B180"/>
    <mergeCell ref="A181:B181"/>
    <mergeCell ref="A187:B187"/>
    <mergeCell ref="A188:B188"/>
    <mergeCell ref="A186:B186"/>
    <mergeCell ref="A177:I177"/>
    <mergeCell ref="A160:J160"/>
    <mergeCell ref="A175:B175"/>
    <mergeCell ref="A142:B142"/>
    <mergeCell ref="A147:B147"/>
    <mergeCell ref="A148:B148"/>
    <mergeCell ref="A149:B149"/>
    <mergeCell ref="A150:B150"/>
    <mergeCell ref="A151:B151"/>
    <mergeCell ref="A152:B152"/>
    <mergeCell ref="A165:B165"/>
    <mergeCell ref="A156:D156"/>
    <mergeCell ref="A155:D155"/>
    <mergeCell ref="A157:D157"/>
    <mergeCell ref="A158:D158"/>
    <mergeCell ref="A153:B153"/>
    <mergeCell ref="A154:B154"/>
    <mergeCell ref="A68:I68"/>
    <mergeCell ref="D109:H109"/>
    <mergeCell ref="A119:E119"/>
    <mergeCell ref="A120:D120"/>
    <mergeCell ref="A121:D121"/>
    <mergeCell ref="A122:D122"/>
    <mergeCell ref="A123:D123"/>
    <mergeCell ref="A124:D124"/>
    <mergeCell ref="A125:D125"/>
    <mergeCell ref="D114:H114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393:B393"/>
    <mergeCell ref="A192:B192"/>
    <mergeCell ref="A216:B216"/>
    <mergeCell ref="A233:B233"/>
    <mergeCell ref="A303:G303"/>
    <mergeCell ref="A318:B318"/>
    <mergeCell ref="A320:F320"/>
    <mergeCell ref="A335:B335"/>
    <mergeCell ref="D108:H108"/>
    <mergeCell ref="A136:F136"/>
    <mergeCell ref="A137:B137"/>
    <mergeCell ref="A138:F138"/>
    <mergeCell ref="A145:B145"/>
    <mergeCell ref="A146:B146"/>
    <mergeCell ref="A143:B143"/>
    <mergeCell ref="A144:B144"/>
    <mergeCell ref="A305:G305"/>
    <mergeCell ref="A322:F322"/>
    <mergeCell ref="A201:J201"/>
    <mergeCell ref="A203:J203"/>
    <mergeCell ref="A139:B139"/>
    <mergeCell ref="A140:B140"/>
    <mergeCell ref="A126:D126"/>
    <mergeCell ref="A141:B141"/>
  </mergeCells>
  <pageMargins left="0.56000000000000005" right="0.15" top="0.36" bottom="0.3" header="0.3" footer="0.3"/>
  <pageSetup scale="74" fitToHeight="10" orientation="portrait" r:id="rId1"/>
  <headerFooter alignWithMargins="0"/>
  <rowBreaks count="3" manualBreakCount="3">
    <brk id="64" max="9" man="1"/>
    <brk id="253" max="9" man="1"/>
    <brk id="34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0" sqref="B20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641" t="s">
        <v>198</v>
      </c>
      <c r="B1" s="641"/>
      <c r="C1" s="641"/>
    </row>
    <row r="2" spans="1:10" x14ac:dyDescent="0.2">
      <c r="A2" s="641" t="s">
        <v>199</v>
      </c>
      <c r="B2" s="641"/>
      <c r="C2" s="641"/>
    </row>
    <row r="4" spans="1:10" x14ac:dyDescent="0.2">
      <c r="A4" s="258"/>
      <c r="B4" s="642"/>
      <c r="C4" s="642"/>
    </row>
    <row r="5" spans="1:10" x14ac:dyDescent="0.2">
      <c r="A5" s="267" t="s">
        <v>79</v>
      </c>
      <c r="B5" s="257" t="s">
        <v>131</v>
      </c>
      <c r="C5" s="257" t="s">
        <v>102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37" t="s">
        <v>225</v>
      </c>
      <c r="F10" s="537"/>
      <c r="G10" s="537"/>
      <c r="H10" s="537"/>
      <c r="I10" s="537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200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E215" zoomScaleNormal="100" zoomScalePageLayoutView="55" workbookViewId="0">
      <selection activeCell="Q2" sqref="Q2:Y30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42.42578125" style="1" bestFit="1" customWidth="1"/>
    <col min="18" max="18" width="13.140625" bestFit="1" customWidth="1"/>
    <col min="19" max="19" width="19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22" x14ac:dyDescent="0.2">
      <c r="K1" s="32"/>
      <c r="L1"/>
      <c r="M1"/>
      <c r="N1"/>
    </row>
    <row r="2" spans="1:22" ht="51" x14ac:dyDescent="0.2">
      <c r="B2" s="213" t="s">
        <v>194</v>
      </c>
      <c r="C2" s="213" t="s">
        <v>193</v>
      </c>
      <c r="D2" s="254" t="s">
        <v>195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16</v>
      </c>
      <c r="K2" s="214" t="s">
        <v>285</v>
      </c>
      <c r="L2" s="216" t="s">
        <v>51</v>
      </c>
      <c r="M2" s="216" t="s">
        <v>196</v>
      </c>
      <c r="N2" s="216" t="s">
        <v>197</v>
      </c>
      <c r="O2" s="216" t="s">
        <v>11</v>
      </c>
      <c r="Q2" t="s">
        <v>166</v>
      </c>
    </row>
    <row r="3" spans="1:22" ht="13.5" thickBot="1" x14ac:dyDescent="0.25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$R$18+F3*$R$19+G3*$R$20+H3*$R$21+I3*$R$22+J3*$R$23+K3*$R$24+L3*$R$25+M3*$R$26+N3*$R$27</f>
        <v>170877132.70430392</v>
      </c>
      <c r="P3" s="497">
        <f>ABS(O3/E3-1)</f>
        <v>4.2056227263147505E-2</v>
      </c>
      <c r="Q3"/>
    </row>
    <row r="4" spans="1:22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154502462.48734295</v>
      </c>
      <c r="P4" s="497">
        <f t="shared" ref="P4:P67" si="2">ABS(O4/E4-1)</f>
        <v>2.9398984551087803E-4</v>
      </c>
      <c r="Q4" s="238" t="s">
        <v>167</v>
      </c>
      <c r="R4" s="238"/>
    </row>
    <row r="5" spans="1:22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156191377.22307292</v>
      </c>
      <c r="P5" s="497">
        <f t="shared" si="2"/>
        <v>3.375235396319809E-2</v>
      </c>
      <c r="Q5" s="36" t="s">
        <v>168</v>
      </c>
      <c r="R5" s="36">
        <v>0.94564848557480252</v>
      </c>
    </row>
    <row r="6" spans="1:22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146826666.5372386</v>
      </c>
      <c r="P6" s="497">
        <f t="shared" si="2"/>
        <v>7.146108666464368E-3</v>
      </c>
      <c r="Q6" s="36" t="s">
        <v>17</v>
      </c>
      <c r="R6" s="36">
        <v>0.89425105826991758</v>
      </c>
    </row>
    <row r="7" spans="1:22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145086859.23703799</v>
      </c>
      <c r="P7" s="497">
        <f t="shared" si="2"/>
        <v>2.4407170292565672E-2</v>
      </c>
      <c r="Q7" s="36" t="s">
        <v>18</v>
      </c>
      <c r="R7" s="36">
        <v>0.88902171499755078</v>
      </c>
    </row>
    <row r="8" spans="1:22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150690164.02950087</v>
      </c>
      <c r="P8" s="497">
        <f t="shared" si="2"/>
        <v>2.2649486618510517E-2</v>
      </c>
      <c r="Q8" s="36" t="s">
        <v>169</v>
      </c>
      <c r="R8" s="36">
        <v>4125267.2754984284</v>
      </c>
    </row>
    <row r="9" spans="1:22" ht="13.5" thickBot="1" x14ac:dyDescent="0.25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158263116.46110585</v>
      </c>
      <c r="P9" s="497">
        <f t="shared" si="2"/>
        <v>4.0234209260897158E-2</v>
      </c>
      <c r="Q9" s="237" t="s">
        <v>170</v>
      </c>
      <c r="R9" s="237">
        <v>192</v>
      </c>
    </row>
    <row r="10" spans="1:22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145754468.06336704</v>
      </c>
      <c r="P10" s="497">
        <f t="shared" si="2"/>
        <v>4.4562935414891314E-3</v>
      </c>
      <c r="Q10"/>
    </row>
    <row r="11" spans="1:22" ht="13.5" thickBot="1" x14ac:dyDescent="0.25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136727466.55945846</v>
      </c>
      <c r="P11" s="497">
        <f t="shared" si="2"/>
        <v>2.0581384297093108E-2</v>
      </c>
      <c r="Q11" t="s">
        <v>171</v>
      </c>
    </row>
    <row r="12" spans="1:22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147962739.09739503</v>
      </c>
      <c r="P12" s="497">
        <f t="shared" si="2"/>
        <v>2.2038431664290759E-3</v>
      </c>
      <c r="Q12" s="491"/>
      <c r="R12" s="491" t="s">
        <v>175</v>
      </c>
      <c r="S12" s="491" t="s">
        <v>176</v>
      </c>
      <c r="T12" s="491" t="s">
        <v>177</v>
      </c>
      <c r="U12" s="491" t="s">
        <v>178</v>
      </c>
      <c r="V12" s="491" t="s">
        <v>179</v>
      </c>
    </row>
    <row r="13" spans="1:22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147968837.1476438</v>
      </c>
      <c r="P13" s="497">
        <f t="shared" si="2"/>
        <v>4.5726159423814194E-2</v>
      </c>
      <c r="Q13" s="36" t="s">
        <v>172</v>
      </c>
      <c r="R13" s="36">
        <v>9</v>
      </c>
      <c r="S13" s="36">
        <v>2.619141754669454E+16</v>
      </c>
      <c r="T13" s="36">
        <v>2910157505188282</v>
      </c>
      <c r="U13" s="36">
        <v>171.00637913662811</v>
      </c>
      <c r="V13" s="36">
        <v>7.3999230158555577E-84</v>
      </c>
    </row>
    <row r="14" spans="1:22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165198353.30471689</v>
      </c>
      <c r="P14" s="497">
        <f t="shared" si="2"/>
        <v>2.1507049614788443E-3</v>
      </c>
      <c r="Q14" s="36" t="s">
        <v>173</v>
      </c>
      <c r="R14" s="36">
        <v>182</v>
      </c>
      <c r="S14" s="36">
        <v>3097245077162277</v>
      </c>
      <c r="T14" s="36">
        <v>17017830094298.225</v>
      </c>
      <c r="U14" s="36"/>
      <c r="V14" s="36"/>
    </row>
    <row r="15" spans="1:22" ht="13.5" thickBot="1" x14ac:dyDescent="0.25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167011626.53117597</v>
      </c>
      <c r="P15" s="497">
        <f t="shared" si="2"/>
        <v>1.1852422000758867E-2</v>
      </c>
      <c r="Q15" s="237" t="s">
        <v>10</v>
      </c>
      <c r="R15" s="237">
        <v>191</v>
      </c>
      <c r="S15" s="237">
        <v>2.9288662623856816E+16</v>
      </c>
      <c r="T15" s="237"/>
      <c r="U15" s="237"/>
      <c r="V15" s="237"/>
    </row>
    <row r="16" spans="1:22" ht="13.5" thickBot="1" x14ac:dyDescent="0.25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150371056.05123529</v>
      </c>
      <c r="P16" s="497">
        <f t="shared" si="2"/>
        <v>6.184111537942627E-3</v>
      </c>
      <c r="Q16"/>
    </row>
    <row r="17" spans="1:2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157336336.13835356</v>
      </c>
      <c r="P17" s="497">
        <f t="shared" si="2"/>
        <v>2.6014191055129476E-2</v>
      </c>
      <c r="Q17" s="491"/>
      <c r="R17" s="491" t="s">
        <v>180</v>
      </c>
      <c r="S17" s="491" t="s">
        <v>169</v>
      </c>
      <c r="T17" s="491" t="s">
        <v>181</v>
      </c>
      <c r="U17" s="491" t="s">
        <v>182</v>
      </c>
      <c r="V17" s="491" t="s">
        <v>183</v>
      </c>
      <c r="W17" s="491" t="s">
        <v>184</v>
      </c>
      <c r="X17" s="491" t="s">
        <v>185</v>
      </c>
      <c r="Y17" s="491" t="s">
        <v>186</v>
      </c>
    </row>
    <row r="18" spans="1:2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144631584.69092757</v>
      </c>
      <c r="P18" s="497">
        <f t="shared" si="2"/>
        <v>3.3908109250896823E-2</v>
      </c>
      <c r="Q18" s="36" t="s">
        <v>174</v>
      </c>
      <c r="R18" s="36">
        <v>-40811776.301740214</v>
      </c>
      <c r="S18" s="36">
        <v>12933554.159770997</v>
      </c>
      <c r="T18" s="36">
        <v>-3.1554958364563599</v>
      </c>
      <c r="U18" s="36">
        <v>1.8752126517469472E-3</v>
      </c>
      <c r="V18" s="36">
        <v>-66330766.07774587</v>
      </c>
      <c r="W18" s="36">
        <v>-15292786.525734562</v>
      </c>
      <c r="X18" s="36">
        <v>-66330766.07774587</v>
      </c>
      <c r="Y18" s="36">
        <v>-15292786.525734562</v>
      </c>
    </row>
    <row r="19" spans="1:2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142450420.08069625</v>
      </c>
      <c r="P19" s="497">
        <f t="shared" si="2"/>
        <v>2.4600668920683244E-2</v>
      </c>
      <c r="Q19" s="36" t="s">
        <v>3</v>
      </c>
      <c r="R19" s="36">
        <v>42054.38595575052</v>
      </c>
      <c r="S19" s="36">
        <v>1824.8282223369622</v>
      </c>
      <c r="T19" s="36">
        <v>23.045668321533118</v>
      </c>
      <c r="U19" s="36">
        <v>7.3137358868497826E-56</v>
      </c>
      <c r="V19" s="36">
        <v>38453.846446384283</v>
      </c>
      <c r="W19" s="36">
        <v>45654.925465116758</v>
      </c>
      <c r="X19" s="36">
        <v>38453.846446384283</v>
      </c>
      <c r="Y19" s="36">
        <v>45654.925465116758</v>
      </c>
    </row>
    <row r="20" spans="1:2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159952078.52490216</v>
      </c>
      <c r="P20" s="497">
        <f t="shared" si="2"/>
        <v>5.0898174309082833E-2</v>
      </c>
      <c r="Q20" s="36" t="s">
        <v>4</v>
      </c>
      <c r="R20" s="36">
        <v>301305.77739451517</v>
      </c>
      <c r="S20" s="36">
        <v>17479.659704136931</v>
      </c>
      <c r="T20" s="36">
        <v>17.237508194922398</v>
      </c>
      <c r="U20" s="36">
        <v>4.1564980184358642E-40</v>
      </c>
      <c r="V20" s="36">
        <v>266816.93915503263</v>
      </c>
      <c r="W20" s="36">
        <v>335794.61563399772</v>
      </c>
      <c r="X20" s="36">
        <v>266816.93915503263</v>
      </c>
      <c r="Y20" s="36">
        <v>335794.61563399772</v>
      </c>
    </row>
    <row r="21" spans="1:2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161789054.39464757</v>
      </c>
      <c r="P21" s="497">
        <f t="shared" si="2"/>
        <v>5.3384416132753021E-2</v>
      </c>
      <c r="Q21" s="36" t="s">
        <v>6</v>
      </c>
      <c r="R21" s="36">
        <v>180969.96004234851</v>
      </c>
      <c r="S21" s="36">
        <v>84578.164244519081</v>
      </c>
      <c r="T21" s="36">
        <v>2.1396770863831547</v>
      </c>
      <c r="U21" s="36">
        <v>3.371292467430749E-2</v>
      </c>
      <c r="V21" s="36">
        <v>14090.130881187361</v>
      </c>
      <c r="W21" s="36">
        <v>347849.78920350969</v>
      </c>
      <c r="X21" s="36">
        <v>14090.130881187361</v>
      </c>
      <c r="Y21" s="36">
        <v>347849.78920350969</v>
      </c>
    </row>
    <row r="22" spans="1:2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165443774.15257704</v>
      </c>
      <c r="P22" s="497">
        <f t="shared" si="2"/>
        <v>3.2891216901377307E-2</v>
      </c>
      <c r="Q22" s="36" t="s">
        <v>5</v>
      </c>
      <c r="R22" s="36">
        <v>3621765.4204448569</v>
      </c>
      <c r="S22" s="36">
        <v>400103.91202134249</v>
      </c>
      <c r="T22" s="36">
        <v>9.0520620059612504</v>
      </c>
      <c r="U22" s="36">
        <v>2.1368101092861503E-16</v>
      </c>
      <c r="V22" s="36">
        <v>2832326.762355742</v>
      </c>
      <c r="W22" s="36">
        <v>4411204.0785339717</v>
      </c>
      <c r="X22" s="36">
        <v>2832326.762355742</v>
      </c>
      <c r="Y22" s="36">
        <v>4411204.0785339717</v>
      </c>
    </row>
    <row r="23" spans="1:2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143494704.48632908</v>
      </c>
      <c r="P23" s="497">
        <f t="shared" si="2"/>
        <v>1.1106139370409163E-2</v>
      </c>
      <c r="Q23" s="36" t="s">
        <v>16</v>
      </c>
      <c r="R23" s="36">
        <v>-4501048.7463561408</v>
      </c>
      <c r="S23" s="36">
        <v>795725.56341915147</v>
      </c>
      <c r="T23" s="36">
        <v>-5.6565340530415966</v>
      </c>
      <c r="U23" s="36">
        <v>5.9012547315135999E-8</v>
      </c>
      <c r="V23" s="36">
        <v>-6071082.1854676064</v>
      </c>
      <c r="W23" s="36">
        <v>-2931015.3072446752</v>
      </c>
      <c r="X23" s="36">
        <v>-6071082.1854676064</v>
      </c>
      <c r="Y23" s="36">
        <v>-2931015.3072446752</v>
      </c>
    </row>
    <row r="24" spans="1:25" ht="13.5" customHeight="1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147486141.38791972</v>
      </c>
      <c r="P24" s="497">
        <f t="shared" si="2"/>
        <v>2.8538906866554026E-2</v>
      </c>
      <c r="Q24" s="494" t="s">
        <v>285</v>
      </c>
      <c r="R24" s="36">
        <v>-3.7444124856260768</v>
      </c>
      <c r="S24" s="36">
        <v>0.44871818008027686</v>
      </c>
      <c r="T24" s="36">
        <v>-8.3446863796697333</v>
      </c>
      <c r="U24" s="36">
        <v>1.7411528837173304E-14</v>
      </c>
      <c r="V24" s="36">
        <v>-4.6297711819536138</v>
      </c>
      <c r="W24" s="36">
        <v>-2.8590537892985393</v>
      </c>
      <c r="X24" s="36">
        <v>-4.6297711819536138</v>
      </c>
      <c r="Y24" s="36">
        <v>-2.8590537892985393</v>
      </c>
    </row>
    <row r="25" spans="1:25" ht="13.5" customHeight="1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151637285.98235089</v>
      </c>
      <c r="P25" s="497">
        <f t="shared" si="2"/>
        <v>3.6153562209763068E-3</v>
      </c>
      <c r="Q25" s="36" t="s">
        <v>51</v>
      </c>
      <c r="R25" s="36">
        <v>76093.35708871817</v>
      </c>
      <c r="S25" s="36">
        <v>18975.385200628483</v>
      </c>
      <c r="T25" s="36">
        <v>4.0101086899778924</v>
      </c>
      <c r="U25" s="36">
        <v>8.848252721583899E-5</v>
      </c>
      <c r="V25" s="36">
        <v>38653.326688042827</v>
      </c>
      <c r="W25" s="36">
        <v>113533.38748939351</v>
      </c>
      <c r="X25" s="36">
        <v>38653.326688042827</v>
      </c>
      <c r="Y25" s="36">
        <v>113533.38748939351</v>
      </c>
    </row>
    <row r="26" spans="1:2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165692480.69577444</v>
      </c>
      <c r="P26" s="497">
        <f t="shared" si="2"/>
        <v>1.8045617221478683E-2</v>
      </c>
      <c r="Q26" s="36" t="s">
        <v>196</v>
      </c>
      <c r="R26" s="36">
        <v>61993.764122002671</v>
      </c>
      <c r="S26" s="36">
        <v>21739.152914087568</v>
      </c>
      <c r="T26" s="36">
        <v>2.8517102008068127</v>
      </c>
      <c r="U26" s="36">
        <v>4.8512936547038896E-3</v>
      </c>
      <c r="V26" s="36">
        <v>19100.587652446156</v>
      </c>
      <c r="W26" s="36">
        <v>104886.94059155919</v>
      </c>
      <c r="X26" s="36">
        <v>19100.587652446156</v>
      </c>
      <c r="Y26" s="36">
        <v>104886.94059155919</v>
      </c>
    </row>
    <row r="27" spans="1:25" ht="13.5" thickBot="1" x14ac:dyDescent="0.25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174686190.42271781</v>
      </c>
      <c r="P27" s="497">
        <f t="shared" si="2"/>
        <v>1.0558647220839101E-2</v>
      </c>
      <c r="Q27" s="237" t="s">
        <v>197</v>
      </c>
      <c r="R27" s="237">
        <v>-170785.15945202831</v>
      </c>
      <c r="S27" s="237">
        <v>55995.209392829587</v>
      </c>
      <c r="T27" s="237">
        <v>-3.0499959068623115</v>
      </c>
      <c r="U27" s="237">
        <v>2.6301766508581869E-3</v>
      </c>
      <c r="V27" s="237">
        <v>-281268.41551210999</v>
      </c>
      <c r="W27" s="237">
        <v>-60301.903391946616</v>
      </c>
      <c r="X27" s="237">
        <v>-281268.41551210999</v>
      </c>
      <c r="Y27" s="237">
        <v>-60301.903391946616</v>
      </c>
    </row>
    <row r="28" spans="1:2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154991056.84257412</v>
      </c>
      <c r="P28" s="497">
        <f t="shared" si="2"/>
        <v>1.0935501832319394E-2</v>
      </c>
      <c r="Q28"/>
    </row>
    <row r="29" spans="1:2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165568055.91886103</v>
      </c>
      <c r="P29" s="497">
        <f t="shared" si="2"/>
        <v>3.4422097310300437E-3</v>
      </c>
      <c r="Q29"/>
    </row>
    <row r="30" spans="1:2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148821980.90327287</v>
      </c>
      <c r="P30" s="497">
        <f t="shared" si="2"/>
        <v>4.0029221226344003E-2</v>
      </c>
      <c r="Q30"/>
    </row>
    <row r="31" spans="1:2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145971375.51687273</v>
      </c>
      <c r="P31" s="497">
        <f t="shared" si="2"/>
        <v>3.2679512641720088E-3</v>
      </c>
    </row>
    <row r="32" spans="1:2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166190980.16023356</v>
      </c>
      <c r="P32" s="497">
        <f t="shared" si="2"/>
        <v>1.999269113006763E-2</v>
      </c>
      <c r="Q32" s="495"/>
      <c r="R32" s="495"/>
      <c r="S32" s="495"/>
    </row>
    <row r="33" spans="1:19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186169078.63330388</v>
      </c>
      <c r="P33" s="497">
        <f t="shared" si="2"/>
        <v>8.7902918593224078E-2</v>
      </c>
      <c r="Q33" s="495"/>
      <c r="R33" s="495"/>
      <c r="S33" s="495"/>
    </row>
    <row r="34" spans="1:19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155043135.71384043</v>
      </c>
      <c r="P34" s="497">
        <f t="shared" si="2"/>
        <v>1.0377380435223182E-2</v>
      </c>
      <c r="Q34" s="496"/>
      <c r="R34" s="496"/>
      <c r="S34" s="496"/>
    </row>
    <row r="35" spans="1:19" x14ac:dyDescent="0.2">
      <c r="A35" s="2">
        <v>36404</v>
      </c>
      <c r="B35" s="15">
        <v>149477238</v>
      </c>
      <c r="C35" s="15"/>
      <c r="D35" s="2"/>
      <c r="E35" s="15">
        <f t="shared" ref="E35:E66" si="3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148641751.32892507</v>
      </c>
      <c r="P35" s="497">
        <f t="shared" si="2"/>
        <v>5.5893906139403704E-3</v>
      </c>
      <c r="Q35" s="36"/>
      <c r="R35" s="36"/>
      <c r="S35" s="36"/>
    </row>
    <row r="36" spans="1:19" x14ac:dyDescent="0.2">
      <c r="A36" s="2">
        <v>36434</v>
      </c>
      <c r="B36" s="15">
        <v>149731148</v>
      </c>
      <c r="C36" s="15"/>
      <c r="D36" s="2"/>
      <c r="E36" s="15">
        <f t="shared" si="3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152306081.67990154</v>
      </c>
      <c r="P36" s="497">
        <f t="shared" si="2"/>
        <v>1.7197047603625837E-2</v>
      </c>
      <c r="Q36" s="36"/>
      <c r="R36" s="36"/>
      <c r="S36" s="36"/>
    </row>
    <row r="37" spans="1:19" x14ac:dyDescent="0.2">
      <c r="A37" s="2">
        <v>36465</v>
      </c>
      <c r="B37" s="15">
        <v>155962063</v>
      </c>
      <c r="C37" s="15"/>
      <c r="D37" s="2"/>
      <c r="E37" s="15">
        <f t="shared" si="3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154670076.74371409</v>
      </c>
      <c r="P37" s="497">
        <f t="shared" si="2"/>
        <v>8.2839777278780335E-3</v>
      </c>
      <c r="Q37" s="36"/>
      <c r="R37" s="36"/>
      <c r="S37" s="36"/>
    </row>
    <row r="38" spans="1:19" x14ac:dyDescent="0.2">
      <c r="A38" s="2">
        <v>36495</v>
      </c>
      <c r="B38" s="15">
        <v>170494981</v>
      </c>
      <c r="C38" s="15"/>
      <c r="D38" s="2"/>
      <c r="E38" s="15">
        <f t="shared" si="3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170780399.70624441</v>
      </c>
      <c r="P38" s="497">
        <f t="shared" si="2"/>
        <v>1.6740592864983306E-3</v>
      </c>
      <c r="Q38" s="36"/>
      <c r="R38" s="36"/>
      <c r="S38" s="36"/>
    </row>
    <row r="39" spans="1:19" x14ac:dyDescent="0.2">
      <c r="A39" s="2">
        <v>36526</v>
      </c>
      <c r="B39" s="15">
        <v>178748867</v>
      </c>
      <c r="C39" s="15"/>
      <c r="D39" s="2"/>
      <c r="E39" s="15">
        <f t="shared" si="3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175756282.26108909</v>
      </c>
      <c r="P39" s="497">
        <f t="shared" si="2"/>
        <v>1.6741838922598062E-2</v>
      </c>
      <c r="Q39" s="36"/>
      <c r="R39" s="36"/>
      <c r="S39" s="36"/>
    </row>
    <row r="40" spans="1:19" x14ac:dyDescent="0.2">
      <c r="A40" s="2">
        <v>36557</v>
      </c>
      <c r="B40" s="15">
        <v>162866687</v>
      </c>
      <c r="C40" s="15"/>
      <c r="D40" s="2"/>
      <c r="E40" s="15">
        <f t="shared" si="3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160516895.17638355</v>
      </c>
      <c r="P40" s="497">
        <f t="shared" si="2"/>
        <v>1.4427700758820272E-2</v>
      </c>
      <c r="Q40" s="36"/>
      <c r="R40" s="36"/>
      <c r="S40" s="36"/>
    </row>
    <row r="41" spans="1:19" x14ac:dyDescent="0.2">
      <c r="A41" s="2">
        <v>36586</v>
      </c>
      <c r="B41" s="15">
        <v>161127993</v>
      </c>
      <c r="C41" s="15"/>
      <c r="D41" s="2"/>
      <c r="E41" s="15">
        <f t="shared" si="3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161029773.81530797</v>
      </c>
      <c r="P41" s="497">
        <f t="shared" si="2"/>
        <v>6.0957244525494669E-4</v>
      </c>
      <c r="Q41" s="36"/>
      <c r="R41" s="36"/>
      <c r="S41" s="36"/>
    </row>
    <row r="42" spans="1:19" x14ac:dyDescent="0.2">
      <c r="A42" s="2">
        <v>36617</v>
      </c>
      <c r="B42" s="15">
        <v>146022967</v>
      </c>
      <c r="C42" s="15"/>
      <c r="D42" s="2"/>
      <c r="E42" s="15">
        <f t="shared" si="3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149099235.06330603</v>
      </c>
      <c r="P42" s="497">
        <f t="shared" si="2"/>
        <v>2.1067015186083893E-2</v>
      </c>
      <c r="Q42" s="36"/>
      <c r="R42" s="36"/>
      <c r="S42" s="36"/>
    </row>
    <row r="43" spans="1:19" x14ac:dyDescent="0.2">
      <c r="A43" s="2">
        <v>36647</v>
      </c>
      <c r="B43" s="15">
        <v>149955206</v>
      </c>
      <c r="C43" s="15"/>
      <c r="D43" s="2"/>
      <c r="E43" s="15">
        <f t="shared" si="3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153978810.1731582</v>
      </c>
      <c r="P43" s="497">
        <f t="shared" si="2"/>
        <v>2.683204058389399E-2</v>
      </c>
      <c r="Q43" s="36"/>
      <c r="R43" s="36"/>
      <c r="S43" s="36"/>
    </row>
    <row r="44" spans="1:19" x14ac:dyDescent="0.2">
      <c r="A44" s="2">
        <v>36678</v>
      </c>
      <c r="B44" s="15">
        <v>155366404</v>
      </c>
      <c r="C44" s="15"/>
      <c r="D44" s="2"/>
      <c r="E44" s="15">
        <f t="shared" si="3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155643417.5125953</v>
      </c>
      <c r="P44" s="497">
        <f t="shared" si="2"/>
        <v>1.7829691970943085E-3</v>
      </c>
      <c r="Q44" s="36"/>
      <c r="R44" s="36"/>
      <c r="S44" s="36"/>
    </row>
    <row r="45" spans="1:19" x14ac:dyDescent="0.2">
      <c r="A45" s="2">
        <v>36708</v>
      </c>
      <c r="B45" s="15">
        <v>155720648</v>
      </c>
      <c r="C45" s="15"/>
      <c r="D45" s="2"/>
      <c r="E45" s="15">
        <f t="shared" si="3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158995562.5548991</v>
      </c>
      <c r="P45" s="497">
        <f t="shared" si="2"/>
        <v>2.1030702074262386E-2</v>
      </c>
      <c r="Q45" s="36"/>
      <c r="R45" s="36"/>
      <c r="S45" s="36"/>
    </row>
    <row r="46" spans="1:19" x14ac:dyDescent="0.2">
      <c r="A46" s="2">
        <v>36739</v>
      </c>
      <c r="B46" s="15">
        <v>163322317</v>
      </c>
      <c r="C46" s="15"/>
      <c r="D46" s="2"/>
      <c r="E46" s="15">
        <f t="shared" si="3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162426711.75972193</v>
      </c>
      <c r="P46" s="497">
        <f t="shared" si="2"/>
        <v>5.4836672460265579E-3</v>
      </c>
    </row>
    <row r="47" spans="1:19" x14ac:dyDescent="0.2">
      <c r="A47" s="2">
        <v>36770</v>
      </c>
      <c r="B47" s="15">
        <v>149740084</v>
      </c>
      <c r="C47" s="15"/>
      <c r="D47" s="2"/>
      <c r="E47" s="15">
        <f t="shared" si="3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149421943.68751213</v>
      </c>
      <c r="P47" s="497">
        <f t="shared" si="2"/>
        <v>2.124616896086895E-3</v>
      </c>
    </row>
    <row r="48" spans="1:19" x14ac:dyDescent="0.2">
      <c r="A48" s="2">
        <v>36800</v>
      </c>
      <c r="B48" s="15">
        <v>151587385</v>
      </c>
      <c r="C48" s="15"/>
      <c r="D48" s="2"/>
      <c r="E48" s="15">
        <f t="shared" si="3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152166673.69692573</v>
      </c>
      <c r="P48" s="497">
        <f t="shared" si="2"/>
        <v>3.8214835418246551E-3</v>
      </c>
    </row>
    <row r="49" spans="1:16" x14ac:dyDescent="0.2">
      <c r="A49" s="2">
        <v>36831</v>
      </c>
      <c r="B49" s="15">
        <v>161969851</v>
      </c>
      <c r="C49" s="15"/>
      <c r="D49" s="2"/>
      <c r="E49" s="15">
        <f t="shared" si="3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159300074.5980511</v>
      </c>
      <c r="P49" s="497">
        <f t="shared" si="2"/>
        <v>1.6483168845718654E-2</v>
      </c>
    </row>
    <row r="50" spans="1:16" x14ac:dyDescent="0.2">
      <c r="A50" s="2">
        <v>36861</v>
      </c>
      <c r="B50" s="15">
        <v>180858897</v>
      </c>
      <c r="C50" s="15"/>
      <c r="D50" s="2"/>
      <c r="E50" s="15">
        <f t="shared" si="3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179093993.23354277</v>
      </c>
      <c r="P50" s="497">
        <f t="shared" si="2"/>
        <v>9.758456983497088E-3</v>
      </c>
    </row>
    <row r="51" spans="1:16" x14ac:dyDescent="0.2">
      <c r="A51" s="2">
        <v>36892</v>
      </c>
      <c r="B51" s="15">
        <v>182274650</v>
      </c>
      <c r="C51" s="15"/>
      <c r="D51" s="2"/>
      <c r="E51" s="15">
        <f t="shared" si="3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177983413.83235806</v>
      </c>
      <c r="P51" s="497">
        <f t="shared" si="2"/>
        <v>2.3542693224987365E-2</v>
      </c>
    </row>
    <row r="52" spans="1:16" x14ac:dyDescent="0.2">
      <c r="A52" s="2">
        <v>36925</v>
      </c>
      <c r="B52" s="15">
        <v>162106075</v>
      </c>
      <c r="C52" s="15"/>
      <c r="D52" s="2"/>
      <c r="E52" s="15">
        <f t="shared" si="3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164143738.75754973</v>
      </c>
      <c r="P52" s="497">
        <f t="shared" si="2"/>
        <v>1.2569940747438002E-2</v>
      </c>
    </row>
    <row r="53" spans="1:16" x14ac:dyDescent="0.2">
      <c r="A53" s="2">
        <v>36958</v>
      </c>
      <c r="B53" s="15">
        <v>171156935</v>
      </c>
      <c r="C53" s="15"/>
      <c r="D53" s="2"/>
      <c r="E53" s="15">
        <f t="shared" si="3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169178737.13966551</v>
      </c>
      <c r="P53" s="497">
        <f t="shared" si="2"/>
        <v>1.1557801384644351E-2</v>
      </c>
    </row>
    <row r="54" spans="1:16" x14ac:dyDescent="0.2">
      <c r="A54" s="2">
        <v>36991</v>
      </c>
      <c r="B54" s="15">
        <v>148249402</v>
      </c>
      <c r="C54" s="15"/>
      <c r="D54" s="2"/>
      <c r="E54" s="15">
        <f t="shared" si="3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151039335.56188026</v>
      </c>
      <c r="P54" s="497">
        <f t="shared" si="2"/>
        <v>1.8819189313696194E-2</v>
      </c>
    </row>
    <row r="55" spans="1:16" x14ac:dyDescent="0.2">
      <c r="A55" s="2">
        <v>37024</v>
      </c>
      <c r="B55" s="15">
        <v>152023283</v>
      </c>
      <c r="C55" s="15"/>
      <c r="D55" s="2"/>
      <c r="E55" s="15">
        <f t="shared" si="3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152080506.4204241</v>
      </c>
      <c r="P55" s="497">
        <f t="shared" si="2"/>
        <v>3.7641221327988639E-4</v>
      </c>
    </row>
    <row r="56" spans="1:16" x14ac:dyDescent="0.2">
      <c r="A56" s="2">
        <v>37057</v>
      </c>
      <c r="B56" s="15">
        <v>164607865</v>
      </c>
      <c r="C56" s="15"/>
      <c r="D56" s="2"/>
      <c r="E56" s="15">
        <f t="shared" si="3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164644697.20335835</v>
      </c>
      <c r="P56" s="497">
        <f t="shared" si="2"/>
        <v>2.237572509573571E-4</v>
      </c>
    </row>
    <row r="57" spans="1:16" x14ac:dyDescent="0.2">
      <c r="A57" s="2">
        <v>37090</v>
      </c>
      <c r="B57" s="15">
        <v>165667707</v>
      </c>
      <c r="C57" s="15"/>
      <c r="D57" s="2"/>
      <c r="E57" s="15">
        <f t="shared" si="3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168295953.29653654</v>
      </c>
      <c r="P57" s="497">
        <f t="shared" si="2"/>
        <v>1.5864566149494275E-2</v>
      </c>
    </row>
    <row r="58" spans="1:16" x14ac:dyDescent="0.2">
      <c r="A58" s="2">
        <v>37123</v>
      </c>
      <c r="B58" s="15">
        <v>179800173</v>
      </c>
      <c r="C58" s="15"/>
      <c r="D58" s="2"/>
      <c r="E58" s="15">
        <f t="shared" si="3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177155926.82478094</v>
      </c>
      <c r="P58" s="497">
        <f t="shared" si="2"/>
        <v>1.4706583042158994E-2</v>
      </c>
    </row>
    <row r="59" spans="1:16" x14ac:dyDescent="0.2">
      <c r="A59" s="2">
        <v>37156</v>
      </c>
      <c r="B59" s="15">
        <v>152599967</v>
      </c>
      <c r="C59" s="15"/>
      <c r="D59" s="15">
        <v>-420695</v>
      </c>
      <c r="E59" s="15">
        <f t="shared" si="3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147627990.81681299</v>
      </c>
      <c r="P59" s="497">
        <f t="shared" si="2"/>
        <v>2.9907365985999745E-2</v>
      </c>
    </row>
    <row r="60" spans="1:16" x14ac:dyDescent="0.2">
      <c r="A60" s="2">
        <v>37189</v>
      </c>
      <c r="B60" s="15">
        <v>157618136</v>
      </c>
      <c r="C60" s="15"/>
      <c r="D60" s="15">
        <v>58552</v>
      </c>
      <c r="E60" s="15">
        <f t="shared" si="3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155876281.60657039</v>
      </c>
      <c r="P60" s="497">
        <f t="shared" si="2"/>
        <v>1.1418342281705018E-2</v>
      </c>
    </row>
    <row r="61" spans="1:16" x14ac:dyDescent="0.2">
      <c r="A61" s="2">
        <v>37222</v>
      </c>
      <c r="B61" s="15">
        <v>158548740</v>
      </c>
      <c r="C61" s="15"/>
      <c r="D61" s="15"/>
      <c r="E61" s="15">
        <f t="shared" si="3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156379958.11960095</v>
      </c>
      <c r="P61" s="497">
        <f t="shared" si="2"/>
        <v>1.3678960049755329E-2</v>
      </c>
    </row>
    <row r="62" spans="1:16" x14ac:dyDescent="0.2">
      <c r="A62" s="2">
        <v>37255</v>
      </c>
      <c r="B62" s="15">
        <v>169751554</v>
      </c>
      <c r="C62" s="15"/>
      <c r="D62" s="15">
        <v>-175833</v>
      </c>
      <c r="E62" s="15">
        <f t="shared" si="3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169227300.89277509</v>
      </c>
      <c r="P62" s="497">
        <f t="shared" si="2"/>
        <v>2.054657973265539E-3</v>
      </c>
    </row>
    <row r="63" spans="1:16" x14ac:dyDescent="0.2">
      <c r="A63" s="10">
        <v>37275</v>
      </c>
      <c r="B63" s="15">
        <v>178220353</v>
      </c>
      <c r="C63" s="15"/>
      <c r="D63" s="15">
        <v>-702628</v>
      </c>
      <c r="E63" s="15">
        <f t="shared" si="3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175320683.94847172</v>
      </c>
      <c r="P63" s="497">
        <f t="shared" si="2"/>
        <v>1.237646016209526E-2</v>
      </c>
    </row>
    <row r="64" spans="1:16" x14ac:dyDescent="0.2">
      <c r="A64" s="2">
        <v>37308</v>
      </c>
      <c r="B64" s="15">
        <v>161211185</v>
      </c>
      <c r="C64" s="15"/>
      <c r="D64" s="15"/>
      <c r="E64" s="15">
        <f t="shared" si="3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160750232.1377981</v>
      </c>
      <c r="P64" s="497">
        <f t="shared" si="2"/>
        <v>2.8593106750124386E-3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3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166783096.13573065</v>
      </c>
      <c r="P65" s="497">
        <f t="shared" si="2"/>
        <v>1.9163788045625463E-2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3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158357412.2889879</v>
      </c>
      <c r="P66" s="497">
        <f t="shared" si="2"/>
        <v>4.890770148204604E-3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4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5">$R$18+F67*$R$19+G67*$R$20+H67*$R$21+I67*$R$22+J67*$R$23+K67*$R$24+L67*$R$25+M67*$R$26+N67*$R$27</f>
        <v>158058286.00144282</v>
      </c>
      <c r="P67" s="497">
        <f t="shared" si="2"/>
        <v>5.5540406556786603E-4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4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5"/>
        <v>162617117.89315453</v>
      </c>
      <c r="P68" s="497">
        <f t="shared" ref="P68:P131" si="6">ABS(O68/E68-1)</f>
        <v>1.8618706434488819E-2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4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5"/>
        <v>189284710.4896532</v>
      </c>
      <c r="P69" s="497">
        <f t="shared" si="6"/>
        <v>3.5031636211440009E-3</v>
      </c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4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5"/>
        <v>171406445.93170232</v>
      </c>
      <c r="P70" s="497">
        <f t="shared" si="6"/>
        <v>5.5237716254018188E-2</v>
      </c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4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5"/>
        <v>155901273.63011199</v>
      </c>
      <c r="P71" s="497">
        <f t="shared" si="6"/>
        <v>6.2959689167022659E-2</v>
      </c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4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5"/>
        <v>162151529.77865064</v>
      </c>
      <c r="P72" s="497">
        <f t="shared" si="6"/>
        <v>1.4818186860362292E-2</v>
      </c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4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5"/>
        <v>161422938.94501325</v>
      </c>
      <c r="P73" s="497">
        <f t="shared" si="6"/>
        <v>3.7265100748514524E-2</v>
      </c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4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5"/>
        <v>176721187.31613389</v>
      </c>
      <c r="P74" s="497">
        <f t="shared" si="6"/>
        <v>7.2778575772486365E-3</v>
      </c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4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5"/>
        <v>187529275.0947825</v>
      </c>
      <c r="P75" s="497">
        <f t="shared" si="6"/>
        <v>1.4967560409043124E-2</v>
      </c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4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5"/>
        <v>169408879.23117465</v>
      </c>
      <c r="P76" s="497">
        <f t="shared" si="6"/>
        <v>1.2442512513416326E-2</v>
      </c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4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5"/>
        <v>171955689.53527027</v>
      </c>
      <c r="P77" s="497">
        <f t="shared" si="6"/>
        <v>1.8579613527725636E-2</v>
      </c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4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5"/>
        <v>158630631.35670713</v>
      </c>
      <c r="P78" s="497">
        <f t="shared" si="6"/>
        <v>1.7127744139434631E-3</v>
      </c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4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5"/>
        <v>154971771.91878656</v>
      </c>
      <c r="P79" s="497">
        <f t="shared" si="6"/>
        <v>7.2092265236756159E-3</v>
      </c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4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5"/>
        <v>157492713.732153</v>
      </c>
      <c r="P80" s="497">
        <f t="shared" si="6"/>
        <v>5.9248814434645913E-3</v>
      </c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4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5"/>
        <v>167772853.19573477</v>
      </c>
      <c r="P81" s="497">
        <f t="shared" si="6"/>
        <v>3.8903610541569766E-2</v>
      </c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4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5"/>
        <v>172491811.70325759</v>
      </c>
      <c r="P82" s="497">
        <f t="shared" si="6"/>
        <v>1.616079704283524E-2</v>
      </c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4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5"/>
        <v>149253534.70018625</v>
      </c>
      <c r="P83" s="497">
        <f t="shared" si="6"/>
        <v>4.5519459813347929E-2</v>
      </c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4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5"/>
        <v>162005451.76035598</v>
      </c>
      <c r="P84" s="497">
        <f t="shared" si="6"/>
        <v>1.6225444262648603E-3</v>
      </c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4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5"/>
        <v>160282349.35065556</v>
      </c>
      <c r="P85" s="497">
        <f t="shared" si="6"/>
        <v>2.5228274802271744E-2</v>
      </c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4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5"/>
        <v>177131036.77846077</v>
      </c>
      <c r="P86" s="497">
        <f t="shared" si="6"/>
        <v>2.0228130488115781E-3</v>
      </c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4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5"/>
        <v>188835249.31021115</v>
      </c>
      <c r="P87" s="497">
        <f t="shared" si="6"/>
        <v>1.8267365346418152E-2</v>
      </c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4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5"/>
        <v>168902463.63292226</v>
      </c>
      <c r="P88" s="497">
        <f t="shared" si="6"/>
        <v>5.6573525263611257E-3</v>
      </c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4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5"/>
        <v>172085486.58805683</v>
      </c>
      <c r="P89" s="497">
        <f t="shared" si="6"/>
        <v>2.8684493429044888E-2</v>
      </c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4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5"/>
        <v>158318265.64999977</v>
      </c>
      <c r="P90" s="497">
        <f t="shared" si="6"/>
        <v>7.9287698892303027E-3</v>
      </c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4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5"/>
        <v>156521742.620538</v>
      </c>
      <c r="P91" s="497">
        <f t="shared" si="6"/>
        <v>8.0131100233924446E-3</v>
      </c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4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5"/>
        <v>158925618.2239438</v>
      </c>
      <c r="P92" s="497">
        <f t="shared" si="6"/>
        <v>3.162976716301702E-2</v>
      </c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4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5"/>
        <v>168766293.59938931</v>
      </c>
      <c r="P93" s="497">
        <f t="shared" si="6"/>
        <v>3.1367759593726285E-2</v>
      </c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4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5"/>
        <v>164676364.01787075</v>
      </c>
      <c r="P94" s="497">
        <f t="shared" si="6"/>
        <v>3.278853348743116E-3</v>
      </c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4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5"/>
        <v>152222898.08110553</v>
      </c>
      <c r="P95" s="497">
        <f t="shared" si="6"/>
        <v>7.0997802470689098E-2</v>
      </c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4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5"/>
        <v>159508888.48836118</v>
      </c>
      <c r="P96" s="497">
        <f t="shared" si="6"/>
        <v>3.5765704245785956E-3</v>
      </c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4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5"/>
        <v>164480932.09737977</v>
      </c>
      <c r="P97" s="497">
        <f t="shared" si="6"/>
        <v>1.06314048824524E-2</v>
      </c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4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5"/>
        <v>182835297.44617388</v>
      </c>
      <c r="P98" s="497">
        <f t="shared" si="6"/>
        <v>3.6143209973907853E-3</v>
      </c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7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1875.5320512820513</v>
      </c>
      <c r="L99" s="210">
        <v>319.92</v>
      </c>
      <c r="M99" s="210">
        <v>629.5</v>
      </c>
      <c r="N99" s="210">
        <v>35.230728616684246</v>
      </c>
      <c r="O99" s="7">
        <f t="shared" si="5"/>
        <v>186149456.18343765</v>
      </c>
      <c r="P99" s="497">
        <f t="shared" si="6"/>
        <v>3.0095802291441931E-2</v>
      </c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7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3751.0641025641025</v>
      </c>
      <c r="L100" s="210">
        <v>319.87200000000001</v>
      </c>
      <c r="M100" s="210">
        <v>630.9</v>
      </c>
      <c r="N100" s="210">
        <v>35.309081309398152</v>
      </c>
      <c r="O100" s="7">
        <f t="shared" si="5"/>
        <v>173498665.14930245</v>
      </c>
      <c r="P100" s="497">
        <f t="shared" si="6"/>
        <v>3.4301314304538755E-2</v>
      </c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7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5626.5961538461543</v>
      </c>
      <c r="L101" s="210">
        <v>351.91199999999998</v>
      </c>
      <c r="M101" s="210">
        <v>628.1</v>
      </c>
      <c r="N101" s="210">
        <v>35.152375923970453</v>
      </c>
      <c r="O101" s="7">
        <f t="shared" si="5"/>
        <v>178446811.52047855</v>
      </c>
      <c r="P101" s="497">
        <f t="shared" si="6"/>
        <v>2.0009804482647997E-3</v>
      </c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7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7502.1282051282051</v>
      </c>
      <c r="L102" s="210">
        <v>336.24</v>
      </c>
      <c r="M102" s="210">
        <v>631.29999999999995</v>
      </c>
      <c r="N102" s="210">
        <v>35.331467793030697</v>
      </c>
      <c r="O102" s="7">
        <f t="shared" si="5"/>
        <v>160135494.42299446</v>
      </c>
      <c r="P102" s="497">
        <f t="shared" si="6"/>
        <v>1.948099663300451E-2</v>
      </c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7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9377.6602564102559</v>
      </c>
      <c r="L103" s="210">
        <v>336.28800000000001</v>
      </c>
      <c r="M103" s="210">
        <v>638.6</v>
      </c>
      <c r="N103" s="210">
        <v>35.740021119324183</v>
      </c>
      <c r="O103" s="7">
        <f t="shared" si="5"/>
        <v>159571138.13469988</v>
      </c>
      <c r="P103" s="497">
        <f t="shared" si="6"/>
        <v>1.8958300980344234E-2</v>
      </c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7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11253.192307692307</v>
      </c>
      <c r="L104" s="210">
        <v>352.08</v>
      </c>
      <c r="M104" s="210">
        <v>648.1</v>
      </c>
      <c r="N104" s="210">
        <v>36.271700105596665</v>
      </c>
      <c r="O104" s="7">
        <f t="shared" si="5"/>
        <v>184616947.57022935</v>
      </c>
      <c r="P104" s="497">
        <f t="shared" si="6"/>
        <v>4.526263620484583E-3</v>
      </c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7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13128.724358974358</v>
      </c>
      <c r="L105" s="210">
        <v>319.92</v>
      </c>
      <c r="M105" s="210">
        <v>653.1</v>
      </c>
      <c r="N105" s="210">
        <v>36.551531151003246</v>
      </c>
      <c r="O105" s="7">
        <f t="shared" si="5"/>
        <v>185413406.596131</v>
      </c>
      <c r="P105" s="497">
        <f t="shared" si="6"/>
        <v>1.4979714059673466E-2</v>
      </c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7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15004.256410256408</v>
      </c>
      <c r="L106" s="210">
        <v>351.91199999999998</v>
      </c>
      <c r="M106" s="210">
        <v>655.6</v>
      </c>
      <c r="N106" s="210">
        <v>36.691446673706423</v>
      </c>
      <c r="O106" s="7">
        <f t="shared" si="5"/>
        <v>176935493.43060547</v>
      </c>
      <c r="P106" s="497">
        <f t="shared" si="6"/>
        <v>5.4222810958893697E-2</v>
      </c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7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16879.788461538461</v>
      </c>
      <c r="L107" s="210">
        <v>336.24</v>
      </c>
      <c r="M107" s="210">
        <v>652.20000000000005</v>
      </c>
      <c r="N107" s="210">
        <v>36.501161562830021</v>
      </c>
      <c r="O107" s="7">
        <f t="shared" si="5"/>
        <v>153318098.65397188</v>
      </c>
      <c r="P107" s="497">
        <f t="shared" si="6"/>
        <v>5.0367318264861516E-2</v>
      </c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7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18755.320512820512</v>
      </c>
      <c r="L108" s="210">
        <v>319.92</v>
      </c>
      <c r="M108" s="210">
        <v>649.79999999999995</v>
      </c>
      <c r="N108" s="210">
        <v>36.366842661034866</v>
      </c>
      <c r="O108" s="7">
        <f t="shared" si="5"/>
        <v>160532674.85144964</v>
      </c>
      <c r="P108" s="497">
        <f t="shared" si="6"/>
        <v>1.7711139442152191E-2</v>
      </c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7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20630.852564102563</v>
      </c>
      <c r="L109" s="210">
        <v>352.08</v>
      </c>
      <c r="M109" s="210">
        <v>643.79999999999995</v>
      </c>
      <c r="N109" s="210">
        <v>36.031045406547037</v>
      </c>
      <c r="O109" s="7">
        <f t="shared" si="5"/>
        <v>165585289.58796427</v>
      </c>
      <c r="P109" s="497">
        <f t="shared" si="6"/>
        <v>2.0981024974200513E-2</v>
      </c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7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22506.384615384613</v>
      </c>
      <c r="L110" s="210">
        <v>319.92</v>
      </c>
      <c r="M110" s="210">
        <v>644.6</v>
      </c>
      <c r="N110" s="210">
        <v>36.075818373812126</v>
      </c>
      <c r="O110" s="7">
        <f t="shared" si="5"/>
        <v>183477086.51221618</v>
      </c>
      <c r="P110" s="497">
        <f t="shared" si="6"/>
        <v>1.1979781657149635E-2</v>
      </c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7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89668.286797862747</v>
      </c>
      <c r="L111" s="210">
        <v>336.28800000000001</v>
      </c>
      <c r="M111" s="210">
        <v>643.6</v>
      </c>
      <c r="N111" s="210">
        <v>33.873684210526335</v>
      </c>
      <c r="O111" s="7">
        <f t="shared" si="5"/>
        <v>179328546.47842938</v>
      </c>
      <c r="P111" s="497">
        <f t="shared" si="6"/>
        <v>8.6013497993420174E-3</v>
      </c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7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156830.1889803409</v>
      </c>
      <c r="L112" s="210">
        <v>319.87200000000001</v>
      </c>
      <c r="M112" s="210">
        <v>642.9</v>
      </c>
      <c r="N112" s="210">
        <v>33.836842105263145</v>
      </c>
      <c r="O112" s="7">
        <f t="shared" si="5"/>
        <v>169526600.91974103</v>
      </c>
      <c r="P112" s="497">
        <f t="shared" si="6"/>
        <v>1.2811318888045209E-2</v>
      </c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7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223992.09116281904</v>
      </c>
      <c r="L113" s="210">
        <v>368.28</v>
      </c>
      <c r="M113" s="210">
        <v>641</v>
      </c>
      <c r="N113" s="210">
        <v>33.736842105263236</v>
      </c>
      <c r="O113" s="7">
        <f t="shared" si="5"/>
        <v>175540460.45515004</v>
      </c>
      <c r="P113" s="497">
        <f t="shared" si="6"/>
        <v>3.318414896220423E-3</v>
      </c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7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291153.99334529717</v>
      </c>
      <c r="L114" s="210">
        <v>303.83999999999997</v>
      </c>
      <c r="M114" s="210">
        <v>643.6</v>
      </c>
      <c r="N114" s="210">
        <v>33.873684210526335</v>
      </c>
      <c r="O114" s="7">
        <f t="shared" si="5"/>
        <v>156865546.14358127</v>
      </c>
      <c r="P114" s="497">
        <f t="shared" si="6"/>
        <v>3.2248105185490372E-2</v>
      </c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7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358315.89552777528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5"/>
        <v>163655716.61044654</v>
      </c>
      <c r="P115" s="497">
        <f t="shared" si="6"/>
        <v>2.5061002374591856E-2</v>
      </c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7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425477.79771025339</v>
      </c>
      <c r="L116" s="210">
        <v>352.08</v>
      </c>
      <c r="M116" s="210">
        <v>660</v>
      </c>
      <c r="N116" s="210">
        <v>34.736842105263236</v>
      </c>
      <c r="O116" s="7">
        <f t="shared" si="5"/>
        <v>163503761.15772149</v>
      </c>
      <c r="P116" s="497">
        <f t="shared" si="6"/>
        <v>1.4659237271727577E-2</v>
      </c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7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492639.6998927315</v>
      </c>
      <c r="L117" s="210">
        <v>319.92</v>
      </c>
      <c r="M117" s="210">
        <v>665.1</v>
      </c>
      <c r="N117" s="210">
        <v>35.005263157894774</v>
      </c>
      <c r="O117" s="7">
        <f t="shared" si="5"/>
        <v>188780130.29039538</v>
      </c>
      <c r="P117" s="497">
        <f t="shared" si="6"/>
        <v>4.7579175963987197E-2</v>
      </c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7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559801.60207520961</v>
      </c>
      <c r="L118" s="210">
        <v>351.91199999999998</v>
      </c>
      <c r="M118" s="210">
        <v>667.3</v>
      </c>
      <c r="N118" s="210">
        <v>35.121052631579005</v>
      </c>
      <c r="O118" s="7">
        <f t="shared" si="5"/>
        <v>170412450.22868925</v>
      </c>
      <c r="P118" s="497">
        <f t="shared" si="6"/>
        <v>5.4354918811649888E-4</v>
      </c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7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626963.50425768772</v>
      </c>
      <c r="L119" s="210">
        <v>319.68</v>
      </c>
      <c r="M119" s="210">
        <v>664.9</v>
      </c>
      <c r="N119" s="210">
        <v>34.99473684210534</v>
      </c>
      <c r="O119" s="7">
        <f t="shared" si="5"/>
        <v>150818494.78537348</v>
      </c>
      <c r="P119" s="497">
        <f t="shared" si="6"/>
        <v>3.0086944695659534E-2</v>
      </c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7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694125.40644016583</v>
      </c>
      <c r="L120" s="210">
        <v>336.28800000000001</v>
      </c>
      <c r="M120" s="210">
        <v>667</v>
      </c>
      <c r="N120" s="210">
        <v>35.105263157894797</v>
      </c>
      <c r="O120" s="7">
        <f t="shared" si="5"/>
        <v>163537113.69047382</v>
      </c>
      <c r="P120" s="497">
        <f t="shared" si="6"/>
        <v>4.6946934778118843E-2</v>
      </c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7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761287.30862264393</v>
      </c>
      <c r="L121" s="210">
        <v>352.08</v>
      </c>
      <c r="M121" s="210">
        <v>666.2</v>
      </c>
      <c r="N121" s="210">
        <v>35.063157894736833</v>
      </c>
      <c r="O121" s="7">
        <f t="shared" si="5"/>
        <v>164274773.27744877</v>
      </c>
      <c r="P121" s="497">
        <f t="shared" si="6"/>
        <v>3.030200479484968E-2</v>
      </c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7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828449.21080512204</v>
      </c>
      <c r="L122" s="210">
        <v>304.29599999999999</v>
      </c>
      <c r="M122" s="210">
        <v>667.7</v>
      </c>
      <c r="N122" s="210">
        <v>35.142105263157873</v>
      </c>
      <c r="O122" s="7">
        <f t="shared" si="5"/>
        <v>174080969.80925399</v>
      </c>
      <c r="P122" s="497">
        <f t="shared" si="6"/>
        <v>2.9383367507443747E-2</v>
      </c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7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907332.76800669555</v>
      </c>
      <c r="L123" s="210">
        <v>351.91199999999998</v>
      </c>
      <c r="M123" s="210">
        <v>662.2</v>
      </c>
      <c r="N123" s="210">
        <v>37.800000000000068</v>
      </c>
      <c r="O123" s="7">
        <f t="shared" si="5"/>
        <v>183102432.36674944</v>
      </c>
      <c r="P123" s="497">
        <f t="shared" si="6"/>
        <v>3.5898334477151739E-2</v>
      </c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7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986216.32520826906</v>
      </c>
      <c r="L124" s="210">
        <v>319.87200000000001</v>
      </c>
      <c r="M124" s="210">
        <v>656.8</v>
      </c>
      <c r="N124" s="210">
        <v>37.491754756871046</v>
      </c>
      <c r="O124" s="7">
        <f t="shared" si="5"/>
        <v>172921975.36004287</v>
      </c>
      <c r="P124" s="497">
        <f t="shared" si="6"/>
        <v>1.989439212144517E-2</v>
      </c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7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1065099.8824098425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5"/>
        <v>172697456.9903371</v>
      </c>
      <c r="P125" s="497">
        <f t="shared" si="6"/>
        <v>1.7152063099748815E-2</v>
      </c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7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1143983.4396114158</v>
      </c>
      <c r="L126" s="210">
        <v>319.68</v>
      </c>
      <c r="M126" s="210">
        <v>647.4</v>
      </c>
      <c r="N126" s="210">
        <v>36.955179704016928</v>
      </c>
      <c r="O126" s="7">
        <f t="shared" si="5"/>
        <v>158599418.45090553</v>
      </c>
      <c r="P126" s="497">
        <f t="shared" si="6"/>
        <v>4.0937869188960363E-2</v>
      </c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7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1222866.9968129892</v>
      </c>
      <c r="L127" s="210">
        <v>351.91199999999998</v>
      </c>
      <c r="M127" s="210">
        <v>646.9</v>
      </c>
      <c r="N127" s="210">
        <v>36.926638477801248</v>
      </c>
      <c r="O127" s="7">
        <f t="shared" si="5"/>
        <v>157827241.70095956</v>
      </c>
      <c r="P127" s="497">
        <f t="shared" si="6"/>
        <v>2.4758493360912848E-2</v>
      </c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7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1301750.5540145626</v>
      </c>
      <c r="L128" s="210">
        <v>336.24</v>
      </c>
      <c r="M128" s="210">
        <v>652.29999999999995</v>
      </c>
      <c r="N128" s="210">
        <v>37.23488372093027</v>
      </c>
      <c r="O128" s="7">
        <f t="shared" si="5"/>
        <v>164098510.46307138</v>
      </c>
      <c r="P128" s="497">
        <f t="shared" si="6"/>
        <v>3.0545299097352818E-2</v>
      </c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7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1380634.111216136</v>
      </c>
      <c r="L129" s="210">
        <v>336.28800000000001</v>
      </c>
      <c r="M129" s="210">
        <v>659.9</v>
      </c>
      <c r="N129" s="210">
        <v>37.668710359408124</v>
      </c>
      <c r="O129" s="7">
        <f t="shared" si="5"/>
        <v>168344166.82426029</v>
      </c>
      <c r="P129" s="497">
        <f t="shared" si="6"/>
        <v>2.9978835947854998E-2</v>
      </c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7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1459517.6684177094</v>
      </c>
      <c r="L130" s="210">
        <v>351.91199999999998</v>
      </c>
      <c r="M130" s="210">
        <v>662.1</v>
      </c>
      <c r="N130" s="210">
        <v>37.794291754756955</v>
      </c>
      <c r="O130" s="7">
        <f t="shared" si="5"/>
        <v>172458986.18670154</v>
      </c>
      <c r="P130" s="497">
        <f t="shared" si="6"/>
        <v>1.3215205469779612E-2</v>
      </c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8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1538401.2256192828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9">$R$18+F131*$R$19+G131*$R$20+H131*$R$21+I131*$R$22+J131*$R$23+K131*$R$24+L131*$R$25+M131*$R$26+N131*$R$27</f>
        <v>151495014.5370585</v>
      </c>
      <c r="P131" s="497">
        <f t="shared" si="6"/>
        <v>2.5540344005236637E-2</v>
      </c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8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1617284.7828208562</v>
      </c>
      <c r="L132" s="210">
        <v>351.91199999999998</v>
      </c>
      <c r="M132" s="210">
        <v>662.5</v>
      </c>
      <c r="N132" s="210">
        <v>37.817124735729408</v>
      </c>
      <c r="O132" s="7">
        <f t="shared" si="9"/>
        <v>158097937.32476044</v>
      </c>
      <c r="P132" s="497">
        <f t="shared" ref="P132:P194" si="10">ABS(O132/E132-1)</f>
        <v>1.2381149639432154E-2</v>
      </c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8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1696168.3400224296</v>
      </c>
      <c r="L133" s="210">
        <v>352.08</v>
      </c>
      <c r="M133" s="210">
        <v>666.7</v>
      </c>
      <c r="N133" s="210">
        <v>38.056871035940844</v>
      </c>
      <c r="O133" s="7">
        <f t="shared" si="9"/>
        <v>164935748.72785112</v>
      </c>
      <c r="P133" s="497">
        <f t="shared" si="10"/>
        <v>9.8639551807415682E-3</v>
      </c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8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1775051.897224003</v>
      </c>
      <c r="L134" s="210">
        <v>304.29599999999999</v>
      </c>
      <c r="M134" s="210">
        <v>668.5</v>
      </c>
      <c r="N134" s="210">
        <v>38.159619450317109</v>
      </c>
      <c r="O134" s="7">
        <f t="shared" si="9"/>
        <v>176623378.23465526</v>
      </c>
      <c r="P134" s="497">
        <f t="shared" si="10"/>
        <v>1.457470691147833E-2</v>
      </c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8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1813009.9287639344</v>
      </c>
      <c r="L135" s="22">
        <v>352</v>
      </c>
      <c r="M135" s="210">
        <v>661.4</v>
      </c>
      <c r="N135" s="210">
        <v>39.97857900318138</v>
      </c>
      <c r="O135" s="7">
        <f t="shared" si="9"/>
        <v>178989309.93232563</v>
      </c>
      <c r="P135" s="497">
        <f t="shared" si="10"/>
        <v>7.1595057388451622E-4</v>
      </c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8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1850967.9603038658</v>
      </c>
      <c r="L136" s="22">
        <v>320</v>
      </c>
      <c r="M136" s="210">
        <v>656.3</v>
      </c>
      <c r="N136" s="210">
        <v>39.670307529162301</v>
      </c>
      <c r="O136" s="7">
        <f t="shared" si="9"/>
        <v>167574397.87332025</v>
      </c>
      <c r="P136" s="497">
        <f t="shared" si="10"/>
        <v>1.2678637178765495E-2</v>
      </c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8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1888925.9918437973</v>
      </c>
      <c r="L137" s="22">
        <v>304</v>
      </c>
      <c r="M137" s="210">
        <v>647</v>
      </c>
      <c r="N137" s="210">
        <v>39.108165429480437</v>
      </c>
      <c r="O137" s="7">
        <f t="shared" si="9"/>
        <v>170280861.22279817</v>
      </c>
      <c r="P137" s="497">
        <f t="shared" si="10"/>
        <v>7.785143606959144E-3</v>
      </c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8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1926884.0233837287</v>
      </c>
      <c r="L138" s="22">
        <v>352</v>
      </c>
      <c r="M138" s="210">
        <v>647.20000000000005</v>
      </c>
      <c r="N138" s="210">
        <v>39.120254506892934</v>
      </c>
      <c r="O138" s="7">
        <f t="shared" si="9"/>
        <v>153895516.3305687</v>
      </c>
      <c r="P138" s="497">
        <f t="shared" si="10"/>
        <v>3.9950826466166101E-2</v>
      </c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8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1964842.0549236601</v>
      </c>
      <c r="L139" s="22">
        <v>336</v>
      </c>
      <c r="M139" s="210">
        <v>648.79999999999995</v>
      </c>
      <c r="N139" s="210">
        <v>39.216967126193026</v>
      </c>
      <c r="O139" s="7">
        <f t="shared" si="9"/>
        <v>154187980.6971786</v>
      </c>
      <c r="P139" s="497">
        <f t="shared" si="10"/>
        <v>6.1338622606436966E-2</v>
      </c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8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2002800.0864635915</v>
      </c>
      <c r="L140" s="22">
        <v>336</v>
      </c>
      <c r="M140" s="210">
        <v>656.8</v>
      </c>
      <c r="N140" s="210">
        <v>39.700530222693601</v>
      </c>
      <c r="O140" s="7">
        <f t="shared" si="9"/>
        <v>162622161.99815735</v>
      </c>
      <c r="P140" s="497">
        <f t="shared" si="10"/>
        <v>2.0763773974227684E-2</v>
      </c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8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2040758.118003523</v>
      </c>
      <c r="L141" s="22">
        <v>352</v>
      </c>
      <c r="M141" s="210">
        <v>663.6</v>
      </c>
      <c r="N141" s="210">
        <v>40.111558854718965</v>
      </c>
      <c r="O141" s="7">
        <f t="shared" si="9"/>
        <v>173194080.73692781</v>
      </c>
      <c r="P141" s="497">
        <f t="shared" si="10"/>
        <v>1.1593956324042809E-2</v>
      </c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8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2078716.1495434544</v>
      </c>
      <c r="L142" s="22">
        <v>320</v>
      </c>
      <c r="M142" s="210">
        <v>666.6</v>
      </c>
      <c r="N142" s="210">
        <v>40.292895015906765</v>
      </c>
      <c r="O142" s="7">
        <f t="shared" si="9"/>
        <v>158065794.09672996</v>
      </c>
      <c r="P142" s="497">
        <f t="shared" si="10"/>
        <v>2.4664139606886404E-2</v>
      </c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8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2116674.1810833858</v>
      </c>
      <c r="L143" s="22">
        <v>336</v>
      </c>
      <c r="M143" s="210">
        <v>669.7</v>
      </c>
      <c r="N143" s="210">
        <v>40.480275715800644</v>
      </c>
      <c r="O143" s="7">
        <f t="shared" si="9"/>
        <v>148344361.01530141</v>
      </c>
      <c r="P143" s="497">
        <f t="shared" si="10"/>
        <v>2.6120397750427848E-2</v>
      </c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8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2154632.2126233173</v>
      </c>
      <c r="L144" s="22">
        <v>352</v>
      </c>
      <c r="M144" s="210">
        <v>673</v>
      </c>
      <c r="N144" s="210">
        <v>40.679745493107134</v>
      </c>
      <c r="O144" s="7">
        <f t="shared" si="9"/>
        <v>159415636.83939403</v>
      </c>
      <c r="P144" s="497">
        <f t="shared" si="10"/>
        <v>5.4541286126248201E-2</v>
      </c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8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2192590.2441632487</v>
      </c>
      <c r="L145" s="22">
        <v>304</v>
      </c>
      <c r="M145" s="210">
        <v>676.9</v>
      </c>
      <c r="N145" s="210">
        <v>40.915482502651116</v>
      </c>
      <c r="O145" s="7">
        <f t="shared" si="9"/>
        <v>159559965.87568122</v>
      </c>
      <c r="P145" s="497">
        <f t="shared" si="10"/>
        <v>7.945652410847881E-3</v>
      </c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8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2230548.2757031801</v>
      </c>
      <c r="L146" s="22">
        <v>336</v>
      </c>
      <c r="M146" s="210">
        <v>673.6</v>
      </c>
      <c r="N146" s="210">
        <v>40.71601272534474</v>
      </c>
      <c r="O146" s="7">
        <f t="shared" si="9"/>
        <v>178018087.77666238</v>
      </c>
      <c r="P146" s="497">
        <f t="shared" si="10"/>
        <v>2.5374854518339207E-2</v>
      </c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8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2295812.7995068827</v>
      </c>
      <c r="L147" s="22">
        <v>336</v>
      </c>
      <c r="M147" s="210">
        <v>662.3</v>
      </c>
      <c r="N147" s="210">
        <v>65.50219780219777</v>
      </c>
      <c r="O147" s="7">
        <f t="shared" si="9"/>
        <v>181139335.43281022</v>
      </c>
      <c r="P147" s="497">
        <f t="shared" si="10"/>
        <v>1.2610746049292354E-2</v>
      </c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8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2361077.3233105852</v>
      </c>
      <c r="L148" s="22">
        <v>304</v>
      </c>
      <c r="M148" s="210">
        <v>649.29999999999995</v>
      </c>
      <c r="N148" s="210">
        <v>64.216483516483436</v>
      </c>
      <c r="O148" s="7">
        <f t="shared" si="9"/>
        <v>160425453.46881026</v>
      </c>
      <c r="P148" s="497">
        <f t="shared" si="10"/>
        <v>3.9191226889173425E-2</v>
      </c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8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2426341.8471142878</v>
      </c>
      <c r="L149" s="22">
        <v>352</v>
      </c>
      <c r="M149" s="210">
        <v>636.29999999999995</v>
      </c>
      <c r="N149" s="210">
        <v>62.930769230769215</v>
      </c>
      <c r="O149" s="7">
        <f t="shared" si="9"/>
        <v>162311908.07410109</v>
      </c>
      <c r="P149" s="497">
        <f t="shared" si="10"/>
        <v>1.6613713745754932E-2</v>
      </c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8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2491606.3709179903</v>
      </c>
      <c r="L150" s="22">
        <v>320</v>
      </c>
      <c r="M150" s="210">
        <v>632.20000000000005</v>
      </c>
      <c r="N150" s="210">
        <v>62.525274725274699</v>
      </c>
      <c r="O150" s="7">
        <f t="shared" si="9"/>
        <v>147472762.30909857</v>
      </c>
      <c r="P150" s="497">
        <f t="shared" si="10"/>
        <v>3.8713749638207062E-2</v>
      </c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8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2556870.8947216929</v>
      </c>
      <c r="L151" s="22">
        <v>320</v>
      </c>
      <c r="M151" s="210">
        <v>631.70000000000005</v>
      </c>
      <c r="N151" s="210">
        <v>62.475824175824187</v>
      </c>
      <c r="O151" s="7">
        <f t="shared" si="9"/>
        <v>144283903.53954446</v>
      </c>
      <c r="P151" s="497">
        <f t="shared" si="10"/>
        <v>4.5209611536655592E-2</v>
      </c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8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2622135.4185253954</v>
      </c>
      <c r="L152" s="22">
        <v>352</v>
      </c>
      <c r="M152" s="210">
        <v>642.70000000000005</v>
      </c>
      <c r="N152" s="210">
        <v>63.563736263736246</v>
      </c>
      <c r="O152" s="7">
        <f t="shared" si="9"/>
        <v>150107549.93991125</v>
      </c>
      <c r="P152" s="497">
        <f t="shared" si="10"/>
        <v>3.683695745129234E-2</v>
      </c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8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2687399.942329098</v>
      </c>
      <c r="L153" s="22">
        <v>352</v>
      </c>
      <c r="M153" s="210">
        <v>650</v>
      </c>
      <c r="N153" s="210">
        <v>64.285714285714221</v>
      </c>
      <c r="O153" s="7">
        <f t="shared" si="9"/>
        <v>148667635.32698846</v>
      </c>
      <c r="P153" s="497">
        <f t="shared" si="10"/>
        <v>1.2363924014894501E-2</v>
      </c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8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2752664.4661328006</v>
      </c>
      <c r="L154" s="22">
        <v>320</v>
      </c>
      <c r="M154" s="210">
        <v>655.29999999999995</v>
      </c>
      <c r="N154" s="210">
        <v>64.809890109890034</v>
      </c>
      <c r="O154" s="7">
        <f t="shared" si="9"/>
        <v>158969639.26870754</v>
      </c>
      <c r="P154" s="497">
        <f t="shared" si="10"/>
        <v>1.4719239794064309E-2</v>
      </c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8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2817928.9899365031</v>
      </c>
      <c r="L155" s="22">
        <v>336</v>
      </c>
      <c r="M155" s="210">
        <v>654.9</v>
      </c>
      <c r="N155" s="210">
        <v>64.770329670329602</v>
      </c>
      <c r="O155" s="7">
        <f t="shared" si="9"/>
        <v>138463043.90725237</v>
      </c>
      <c r="P155" s="497">
        <f t="shared" si="10"/>
        <v>3.7973855676441848E-2</v>
      </c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8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2883193.5137402057</v>
      </c>
      <c r="L156" s="22">
        <v>336</v>
      </c>
      <c r="M156" s="210">
        <v>656.6</v>
      </c>
      <c r="N156" s="210">
        <v>64.938461538461524</v>
      </c>
      <c r="O156" s="7">
        <f t="shared" si="9"/>
        <v>150346632.69380537</v>
      </c>
      <c r="P156" s="497">
        <f t="shared" si="10"/>
        <v>9.5140122938490723E-3</v>
      </c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8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2948458.0375439082</v>
      </c>
      <c r="L157" s="22">
        <v>320</v>
      </c>
      <c r="M157" s="210">
        <v>654.79999999999995</v>
      </c>
      <c r="N157" s="210">
        <v>64.760439560439522</v>
      </c>
      <c r="O157" s="7">
        <f t="shared" si="9"/>
        <v>147997329.41546223</v>
      </c>
      <c r="P157" s="497">
        <f t="shared" si="10"/>
        <v>7.9778647307495731E-3</v>
      </c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8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3013722.5613476108</v>
      </c>
      <c r="L158" s="22">
        <v>352</v>
      </c>
      <c r="M158" s="210">
        <v>652.29999999999995</v>
      </c>
      <c r="N158" s="210">
        <v>64.513186813186735</v>
      </c>
      <c r="O158" s="7">
        <f t="shared" si="9"/>
        <v>169659910.8395569</v>
      </c>
      <c r="P158" s="497">
        <f t="shared" si="10"/>
        <v>2.8436163335627818E-3</v>
      </c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8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3039169.8149878928</v>
      </c>
      <c r="L159" s="22">
        <v>320</v>
      </c>
      <c r="M159" s="210">
        <v>646</v>
      </c>
      <c r="N159" s="210">
        <v>57.703703703703695</v>
      </c>
      <c r="O159" s="7">
        <f t="shared" si="9"/>
        <v>171301428.94998127</v>
      </c>
      <c r="P159" s="497">
        <f t="shared" si="10"/>
        <v>2.1289988366417489E-2</v>
      </c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8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3064617.0686281747</v>
      </c>
      <c r="L160" s="22">
        <v>304</v>
      </c>
      <c r="M160" s="210">
        <v>642.29999999999995</v>
      </c>
      <c r="N160" s="210">
        <v>57.373202614379011</v>
      </c>
      <c r="O160" s="7">
        <f t="shared" si="9"/>
        <v>154372281.33160076</v>
      </c>
      <c r="P160" s="497">
        <f t="shared" si="10"/>
        <v>4.8374200453119576E-3</v>
      </c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8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3090064.3222684567</v>
      </c>
      <c r="L161" s="22">
        <v>368</v>
      </c>
      <c r="M161" s="210">
        <v>639.5</v>
      </c>
      <c r="N161" s="210">
        <v>57.123093681917226</v>
      </c>
      <c r="O161" s="7">
        <f t="shared" si="9"/>
        <v>158003674.79917222</v>
      </c>
      <c r="P161" s="497">
        <f t="shared" si="10"/>
        <v>1.3112909700050634E-2</v>
      </c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8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3115511.5759087387</v>
      </c>
      <c r="L162" s="22">
        <v>336</v>
      </c>
      <c r="M162" s="210">
        <v>643.79999999999995</v>
      </c>
      <c r="N162" s="210">
        <v>57.507189542483616</v>
      </c>
      <c r="O162" s="7">
        <f t="shared" si="9"/>
        <v>143366124.91762596</v>
      </c>
      <c r="P162" s="497">
        <f t="shared" si="10"/>
        <v>3.6944839259547946E-2</v>
      </c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11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3140958.8295490206</v>
      </c>
      <c r="L163" s="22">
        <v>320</v>
      </c>
      <c r="M163" s="210">
        <v>653.4</v>
      </c>
      <c r="N163" s="210">
        <v>58.364705882352951</v>
      </c>
      <c r="O163" s="7">
        <f t="shared" si="9"/>
        <v>147284869.31336108</v>
      </c>
      <c r="P163" s="497">
        <f t="shared" si="10"/>
        <v>2.533188041547596E-2</v>
      </c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11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3166406.0831893026</v>
      </c>
      <c r="L164" s="22">
        <v>352</v>
      </c>
      <c r="M164" s="210">
        <v>668.5</v>
      </c>
      <c r="N164" s="210">
        <v>59.713507625272314</v>
      </c>
      <c r="O164" s="7">
        <f t="shared" si="9"/>
        <v>149616879.98275012</v>
      </c>
      <c r="P164" s="497">
        <f t="shared" si="10"/>
        <v>2.5176365502110998E-2</v>
      </c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11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3191853.3368295846</v>
      </c>
      <c r="L165" s="22">
        <v>336</v>
      </c>
      <c r="M165" s="210">
        <v>680.1</v>
      </c>
      <c r="N165" s="210">
        <v>60.749673202614304</v>
      </c>
      <c r="O165" s="7">
        <f t="shared" si="9"/>
        <v>173764403.45645532</v>
      </c>
      <c r="P165" s="497">
        <f t="shared" si="10"/>
        <v>1.9327749100749192E-2</v>
      </c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11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3217300.5904698665</v>
      </c>
      <c r="L166" s="22">
        <v>336</v>
      </c>
      <c r="M166" s="210">
        <v>683.1</v>
      </c>
      <c r="N166" s="210">
        <v>61.017647058823513</v>
      </c>
      <c r="O166" s="7">
        <f t="shared" si="9"/>
        <v>167165101.08931369</v>
      </c>
      <c r="P166" s="497">
        <f t="shared" si="10"/>
        <v>3.3892219072608532E-2</v>
      </c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11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3242747.8441101485</v>
      </c>
      <c r="L167" s="22">
        <v>336</v>
      </c>
      <c r="M167" s="210">
        <v>677.1</v>
      </c>
      <c r="N167" s="210">
        <v>60.481699346405208</v>
      </c>
      <c r="O167" s="7">
        <f t="shared" si="9"/>
        <v>144475005.26640886</v>
      </c>
      <c r="P167" s="497">
        <f t="shared" si="10"/>
        <v>1.4996338103484552E-3</v>
      </c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11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3268195.0977504305</v>
      </c>
      <c r="L168" s="22">
        <v>320</v>
      </c>
      <c r="M168" s="210">
        <v>670.2</v>
      </c>
      <c r="N168" s="210">
        <v>59.865359477124116</v>
      </c>
      <c r="O168" s="7">
        <f t="shared" si="9"/>
        <v>146834990.66571727</v>
      </c>
      <c r="P168" s="497">
        <f t="shared" si="10"/>
        <v>1.3038057115710266E-2</v>
      </c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11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3293642.3513907124</v>
      </c>
      <c r="L169" s="22">
        <v>336</v>
      </c>
      <c r="M169" s="210">
        <v>668.1</v>
      </c>
      <c r="N169" s="210">
        <v>59.677777777777806</v>
      </c>
      <c r="O169" s="7">
        <f t="shared" si="9"/>
        <v>151856548.73168075</v>
      </c>
      <c r="P169" s="497">
        <f t="shared" si="10"/>
        <v>3.6538729412899373E-3</v>
      </c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11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3319089.6050309944</v>
      </c>
      <c r="L170" s="22">
        <v>368</v>
      </c>
      <c r="M170" s="210">
        <v>666.9</v>
      </c>
      <c r="N170" s="210">
        <v>59.570588235294053</v>
      </c>
      <c r="O170" s="7">
        <f t="shared" si="9"/>
        <v>172777868.27674145</v>
      </c>
      <c r="P170" s="497">
        <f t="shared" si="10"/>
        <v>8.0194266894093591E-3</v>
      </c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11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3384750.099246379</v>
      </c>
      <c r="L171" s="22">
        <v>336</v>
      </c>
      <c r="M171" s="210">
        <v>663.9</v>
      </c>
      <c r="N171" s="210">
        <v>51.509482758620607</v>
      </c>
      <c r="O171" s="7">
        <f t="shared" si="9"/>
        <v>175906424.01241228</v>
      </c>
      <c r="P171" s="497">
        <f t="shared" si="10"/>
        <v>3.058930676492766E-3</v>
      </c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11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3450410.5934617636</v>
      </c>
      <c r="L172" s="22">
        <v>304</v>
      </c>
      <c r="M172" s="210">
        <v>666.1</v>
      </c>
      <c r="N172" s="210">
        <v>51.680172413793116</v>
      </c>
      <c r="O172" s="7">
        <f t="shared" si="9"/>
        <v>156379283.85833594</v>
      </c>
      <c r="P172" s="497">
        <f t="shared" si="10"/>
        <v>6.7077407194774397E-3</v>
      </c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11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3516071.0876771482</v>
      </c>
      <c r="L173" s="22">
        <v>368</v>
      </c>
      <c r="M173" s="210">
        <v>671.2</v>
      </c>
      <c r="N173" s="210">
        <v>52.075862068965534</v>
      </c>
      <c r="O173" s="7">
        <f t="shared" si="9"/>
        <v>165197398.46223953</v>
      </c>
      <c r="P173" s="497">
        <f t="shared" si="10"/>
        <v>2.0349851847003553E-3</v>
      </c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11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3581731.5818925328</v>
      </c>
      <c r="L174" s="22">
        <v>320</v>
      </c>
      <c r="M174" s="210">
        <v>679.9</v>
      </c>
      <c r="N174" s="210">
        <v>52.750862068965489</v>
      </c>
      <c r="O174" s="7">
        <f t="shared" si="9"/>
        <v>147105676.24728021</v>
      </c>
      <c r="P174" s="497">
        <f t="shared" si="10"/>
        <v>1.2454468271062114E-2</v>
      </c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11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3647392.0761079174</v>
      </c>
      <c r="L175" s="22">
        <v>336</v>
      </c>
      <c r="M175" s="210">
        <v>685.8</v>
      </c>
      <c r="N175" s="210">
        <v>53.208620689655163</v>
      </c>
      <c r="O175" s="7">
        <f t="shared" si="9"/>
        <v>147296074.31890056</v>
      </c>
      <c r="P175" s="497">
        <f t="shared" si="10"/>
        <v>9.005875687380982E-3</v>
      </c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11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3713052.5703233019</v>
      </c>
      <c r="L176" s="22">
        <v>352</v>
      </c>
      <c r="M176" s="210">
        <v>697.1</v>
      </c>
      <c r="N176" s="210">
        <v>54.085344827586141</v>
      </c>
      <c r="O176" s="7">
        <f t="shared" si="9"/>
        <v>147928433.15076366</v>
      </c>
      <c r="P176" s="497">
        <f t="shared" si="10"/>
        <v>2.2356043451835506E-2</v>
      </c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11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3778713.0645386865</v>
      </c>
      <c r="L177" s="22">
        <v>320</v>
      </c>
      <c r="M177" s="210">
        <v>707.5</v>
      </c>
      <c r="N177" s="210">
        <v>54.892241379310349</v>
      </c>
      <c r="O177" s="7">
        <f t="shared" si="9"/>
        <v>180333741.77908877</v>
      </c>
      <c r="P177" s="497">
        <f t="shared" si="10"/>
        <v>1.0706429494654612E-2</v>
      </c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11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3844373.5587540711</v>
      </c>
      <c r="L178" s="22">
        <v>352</v>
      </c>
      <c r="M178" s="210">
        <v>708.3</v>
      </c>
      <c r="N178" s="210">
        <v>54.954310344827491</v>
      </c>
      <c r="O178" s="7">
        <f t="shared" si="9"/>
        <v>162631662.1440385</v>
      </c>
      <c r="P178" s="497">
        <f t="shared" si="10"/>
        <v>2.9420084020825077E-2</v>
      </c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11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3910034.0529694557</v>
      </c>
      <c r="L179" s="22">
        <v>336</v>
      </c>
      <c r="M179" s="210">
        <v>700.8</v>
      </c>
      <c r="N179" s="210">
        <v>54.372413793103419</v>
      </c>
      <c r="O179" s="7">
        <f t="shared" si="9"/>
        <v>143495915.75434342</v>
      </c>
      <c r="P179" s="497">
        <f t="shared" si="10"/>
        <v>1.7848192736041435E-2</v>
      </c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11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3975694.5471848403</v>
      </c>
      <c r="L180" s="22">
        <v>320</v>
      </c>
      <c r="M180" s="210">
        <v>693.6</v>
      </c>
      <c r="N180" s="210">
        <v>53.813793103448234</v>
      </c>
      <c r="O180" s="7">
        <f t="shared" si="9"/>
        <v>146927662.53227255</v>
      </c>
      <c r="P180" s="497">
        <f t="shared" si="10"/>
        <v>1.8700571230494401E-3</v>
      </c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11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4041355.0414002249</v>
      </c>
      <c r="L181" s="22">
        <v>352</v>
      </c>
      <c r="M181" s="210">
        <v>690.2</v>
      </c>
      <c r="N181" s="210">
        <v>53.549999999999955</v>
      </c>
      <c r="O181" s="7">
        <f t="shared" si="9"/>
        <v>149701339.67141011</v>
      </c>
      <c r="P181" s="497">
        <f t="shared" si="10"/>
        <v>3.7008904641471219E-3</v>
      </c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11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4107015.5356156095</v>
      </c>
      <c r="L182" s="22">
        <v>336</v>
      </c>
      <c r="M182" s="210">
        <v>690.4</v>
      </c>
      <c r="N182" s="210">
        <v>53.565517241379325</v>
      </c>
      <c r="O182" s="7">
        <f t="shared" si="9"/>
        <v>164523431.63920242</v>
      </c>
      <c r="P182" s="497">
        <f t="shared" si="10"/>
        <v>1.4874132845207777E-2</v>
      </c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11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4155526.4741674927</v>
      </c>
      <c r="L183" s="22">
        <v>336</v>
      </c>
      <c r="M183" s="210">
        <v>684.2</v>
      </c>
      <c r="N183" s="210">
        <v>48.348179871520415</v>
      </c>
      <c r="O183" s="7">
        <f t="shared" si="9"/>
        <v>168361370.72029343</v>
      </c>
      <c r="P183" s="497">
        <f t="shared" si="10"/>
        <v>1.3158520099988746E-2</v>
      </c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11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4204037.4127193755</v>
      </c>
      <c r="L184" s="22">
        <v>320</v>
      </c>
      <c r="M184" s="210">
        <v>682.8</v>
      </c>
      <c r="N184" s="210">
        <v>48.249250535331953</v>
      </c>
      <c r="O184" s="7">
        <f t="shared" si="9"/>
        <v>156147110.85947365</v>
      </c>
      <c r="P184" s="497">
        <f t="shared" si="10"/>
        <v>8.5816030496788098E-3</v>
      </c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11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4252548.3512712587</v>
      </c>
      <c r="L185" s="22">
        <v>352</v>
      </c>
      <c r="M185" s="210">
        <v>680.8</v>
      </c>
      <c r="N185" s="210">
        <v>48.107922912205595</v>
      </c>
      <c r="O185" s="7">
        <f t="shared" si="9"/>
        <v>152553815.02435249</v>
      </c>
      <c r="P185" s="497">
        <f t="shared" si="10"/>
        <v>2.0541080634473019E-4</v>
      </c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11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4301059.2898231419</v>
      </c>
      <c r="L186" s="22">
        <v>320</v>
      </c>
      <c r="M186" s="210">
        <v>682.9</v>
      </c>
      <c r="N186" s="210">
        <v>48.256316916488231</v>
      </c>
      <c r="O186" s="7">
        <f t="shared" si="9"/>
        <v>146262040.47229272</v>
      </c>
      <c r="P186" s="497">
        <f t="shared" si="10"/>
        <v>4.1581676253184652E-2</v>
      </c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11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4349570.2283750251</v>
      </c>
      <c r="L187" s="22">
        <v>352</v>
      </c>
      <c r="M187" s="210">
        <v>686.7</v>
      </c>
      <c r="N187" s="210">
        <v>48.524839400428277</v>
      </c>
      <c r="O187" s="7">
        <f t="shared" si="9"/>
        <v>147426835.7189756</v>
      </c>
      <c r="P187" s="497">
        <f t="shared" si="10"/>
        <v>1.2597084623249599E-2</v>
      </c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11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4398081.1669269083</v>
      </c>
      <c r="L188" s="22">
        <v>336</v>
      </c>
      <c r="M188" s="210">
        <v>691.5</v>
      </c>
      <c r="N188" s="210">
        <v>48.864025695931559</v>
      </c>
      <c r="O188" s="7">
        <f t="shared" si="9"/>
        <v>156982096.64180765</v>
      </c>
      <c r="P188" s="497">
        <f t="shared" si="10"/>
        <v>1.2843750343004667E-2</v>
      </c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11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4446592.1054787915</v>
      </c>
      <c r="L189" s="22">
        <v>336</v>
      </c>
      <c r="M189" s="210">
        <v>694.4</v>
      </c>
      <c r="N189" s="210">
        <v>49.068950749464761</v>
      </c>
      <c r="O189" s="7">
        <f t="shared" si="9"/>
        <v>178334863.23802876</v>
      </c>
      <c r="P189" s="497">
        <f t="shared" si="10"/>
        <v>3.3938595922549775E-2</v>
      </c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11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4495103.0440306747</v>
      </c>
      <c r="L190" s="22">
        <v>352</v>
      </c>
      <c r="M190" s="210">
        <v>689.7</v>
      </c>
      <c r="N190" s="210">
        <v>48.736830835117871</v>
      </c>
      <c r="O190" s="7">
        <f t="shared" si="9"/>
        <v>159641617.78513455</v>
      </c>
      <c r="P190" s="497">
        <f t="shared" si="10"/>
        <v>4.6763429277602353E-2</v>
      </c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11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4543613.9825825579</v>
      </c>
      <c r="L191" s="22">
        <v>304</v>
      </c>
      <c r="M191" s="210">
        <v>681.9</v>
      </c>
      <c r="N191" s="210">
        <v>48.185653104925109</v>
      </c>
      <c r="O191" s="7">
        <f t="shared" si="9"/>
        <v>139158305.88684374</v>
      </c>
      <c r="P191" s="497">
        <f t="shared" si="10"/>
        <v>4.5489825445936716E-2</v>
      </c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11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4592124.9211344412</v>
      </c>
      <c r="L192" s="22">
        <v>352</v>
      </c>
      <c r="M192" s="210">
        <v>681.8</v>
      </c>
      <c r="N192" s="210">
        <v>48.178586723768831</v>
      </c>
      <c r="O192" s="7">
        <f t="shared" si="9"/>
        <v>147816561.50041768</v>
      </c>
      <c r="P192" s="497">
        <f t="shared" si="10"/>
        <v>4.2945431226272257E-3</v>
      </c>
    </row>
    <row r="193" spans="1:17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11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4640635.8596863244</v>
      </c>
      <c r="L193" s="22">
        <v>352</v>
      </c>
      <c r="M193" s="210">
        <v>686.5</v>
      </c>
      <c r="N193" s="210">
        <v>48.510706638115721</v>
      </c>
      <c r="O193" s="7">
        <f t="shared" si="9"/>
        <v>152887890.33007088</v>
      </c>
      <c r="P193" s="497">
        <f t="shared" si="10"/>
        <v>5.3391900635291201E-4</v>
      </c>
    </row>
    <row r="194" spans="1:17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11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4689146.7982382076</v>
      </c>
      <c r="L194" s="22">
        <v>304</v>
      </c>
      <c r="M194" s="210">
        <v>693.7</v>
      </c>
      <c r="N194" s="210">
        <v>49.019486081370474</v>
      </c>
      <c r="O194" s="7">
        <f t="shared" si="9"/>
        <v>161024545.48048913</v>
      </c>
      <c r="P194" s="497">
        <f t="shared" si="10"/>
        <v>6.9591273873417236E-3</v>
      </c>
    </row>
    <row r="195" spans="1:17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4649890.2125111697</v>
      </c>
      <c r="L195" s="22">
        <v>352</v>
      </c>
      <c r="M195" s="210">
        <v>693.7</v>
      </c>
      <c r="N195" s="210">
        <v>49.019486081370474</v>
      </c>
      <c r="O195" s="7">
        <f t="shared" ref="O195:O218" si="12">$R$18+F195*$R$19+G195*$R$20+H195*$R$21+I195*$R$22+J195*$R$23+K195*$R$24+L195*$R$25+M195*$R$26+N195*$R$27</f>
        <v>172601238.53399962</v>
      </c>
      <c r="P195" s="497">
        <f>AVERAGE(P3:P194)</f>
        <v>1.9194471308441152E-2</v>
      </c>
      <c r="Q195" s="493" t="s">
        <v>312</v>
      </c>
    </row>
    <row r="196" spans="1:17" x14ac:dyDescent="0.2">
      <c r="A196" s="2">
        <v>41306</v>
      </c>
      <c r="B196" s="15"/>
      <c r="C196" s="15"/>
      <c r="D196" s="15"/>
      <c r="F196" s="209">
        <f t="shared" ref="F196:G206" si="13">SUM(F4+F16+F28+F40+F52+F64+F76+F88+F100+F112+F124+F136+F148+F160+F172+F184)/16</f>
        <v>653.16249999999991</v>
      </c>
      <c r="G196" s="209">
        <f t="shared" si="13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4610633.6267841319</v>
      </c>
      <c r="L196" s="22">
        <v>304</v>
      </c>
      <c r="M196" s="210">
        <v>693.7</v>
      </c>
      <c r="N196" s="210">
        <v>49.019486081370474</v>
      </c>
      <c r="O196" s="7">
        <f t="shared" si="12"/>
        <v>157846132.1152662</v>
      </c>
      <c r="P196" s="7"/>
    </row>
    <row r="197" spans="1:17" x14ac:dyDescent="0.2">
      <c r="A197" s="2">
        <v>41334</v>
      </c>
      <c r="B197" s="15"/>
      <c r="C197" s="15"/>
      <c r="D197" s="15"/>
      <c r="F197" s="209">
        <f t="shared" si="13"/>
        <v>567.52187500000002</v>
      </c>
      <c r="G197" s="209">
        <f t="shared" si="13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4571377.041057094</v>
      </c>
      <c r="L197" s="22">
        <v>320</v>
      </c>
      <c r="M197" s="210">
        <v>693.7</v>
      </c>
      <c r="N197" s="210">
        <v>49.019486081370474</v>
      </c>
      <c r="O197" s="7">
        <f t="shared" si="12"/>
        <v>158393911.20567012</v>
      </c>
      <c r="P197" s="7"/>
    </row>
    <row r="198" spans="1:17" x14ac:dyDescent="0.2">
      <c r="A198" s="2">
        <v>41365</v>
      </c>
      <c r="B198" s="15"/>
      <c r="C198" s="15"/>
      <c r="D198" s="15"/>
      <c r="F198" s="209">
        <f t="shared" si="13"/>
        <v>346.09999999999997</v>
      </c>
      <c r="G198" s="209">
        <f t="shared" si="13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4532120.4553300561</v>
      </c>
      <c r="L198" s="22">
        <v>336</v>
      </c>
      <c r="M198" s="210">
        <v>693.7</v>
      </c>
      <c r="N198" s="210">
        <v>49.019486081370474</v>
      </c>
      <c r="O198" s="7">
        <f t="shared" si="12"/>
        <v>147065047.58910754</v>
      </c>
      <c r="P198" s="7"/>
    </row>
    <row r="199" spans="1:17" x14ac:dyDescent="0.2">
      <c r="A199" s="2">
        <v>41395</v>
      </c>
      <c r="B199" s="15"/>
      <c r="C199" s="15"/>
      <c r="D199" s="15"/>
      <c r="F199" s="209">
        <f t="shared" si="13"/>
        <v>180.87499999999997</v>
      </c>
      <c r="G199" s="209">
        <f t="shared" si="13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4492863.8696030183</v>
      </c>
      <c r="L199" s="22">
        <v>352</v>
      </c>
      <c r="M199" s="210">
        <v>693.7</v>
      </c>
      <c r="N199" s="210">
        <v>49.019486081370474</v>
      </c>
      <c r="O199" s="7">
        <f t="shared" si="12"/>
        <v>147800635.23130214</v>
      </c>
      <c r="P199" s="7"/>
    </row>
    <row r="200" spans="1:17" x14ac:dyDescent="0.2">
      <c r="A200" s="2">
        <v>41426</v>
      </c>
      <c r="B200" s="15"/>
      <c r="C200" s="15"/>
      <c r="D200" s="15"/>
      <c r="F200" s="209">
        <f t="shared" si="13"/>
        <v>49.509375000000013</v>
      </c>
      <c r="G200" s="209">
        <f t="shared" si="13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4453607.2838759804</v>
      </c>
      <c r="L200" s="22">
        <v>320</v>
      </c>
      <c r="M200" s="210">
        <v>693.7</v>
      </c>
      <c r="N200" s="210">
        <v>49.019486081370474</v>
      </c>
      <c r="O200" s="7">
        <f t="shared" si="12"/>
        <v>152477325.02618498</v>
      </c>
      <c r="P200" s="7"/>
    </row>
    <row r="201" spans="1:17" x14ac:dyDescent="0.2">
      <c r="A201" s="2">
        <v>41456</v>
      </c>
      <c r="B201" s="15"/>
      <c r="C201" s="15"/>
      <c r="D201" s="15"/>
      <c r="F201" s="209">
        <f t="shared" si="13"/>
        <v>12.85</v>
      </c>
      <c r="G201" s="209">
        <f t="shared" si="13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4414350.6981489426</v>
      </c>
      <c r="L201" s="22">
        <v>352</v>
      </c>
      <c r="M201" s="210">
        <v>693.7</v>
      </c>
      <c r="N201" s="210">
        <v>49.019486081370474</v>
      </c>
      <c r="O201" s="7">
        <f t="shared" si="12"/>
        <v>167843554.79788888</v>
      </c>
      <c r="P201" s="7"/>
    </row>
    <row r="202" spans="1:17" x14ac:dyDescent="0.2">
      <c r="A202" s="2">
        <v>41487</v>
      </c>
      <c r="B202" s="15"/>
      <c r="C202" s="15"/>
      <c r="D202" s="15"/>
      <c r="F202" s="209">
        <f t="shared" si="13"/>
        <v>23.484374999999996</v>
      </c>
      <c r="G202" s="209">
        <f t="shared" si="13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4375094.1124219047</v>
      </c>
      <c r="L202" s="22">
        <v>336</v>
      </c>
      <c r="M202" s="210">
        <v>693.7</v>
      </c>
      <c r="N202" s="210">
        <v>49.019486081370474</v>
      </c>
      <c r="O202" s="7">
        <f t="shared" si="12"/>
        <v>159551456.7156384</v>
      </c>
      <c r="P202" s="7"/>
    </row>
    <row r="203" spans="1:17" x14ac:dyDescent="0.2">
      <c r="A203" s="2">
        <v>41518</v>
      </c>
      <c r="B203" s="15"/>
      <c r="C203" s="15"/>
      <c r="D203" s="15"/>
      <c r="F203" s="209">
        <f t="shared" si="13"/>
        <v>96.35312500000002</v>
      </c>
      <c r="G203" s="209">
        <f t="shared" si="13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4335837.5266948668</v>
      </c>
      <c r="L203" s="22">
        <v>320</v>
      </c>
      <c r="M203" s="210">
        <v>693.7</v>
      </c>
      <c r="N203" s="210">
        <v>49.019486081370474</v>
      </c>
      <c r="O203" s="7">
        <f t="shared" si="12"/>
        <v>141521438.86520314</v>
      </c>
      <c r="P203" s="7"/>
    </row>
    <row r="204" spans="1:17" x14ac:dyDescent="0.2">
      <c r="A204" s="2">
        <v>41548</v>
      </c>
      <c r="B204" s="2"/>
      <c r="C204" s="2"/>
      <c r="D204" s="15"/>
      <c r="F204" s="209">
        <f t="shared" si="13"/>
        <v>289.84062499999993</v>
      </c>
      <c r="G204" s="209">
        <f t="shared" si="13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4296580.940967829</v>
      </c>
      <c r="L204" s="22">
        <v>352</v>
      </c>
      <c r="M204" s="210">
        <v>693.7</v>
      </c>
      <c r="N204" s="210">
        <v>49.019486081370474</v>
      </c>
      <c r="O204" s="7">
        <f t="shared" si="12"/>
        <v>150881716.96383548</v>
      </c>
      <c r="P204" s="7"/>
    </row>
    <row r="205" spans="1:17" x14ac:dyDescent="0.2">
      <c r="A205" s="2">
        <v>41579</v>
      </c>
      <c r="B205" s="2"/>
      <c r="C205" s="2"/>
      <c r="D205" s="15"/>
      <c r="F205" s="209">
        <f t="shared" si="13"/>
        <v>443.92500000000001</v>
      </c>
      <c r="G205" s="209">
        <f t="shared" si="13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4257324.3552407911</v>
      </c>
      <c r="L205" s="22">
        <v>336</v>
      </c>
      <c r="M205" s="210">
        <v>693.7</v>
      </c>
      <c r="N205" s="210">
        <v>49.019486081370474</v>
      </c>
      <c r="O205" s="7">
        <f t="shared" si="12"/>
        <v>152309315.4327094</v>
      </c>
      <c r="P205" s="7"/>
    </row>
    <row r="206" spans="1:17" x14ac:dyDescent="0.2">
      <c r="A206" s="2">
        <v>41609</v>
      </c>
      <c r="B206" s="2"/>
      <c r="C206" s="2"/>
      <c r="D206" s="15"/>
      <c r="F206" s="209">
        <f t="shared" si="13"/>
        <v>648.66249999999991</v>
      </c>
      <c r="G206" s="209">
        <f t="shared" si="13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4218067.7695137532</v>
      </c>
      <c r="L206" s="22">
        <v>320</v>
      </c>
      <c r="M206" s="210">
        <v>693.7</v>
      </c>
      <c r="N206" s="210">
        <v>49.019486081370474</v>
      </c>
      <c r="O206" s="7">
        <f t="shared" si="12"/>
        <v>168014746.94940573</v>
      </c>
      <c r="P206" s="7"/>
    </row>
    <row r="207" spans="1:17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4210424.2176934229</v>
      </c>
      <c r="L207" s="22">
        <v>352</v>
      </c>
      <c r="M207" s="210">
        <v>693.7</v>
      </c>
      <c r="N207" s="210">
        <v>49.019486081370474</v>
      </c>
      <c r="O207" s="7">
        <f t="shared" si="12"/>
        <v>174756935.36971223</v>
      </c>
      <c r="P207" s="7"/>
    </row>
    <row r="208" spans="1:17" x14ac:dyDescent="0.2">
      <c r="A208" s="2">
        <v>41671</v>
      </c>
      <c r="B208" s="2"/>
      <c r="C208" s="2"/>
      <c r="D208" s="15"/>
      <c r="F208" s="209">
        <f t="shared" ref="F208:G218" si="14">SUM(+F4+F16+F28+F40+F52+F64+F76+F88+F100+F112+F124+F136+F148+F160+F172+F184+F196)/17</f>
        <v>653.16249999999991</v>
      </c>
      <c r="G208" s="209">
        <f t="shared" si="14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4202780.6658730926</v>
      </c>
      <c r="L208" s="22">
        <v>304</v>
      </c>
      <c r="M208" s="210">
        <v>693.7</v>
      </c>
      <c r="N208" s="210">
        <v>49.019486081370474</v>
      </c>
      <c r="O208" s="7">
        <f t="shared" si="12"/>
        <v>156260394.99879783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4"/>
        <v>567.52187500000002</v>
      </c>
      <c r="G209" s="209">
        <f t="shared" si="14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4195137.1140527623</v>
      </c>
      <c r="L209" s="22">
        <v>336</v>
      </c>
      <c r="M209" s="210">
        <v>693.7</v>
      </c>
      <c r="N209" s="210">
        <v>49.019486081370474</v>
      </c>
      <c r="O209" s="7">
        <f t="shared" si="12"/>
        <v>161527759.19301417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4"/>
        <v>346.09999999999997</v>
      </c>
      <c r="G210" s="209">
        <f t="shared" si="14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4187493.562232432</v>
      </c>
      <c r="L210" s="22">
        <v>336</v>
      </c>
      <c r="M210" s="210">
        <v>693.7</v>
      </c>
      <c r="N210" s="210">
        <v>49.019486081370474</v>
      </c>
      <c r="O210" s="7">
        <f t="shared" si="12"/>
        <v>148861722.32031333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4"/>
        <v>180.87499999999997</v>
      </c>
      <c r="G211" s="209">
        <f t="shared" si="14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4179850.0104121016</v>
      </c>
      <c r="L211" s="22">
        <v>336</v>
      </c>
      <c r="M211" s="210">
        <v>693.7</v>
      </c>
      <c r="N211" s="210">
        <v>49.019486081370474</v>
      </c>
      <c r="O211" s="7">
        <f t="shared" si="12"/>
        <v>148260131.17931977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4"/>
        <v>49.509375000000013</v>
      </c>
      <c r="G212" s="209">
        <f t="shared" si="14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4172206.4585917713</v>
      </c>
      <c r="L212" s="22">
        <v>336</v>
      </c>
      <c r="M212" s="210">
        <v>693.7</v>
      </c>
      <c r="N212" s="210">
        <v>49.019486081370474</v>
      </c>
      <c r="O212" s="7">
        <f t="shared" si="12"/>
        <v>155252117.78980801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4"/>
        <v>12.85</v>
      </c>
      <c r="G213" s="209">
        <f t="shared" si="14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4164562.906771441</v>
      </c>
      <c r="L213" s="22">
        <v>352</v>
      </c>
      <c r="M213" s="210">
        <v>693.7</v>
      </c>
      <c r="N213" s="210">
        <v>49.019486081370474</v>
      </c>
      <c r="O213" s="7">
        <f t="shared" si="12"/>
        <v>169281157.68094677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4"/>
        <v>23.484374999999996</v>
      </c>
      <c r="G214" s="209">
        <f t="shared" si="14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4156919.3549511107</v>
      </c>
      <c r="L214" s="22">
        <v>320</v>
      </c>
      <c r="M214" s="210">
        <v>693.7</v>
      </c>
      <c r="N214" s="210">
        <v>49.019486081370474</v>
      </c>
      <c r="O214" s="7">
        <f t="shared" si="12"/>
        <v>159651864.14773977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4"/>
        <v>96.35312500000002</v>
      </c>
      <c r="G215" s="209">
        <f t="shared" si="14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4149275.8031307803</v>
      </c>
      <c r="L215" s="22">
        <v>336</v>
      </c>
      <c r="M215" s="210">
        <v>693.7</v>
      </c>
      <c r="N215" s="210">
        <v>49.019486081370474</v>
      </c>
      <c r="O215" s="7">
        <f t="shared" si="12"/>
        <v>143937126.40170351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4"/>
        <v>289.84062499999993</v>
      </c>
      <c r="G216" s="209">
        <f t="shared" si="14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4141632.25131045</v>
      </c>
      <c r="L216" s="22">
        <v>352</v>
      </c>
      <c r="M216" s="210">
        <v>693.7</v>
      </c>
      <c r="N216" s="210">
        <v>49.019486081370474</v>
      </c>
      <c r="O216" s="7">
        <f t="shared" si="12"/>
        <v>151960197.86502954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4"/>
        <v>443.92500000000001</v>
      </c>
      <c r="G217" s="209">
        <f t="shared" si="14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4133988.6994901197</v>
      </c>
      <c r="L217" s="22">
        <v>320</v>
      </c>
      <c r="M217" s="210">
        <v>693.7</v>
      </c>
      <c r="N217" s="210">
        <v>49.019486081370474</v>
      </c>
      <c r="O217" s="7">
        <f t="shared" si="12"/>
        <v>152050584.08457404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4"/>
        <v>648.66249999999991</v>
      </c>
      <c r="G218" s="209">
        <f t="shared" si="14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4126345.1476697894</v>
      </c>
      <c r="L218" s="22">
        <v>336</v>
      </c>
      <c r="M218" s="210">
        <v>693.7</v>
      </c>
      <c r="N218" s="210">
        <v>49.019486081370474</v>
      </c>
      <c r="O218" s="7">
        <f t="shared" si="12"/>
        <v>170071278.86356777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43</v>
      </c>
      <c r="O220" s="166">
        <f>SUM(O3:O219)</f>
        <v>34778251691.72332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1826049642.8521843</v>
      </c>
      <c r="L222" s="37">
        <f t="shared" ref="L222:L237" si="15">K222-E222</f>
        <v>-9045667.1478157043</v>
      </c>
      <c r="M222" s="4">
        <f t="shared" ref="M222:M237" si="16">L222/E222</f>
        <v>-4.9292628554620981E-3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1857296543.1168895</v>
      </c>
      <c r="L223" s="37">
        <f t="shared" si="15"/>
        <v>21951419.116889477</v>
      </c>
      <c r="M223" s="4">
        <f t="shared" si="16"/>
        <v>1.1960376732332483E-2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1923840163.5704618</v>
      </c>
      <c r="L224" s="37">
        <f t="shared" si="15"/>
        <v>23990888.57046175</v>
      </c>
      <c r="M224" s="4">
        <f t="shared" si="16"/>
        <v>1.2627785207045833E-2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1917429373.5324929</v>
      </c>
      <c r="L225" s="37">
        <f t="shared" si="15"/>
        <v>142067.53249287605</v>
      </c>
      <c r="M225" s="4">
        <f t="shared" si="16"/>
        <v>7.4098196993370205E-5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1953633840.4723129</v>
      </c>
      <c r="L226" s="37">
        <f t="shared" si="15"/>
        <v>-10232670.527687073</v>
      </c>
      <c r="M226" s="4">
        <f t="shared" si="16"/>
        <v>-5.2104715215478678E-3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1998774914.4968512</v>
      </c>
      <c r="L227" s="37">
        <f t="shared" si="15"/>
        <v>-38137605.503148794</v>
      </c>
      <c r="M227" s="4">
        <f t="shared" si="16"/>
        <v>-1.8723241734087234E-2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1988925998.3575249</v>
      </c>
      <c r="L228" s="37">
        <f t="shared" si="15"/>
        <v>-24277374.642475128</v>
      </c>
      <c r="M228" s="4">
        <f t="shared" si="16"/>
        <v>-1.2059077074909674E-2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1996079499.7559519</v>
      </c>
      <c r="L229" s="37">
        <f t="shared" si="15"/>
        <v>-13668606.244048119</v>
      </c>
      <c r="M229" s="4">
        <f t="shared" si="16"/>
        <v>-6.8011539372726335E-3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2067680562.6134808</v>
      </c>
      <c r="L230" s="37">
        <f t="shared" si="15"/>
        <v>-18683531.960719109</v>
      </c>
      <c r="M230" s="4">
        <f t="shared" si="16"/>
        <v>-8.9550678183676173E-3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2020324563.8467042</v>
      </c>
      <c r="L231" s="37">
        <f t="shared" si="15"/>
        <v>36678853.528204203</v>
      </c>
      <c r="M231" s="4">
        <f t="shared" si="16"/>
        <v>1.8490627301744795E-2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2001202267.1673532</v>
      </c>
      <c r="L232" s="37">
        <f t="shared" si="15"/>
        <v>22212090.724353313</v>
      </c>
      <c r="M232" s="4">
        <f t="shared" si="16"/>
        <v>1.1223951987612649E-2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1964148154.3950455</v>
      </c>
      <c r="L233" s="37">
        <f t="shared" si="15"/>
        <v>25083750.125645399</v>
      </c>
      <c r="M233" s="4">
        <f t="shared" si="16"/>
        <v>1.2936006700146942E-2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1859845104.2160487</v>
      </c>
      <c r="L234" s="37">
        <f t="shared" si="15"/>
        <v>22711982.717048883</v>
      </c>
      <c r="M234" s="4">
        <f t="shared" si="16"/>
        <v>1.2362731067913659E-2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1880819176.7808089</v>
      </c>
      <c r="L235" s="37">
        <f t="shared" si="15"/>
        <v>-11814342.668545485</v>
      </c>
      <c r="M235" s="4">
        <f t="shared" si="16"/>
        <v>-6.2422769897802332E-3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1887427043.5702879</v>
      </c>
      <c r="L236" s="37">
        <f t="shared" si="15"/>
        <v>-7770188.9631772041</v>
      </c>
      <c r="M236" s="4">
        <f t="shared" si="16"/>
        <v>-4.0999368455124623E-3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1866597053.6581802</v>
      </c>
      <c r="L237" s="37">
        <f t="shared" si="15"/>
        <v>-19141064.65748167</v>
      </c>
      <c r="M237" s="4">
        <f t="shared" si="16"/>
        <v>-1.0150436304792119E-2</v>
      </c>
    </row>
    <row r="238" spans="1:13" x14ac:dyDescent="0.2">
      <c r="A238">
        <v>2013</v>
      </c>
      <c r="B238" s="26"/>
      <c r="K238" s="5">
        <f>SUM(O195:O206)</f>
        <v>1876306519.4262118</v>
      </c>
      <c r="L238" s="37"/>
      <c r="M238" s="4"/>
    </row>
    <row r="239" spans="1:13" x14ac:dyDescent="0.2">
      <c r="A239">
        <v>2014</v>
      </c>
      <c r="B239" s="26"/>
      <c r="K239" s="5">
        <f>SUM(O207:O218)</f>
        <v>1891871269.8945267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165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34778251691.72332</v>
      </c>
      <c r="L243" s="5">
        <f>O220-K243</f>
        <v>0</v>
      </c>
      <c r="M243" s="1"/>
    </row>
    <row r="244" spans="1:13" x14ac:dyDescent="0.2">
      <c r="K244" s="17"/>
      <c r="L244" s="222" t="s">
        <v>152</v>
      </c>
      <c r="M244" s="17"/>
    </row>
    <row r="245" spans="1:13" x14ac:dyDescent="0.2">
      <c r="J245"/>
      <c r="K245"/>
    </row>
    <row r="246" spans="1:13" x14ac:dyDescent="0.2">
      <c r="J246"/>
      <c r="K246"/>
    </row>
    <row r="247" spans="1:13" x14ac:dyDescent="0.2">
      <c r="J247"/>
      <c r="K247"/>
    </row>
    <row r="248" spans="1:13" x14ac:dyDescent="0.2">
      <c r="J248"/>
      <c r="K248"/>
    </row>
    <row r="249" spans="1:13" x14ac:dyDescent="0.2">
      <c r="J249"/>
      <c r="K249"/>
    </row>
    <row r="250" spans="1:13" x14ac:dyDescent="0.2">
      <c r="J250"/>
      <c r="K250"/>
    </row>
    <row r="251" spans="1:13" x14ac:dyDescent="0.2">
      <c r="J251"/>
      <c r="K251"/>
    </row>
    <row r="252" spans="1:13" x14ac:dyDescent="0.2">
      <c r="J252"/>
      <c r="K252"/>
    </row>
    <row r="253" spans="1:13" x14ac:dyDescent="0.2">
      <c r="J253"/>
      <c r="K253"/>
    </row>
    <row r="254" spans="1:13" x14ac:dyDescent="0.2">
      <c r="J254"/>
      <c r="K254"/>
    </row>
    <row r="255" spans="1:13" x14ac:dyDescent="0.2">
      <c r="J255"/>
      <c r="K255"/>
    </row>
    <row r="256" spans="1:13" x14ac:dyDescent="0.2">
      <c r="J256"/>
      <c r="K256"/>
    </row>
    <row r="257" spans="1:11" x14ac:dyDescent="0.2">
      <c r="J257"/>
      <c r="K257"/>
    </row>
    <row r="258" spans="1:11" x14ac:dyDescent="0.2">
      <c r="J258"/>
      <c r="K258"/>
    </row>
    <row r="259" spans="1:11" x14ac:dyDescent="0.2">
      <c r="J259"/>
      <c r="K259"/>
    </row>
    <row r="260" spans="1:11" x14ac:dyDescent="0.2">
      <c r="J260"/>
      <c r="K260"/>
    </row>
    <row r="261" spans="1:11" x14ac:dyDescent="0.2">
      <c r="J261"/>
      <c r="K261"/>
    </row>
    <row r="262" spans="1:11" x14ac:dyDescent="0.2">
      <c r="J262"/>
      <c r="K262"/>
    </row>
    <row r="263" spans="1:11" x14ac:dyDescent="0.2">
      <c r="J263"/>
      <c r="K263"/>
    </row>
    <row r="264" spans="1:11" x14ac:dyDescent="0.2">
      <c r="J264"/>
      <c r="K264"/>
    </row>
    <row r="265" spans="1:11" x14ac:dyDescent="0.2">
      <c r="J265"/>
      <c r="K265"/>
    </row>
    <row r="266" spans="1:11" x14ac:dyDescent="0.2">
      <c r="J266"/>
      <c r="K266"/>
    </row>
    <row r="267" spans="1:11" x14ac:dyDescent="0.2">
      <c r="J267"/>
      <c r="K267"/>
    </row>
    <row r="268" spans="1:11" x14ac:dyDescent="0.2">
      <c r="J268"/>
      <c r="K268"/>
    </row>
    <row r="269" spans="1:11" x14ac:dyDescent="0.2">
      <c r="J269"/>
      <c r="K269"/>
    </row>
    <row r="270" spans="1:11" x14ac:dyDescent="0.2"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118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16</v>
      </c>
      <c r="G283" s="214" t="s">
        <v>285</v>
      </c>
      <c r="H283" s="216" t="s">
        <v>51</v>
      </c>
      <c r="I283" s="216" t="s">
        <v>196</v>
      </c>
      <c r="J283" s="216" t="s">
        <v>197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7">H207</f>
        <v>144.35917379447397</v>
      </c>
      <c r="E284" s="7">
        <f t="shared" ref="E284:E295" si="18">I207</f>
        <v>31</v>
      </c>
      <c r="F284" s="7">
        <f t="shared" ref="F284:F295" si="19">J207</f>
        <v>0</v>
      </c>
      <c r="G284" s="7">
        <f t="shared" ref="G284:G295" si="20">K207</f>
        <v>4210424.2176934229</v>
      </c>
      <c r="H284" s="7">
        <f t="shared" ref="H284:H295" si="21">L207</f>
        <v>352</v>
      </c>
      <c r="I284" s="7">
        <f t="shared" ref="I284:I295" si="22">+M207</f>
        <v>693.7</v>
      </c>
      <c r="J284" s="7">
        <f t="shared" ref="J284:J295" si="23">+N207</f>
        <v>49.019486081370474</v>
      </c>
      <c r="K284" s="7">
        <f t="shared" ref="K284:K295" si="24">$R$18+B284*$R$19+C284*$R$20+D284*$R$21+E284*$R$22+F284*$R$23+G284*$R$24+H284*$R$25+I284*$R$26+J284*$R$27</f>
        <v>175440608.26539665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7"/>
        <v>144.58577586600015</v>
      </c>
      <c r="E285" s="7">
        <f t="shared" si="18"/>
        <v>28</v>
      </c>
      <c r="F285" s="7">
        <f t="shared" si="19"/>
        <v>0</v>
      </c>
      <c r="G285" s="7">
        <f t="shared" si="20"/>
        <v>4202780.6658730926</v>
      </c>
      <c r="H285" s="7">
        <f t="shared" si="21"/>
        <v>304</v>
      </c>
      <c r="I285" s="7">
        <f t="shared" si="22"/>
        <v>693.7</v>
      </c>
      <c r="J285" s="7">
        <f t="shared" si="23"/>
        <v>49.019486081370474</v>
      </c>
      <c r="K285" s="7">
        <f t="shared" si="24"/>
        <v>157616543.80990592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7"/>
        <v>144.81273363711554</v>
      </c>
      <c r="E286" s="7">
        <f t="shared" si="18"/>
        <v>31</v>
      </c>
      <c r="F286" s="7">
        <f t="shared" si="19"/>
        <v>1</v>
      </c>
      <c r="G286" s="7">
        <f t="shared" si="20"/>
        <v>4195137.1140527623</v>
      </c>
      <c r="H286" s="7">
        <f t="shared" si="21"/>
        <v>336</v>
      </c>
      <c r="I286" s="7">
        <f t="shared" si="22"/>
        <v>693.7</v>
      </c>
      <c r="J286" s="7">
        <f t="shared" si="23"/>
        <v>49.019486081370474</v>
      </c>
      <c r="K286" s="7">
        <f t="shared" si="24"/>
        <v>161702836.8585462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7"/>
        <v>145.04004766616546</v>
      </c>
      <c r="E287" s="7">
        <f t="shared" si="18"/>
        <v>30</v>
      </c>
      <c r="F287" s="7">
        <f t="shared" si="19"/>
        <v>1</v>
      </c>
      <c r="G287" s="7">
        <f t="shared" si="20"/>
        <v>4187493.562232432</v>
      </c>
      <c r="H287" s="7">
        <f t="shared" si="21"/>
        <v>336</v>
      </c>
      <c r="I287" s="7">
        <f t="shared" si="22"/>
        <v>693.7</v>
      </c>
      <c r="J287" s="7">
        <f t="shared" si="23"/>
        <v>49.019486081370474</v>
      </c>
      <c r="K287" s="7">
        <f t="shared" si="24"/>
        <v>148785705.09567761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7"/>
        <v>145.2677185123716</v>
      </c>
      <c r="E288" s="7">
        <f t="shared" si="18"/>
        <v>31</v>
      </c>
      <c r="F288" s="7">
        <f t="shared" si="19"/>
        <v>1</v>
      </c>
      <c r="G288" s="7">
        <f t="shared" si="20"/>
        <v>4179850.0104121016</v>
      </c>
      <c r="H288" s="7">
        <f t="shared" si="21"/>
        <v>336</v>
      </c>
      <c r="I288" s="7">
        <f t="shared" si="22"/>
        <v>693.7</v>
      </c>
      <c r="J288" s="7">
        <f t="shared" si="23"/>
        <v>49.019486081370474</v>
      </c>
      <c r="K288" s="7">
        <f t="shared" si="24"/>
        <v>148332789.74223891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7"/>
        <v>145.49574673583354</v>
      </c>
      <c r="E289" s="7">
        <f t="shared" si="18"/>
        <v>30</v>
      </c>
      <c r="F289" s="7">
        <f t="shared" si="19"/>
        <v>0</v>
      </c>
      <c r="G289" s="7">
        <f t="shared" si="20"/>
        <v>4172206.4585917713</v>
      </c>
      <c r="H289" s="7">
        <f t="shared" si="21"/>
        <v>336</v>
      </c>
      <c r="I289" s="7">
        <f t="shared" si="22"/>
        <v>693.7</v>
      </c>
      <c r="J289" s="7">
        <f t="shared" si="23"/>
        <v>49.019486081370474</v>
      </c>
      <c r="K289" s="7">
        <f t="shared" si="24"/>
        <v>153632900.72478217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7"/>
        <v>145.72413289752996</v>
      </c>
      <c r="E290" s="7">
        <f t="shared" si="18"/>
        <v>31</v>
      </c>
      <c r="F290" s="7">
        <f t="shared" si="19"/>
        <v>0</v>
      </c>
      <c r="G290" s="7">
        <f t="shared" si="20"/>
        <v>4164562.906771441</v>
      </c>
      <c r="H290" s="7">
        <f t="shared" si="21"/>
        <v>352</v>
      </c>
      <c r="I290" s="7">
        <f t="shared" si="22"/>
        <v>693.7</v>
      </c>
      <c r="J290" s="7">
        <f t="shared" si="23"/>
        <v>49.019486081370474</v>
      </c>
      <c r="K290" s="7">
        <f t="shared" si="24"/>
        <v>169171626.95517659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7"/>
        <v>145.9528775593202</v>
      </c>
      <c r="E291" s="7">
        <f t="shared" si="18"/>
        <v>31</v>
      </c>
      <c r="F291" s="7">
        <f t="shared" si="19"/>
        <v>0</v>
      </c>
      <c r="G291" s="7">
        <f t="shared" si="20"/>
        <v>4156919.3549511107</v>
      </c>
      <c r="H291" s="7">
        <f t="shared" si="21"/>
        <v>320</v>
      </c>
      <c r="I291" s="7">
        <f t="shared" si="22"/>
        <v>693.7</v>
      </c>
      <c r="J291" s="7">
        <f t="shared" si="23"/>
        <v>49.019486081370474</v>
      </c>
      <c r="K291" s="7">
        <f t="shared" si="24"/>
        <v>159599486.14738691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7"/>
        <v>146.18198128394553</v>
      </c>
      <c r="E292" s="7">
        <f t="shared" si="18"/>
        <v>30</v>
      </c>
      <c r="F292" s="7">
        <f t="shared" si="19"/>
        <v>1</v>
      </c>
      <c r="G292" s="7">
        <f t="shared" si="20"/>
        <v>4149275.8031307803</v>
      </c>
      <c r="H292" s="7">
        <f t="shared" si="21"/>
        <v>336</v>
      </c>
      <c r="I292" s="7">
        <f t="shared" si="22"/>
        <v>693.7</v>
      </c>
      <c r="J292" s="7">
        <f t="shared" si="23"/>
        <v>49.019486081370474</v>
      </c>
      <c r="K292" s="7">
        <f t="shared" si="24"/>
        <v>142734176.86234814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7"/>
        <v>146.41144463503053</v>
      </c>
      <c r="E293" s="7">
        <f t="shared" si="18"/>
        <v>31</v>
      </c>
      <c r="F293" s="7">
        <f t="shared" si="19"/>
        <v>1</v>
      </c>
      <c r="G293" s="7">
        <f t="shared" si="20"/>
        <v>4141632.25131045</v>
      </c>
      <c r="H293" s="7">
        <f t="shared" si="21"/>
        <v>352</v>
      </c>
      <c r="I293" s="7">
        <f t="shared" si="22"/>
        <v>693.7</v>
      </c>
      <c r="J293" s="7">
        <f t="shared" si="23"/>
        <v>49.019486081370474</v>
      </c>
      <c r="K293" s="7">
        <f t="shared" si="24"/>
        <v>151962465.99974731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7"/>
        <v>146.64126817708456</v>
      </c>
      <c r="E294" s="7">
        <f t="shared" si="18"/>
        <v>30</v>
      </c>
      <c r="F294" s="7">
        <f t="shared" si="19"/>
        <v>1</v>
      </c>
      <c r="G294" s="7">
        <f t="shared" si="20"/>
        <v>4133988.6994901197</v>
      </c>
      <c r="H294" s="7">
        <f t="shared" si="21"/>
        <v>320</v>
      </c>
      <c r="I294" s="7">
        <f t="shared" si="22"/>
        <v>693.7</v>
      </c>
      <c r="J294" s="7">
        <f t="shared" si="23"/>
        <v>49.019486081370474</v>
      </c>
      <c r="K294" s="7">
        <f t="shared" si="24"/>
        <v>152129856.60210061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7"/>
        <v>146.87145247550308</v>
      </c>
      <c r="E295" s="7">
        <f t="shared" si="18"/>
        <v>31</v>
      </c>
      <c r="F295" s="7">
        <f t="shared" si="19"/>
        <v>0</v>
      </c>
      <c r="G295" s="7">
        <f t="shared" si="20"/>
        <v>4126345.1476697894</v>
      </c>
      <c r="H295" s="7">
        <f t="shared" si="21"/>
        <v>336</v>
      </c>
      <c r="I295" s="7">
        <f t="shared" si="22"/>
        <v>693.7</v>
      </c>
      <c r="J295" s="7">
        <f t="shared" si="23"/>
        <v>49.019486081370474</v>
      </c>
      <c r="K295" s="7">
        <f t="shared" si="24"/>
        <v>170071594.27146238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1891180591.3347695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119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>D284</f>
        <v>144.35917379447397</v>
      </c>
      <c r="E300" s="7">
        <f>E284</f>
        <v>31</v>
      </c>
      <c r="F300" s="7">
        <f>F284</f>
        <v>0</v>
      </c>
      <c r="G300" s="7">
        <f>G284</f>
        <v>4210424.2176934229</v>
      </c>
      <c r="H300" s="7">
        <f>H284</f>
        <v>352</v>
      </c>
      <c r="I300" s="7">
        <f t="shared" ref="I300:J311" si="25">+I284</f>
        <v>693.7</v>
      </c>
      <c r="J300" s="7">
        <f t="shared" si="25"/>
        <v>49.019486081370474</v>
      </c>
      <c r="K300" s="7">
        <f t="shared" ref="K300:K311" si="26">$R$18+B300*$R$19+C300*$R$20+D300*$R$21+E300*$R$22+F300*$R$23+G300*$R$24+H300*$R$25+I300*$R$26+J300*$R$27</f>
        <v>172516155.75198543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7">D285</f>
        <v>144.58577586600015</v>
      </c>
      <c r="E301" s="7">
        <f t="shared" ref="E301:H311" si="28">E285</f>
        <v>28</v>
      </c>
      <c r="F301" s="7">
        <f t="shared" si="28"/>
        <v>0</v>
      </c>
      <c r="G301" s="7">
        <f t="shared" si="28"/>
        <v>4202780.6658730926</v>
      </c>
      <c r="H301" s="7">
        <f t="shared" si="28"/>
        <v>304</v>
      </c>
      <c r="I301" s="7">
        <f t="shared" si="25"/>
        <v>693.7</v>
      </c>
      <c r="J301" s="7">
        <f t="shared" si="25"/>
        <v>49.019486081370474</v>
      </c>
      <c r="K301" s="7">
        <f t="shared" si="26"/>
        <v>155311972.94548246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7"/>
        <v>144.81273363711554</v>
      </c>
      <c r="E302" s="7">
        <f t="shared" si="28"/>
        <v>31</v>
      </c>
      <c r="F302" s="7">
        <f t="shared" si="28"/>
        <v>1</v>
      </c>
      <c r="G302" s="7">
        <f t="shared" si="28"/>
        <v>4195137.1140527623</v>
      </c>
      <c r="H302" s="7">
        <f t="shared" si="28"/>
        <v>336</v>
      </c>
      <c r="I302" s="7">
        <f t="shared" si="25"/>
        <v>693.7</v>
      </c>
      <c r="J302" s="7">
        <f t="shared" si="25"/>
        <v>49.019486081370474</v>
      </c>
      <c r="K302" s="7">
        <f t="shared" si="26"/>
        <v>159837511.40749502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7"/>
        <v>145.04004766616546</v>
      </c>
      <c r="E303" s="7">
        <f t="shared" si="28"/>
        <v>30</v>
      </c>
      <c r="F303" s="7">
        <f t="shared" si="28"/>
        <v>1</v>
      </c>
      <c r="G303" s="7">
        <f t="shared" si="28"/>
        <v>4187493.562232432</v>
      </c>
      <c r="H303" s="7">
        <f t="shared" si="28"/>
        <v>336</v>
      </c>
      <c r="I303" s="7">
        <f t="shared" si="25"/>
        <v>693.7</v>
      </c>
      <c r="J303" s="7">
        <f t="shared" si="25"/>
        <v>49.019486081370474</v>
      </c>
      <c r="K303" s="7">
        <f t="shared" si="26"/>
        <v>146566970.1257602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7"/>
        <v>145.2677185123716</v>
      </c>
      <c r="E304" s="7">
        <f t="shared" si="28"/>
        <v>31</v>
      </c>
      <c r="F304" s="7">
        <f t="shared" si="28"/>
        <v>1</v>
      </c>
      <c r="G304" s="7">
        <f t="shared" si="28"/>
        <v>4179850.0104121016</v>
      </c>
      <c r="H304" s="7">
        <f t="shared" si="28"/>
        <v>336</v>
      </c>
      <c r="I304" s="7">
        <f t="shared" si="25"/>
        <v>693.7</v>
      </c>
      <c r="J304" s="7">
        <f t="shared" si="25"/>
        <v>49.019486081370474</v>
      </c>
      <c r="K304" s="7">
        <f t="shared" si="26"/>
        <v>147840519.79814124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7"/>
        <v>145.49574673583354</v>
      </c>
      <c r="E305" s="7">
        <f t="shared" si="28"/>
        <v>30</v>
      </c>
      <c r="F305" s="7">
        <f t="shared" si="28"/>
        <v>0</v>
      </c>
      <c r="G305" s="7">
        <f t="shared" si="28"/>
        <v>4172206.4585917713</v>
      </c>
      <c r="H305" s="7">
        <f t="shared" si="28"/>
        <v>336</v>
      </c>
      <c r="I305" s="7">
        <f t="shared" si="25"/>
        <v>693.7</v>
      </c>
      <c r="J305" s="7">
        <f t="shared" si="25"/>
        <v>49.019486081370474</v>
      </c>
      <c r="K305" s="7">
        <f t="shared" si="26"/>
        <v>155569364.82723534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7"/>
        <v>145.72413289752996</v>
      </c>
      <c r="E306" s="7">
        <f t="shared" si="28"/>
        <v>31</v>
      </c>
      <c r="F306" s="7">
        <f t="shared" si="28"/>
        <v>0</v>
      </c>
      <c r="G306" s="7">
        <f t="shared" si="28"/>
        <v>4164562.906771441</v>
      </c>
      <c r="H306" s="7">
        <f t="shared" si="28"/>
        <v>352</v>
      </c>
      <c r="I306" s="7">
        <f t="shared" si="25"/>
        <v>693.7</v>
      </c>
      <c r="J306" s="7">
        <f t="shared" si="25"/>
        <v>49.019486081370474</v>
      </c>
      <c r="K306" s="7">
        <f t="shared" si="26"/>
        <v>178877854.45676869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7"/>
        <v>145.9528775593202</v>
      </c>
      <c r="E307" s="7">
        <f t="shared" si="28"/>
        <v>31</v>
      </c>
      <c r="F307" s="7">
        <f t="shared" si="28"/>
        <v>0</v>
      </c>
      <c r="G307" s="7">
        <f t="shared" si="28"/>
        <v>4156919.3549511107</v>
      </c>
      <c r="H307" s="7">
        <f t="shared" si="28"/>
        <v>320</v>
      </c>
      <c r="I307" s="7">
        <f t="shared" si="25"/>
        <v>693.7</v>
      </c>
      <c r="J307" s="7">
        <f t="shared" si="25"/>
        <v>49.019486081370474</v>
      </c>
      <c r="K307" s="7">
        <f t="shared" si="26"/>
        <v>163187604.27104229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7"/>
        <v>146.18198128394553</v>
      </c>
      <c r="E308" s="7">
        <f t="shared" si="28"/>
        <v>30</v>
      </c>
      <c r="F308" s="7">
        <f t="shared" si="28"/>
        <v>1</v>
      </c>
      <c r="G308" s="7">
        <f t="shared" si="28"/>
        <v>4149275.8031307803</v>
      </c>
      <c r="H308" s="7">
        <f t="shared" si="28"/>
        <v>336</v>
      </c>
      <c r="I308" s="7">
        <f t="shared" si="25"/>
        <v>693.7</v>
      </c>
      <c r="J308" s="7">
        <f t="shared" si="25"/>
        <v>49.019486081370474</v>
      </c>
      <c r="K308" s="7">
        <f t="shared" si="26"/>
        <v>143421150.13334355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7"/>
        <v>146.41144463503053</v>
      </c>
      <c r="E309" s="7">
        <f t="shared" si="28"/>
        <v>31</v>
      </c>
      <c r="F309" s="7">
        <f t="shared" si="28"/>
        <v>1</v>
      </c>
      <c r="G309" s="7">
        <f t="shared" si="28"/>
        <v>4141632.25131045</v>
      </c>
      <c r="H309" s="7">
        <f t="shared" si="28"/>
        <v>352</v>
      </c>
      <c r="I309" s="7">
        <f t="shared" si="25"/>
        <v>693.7</v>
      </c>
      <c r="J309" s="7">
        <f t="shared" si="25"/>
        <v>49.019486081370474</v>
      </c>
      <c r="K309" s="7">
        <f t="shared" si="26"/>
        <v>150976736.7312682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7"/>
        <v>146.64126817708456</v>
      </c>
      <c r="E310" s="7">
        <f t="shared" si="28"/>
        <v>30</v>
      </c>
      <c r="F310" s="7">
        <f t="shared" si="28"/>
        <v>1</v>
      </c>
      <c r="G310" s="7">
        <f t="shared" si="28"/>
        <v>4133988.6994901197</v>
      </c>
      <c r="H310" s="7">
        <f t="shared" si="28"/>
        <v>320</v>
      </c>
      <c r="I310" s="7">
        <f t="shared" si="25"/>
        <v>693.7</v>
      </c>
      <c r="J310" s="7">
        <f t="shared" si="25"/>
        <v>49.019486081370474</v>
      </c>
      <c r="K310" s="7">
        <f t="shared" si="26"/>
        <v>149533529.4826293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7"/>
        <v>146.87145247550308</v>
      </c>
      <c r="E311" s="7">
        <f t="shared" si="28"/>
        <v>31</v>
      </c>
      <c r="F311" s="7">
        <f t="shared" si="28"/>
        <v>0</v>
      </c>
      <c r="G311" s="7">
        <f t="shared" si="28"/>
        <v>4126345.1476697894</v>
      </c>
      <c r="H311" s="7">
        <f t="shared" si="28"/>
        <v>336</v>
      </c>
      <c r="I311" s="7">
        <f t="shared" si="25"/>
        <v>693.7</v>
      </c>
      <c r="J311" s="7">
        <f t="shared" si="25"/>
        <v>49.019486081370474</v>
      </c>
      <c r="K311" s="7">
        <f t="shared" si="26"/>
        <v>168563954.02090049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1892203323.9520521</v>
      </c>
    </row>
  </sheetData>
  <phoneticPr fontId="0" type="noConversion"/>
  <pageMargins left="0.24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108"/>
  <sheetViews>
    <sheetView showWhiteSpace="0" topLeftCell="G65" zoomScaleNormal="100" workbookViewId="0">
      <selection activeCell="J91" sqref="J91:L91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7" style="5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x14ac:dyDescent="0.2">
      <c r="B2" s="419" t="s">
        <v>7</v>
      </c>
      <c r="C2" s="419" t="s">
        <v>8</v>
      </c>
      <c r="D2" s="419" t="s">
        <v>19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68</v>
      </c>
      <c r="L2" s="254" t="s">
        <v>326</v>
      </c>
      <c r="M2" s="254" t="s">
        <v>325</v>
      </c>
      <c r="N2" s="421" t="s">
        <v>47</v>
      </c>
      <c r="O2" s="421" t="s">
        <v>71</v>
      </c>
      <c r="P2" s="254" t="s">
        <v>113</v>
      </c>
      <c r="Q2" s="421"/>
    </row>
    <row r="4" spans="1:21" x14ac:dyDescent="0.2">
      <c r="A4" s="17"/>
      <c r="B4" s="240" t="s">
        <v>187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32" t="s">
        <v>143</v>
      </c>
      <c r="L6" s="533"/>
      <c r="M6" s="533"/>
      <c r="N6" s="533"/>
      <c r="O6" s="533"/>
      <c r="P6" s="534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1826049642.8521843</v>
      </c>
      <c r="D7" s="37">
        <f>C7-B7</f>
        <v>-9045667.1478157043</v>
      </c>
      <c r="E7" s="275">
        <f>D7/B7</f>
        <v>-4.9292628554620981E-3</v>
      </c>
      <c r="F7" s="52"/>
      <c r="G7" s="60">
        <f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1857296543.1168895</v>
      </c>
      <c r="D8" s="37">
        <f t="shared" ref="D8:D22" si="0">C8-B8</f>
        <v>21951419.116889477</v>
      </c>
      <c r="E8" s="275">
        <f t="shared" ref="E8:E22" si="1">D8/B8</f>
        <v>1.1960376732332483E-2</v>
      </c>
      <c r="F8" s="52"/>
      <c r="G8" s="60">
        <f>SUM(K8:P8)</f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1923840163.5704618</v>
      </c>
      <c r="D9" s="37">
        <f t="shared" si="0"/>
        <v>23990888.57046175</v>
      </c>
      <c r="E9" s="275">
        <f t="shared" si="1"/>
        <v>1.2627785207045833E-2</v>
      </c>
      <c r="F9" s="52"/>
      <c r="G9" s="60">
        <f>SUM(K9:P9)</f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1917429373.5324929</v>
      </c>
      <c r="D10" s="37">
        <f t="shared" si="0"/>
        <v>142067.53249287605</v>
      </c>
      <c r="E10" s="275">
        <f t="shared" si="1"/>
        <v>7.4098196993370205E-5</v>
      </c>
      <c r="F10" s="52">
        <f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1953633840.4723129</v>
      </c>
      <c r="D11" s="37">
        <f t="shared" si="0"/>
        <v>-10232670.527687073</v>
      </c>
      <c r="E11" s="275">
        <f t="shared" si="1"/>
        <v>-5.2104715215478678E-3</v>
      </c>
      <c r="F11" s="52">
        <f>1 +(B11-G11)/G11</f>
        <v>1.053035719427349</v>
      </c>
      <c r="G11" s="60">
        <f t="shared" ref="G11:G22" si="2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1998774914.4968512</v>
      </c>
      <c r="D12" s="37">
        <f t="shared" si="0"/>
        <v>-38137605.503148794</v>
      </c>
      <c r="E12" s="275">
        <f t="shared" si="1"/>
        <v>-1.8723241734087234E-2</v>
      </c>
      <c r="F12" s="52">
        <f>1 +(B12-G12)/G12</f>
        <v>1.0357332618068715</v>
      </c>
      <c r="G12" s="60">
        <f t="shared" si="2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1988925998.3575249</v>
      </c>
      <c r="D13" s="37">
        <f t="shared" si="0"/>
        <v>-24277374.642475128</v>
      </c>
      <c r="E13" s="275">
        <f t="shared" si="1"/>
        <v>-1.2059077074909674E-2</v>
      </c>
      <c r="F13" s="52">
        <f>1 +(B13-G13)/G13</f>
        <v>1.0217319898566786</v>
      </c>
      <c r="G13" s="60">
        <f t="shared" si="2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1996079499.7559519</v>
      </c>
      <c r="D14" s="37">
        <f t="shared" si="0"/>
        <v>-13668606.244048119</v>
      </c>
      <c r="E14" s="275">
        <f t="shared" si="1"/>
        <v>-6.8011539372726335E-3</v>
      </c>
      <c r="F14" s="52">
        <f t="shared" ref="F14:F22" si="3">1 +(B14-G14)/G14</f>
        <v>1.0319716142126036</v>
      </c>
      <c r="G14" s="60">
        <f t="shared" si="2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2067680562.6134808</v>
      </c>
      <c r="D15" s="37">
        <f t="shared" si="0"/>
        <v>-18683531.960719109</v>
      </c>
      <c r="E15" s="275">
        <f t="shared" si="1"/>
        <v>-8.9550678183676173E-3</v>
      </c>
      <c r="F15" s="52">
        <f t="shared" si="3"/>
        <v>1.0222902582844764</v>
      </c>
      <c r="G15" s="60">
        <f t="shared" si="2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2020324563.8467042</v>
      </c>
      <c r="D16" s="37">
        <f t="shared" si="0"/>
        <v>36678853.528204203</v>
      </c>
      <c r="E16" s="275">
        <f t="shared" si="1"/>
        <v>1.8490627301744795E-2</v>
      </c>
      <c r="F16" s="52">
        <f t="shared" si="3"/>
        <v>1.0343690332116124</v>
      </c>
      <c r="G16" s="60">
        <f t="shared" si="2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2001202267.1673532</v>
      </c>
      <c r="D17" s="37">
        <f t="shared" si="0"/>
        <v>22212090.724353313</v>
      </c>
      <c r="E17" s="275">
        <f t="shared" si="1"/>
        <v>1.1223951987612649E-2</v>
      </c>
      <c r="F17" s="52">
        <f t="shared" si="3"/>
        <v>1.0316964477758013</v>
      </c>
      <c r="G17" s="60">
        <f t="shared" si="2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1964148154.3950455</v>
      </c>
      <c r="D18" s="37">
        <f t="shared" si="0"/>
        <v>25083750.125645399</v>
      </c>
      <c r="E18" s="275">
        <f t="shared" si="1"/>
        <v>1.2936006700146942E-2</v>
      </c>
      <c r="F18" s="52">
        <f t="shared" si="3"/>
        <v>1.032843347951429</v>
      </c>
      <c r="G18" s="60">
        <f t="shared" si="2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1859845104.2160487</v>
      </c>
      <c r="D19" s="37">
        <f t="shared" si="0"/>
        <v>22711982.717048883</v>
      </c>
      <c r="E19" s="275">
        <f t="shared" si="1"/>
        <v>1.2362731067913659E-2</v>
      </c>
      <c r="F19" s="52">
        <f t="shared" si="3"/>
        <v>1.0336063053124931</v>
      </c>
      <c r="G19" s="60">
        <f t="shared" si="2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1880819176.7808089</v>
      </c>
      <c r="D20" s="37">
        <f t="shared" si="0"/>
        <v>-11814342.668545485</v>
      </c>
      <c r="E20" s="275">
        <f t="shared" si="1"/>
        <v>-6.2422769897802332E-3</v>
      </c>
      <c r="F20" s="52">
        <f t="shared" si="3"/>
        <v>1.0345083413343812</v>
      </c>
      <c r="G20" s="60">
        <f t="shared" si="2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1887427043.5702879</v>
      </c>
      <c r="D21" s="37">
        <f t="shared" si="0"/>
        <v>-7770188.9631772041</v>
      </c>
      <c r="E21" s="275">
        <f>D21/B21</f>
        <v>-4.0999368455124623E-3</v>
      </c>
      <c r="F21" s="52">
        <f t="shared" si="3"/>
        <v>1.0334350313702656</v>
      </c>
      <c r="G21" s="60">
        <f t="shared" si="2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1866597053.6581802</v>
      </c>
      <c r="D22" s="37">
        <f t="shared" si="0"/>
        <v>-19141064.65748167</v>
      </c>
      <c r="E22" s="275">
        <f t="shared" si="1"/>
        <v>-1.0150436304792119E-2</v>
      </c>
      <c r="F22" s="52">
        <f t="shared" si="3"/>
        <v>1.0331486403016186</v>
      </c>
      <c r="G22" s="60">
        <f t="shared" si="2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1876306519.4262118</v>
      </c>
      <c r="D23" s="37"/>
      <c r="E23" s="4"/>
      <c r="F23" s="52"/>
      <c r="G23" s="20">
        <f>C23/$F$27</f>
        <v>1813730531.5156066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1891871269.8945267</v>
      </c>
      <c r="D24" s="37"/>
      <c r="G24" s="20">
        <f>C24/$F$27</f>
        <v>1828776187.887593</v>
      </c>
      <c r="H24" s="487"/>
      <c r="I24" s="487"/>
      <c r="J24" s="487"/>
    </row>
    <row r="25" spans="1:21" x14ac:dyDescent="0.2">
      <c r="B25" s="5"/>
      <c r="C25" s="519">
        <f>+'Rate Class Energy Model'!O81-'Rate Class Energy Model'!O80</f>
        <v>31039092.04431513</v>
      </c>
      <c r="D25" s="240" t="s">
        <v>323</v>
      </c>
      <c r="G25" s="26"/>
      <c r="H25" s="487"/>
      <c r="I25" s="487"/>
      <c r="J25" s="487"/>
    </row>
    <row r="26" spans="1:21" x14ac:dyDescent="0.2">
      <c r="C26" s="519">
        <f>+C24-C25</f>
        <v>1860832177.8502116</v>
      </c>
      <c r="D26" s="240" t="s">
        <v>324</v>
      </c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327</v>
      </c>
      <c r="K30" s="213" t="s">
        <v>68</v>
      </c>
      <c r="L30" s="254" t="s">
        <v>326</v>
      </c>
      <c r="M30" s="254" t="s">
        <v>325</v>
      </c>
      <c r="N30" s="421" t="s">
        <v>47</v>
      </c>
      <c r="O30" s="421" t="s">
        <v>71</v>
      </c>
      <c r="P30" s="254" t="s">
        <v>113</v>
      </c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4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4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4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4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4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4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4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4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4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4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4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4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4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4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4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4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4"/>
        <v>2013</v>
      </c>
      <c r="K48" s="20">
        <f t="shared" ref="K48:P48" si="5">K47*K68</f>
        <v>7995.9754273820736</v>
      </c>
      <c r="L48" s="20">
        <f t="shared" si="5"/>
        <v>31399.501696105202</v>
      </c>
      <c r="M48" s="20">
        <f t="shared" si="5"/>
        <v>900223.90016592527</v>
      </c>
      <c r="N48" s="20">
        <f t="shared" si="5"/>
        <v>33008414.327518649</v>
      </c>
      <c r="O48" s="20">
        <f t="shared" si="5"/>
        <v>10133.002168928135</v>
      </c>
      <c r="P48" s="20">
        <f t="shared" si="5"/>
        <v>4107.3584019596638</v>
      </c>
      <c r="Q48" s="26"/>
    </row>
    <row r="49" spans="4:26" x14ac:dyDescent="0.2">
      <c r="J49">
        <f t="shared" si="4"/>
        <v>2014</v>
      </c>
      <c r="K49" s="20">
        <f t="shared" ref="K49:P49" si="6">K48*K68</f>
        <v>7936.2568681990979</v>
      </c>
      <c r="L49" s="20">
        <f t="shared" si="6"/>
        <v>31279.326026386305</v>
      </c>
      <c r="M49" s="20">
        <f t="shared" si="6"/>
        <v>907127.76774403302</v>
      </c>
      <c r="N49" s="20">
        <f t="shared" si="6"/>
        <v>31419041.168389145</v>
      </c>
      <c r="O49" s="20">
        <f t="shared" si="6"/>
        <v>10133.008690459508</v>
      </c>
      <c r="P49" s="20">
        <f t="shared" si="6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7">K36/K35</f>
        <v>0.95452808984160675</v>
      </c>
      <c r="L55" s="24">
        <f t="shared" si="7"/>
        <v>0.89689221489533122</v>
      </c>
      <c r="M55" s="24">
        <f t="shared" si="7"/>
        <v>1.0463611074851955</v>
      </c>
      <c r="N55" s="24">
        <f t="shared" si="7"/>
        <v>0.91342903583405466</v>
      </c>
      <c r="O55" s="24">
        <f t="shared" si="7"/>
        <v>0.99255410190205551</v>
      </c>
      <c r="P55" s="24">
        <f t="shared" si="7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7"/>
        <v>1.1024753516573587</v>
      </c>
      <c r="L56" s="24">
        <f t="shared" si="7"/>
        <v>1.1281142134057496</v>
      </c>
      <c r="M56" s="24">
        <f t="shared" si="7"/>
        <v>0.94816613329667332</v>
      </c>
      <c r="N56" s="24">
        <f t="shared" si="7"/>
        <v>1.1234860148013286</v>
      </c>
      <c r="O56" s="24">
        <f t="shared" si="7"/>
        <v>0.88389544287720412</v>
      </c>
      <c r="P56" s="24">
        <f t="shared" si="7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7"/>
        <v>0.97420552895620571</v>
      </c>
      <c r="L57" s="24">
        <f t="shared" si="7"/>
        <v>1.0073952946626605</v>
      </c>
      <c r="M57" s="24">
        <f t="shared" si="7"/>
        <v>1.0300809476723458</v>
      </c>
      <c r="N57" s="24">
        <f t="shared" si="7"/>
        <v>0.98334364149430775</v>
      </c>
      <c r="O57" s="24">
        <f t="shared" si="7"/>
        <v>1.1782269584995877</v>
      </c>
      <c r="P57" s="24">
        <f t="shared" si="7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7"/>
        <v>0.94610833133149741</v>
      </c>
      <c r="L58" s="24">
        <f t="shared" si="7"/>
        <v>0.95240089553253371</v>
      </c>
      <c r="M58" s="24">
        <f t="shared" si="7"/>
        <v>1.0001971044815401</v>
      </c>
      <c r="N58" s="24">
        <f t="shared" si="7"/>
        <v>0.9275521360720439</v>
      </c>
      <c r="O58" s="24">
        <f t="shared" si="7"/>
        <v>0.95054475707900887</v>
      </c>
      <c r="P58" s="24">
        <f t="shared" si="7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7"/>
        <v>1.0478810412702044</v>
      </c>
      <c r="L59" s="24">
        <f t="shared" si="7"/>
        <v>1.0361783003904916</v>
      </c>
      <c r="M59" s="24">
        <f t="shared" si="7"/>
        <v>1.0240873506538593</v>
      </c>
      <c r="N59" s="24">
        <f t="shared" si="7"/>
        <v>0.98858489284922357</v>
      </c>
      <c r="O59" s="24">
        <f t="shared" si="7"/>
        <v>0.99223299885688532</v>
      </c>
      <c r="P59" s="24">
        <f t="shared" si="7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7"/>
        <v>0.95617879935279204</v>
      </c>
      <c r="L60" s="24">
        <f t="shared" si="7"/>
        <v>0.98765434954783515</v>
      </c>
      <c r="M60" s="24">
        <f t="shared" si="7"/>
        <v>0.98764936940677817</v>
      </c>
      <c r="N60" s="24">
        <f t="shared" si="7"/>
        <v>0.78418103315060295</v>
      </c>
      <c r="O60" s="24">
        <f t="shared" si="7"/>
        <v>1.0021551643034072</v>
      </c>
      <c r="P60" s="24">
        <f t="shared" si="7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7"/>
        <v>1.0035188447799595</v>
      </c>
      <c r="L61" s="24">
        <f t="shared" si="7"/>
        <v>0.99013662466585406</v>
      </c>
      <c r="M61" s="24">
        <f t="shared" si="7"/>
        <v>1.0234570465158119</v>
      </c>
      <c r="N61" s="24">
        <f t="shared" si="7"/>
        <v>0.86649311538398577</v>
      </c>
      <c r="O61" s="24">
        <f t="shared" si="7"/>
        <v>1.0230737466958433</v>
      </c>
      <c r="P61" s="24">
        <f t="shared" si="7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7"/>
        <v>0.98778348131534299</v>
      </c>
      <c r="L62" s="24">
        <f t="shared" si="7"/>
        <v>0.98984987866015672</v>
      </c>
      <c r="M62" s="24">
        <f t="shared" si="7"/>
        <v>0.95805812505743804</v>
      </c>
      <c r="N62" s="24">
        <f t="shared" si="7"/>
        <v>0.93181159933020874</v>
      </c>
      <c r="O62" s="24">
        <f t="shared" si="7"/>
        <v>1.129308143150151</v>
      </c>
      <c r="P62" s="24">
        <f t="shared" si="7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7"/>
        <v>0.96810967184298324</v>
      </c>
      <c r="L63" s="24">
        <f t="shared" si="7"/>
        <v>0.97348993506854331</v>
      </c>
      <c r="M63" s="24">
        <f t="shared" si="7"/>
        <v>0.9886190907747795</v>
      </c>
      <c r="N63" s="24">
        <f t="shared" si="7"/>
        <v>0.7243635238770596</v>
      </c>
      <c r="O63" s="24">
        <f t="shared" si="7"/>
        <v>0.89074001140328729</v>
      </c>
      <c r="P63" s="24">
        <f t="shared" si="7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7"/>
        <v>1.0211884245205265</v>
      </c>
      <c r="L64" s="24">
        <f t="shared" si="7"/>
        <v>1.0133328799945784</v>
      </c>
      <c r="M64" s="24">
        <f t="shared" si="7"/>
        <v>1.0854556003738416</v>
      </c>
      <c r="N64" s="24">
        <f t="shared" si="7"/>
        <v>1.3125160128953801</v>
      </c>
      <c r="O64" s="24">
        <f t="shared" si="7"/>
        <v>0.99230045736743788</v>
      </c>
      <c r="P64" s="24">
        <f t="shared" si="7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7"/>
        <v>0.97896511946058518</v>
      </c>
      <c r="L65" s="24">
        <f t="shared" si="7"/>
        <v>1.0049936517841895</v>
      </c>
      <c r="M65" s="24">
        <f t="shared" si="7"/>
        <v>1.0077605202744859</v>
      </c>
      <c r="N65" s="24">
        <f t="shared" si="7"/>
        <v>0.80198893158936257</v>
      </c>
      <c r="O65" s="24">
        <f t="shared" si="7"/>
        <v>0.99307511414372063</v>
      </c>
      <c r="P65" s="24">
        <f t="shared" si="7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7"/>
        <v>0.9802708255710223</v>
      </c>
      <c r="L66" s="24">
        <f t="shared" si="7"/>
        <v>0.98935392131342881</v>
      </c>
      <c r="M66" s="24">
        <f t="shared" si="7"/>
        <v>0.99975232641251288</v>
      </c>
      <c r="N66" s="24">
        <f t="shared" si="7"/>
        <v>1.238169114210627</v>
      </c>
      <c r="O66" s="24">
        <f t="shared" si="7"/>
        <v>1.0017431170444773</v>
      </c>
      <c r="P66" s="24">
        <f t="shared" si="7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8">K70</f>
        <v>0.99253142287325313</v>
      </c>
      <c r="L68" s="207">
        <f t="shared" si="8"/>
        <v>0.99617268863429753</v>
      </c>
      <c r="M68" s="207">
        <f t="shared" si="8"/>
        <v>1.0076690560835313</v>
      </c>
      <c r="N68" s="207">
        <f t="shared" si="8"/>
        <v>0.95184945440398006</v>
      </c>
      <c r="O68" s="207">
        <f t="shared" si="8"/>
        <v>1.0000006435932081</v>
      </c>
      <c r="P68" s="207">
        <f t="shared" si="8"/>
        <v>0.93448553915045129</v>
      </c>
      <c r="Q68" t="s">
        <v>15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7" spans="1:26" x14ac:dyDescent="0.2">
      <c r="L77" s="522" t="s">
        <v>68</v>
      </c>
      <c r="M77" s="523" t="s">
        <v>326</v>
      </c>
      <c r="N77" s="523" t="s">
        <v>325</v>
      </c>
      <c r="O77" s="523" t="s">
        <v>47</v>
      </c>
      <c r="P77" s="523" t="s">
        <v>71</v>
      </c>
      <c r="Q77" s="523" t="s">
        <v>113</v>
      </c>
    </row>
    <row r="78" spans="1:26" x14ac:dyDescent="0.2">
      <c r="B78" s="161"/>
      <c r="C78" s="161"/>
      <c r="D78" s="161"/>
      <c r="E78" s="161"/>
      <c r="H78" s="19"/>
      <c r="I78" s="19"/>
      <c r="J78" s="531" t="s">
        <v>21</v>
      </c>
      <c r="K78" s="531"/>
      <c r="L78" s="531"/>
      <c r="R78" s="253" t="s">
        <v>293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>
        <v>62838082.336778291</v>
      </c>
      <c r="P81" s="37"/>
      <c r="Q81" s="37"/>
    </row>
    <row r="82" spans="2:21" x14ac:dyDescent="0.2">
      <c r="H82" s="462"/>
      <c r="I82" s="462"/>
      <c r="J82" s="531" t="s">
        <v>282</v>
      </c>
      <c r="K82" s="531"/>
      <c r="L82" s="531"/>
      <c r="M82" s="531"/>
      <c r="N82" s="531"/>
      <c r="O82" s="37"/>
      <c r="P82" s="37"/>
      <c r="R82" s="37" t="s">
        <v>294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1813730531.5156066</v>
      </c>
      <c r="L83" s="37">
        <f t="shared" ref="L83:P84" si="9">L79+L92</f>
        <v>642194501.94331455</v>
      </c>
      <c r="M83" s="37">
        <f t="shared" si="9"/>
        <v>240061704.83904183</v>
      </c>
      <c r="N83" s="37">
        <f t="shared" si="9"/>
        <v>845946573.31811452</v>
      </c>
      <c r="O83" s="37">
        <f t="shared" si="9"/>
        <v>66016828.655037299</v>
      </c>
      <c r="P83" s="37">
        <f t="shared" si="9"/>
        <v>15898680.403048243</v>
      </c>
      <c r="Q83" s="37">
        <f>Q79+Q92+Q96</f>
        <v>3612242.357049867</v>
      </c>
      <c r="R83" s="476">
        <f>SUM(L83:Q83)</f>
        <v>1813730531.5156066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+G24-(O81-O80)</f>
        <v>1797737095.8432779</v>
      </c>
      <c r="L84" s="37">
        <f>L80+L93</f>
        <v>650858142.56116462</v>
      </c>
      <c r="M84" s="37">
        <f t="shared" si="9"/>
        <v>243228960.76125941</v>
      </c>
      <c r="N84" s="37">
        <f t="shared" si="9"/>
        <v>852305349.07351887</v>
      </c>
      <c r="O84" s="37">
        <f t="shared" si="9"/>
        <v>31798990.292463161</v>
      </c>
      <c r="P84" s="37">
        <f t="shared" si="9"/>
        <v>16128464.711878158</v>
      </c>
      <c r="Q84" s="37">
        <f>Q80+Q93+Q97</f>
        <v>3417188.4429939534</v>
      </c>
      <c r="R84" s="476">
        <f>SUM(L84:Q84)</f>
        <v>1797737095.8432779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528" t="s">
        <v>146</v>
      </c>
      <c r="M86" s="529"/>
      <c r="N86" s="529"/>
      <c r="O86" s="529"/>
      <c r="P86" s="529"/>
      <c r="Q86" s="530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22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14</v>
      </c>
    </row>
    <row r="88" spans="2:21" x14ac:dyDescent="0.2">
      <c r="H88"/>
      <c r="I88"/>
      <c r="J88">
        <v>2013</v>
      </c>
      <c r="K88" s="475">
        <f>K83-K79</f>
        <v>-18459733.475486279</v>
      </c>
      <c r="L88" s="476">
        <f t="shared" ref="L88:Q88" si="10">L79*L87</f>
        <v>532908579.02370012</v>
      </c>
      <c r="M88" s="476">
        <f t="shared" si="10"/>
        <v>199209027.19760901</v>
      </c>
      <c r="N88" s="476">
        <f t="shared" si="10"/>
        <v>546455145.29637134</v>
      </c>
      <c r="O88" s="476">
        <f t="shared" si="10"/>
        <v>0</v>
      </c>
      <c r="P88" s="476">
        <f t="shared" si="10"/>
        <v>0</v>
      </c>
      <c r="Q88" s="476">
        <f t="shared" si="10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-10767216.236951351</v>
      </c>
      <c r="L89" s="476">
        <f t="shared" ref="L89:Q89" si="11">L80*L87</f>
        <v>537391366.36295271</v>
      </c>
      <c r="M89" s="476">
        <f t="shared" si="11"/>
        <v>200825855.92028719</v>
      </c>
      <c r="N89" s="476">
        <f t="shared" si="11"/>
        <v>548412648.5820359</v>
      </c>
      <c r="O89" s="476">
        <f t="shared" si="11"/>
        <v>0</v>
      </c>
      <c r="P89" s="476">
        <f t="shared" si="11"/>
        <v>0</v>
      </c>
      <c r="Q89" s="476">
        <f t="shared" si="11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525" t="s">
        <v>23</v>
      </c>
      <c r="K91" s="525"/>
      <c r="L91" s="525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2">L88/$R$88*$K$88</f>
        <v>-7694009.0611977875</v>
      </c>
      <c r="M92" s="476">
        <f t="shared" si="12"/>
        <v>-2876133.2068227702</v>
      </c>
      <c r="N92" s="476">
        <f t="shared" si="12"/>
        <v>-7889591.2074657185</v>
      </c>
      <c r="O92" s="476">
        <f t="shared" si="12"/>
        <v>0</v>
      </c>
      <c r="P92" s="476">
        <f t="shared" si="12"/>
        <v>0</v>
      </c>
      <c r="Q92" s="476">
        <f t="shared" si="12"/>
        <v>0</v>
      </c>
      <c r="R92" s="476">
        <f>SUM(L92:Q92)</f>
        <v>-18459733.475486275</v>
      </c>
    </row>
    <row r="93" spans="2:21" x14ac:dyDescent="0.2">
      <c r="H93"/>
      <c r="I93"/>
      <c r="J93">
        <v>2014</v>
      </c>
      <c r="L93" s="476">
        <f t="shared" ref="L93:Q93" si="13">L89/$R$89*$K$89</f>
        <v>-4497182.271704413</v>
      </c>
      <c r="M93" s="476">
        <f t="shared" si="13"/>
        <v>-1680619.6293347124</v>
      </c>
      <c r="N93" s="476">
        <f t="shared" si="13"/>
        <v>-4589414.3359122258</v>
      </c>
      <c r="O93" s="476">
        <f t="shared" si="13"/>
        <v>0</v>
      </c>
      <c r="P93" s="476">
        <f t="shared" si="13"/>
        <v>0</v>
      </c>
      <c r="Q93" s="476">
        <f t="shared" si="13"/>
        <v>0</v>
      </c>
      <c r="R93" s="476">
        <f>SUM(L93:Q93)</f>
        <v>-10767216.236951351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77</v>
      </c>
      <c r="L95" s="526" t="s">
        <v>299</v>
      </c>
      <c r="M95" s="527"/>
      <c r="N95" s="527"/>
      <c r="O95" s="527"/>
      <c r="P95" s="527"/>
      <c r="Q95" s="485"/>
    </row>
    <row r="96" spans="2:21" x14ac:dyDescent="0.2">
      <c r="H96"/>
      <c r="I96"/>
      <c r="J96">
        <v>2013</v>
      </c>
      <c r="K96" s="475">
        <f>-'CDM Activity'!C36</f>
        <v>-7905847.0505818827</v>
      </c>
      <c r="L96" s="478">
        <f>+K96*'CDM Forecast'!R34</f>
        <v>-1421308.585654302</v>
      </c>
      <c r="M96" s="478">
        <f>+K96*'CDM Forecast'!S34</f>
        <v>-1392712.7055751975</v>
      </c>
      <c r="N96" s="478">
        <f>+K96*'CDM Forecast'!T34</f>
        <v>-5091825.7593523841</v>
      </c>
      <c r="O96" s="475">
        <v>0</v>
      </c>
      <c r="P96" s="475">
        <v>0</v>
      </c>
      <c r="Q96" s="475">
        <v>0</v>
      </c>
      <c r="R96" s="476">
        <f>SUM(L96:Q96)</f>
        <v>-7905847.0505818836</v>
      </c>
      <c r="S96" s="37"/>
    </row>
    <row r="97" spans="7:19" x14ac:dyDescent="0.2">
      <c r="H97"/>
      <c r="I97"/>
      <c r="J97">
        <v>2014</v>
      </c>
      <c r="K97" s="475">
        <f>-'CDM Activity'!D36</f>
        <v>-17167541.151745647</v>
      </c>
      <c r="L97" s="478">
        <f>+K97*'CDM Forecast'!R34</f>
        <v>-3086370.565663009</v>
      </c>
      <c r="M97" s="478">
        <f>+K97*'CDM Forecast'!S34</f>
        <v>-3024274.6327556954</v>
      </c>
      <c r="N97" s="478">
        <f>+K97*'CDM Forecast'!T34</f>
        <v>-11056895.953326944</v>
      </c>
      <c r="O97" s="475">
        <v>0</v>
      </c>
      <c r="P97" s="475">
        <v>0</v>
      </c>
      <c r="Q97" s="475">
        <v>0</v>
      </c>
      <c r="R97" s="476">
        <f>SUM(L97:Q97)</f>
        <v>-17167541.151745647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283</v>
      </c>
      <c r="K99" s="19"/>
      <c r="L99" s="19"/>
      <c r="M99" s="19"/>
      <c r="N99" s="37"/>
      <c r="O99" s="37"/>
      <c r="P99" s="37"/>
      <c r="R99" s="37" t="s">
        <v>295</v>
      </c>
    </row>
    <row r="100" spans="7:19" x14ac:dyDescent="0.2">
      <c r="H100"/>
      <c r="I100"/>
      <c r="J100">
        <v>2013</v>
      </c>
      <c r="K100" s="318">
        <f t="shared" ref="K100:Q101" si="14">+K83+K96</f>
        <v>1805824684.4650247</v>
      </c>
      <c r="L100" s="476">
        <f t="shared" si="14"/>
        <v>640773193.35766029</v>
      </c>
      <c r="M100" s="476">
        <f t="shared" si="14"/>
        <v>238668992.13346663</v>
      </c>
      <c r="N100" s="476">
        <f t="shared" si="14"/>
        <v>840854747.55876219</v>
      </c>
      <c r="O100" s="476">
        <f t="shared" si="14"/>
        <v>66016828.655037299</v>
      </c>
      <c r="P100" s="476">
        <f t="shared" si="14"/>
        <v>15898680.403048243</v>
      </c>
      <c r="Q100" s="476">
        <f t="shared" si="14"/>
        <v>3612242.357049867</v>
      </c>
      <c r="R100" s="476">
        <f>SUM(L100:Q100)</f>
        <v>1805824684.4650247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 t="shared" si="14"/>
        <v>1780569554.6915324</v>
      </c>
      <c r="L101" s="476">
        <f t="shared" si="14"/>
        <v>647771771.99550164</v>
      </c>
      <c r="M101" s="476">
        <f t="shared" si="14"/>
        <v>240204686.12850371</v>
      </c>
      <c r="N101" s="476">
        <f t="shared" si="14"/>
        <v>841248453.12019193</v>
      </c>
      <c r="O101" s="476">
        <f t="shared" si="14"/>
        <v>31798990.292463161</v>
      </c>
      <c r="P101" s="476">
        <f t="shared" si="14"/>
        <v>16128464.711878158</v>
      </c>
      <c r="Q101" s="476">
        <f t="shared" si="14"/>
        <v>3417188.4429939534</v>
      </c>
      <c r="R101" s="476">
        <f>SUM(L101:Q101)</f>
        <v>1780569554.6915324</v>
      </c>
      <c r="S101" s="37">
        <f>R101-K101</f>
        <v>0</v>
      </c>
    </row>
    <row r="102" spans="7:19" x14ac:dyDescent="0.2">
      <c r="G102" s="1"/>
      <c r="H102" s="486"/>
      <c r="I102" s="486"/>
    </row>
    <row r="103" spans="7:19" x14ac:dyDescent="0.2">
      <c r="G103" s="1"/>
      <c r="H103" s="486"/>
      <c r="I103" s="486"/>
    </row>
    <row r="104" spans="7:19" x14ac:dyDescent="0.2">
      <c r="G104" s="1"/>
      <c r="H104" s="486"/>
      <c r="I104" s="486"/>
      <c r="L104" s="71">
        <f t="shared" ref="L104:Q105" si="15">(L83-L79)/L79</f>
        <v>-1.1838967655091131E-2</v>
      </c>
      <c r="M104" s="71">
        <f t="shared" si="15"/>
        <v>-1.183896765509123E-2</v>
      </c>
      <c r="N104" s="71">
        <f t="shared" si="15"/>
        <v>-9.2401698771443896E-3</v>
      </c>
      <c r="O104" s="71">
        <f t="shared" si="15"/>
        <v>0</v>
      </c>
      <c r="P104" s="71">
        <f t="shared" si="15"/>
        <v>0</v>
      </c>
      <c r="Q104" s="71">
        <f t="shared" si="15"/>
        <v>0</v>
      </c>
    </row>
    <row r="105" spans="7:19" x14ac:dyDescent="0.2">
      <c r="G105" s="1"/>
      <c r="H105" s="486"/>
      <c r="I105" s="486"/>
      <c r="L105" s="71">
        <f t="shared" si="15"/>
        <v>-6.8622045191306293E-3</v>
      </c>
      <c r="M105" s="71">
        <f t="shared" si="15"/>
        <v>-6.8622045191306163E-3</v>
      </c>
      <c r="N105" s="71">
        <f t="shared" si="15"/>
        <v>-5.3558669417604655E-3</v>
      </c>
      <c r="O105" s="71">
        <f t="shared" si="15"/>
        <v>0</v>
      </c>
      <c r="P105" s="71">
        <f t="shared" si="15"/>
        <v>0</v>
      </c>
      <c r="Q105" s="71">
        <f t="shared" si="15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16">L96/$K96</f>
        <v>0.17977941851906831</v>
      </c>
      <c r="M107" s="71">
        <f t="shared" si="16"/>
        <v>0.17616236396486973</v>
      </c>
      <c r="N107" s="71">
        <f t="shared" si="16"/>
        <v>0.64405821751606207</v>
      </c>
    </row>
    <row r="108" spans="7:19" x14ac:dyDescent="0.2">
      <c r="G108" s="1"/>
      <c r="H108" s="486"/>
      <c r="I108" s="486"/>
      <c r="L108" s="71">
        <f t="shared" si="16"/>
        <v>0.17977941851906831</v>
      </c>
      <c r="M108" s="71">
        <f t="shared" si="16"/>
        <v>0.17616236396486973</v>
      </c>
      <c r="N108" s="71">
        <f t="shared" si="16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35" t="s">
        <v>141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GS&lt;50 kW</v>
      </c>
      <c r="D2" s="433" t="str">
        <f>'Rate Class Energy Model'!M2</f>
        <v>GS&gt;50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>USL</v>
      </c>
      <c r="H2" s="420" t="s">
        <v>276</v>
      </c>
      <c r="I2" s="433" t="s">
        <v>198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>SUM(B18:G18)</f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>C18*C40</f>
        <v>7736.9966057773026</v>
      </c>
      <c r="D19" s="20">
        <f>D18*D40</f>
        <v>948.47089081750107</v>
      </c>
      <c r="E19" s="20">
        <v>2</v>
      </c>
      <c r="F19" s="20">
        <v>1569</v>
      </c>
      <c r="G19" s="20">
        <f>G18*G40</f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>C19*C40</f>
        <v>7829.7588696123348</v>
      </c>
      <c r="D20" s="20">
        <f>D19*D40</f>
        <v>944.62411347022476</v>
      </c>
      <c r="E20" s="20">
        <v>1</v>
      </c>
      <c r="F20" s="20">
        <v>1591.6757998109217</v>
      </c>
      <c r="G20" s="20">
        <f>G19*G40</f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20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>B6/B5</f>
        <v>1.0161941382006159</v>
      </c>
      <c r="C26" s="23">
        <f>C6/C5</f>
        <v>1</v>
      </c>
      <c r="D26" s="23">
        <f>D6/D5</f>
        <v>1.0288844621513944</v>
      </c>
      <c r="E26" s="23">
        <f>E6/E5</f>
        <v>1</v>
      </c>
      <c r="F26" s="23">
        <f>F6/F5</f>
        <v>1.0132238211809925</v>
      </c>
      <c r="G26" s="23"/>
    </row>
    <row r="27" spans="1:17" x14ac:dyDescent="0.2">
      <c r="A27" s="3">
        <v>2001</v>
      </c>
      <c r="B27" s="23">
        <f t="shared" ref="B27:G27" si="2">B7/B6</f>
        <v>1.0092947308924198</v>
      </c>
      <c r="C27" s="23">
        <f t="shared" si="2"/>
        <v>1.0030543677458765</v>
      </c>
      <c r="D27" s="23">
        <f t="shared" si="2"/>
        <v>1.0019361084220717</v>
      </c>
      <c r="E27" s="23">
        <f t="shared" si="2"/>
        <v>1.3333333333333333</v>
      </c>
      <c r="F27" s="23">
        <f t="shared" si="2"/>
        <v>1.0205477905480163</v>
      </c>
      <c r="G27" s="23">
        <f t="shared" si="2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G28" si="3">B8/B7</f>
        <v>1.0217628025636238</v>
      </c>
      <c r="C28" s="23">
        <f t="shared" si="3"/>
        <v>1.0001522533495737</v>
      </c>
      <c r="D28" s="23">
        <f t="shared" si="3"/>
        <v>1.0318840579710145</v>
      </c>
      <c r="E28" s="23">
        <f t="shared" si="3"/>
        <v>1</v>
      </c>
      <c r="F28" s="23">
        <f t="shared" si="3"/>
        <v>1.0180985463636969</v>
      </c>
      <c r="G28" s="23">
        <f t="shared" si="3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4">B9/B8</f>
        <v>1.0280742353424783</v>
      </c>
      <c r="C29" s="23">
        <f t="shared" si="4"/>
        <v>1.0203988430506927</v>
      </c>
      <c r="D29" s="23">
        <f t="shared" si="4"/>
        <v>0.9691011235955056</v>
      </c>
      <c r="E29" s="23">
        <f t="shared" si="4"/>
        <v>1</v>
      </c>
      <c r="F29" s="23">
        <f t="shared" si="4"/>
        <v>1.0076062153645549</v>
      </c>
      <c r="G29" s="23">
        <f t="shared" si="4"/>
        <v>1</v>
      </c>
      <c r="I29" s="23">
        <f t="shared" ref="I29:I38" si="5">I9/I8</f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6">B10/B9</f>
        <v>1.027811097783109</v>
      </c>
      <c r="C30" s="23">
        <f>C10/C9</f>
        <v>1.0168581232284053</v>
      </c>
      <c r="D30" s="23">
        <f>D10/D9</f>
        <v>1.0222222222222221</v>
      </c>
      <c r="E30" s="23">
        <f>E10/E9</f>
        <v>1</v>
      </c>
      <c r="F30" s="23">
        <f>F10/F9</f>
        <v>1.0654804270462634</v>
      </c>
      <c r="G30" s="23">
        <f>G10/G9</f>
        <v>1.0745098039215686</v>
      </c>
      <c r="I30" s="23">
        <f t="shared" si="5"/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6"/>
        <v>1.0300410633239681</v>
      </c>
      <c r="C31" s="23">
        <f t="shared" ref="C31:G37" si="7">C11/C10</f>
        <v>1.0146713615023475</v>
      </c>
      <c r="D31" s="23">
        <f t="shared" si="7"/>
        <v>1.0179584120982987</v>
      </c>
      <c r="E31" s="23">
        <f t="shared" si="7"/>
        <v>1</v>
      </c>
      <c r="F31" s="23">
        <f t="shared" si="7"/>
        <v>1.0133600534402138</v>
      </c>
      <c r="G31" s="23">
        <f t="shared" si="7"/>
        <v>0.98175182481751821</v>
      </c>
      <c r="I31" s="23">
        <f t="shared" si="5"/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6"/>
        <v>1.019247447195412</v>
      </c>
      <c r="C32" s="23">
        <f t="shared" si="7"/>
        <v>1.0192307692307692</v>
      </c>
      <c r="D32" s="23">
        <f t="shared" si="7"/>
        <v>0.94800371402042716</v>
      </c>
      <c r="E32" s="23">
        <f t="shared" si="7"/>
        <v>1</v>
      </c>
      <c r="F32" s="23">
        <f t="shared" si="7"/>
        <v>1.0105471324983519</v>
      </c>
      <c r="G32" s="23">
        <f t="shared" si="7"/>
        <v>1</v>
      </c>
      <c r="I32" s="23">
        <f t="shared" si="5"/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6"/>
        <v>1.0209425520819038</v>
      </c>
      <c r="C33" s="23">
        <f t="shared" si="7"/>
        <v>1.0211377500354659</v>
      </c>
      <c r="D33" s="23">
        <f t="shared" si="7"/>
        <v>0.98432908912830563</v>
      </c>
      <c r="E33" s="23">
        <f t="shared" si="7"/>
        <v>1</v>
      </c>
      <c r="F33" s="23">
        <f t="shared" si="7"/>
        <v>0.99347684279191129</v>
      </c>
      <c r="G33" s="23">
        <f t="shared" ref="G33:G38" si="8">G13/G12</f>
        <v>1.0136307311028501</v>
      </c>
      <c r="I33" s="23">
        <f t="shared" si="5"/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6"/>
        <v>1.010240796501416</v>
      </c>
      <c r="C34" s="23">
        <f t="shared" si="7"/>
        <v>1.0092965638603315</v>
      </c>
      <c r="D34" s="23">
        <f t="shared" si="7"/>
        <v>1.0091210613598673</v>
      </c>
      <c r="E34" s="23">
        <f t="shared" si="7"/>
        <v>1</v>
      </c>
      <c r="F34" s="23">
        <f t="shared" si="7"/>
        <v>0.99950257665293774</v>
      </c>
      <c r="G34" s="23">
        <f t="shared" si="8"/>
        <v>1.0024449877750612</v>
      </c>
      <c r="I34" s="23">
        <f t="shared" si="5"/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6"/>
        <v>1.0146543866691211</v>
      </c>
      <c r="C35" s="23">
        <f t="shared" si="7"/>
        <v>1.0145103752050377</v>
      </c>
      <c r="D35" s="23">
        <f t="shared" si="7"/>
        <v>0.99087921117502054</v>
      </c>
      <c r="E35" s="23">
        <f t="shared" si="7"/>
        <v>0.75</v>
      </c>
      <c r="F35" s="23">
        <f t="shared" si="7"/>
        <v>1.0188915873711033</v>
      </c>
      <c r="G35" s="23">
        <f t="shared" si="8"/>
        <v>0.99634146341463414</v>
      </c>
      <c r="I35" s="23">
        <f t="shared" si="5"/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6"/>
        <v>1.0164021672848398</v>
      </c>
      <c r="C36" s="23">
        <f t="shared" si="7"/>
        <v>1.0104812084482837</v>
      </c>
      <c r="D36" s="23">
        <f t="shared" si="7"/>
        <v>0.98407828178124224</v>
      </c>
      <c r="E36" s="23">
        <f t="shared" si="7"/>
        <v>0.44444444444444442</v>
      </c>
      <c r="F36" s="23">
        <f t="shared" si="7"/>
        <v>1.0149880875027073</v>
      </c>
      <c r="G36" s="23">
        <f t="shared" si="8"/>
        <v>0.99265605875152996</v>
      </c>
      <c r="I36" s="23">
        <f t="shared" si="5"/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6"/>
        <v>1.0161933873865543</v>
      </c>
      <c r="C37" s="23">
        <f t="shared" si="7"/>
        <v>1.0121404034865897</v>
      </c>
      <c r="D37" s="23">
        <f t="shared" si="7"/>
        <v>0.98592736159096661</v>
      </c>
      <c r="E37" s="23">
        <f t="shared" si="7"/>
        <v>1.5</v>
      </c>
      <c r="F37" s="23">
        <f t="shared" si="7"/>
        <v>0.99582031343191546</v>
      </c>
      <c r="G37" s="23">
        <f t="shared" si="8"/>
        <v>1.0369913686806411</v>
      </c>
      <c r="I37" s="23">
        <f t="shared" si="5"/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6"/>
        <v>1.0156930460507103</v>
      </c>
      <c r="C38" s="23">
        <f>C18/C17</f>
        <v>1.0142389670115857</v>
      </c>
      <c r="D38" s="23">
        <f>D18/D17</f>
        <v>0.97675213675213679</v>
      </c>
      <c r="E38" s="23">
        <f>E18/E17</f>
        <v>1</v>
      </c>
      <c r="F38" s="23">
        <f>F18/F17</f>
        <v>1.0036727040767015</v>
      </c>
      <c r="G38" s="23">
        <f t="shared" si="8"/>
        <v>1.0329964328180736</v>
      </c>
      <c r="I38" s="23">
        <f t="shared" si="5"/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40</v>
      </c>
      <c r="B40" s="207">
        <v>1.016</v>
      </c>
      <c r="C40" s="207">
        <f>C42</f>
        <v>1.0119894409370382</v>
      </c>
      <c r="D40" s="207">
        <f>D42</f>
        <v>0.99594423257000464</v>
      </c>
      <c r="E40" s="207">
        <f>E42</f>
        <v>0.96929175495887743</v>
      </c>
      <c r="F40" s="207">
        <f>F42</f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 t="shared" ref="B42:G42" si="9">GEOMEAN(B23:B38)</f>
        <v>1.0189460551491896</v>
      </c>
      <c r="C42" s="24">
        <f t="shared" si="9"/>
        <v>1.0119894409370382</v>
      </c>
      <c r="D42" s="24">
        <f t="shared" si="9"/>
        <v>0.99594423257000464</v>
      </c>
      <c r="E42" s="24">
        <f t="shared" si="9"/>
        <v>0.96929175495887743</v>
      </c>
      <c r="F42" s="24">
        <f t="shared" si="9"/>
        <v>1.0133348824580737</v>
      </c>
      <c r="G42" s="24">
        <f t="shared" si="9"/>
        <v>1.0123238361391926</v>
      </c>
      <c r="I42" s="24">
        <f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activeCell="F18" sqref="F18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36" t="s">
        <v>147</v>
      </c>
      <c r="B1" s="536"/>
      <c r="C1" s="536"/>
      <c r="D1" s="536"/>
      <c r="E1" s="536"/>
    </row>
    <row r="2" spans="1:7" ht="42" customHeight="1" x14ac:dyDescent="0.2">
      <c r="B2" s="6" t="str">
        <f>'Rate Class Customer Model'!D2</f>
        <v>GS&gt;50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4">
        <v>2013</v>
      </c>
      <c r="B16" s="29">
        <f>'Rate Class Energy Model'!N83*$B$34</f>
        <v>2209319.9588224045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2384617.8305604751</v>
      </c>
      <c r="G16" s="5"/>
    </row>
    <row r="17" spans="1:7" x14ac:dyDescent="0.2">
      <c r="A17" s="274">
        <v>2014</v>
      </c>
      <c r="B17" s="29">
        <f>'Rate Class Energy Model'!N84*B34</f>
        <v>2225926.8825137992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2334073.8868519077</v>
      </c>
      <c r="G17" s="5"/>
    </row>
    <row r="18" spans="1:7" x14ac:dyDescent="0.2">
      <c r="A18" s="19"/>
      <c r="C18" s="29">
        <f>'Rate Class Energy Model'!O81*C34</f>
        <v>124497.88790112856</v>
      </c>
      <c r="F18" s="5">
        <f>+C18-C17</f>
        <v>61496.170127779857</v>
      </c>
    </row>
    <row r="19" spans="1:7" x14ac:dyDescent="0.2">
      <c r="A19" s="18" t="s">
        <v>41</v>
      </c>
      <c r="B19" s="4"/>
      <c r="C19" s="4"/>
      <c r="D19" s="4"/>
    </row>
    <row r="20" spans="1:7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7" x14ac:dyDescent="0.2">
      <c r="A34" t="s">
        <v>12</v>
      </c>
      <c r="B34" s="27">
        <f>AVERAGE(B22:B32)</f>
        <v>2.6116542444951773E-3</v>
      </c>
      <c r="C34" s="27">
        <f>AVERAGE(C20:C32)</f>
        <v>1.9812490017420792E-3</v>
      </c>
      <c r="D34" s="27">
        <f>AVERAGE(D20:D32)</f>
        <v>2.7991062615843076E-3</v>
      </c>
      <c r="F34" s="27"/>
    </row>
    <row r="36" spans="1:7" x14ac:dyDescent="0.2">
      <c r="B36"/>
      <c r="C36" s="537" t="s">
        <v>224</v>
      </c>
      <c r="D36" s="537"/>
      <c r="F36" s="538" t="s">
        <v>315</v>
      </c>
      <c r="G36" s="539"/>
    </row>
    <row r="37" spans="1:7" x14ac:dyDescent="0.2">
      <c r="B37"/>
      <c r="C37" s="284" t="s">
        <v>102</v>
      </c>
      <c r="D37" s="284" t="s">
        <v>131</v>
      </c>
      <c r="G37" s="498">
        <v>2014</v>
      </c>
    </row>
    <row r="38" spans="1:7" x14ac:dyDescent="0.2">
      <c r="B38" s="286">
        <v>41436</v>
      </c>
      <c r="C38" s="285">
        <v>2656702.2888000002</v>
      </c>
      <c r="D38" s="285">
        <v>5422.0320000000002</v>
      </c>
      <c r="F38" s="5" t="s">
        <v>55</v>
      </c>
      <c r="G38" s="503">
        <v>5300</v>
      </c>
    </row>
    <row r="39" spans="1:7" x14ac:dyDescent="0.2">
      <c r="B39" s="286">
        <v>41466</v>
      </c>
      <c r="C39" s="285">
        <v>2453203.4309999999</v>
      </c>
      <c r="D39" s="285">
        <v>5311.152</v>
      </c>
      <c r="F39" s="5" t="s">
        <v>56</v>
      </c>
      <c r="G39" s="503">
        <v>5200</v>
      </c>
    </row>
    <row r="40" spans="1:7" x14ac:dyDescent="0.2">
      <c r="B40" s="286">
        <v>41497</v>
      </c>
      <c r="C40" s="285">
        <v>2774492.0833999999</v>
      </c>
      <c r="D40" s="285">
        <v>5344.4160000000002</v>
      </c>
      <c r="F40" s="5" t="s">
        <v>57</v>
      </c>
      <c r="G40" s="503">
        <v>5200</v>
      </c>
    </row>
    <row r="41" spans="1:7" x14ac:dyDescent="0.2">
      <c r="B41" s="286">
        <v>41528</v>
      </c>
      <c r="C41" s="285">
        <v>2610932.9904</v>
      </c>
      <c r="D41" s="285">
        <v>5078.3033999999998</v>
      </c>
      <c r="F41" s="5" t="s">
        <v>58</v>
      </c>
      <c r="G41" s="503">
        <v>5500</v>
      </c>
    </row>
    <row r="42" spans="1:7" x14ac:dyDescent="0.2">
      <c r="B42" s="286">
        <v>41558</v>
      </c>
      <c r="C42" s="285">
        <v>2766213.639</v>
      </c>
      <c r="D42" s="285">
        <v>4645.8720000000003</v>
      </c>
      <c r="F42" s="5" t="s">
        <v>59</v>
      </c>
      <c r="G42" s="503">
        <v>6200</v>
      </c>
    </row>
    <row r="43" spans="1:7" x14ac:dyDescent="0.2">
      <c r="B43" s="286">
        <v>41589</v>
      </c>
      <c r="C43" s="285">
        <v>2682213.1836999999</v>
      </c>
      <c r="D43" s="285">
        <v>5488.56</v>
      </c>
      <c r="F43" s="5" t="s">
        <v>60</v>
      </c>
      <c r="G43" s="503">
        <v>6300</v>
      </c>
    </row>
    <row r="44" spans="1:7" x14ac:dyDescent="0.2">
      <c r="B44" s="286">
        <v>41619</v>
      </c>
      <c r="C44" s="285">
        <v>2331092.8569999998</v>
      </c>
      <c r="D44" s="285">
        <v>5100.4799999999996</v>
      </c>
      <c r="F44" s="5" t="s">
        <v>61</v>
      </c>
      <c r="G44" s="503">
        <v>6600</v>
      </c>
    </row>
    <row r="45" spans="1:7" x14ac:dyDescent="0.2">
      <c r="B45" s="286">
        <v>41286</v>
      </c>
      <c r="C45" s="285">
        <v>2732241.335</v>
      </c>
      <c r="D45" s="285">
        <v>5189.1840000000002</v>
      </c>
      <c r="F45" s="5" t="s">
        <v>62</v>
      </c>
      <c r="G45" s="503">
        <v>6300</v>
      </c>
    </row>
    <row r="46" spans="1:7" x14ac:dyDescent="0.2">
      <c r="B46" s="286">
        <v>41317</v>
      </c>
      <c r="C46" s="285">
        <v>2663289.0144000002</v>
      </c>
      <c r="D46" s="285">
        <v>5388.7673999999997</v>
      </c>
      <c r="F46" s="5" t="s">
        <v>63</v>
      </c>
      <c r="G46" s="503">
        <v>6400</v>
      </c>
    </row>
    <row r="47" spans="1:7" x14ac:dyDescent="0.2">
      <c r="B47" s="286">
        <v>41345</v>
      </c>
      <c r="C47" s="285">
        <v>2804734.7244000002</v>
      </c>
      <c r="D47" s="285">
        <v>5333.3280000000004</v>
      </c>
      <c r="F47" s="5" t="s">
        <v>64</v>
      </c>
      <c r="G47" s="503">
        <v>5600</v>
      </c>
    </row>
    <row r="48" spans="1:7" x14ac:dyDescent="0.2">
      <c r="B48" s="286">
        <v>41376</v>
      </c>
      <c r="C48" s="285">
        <v>2723836.2228000001</v>
      </c>
      <c r="D48" s="285">
        <v>5344.16</v>
      </c>
      <c r="F48" s="5" t="s">
        <v>65</v>
      </c>
      <c r="G48" s="503">
        <v>5200</v>
      </c>
    </row>
    <row r="49" spans="2:7" x14ac:dyDescent="0.2">
      <c r="B49" s="286">
        <v>41406</v>
      </c>
      <c r="C49" s="285">
        <v>2908298.3177</v>
      </c>
      <c r="D49" s="285">
        <v>5277.8879999999999</v>
      </c>
      <c r="F49" s="5" t="s">
        <v>67</v>
      </c>
      <c r="G49" s="503">
        <v>5200</v>
      </c>
    </row>
    <row r="50" spans="2:7" x14ac:dyDescent="0.2">
      <c r="B50" s="286">
        <v>41437</v>
      </c>
      <c r="C50" s="285">
        <v>2687220.7840999998</v>
      </c>
      <c r="D50" s="285">
        <v>5333.3280000000004</v>
      </c>
    </row>
    <row r="51" spans="2:7" x14ac:dyDescent="0.2">
      <c r="B51" s="286">
        <v>41467</v>
      </c>
      <c r="C51" s="285">
        <v>2458095.6228999998</v>
      </c>
      <c r="D51" s="285">
        <v>5288.9759999999997</v>
      </c>
    </row>
    <row r="52" spans="2:7" x14ac:dyDescent="0.2">
      <c r="B52" s="286">
        <v>41498</v>
      </c>
      <c r="C52" s="285">
        <v>2810634.6290000002</v>
      </c>
      <c r="D52" s="285">
        <v>5155.92</v>
      </c>
    </row>
    <row r="53" spans="2:7" x14ac:dyDescent="0.2">
      <c r="B53" s="287">
        <v>41529</v>
      </c>
      <c r="C53" s="285">
        <v>2598209.9136000001</v>
      </c>
      <c r="D53" s="285">
        <v>5288.9759999999997</v>
      </c>
    </row>
    <row r="54" spans="2:7" x14ac:dyDescent="0.2">
      <c r="B54" s="286">
        <v>41559</v>
      </c>
      <c r="C54" s="285">
        <v>2800613.7985999999</v>
      </c>
      <c r="D54" s="285">
        <v>5344.4160000000002</v>
      </c>
    </row>
    <row r="55" spans="2:7" x14ac:dyDescent="0.2">
      <c r="B55" s="286">
        <v>41590</v>
      </c>
      <c r="C55" s="285">
        <v>2611614.1817000001</v>
      </c>
      <c r="D55" s="285">
        <v>5189.1833999999999</v>
      </c>
    </row>
    <row r="56" spans="2:7" x14ac:dyDescent="0.2">
      <c r="B56" s="286">
        <v>41620</v>
      </c>
      <c r="C56" s="285">
        <v>2274762.2788999998</v>
      </c>
      <c r="D56" s="285">
        <v>5155.92</v>
      </c>
    </row>
    <row r="57" spans="2:7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7" x14ac:dyDescent="0.2">
      <c r="B58"/>
      <c r="C58" s="289">
        <f>+C57*12</f>
        <v>31798990.292463161</v>
      </c>
      <c r="D58"/>
    </row>
    <row r="62" spans="2:7" x14ac:dyDescent="0.2">
      <c r="B62" s="13"/>
      <c r="C62" s="13"/>
      <c r="D62" s="13"/>
    </row>
    <row r="63" spans="2:7" x14ac:dyDescent="0.2">
      <c r="B63" s="13"/>
      <c r="C63" s="13"/>
      <c r="D63" s="13"/>
    </row>
  </sheetData>
  <mergeCells count="3">
    <mergeCell ref="A1:E1"/>
    <mergeCell ref="C36:D36"/>
    <mergeCell ref="F36:G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1"/>
  <sheetViews>
    <sheetView tabSelected="1" topLeftCell="N1" zoomScaleNormal="100" workbookViewId="0">
      <selection activeCell="W25" sqref="W25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9" width="13" customWidth="1"/>
    <col min="10" max="10" width="12.85546875" bestFit="1" customWidth="1"/>
    <col min="13" max="13" width="12.7109375" customWidth="1"/>
    <col min="14" max="14" width="12.28515625" bestFit="1" customWidth="1"/>
    <col min="15" max="15" width="11.28515625" bestFit="1" customWidth="1"/>
    <col min="19" max="19" width="15.28515625" customWidth="1"/>
    <col min="20" max="29" width="13.7109375" customWidth="1"/>
  </cols>
  <sheetData>
    <row r="1" spans="1:29" ht="51" x14ac:dyDescent="0.2">
      <c r="B1" s="255" t="s">
        <v>73</v>
      </c>
      <c r="C1" s="255" t="s">
        <v>74</v>
      </c>
      <c r="D1" s="255" t="s">
        <v>75</v>
      </c>
      <c r="E1" s="255" t="s">
        <v>76</v>
      </c>
      <c r="F1" s="255" t="s">
        <v>52</v>
      </c>
      <c r="G1" s="216" t="s">
        <v>310</v>
      </c>
      <c r="H1" s="216" t="s">
        <v>311</v>
      </c>
      <c r="I1" s="216"/>
      <c r="M1" s="525" t="s">
        <v>54</v>
      </c>
      <c r="N1" s="525"/>
    </row>
    <row r="2" spans="1:29" x14ac:dyDescent="0.2">
      <c r="A2">
        <v>2005</v>
      </c>
      <c r="B2" s="208">
        <f>292583</f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>G2/2</f>
        <v>146291.5</v>
      </c>
      <c r="I2" s="58">
        <f>H2</f>
        <v>146291.5</v>
      </c>
      <c r="J2" s="58">
        <f>I2/$Q$14</f>
        <v>1875.5320512820513</v>
      </c>
      <c r="M2" s="59">
        <f>+G52</f>
        <v>146291.5</v>
      </c>
      <c r="N2" s="59">
        <f>H2</f>
        <v>146291.5</v>
      </c>
      <c r="O2" s="59">
        <f>M2-N2</f>
        <v>0</v>
      </c>
      <c r="P2" s="57" t="s">
        <v>55</v>
      </c>
      <c r="Q2" s="57">
        <v>1</v>
      </c>
      <c r="S2" s="512"/>
      <c r="T2" s="513">
        <v>2005</v>
      </c>
      <c r="U2" s="513">
        <v>2006</v>
      </c>
      <c r="V2" s="513">
        <v>2007</v>
      </c>
      <c r="W2" s="513">
        <v>2008</v>
      </c>
      <c r="X2" s="513">
        <v>2009</v>
      </c>
      <c r="Y2" s="513">
        <v>2010</v>
      </c>
      <c r="Z2" s="513">
        <v>2011</v>
      </c>
      <c r="AA2" s="513">
        <v>2012</v>
      </c>
      <c r="AB2" s="513">
        <v>2013</v>
      </c>
      <c r="AC2" s="513">
        <v>2014</v>
      </c>
    </row>
    <row r="3" spans="1:29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F3-F2</f>
        <v>10432243.971235819</v>
      </c>
      <c r="H3" s="58">
        <f>F2+G3/2</f>
        <v>5508704.9856179096</v>
      </c>
      <c r="I3" s="58">
        <f>H3-H52</f>
        <v>5238628.3702332946</v>
      </c>
      <c r="J3" s="58">
        <f t="shared" ref="J3:J11" si="0">I3/$Q$14</f>
        <v>67161.902182478138</v>
      </c>
      <c r="M3" s="59">
        <f>+G64</f>
        <v>5508704.9856179086</v>
      </c>
      <c r="N3" s="59">
        <f t="shared" ref="N3:N11" si="1">H3</f>
        <v>5508704.9856179096</v>
      </c>
      <c r="O3" s="59">
        <f t="shared" ref="O3:O11" si="2">M3-N3</f>
        <v>0</v>
      </c>
      <c r="P3" s="57" t="s">
        <v>56</v>
      </c>
      <c r="Q3" s="57">
        <v>2</v>
      </c>
      <c r="S3" s="514" t="s">
        <v>317</v>
      </c>
      <c r="T3" s="515">
        <v>292583</v>
      </c>
      <c r="U3" s="515">
        <v>4688792.07</v>
      </c>
      <c r="V3" s="515">
        <v>11539979.470000001</v>
      </c>
      <c r="W3" s="515">
        <v>13901638.780000001</v>
      </c>
      <c r="X3" s="515">
        <v>14769006.445204625</v>
      </c>
      <c r="Y3" s="515">
        <v>14630347.945204625</v>
      </c>
      <c r="Z3" s="515">
        <v>14630347.945204625</v>
      </c>
      <c r="AA3" s="515">
        <v>14282989.945204625</v>
      </c>
      <c r="AB3" s="515">
        <v>9108720.7277046256</v>
      </c>
      <c r="AC3" s="515">
        <v>9108720.7277046256</v>
      </c>
    </row>
    <row r="4" spans="1:29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3">B4-C4</f>
        <v>8663138.6300066262</v>
      </c>
      <c r="E4" s="63">
        <f t="shared" ref="E4:E12" si="4">D4/C4</f>
        <v>0.40361646423899761</v>
      </c>
      <c r="F4" s="58">
        <f>C4</f>
        <v>21463789.011532571</v>
      </c>
      <c r="G4" s="58">
        <f t="shared" ref="G4:G11" si="5">F4-F3</f>
        <v>10738962.040296752</v>
      </c>
      <c r="H4" s="58">
        <f t="shared" ref="H4:H11" si="6">F3+G4/2</f>
        <v>16094307.991384195</v>
      </c>
      <c r="I4" s="58">
        <f>H4-H64</f>
        <v>6152917.4617227297</v>
      </c>
      <c r="J4" s="58">
        <f t="shared" si="0"/>
        <v>78883.557201573465</v>
      </c>
      <c r="M4" s="59">
        <f>G76</f>
        <v>16094307.991384193</v>
      </c>
      <c r="N4" s="59">
        <f t="shared" si="1"/>
        <v>16094307.991384195</v>
      </c>
      <c r="O4" s="59">
        <f t="shared" si="2"/>
        <v>0</v>
      </c>
      <c r="P4" s="57" t="s">
        <v>57</v>
      </c>
      <c r="Q4" s="57">
        <v>3</v>
      </c>
      <c r="S4" s="514" t="s">
        <v>318</v>
      </c>
      <c r="T4" s="515"/>
      <c r="U4" s="516">
        <v>6036034.9712358201</v>
      </c>
      <c r="V4" s="515">
        <v>6036034.9712358201</v>
      </c>
      <c r="W4" s="515">
        <v>6036034.9712358201</v>
      </c>
      <c r="X4" s="515">
        <v>6036034.9712358201</v>
      </c>
      <c r="Y4" s="515">
        <v>1048325.62129447</v>
      </c>
      <c r="Z4" s="515">
        <v>1048325.62129447</v>
      </c>
      <c r="AA4" s="515">
        <v>958932.530702246</v>
      </c>
      <c r="AB4" s="515">
        <v>958932.530702246</v>
      </c>
      <c r="AC4" s="515">
        <v>901064.85922521201</v>
      </c>
    </row>
    <row r="5" spans="1:29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3"/>
        <v>7342066.2628464997</v>
      </c>
      <c r="E5" s="63">
        <f t="shared" si="4"/>
        <v>0.27133636995106014</v>
      </c>
      <c r="F5" s="58">
        <f>C5</f>
        <v>27058909.442072801</v>
      </c>
      <c r="G5" s="58">
        <f t="shared" si="5"/>
        <v>5595120.4305402301</v>
      </c>
      <c r="H5" s="58">
        <f t="shared" si="6"/>
        <v>24261349.226802684</v>
      </c>
      <c r="I5" s="58">
        <f>H5-H76</f>
        <v>2960726.4601146504</v>
      </c>
      <c r="J5" s="58">
        <f t="shared" si="0"/>
        <v>37958.031539931413</v>
      </c>
      <c r="M5" s="59">
        <f>+G88</f>
        <v>24261349.226802688</v>
      </c>
      <c r="N5" s="59">
        <f t="shared" si="1"/>
        <v>24261349.226802684</v>
      </c>
      <c r="O5" s="59">
        <f t="shared" si="2"/>
        <v>0</v>
      </c>
      <c r="P5" s="57" t="s">
        <v>58</v>
      </c>
      <c r="Q5" s="57">
        <v>4</v>
      </c>
      <c r="S5" s="514" t="s">
        <v>319</v>
      </c>
      <c r="T5" s="515"/>
      <c r="U5" s="514"/>
      <c r="V5" s="515">
        <v>3887775.0402967501</v>
      </c>
      <c r="W5" s="515">
        <v>3111481.79956224</v>
      </c>
      <c r="X5" s="515">
        <v>3016918.0548136099</v>
      </c>
      <c r="Y5" s="515">
        <v>3016918.0548136099</v>
      </c>
      <c r="Z5" s="515">
        <v>3016607.5121982298</v>
      </c>
      <c r="AA5" s="515">
        <v>2920674.0214894097</v>
      </c>
      <c r="AB5" s="515">
        <v>2920674.0214894097</v>
      </c>
      <c r="AC5" s="515">
        <v>2920674.0214894097</v>
      </c>
    </row>
    <row r="6" spans="1:29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3"/>
        <v>10726445.394418202</v>
      </c>
      <c r="E6" s="63">
        <f t="shared" si="4"/>
        <v>0.2926284196836299</v>
      </c>
      <c r="F6" s="58">
        <f>C6</f>
        <v>36655514.888181098</v>
      </c>
      <c r="G6" s="58">
        <f t="shared" si="5"/>
        <v>9596605.4461082965</v>
      </c>
      <c r="H6" s="58">
        <f t="shared" si="6"/>
        <v>31857212.16512695</v>
      </c>
      <c r="I6" s="58">
        <f>H6-H88</f>
        <v>5090632.85668879</v>
      </c>
      <c r="J6" s="58">
        <f t="shared" si="0"/>
        <v>65264.523803702439</v>
      </c>
      <c r="M6" s="59">
        <f>+G100</f>
        <v>31857212.165126961</v>
      </c>
      <c r="N6" s="59">
        <f t="shared" si="1"/>
        <v>31857212.16512695</v>
      </c>
      <c r="O6" s="59">
        <f t="shared" si="2"/>
        <v>0</v>
      </c>
      <c r="P6" s="57" t="s">
        <v>59</v>
      </c>
      <c r="Q6" s="57">
        <v>5</v>
      </c>
      <c r="S6" s="514" t="s">
        <v>320</v>
      </c>
      <c r="T6" s="515"/>
      <c r="U6" s="514"/>
      <c r="V6" s="514"/>
      <c r="W6" s="515">
        <v>4009753.6712747803</v>
      </c>
      <c r="X6" s="515">
        <v>3663595.9474245999</v>
      </c>
      <c r="Y6" s="515">
        <v>3663595.9474245999</v>
      </c>
      <c r="Z6" s="515">
        <v>3663595.9474245999</v>
      </c>
      <c r="AA6" s="515">
        <v>3373054.7370565501</v>
      </c>
      <c r="AB6" s="515">
        <v>3372487.3770565502</v>
      </c>
      <c r="AC6" s="515">
        <v>3070530.0878048902</v>
      </c>
    </row>
    <row r="7" spans="1:29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3"/>
        <v>15020888.528024197</v>
      </c>
      <c r="E7" s="63">
        <f t="shared" si="4"/>
        <v>0.37889821379014155</v>
      </c>
      <c r="F7" s="58">
        <f>C7</f>
        <v>39643598.152045503</v>
      </c>
      <c r="G7" s="58">
        <f t="shared" si="5"/>
        <v>2988083.2638644055</v>
      </c>
      <c r="H7" s="58">
        <f t="shared" si="6"/>
        <v>38149556.520113304</v>
      </c>
      <c r="I7" s="58">
        <f>H7-H100</f>
        <v>1984885.7839419767</v>
      </c>
      <c r="J7" s="58">
        <f t="shared" si="0"/>
        <v>25447.253640281753</v>
      </c>
      <c r="M7" s="59">
        <f>+G112</f>
        <v>38149556.520113319</v>
      </c>
      <c r="N7" s="59">
        <f t="shared" si="1"/>
        <v>38149556.520113304</v>
      </c>
      <c r="O7" s="59">
        <f t="shared" si="2"/>
        <v>0</v>
      </c>
      <c r="P7" s="57" t="s">
        <v>60</v>
      </c>
      <c r="Q7" s="57">
        <v>6</v>
      </c>
      <c r="S7" s="514" t="s">
        <v>321</v>
      </c>
      <c r="T7" s="515"/>
      <c r="U7" s="514"/>
      <c r="V7" s="514"/>
      <c r="W7" s="514"/>
      <c r="X7" s="515">
        <v>9169959.9147070795</v>
      </c>
      <c r="Y7" s="515">
        <v>7890852.1039132997</v>
      </c>
      <c r="Z7" s="515">
        <v>7890852.1039132997</v>
      </c>
      <c r="AA7" s="515">
        <v>7887707.15265036</v>
      </c>
      <c r="AB7" s="515">
        <v>7794412.8171352707</v>
      </c>
      <c r="AC7" s="515">
        <v>7491579.6663477002</v>
      </c>
    </row>
    <row r="8" spans="1:29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3"/>
        <v>15056850.232341103</v>
      </c>
      <c r="E8" s="63">
        <f t="shared" si="4"/>
        <v>0.40285929076913901</v>
      </c>
      <c r="F8" s="58">
        <f>C8+A27</f>
        <v>50257589.466298394</v>
      </c>
      <c r="G8" s="58">
        <f t="shared" si="5"/>
        <v>10613991.314252891</v>
      </c>
      <c r="H8" s="58">
        <f t="shared" si="6"/>
        <v>44950593.809171945</v>
      </c>
      <c r="I8" s="58">
        <f>H8-H112</f>
        <v>5121518.548800014</v>
      </c>
      <c r="J8" s="58">
        <f t="shared" si="0"/>
        <v>65660.494215384795</v>
      </c>
      <c r="M8" s="59">
        <f>+G124</f>
        <v>44950593.80917193</v>
      </c>
      <c r="N8" s="59">
        <f t="shared" si="1"/>
        <v>44950593.809171945</v>
      </c>
      <c r="O8" s="59">
        <f t="shared" si="2"/>
        <v>0</v>
      </c>
      <c r="P8" s="57" t="s">
        <v>61</v>
      </c>
      <c r="Q8" s="57">
        <v>7</v>
      </c>
      <c r="S8" s="514" t="s">
        <v>322</v>
      </c>
      <c r="T8" s="514"/>
      <c r="U8" s="514"/>
      <c r="V8" s="514"/>
      <c r="W8" s="514"/>
      <c r="X8" s="514"/>
      <c r="Y8" s="515">
        <v>9393558.4245995712</v>
      </c>
      <c r="Z8" s="515">
        <v>7125231.6944247307</v>
      </c>
      <c r="AA8" s="515">
        <v>7116405.1546846507</v>
      </c>
      <c r="AB8" s="515">
        <v>7115045.4509218102</v>
      </c>
      <c r="AC8" s="515">
        <v>7023482.6487073293</v>
      </c>
    </row>
    <row r="9" spans="1:29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3"/>
        <v>14407550.311085992</v>
      </c>
      <c r="E9" s="63">
        <f t="shared" si="4"/>
        <v>0.39429785233841053</v>
      </c>
      <c r="F9" s="58">
        <f>C9+B27+B28</f>
        <v>55878489.80257</v>
      </c>
      <c r="G9" s="58">
        <f t="shared" si="5"/>
        <v>5620900.3362716064</v>
      </c>
      <c r="H9" s="58">
        <f t="shared" si="6"/>
        <v>53068039.634434193</v>
      </c>
      <c r="I9" s="58">
        <f>H9-H124</f>
        <v>3783853.2070468813</v>
      </c>
      <c r="J9" s="58">
        <f t="shared" si="0"/>
        <v>48510.938551883097</v>
      </c>
      <c r="M9" s="59">
        <f>+G136</f>
        <v>53068039.634434208</v>
      </c>
      <c r="N9" s="59">
        <f t="shared" si="1"/>
        <v>53068039.634434193</v>
      </c>
      <c r="O9" s="59">
        <f t="shared" si="2"/>
        <v>0</v>
      </c>
      <c r="P9" s="57" t="s">
        <v>62</v>
      </c>
      <c r="Q9" s="57">
        <v>8</v>
      </c>
      <c r="S9" s="514" t="s">
        <v>98</v>
      </c>
      <c r="T9" s="514"/>
      <c r="U9" s="514"/>
      <c r="V9" s="514"/>
      <c r="W9" s="514"/>
      <c r="X9" s="514"/>
      <c r="Y9" s="514"/>
      <c r="Z9" s="515">
        <v>12882628.587043101</v>
      </c>
      <c r="AA9" s="515">
        <v>12777283.2059868</v>
      </c>
      <c r="AB9" s="515">
        <v>12766732.7844238</v>
      </c>
      <c r="AC9" s="515">
        <v>12588174.119054999</v>
      </c>
    </row>
    <row r="10" spans="1:29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3"/>
        <v>14317376.399295904</v>
      </c>
      <c r="E10" s="63">
        <f t="shared" si="4"/>
        <v>0.4578590122624735</v>
      </c>
      <c r="F10" s="58">
        <f>C10+C27+C28</f>
        <v>50537005.981729098</v>
      </c>
      <c r="G10" s="58">
        <f t="shared" si="5"/>
        <v>-5341483.8208409026</v>
      </c>
      <c r="H10" s="58">
        <f t="shared" si="6"/>
        <v>53207747.892149553</v>
      </c>
      <c r="I10" s="58">
        <f>H10-H136</f>
        <v>-3062013.6867089421</v>
      </c>
      <c r="J10" s="58">
        <f t="shared" si="0"/>
        <v>-39256.585727037716</v>
      </c>
      <c r="M10" s="59">
        <f>+G148</f>
        <v>53207747.892149538</v>
      </c>
      <c r="N10" s="59">
        <f t="shared" si="1"/>
        <v>53207747.892149553</v>
      </c>
      <c r="O10" s="59">
        <f t="shared" si="2"/>
        <v>0</v>
      </c>
      <c r="P10" s="57" t="s">
        <v>63</v>
      </c>
      <c r="Q10" s="57">
        <v>9</v>
      </c>
      <c r="S10" s="514" t="s">
        <v>99</v>
      </c>
      <c r="T10" s="514"/>
      <c r="U10" s="514"/>
      <c r="V10" s="514"/>
      <c r="W10" s="514"/>
      <c r="X10" s="514"/>
      <c r="Y10" s="514"/>
      <c r="Z10" s="514"/>
      <c r="AA10" s="515">
        <v>6561443</v>
      </c>
      <c r="AB10" s="515">
        <v>6500000</v>
      </c>
      <c r="AC10" s="515">
        <v>6400000</v>
      </c>
    </row>
    <row r="11" spans="1:29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3"/>
        <v>13578314.480279207</v>
      </c>
      <c r="E11" s="63">
        <f t="shared" si="4"/>
        <v>0.44495645616611557</v>
      </c>
      <c r="F11" s="58">
        <f>C11+D27+D28</f>
        <v>49504226.402629495</v>
      </c>
      <c r="G11" s="58">
        <f t="shared" si="5"/>
        <v>-1032779.579099603</v>
      </c>
      <c r="H11" s="58">
        <f t="shared" si="6"/>
        <v>50020616.192179292</v>
      </c>
      <c r="I11" s="58">
        <f>H11-H148</f>
        <v>-596197.0419857502</v>
      </c>
      <c r="J11" s="58">
        <f t="shared" si="0"/>
        <v>-7643.5518203301308</v>
      </c>
      <c r="M11" s="59">
        <f>+G160</f>
        <v>50020616.192179278</v>
      </c>
      <c r="N11" s="59">
        <f t="shared" si="1"/>
        <v>50020616.192179292</v>
      </c>
      <c r="O11" s="59">
        <f t="shared" si="2"/>
        <v>0</v>
      </c>
      <c r="P11" s="57" t="s">
        <v>64</v>
      </c>
      <c r="Q11" s="57">
        <v>10</v>
      </c>
      <c r="S11" s="517" t="s">
        <v>10</v>
      </c>
      <c r="T11" s="518">
        <v>292583</v>
      </c>
      <c r="U11" s="518">
        <v>10724827.041235819</v>
      </c>
      <c r="V11" s="518">
        <v>21463789.481532574</v>
      </c>
      <c r="W11" s="518">
        <v>27058909.22207284</v>
      </c>
      <c r="X11" s="518">
        <v>36655515.333385736</v>
      </c>
      <c r="Y11" s="518">
        <v>39643598.097250178</v>
      </c>
      <c r="Z11" s="518">
        <v>50257589.411503054</v>
      </c>
      <c r="AA11" s="518">
        <v>55878489.747774638</v>
      </c>
      <c r="AB11" s="518">
        <v>50598448.709433712</v>
      </c>
      <c r="AC11" s="518">
        <v>49665669.130334169</v>
      </c>
    </row>
    <row r="12" spans="1:29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4"/>
        <v>0.36759800235060658</v>
      </c>
      <c r="F12" s="58">
        <f>SUM(F3:F11)</f>
        <v>341723950.11829478</v>
      </c>
      <c r="G12" s="58"/>
      <c r="H12" s="58">
        <f>SUM(H2:H11)</f>
        <v>317264419.91698003</v>
      </c>
      <c r="I12" s="58"/>
      <c r="J12" s="58"/>
      <c r="M12" s="58">
        <f>SUM(M2:M11)</f>
        <v>317264419.91698003</v>
      </c>
      <c r="N12" s="58">
        <f>SUM(N2:N11)</f>
        <v>317264419.91698003</v>
      </c>
      <c r="P12" s="57" t="s">
        <v>65</v>
      </c>
      <c r="Q12" s="57">
        <v>11</v>
      </c>
    </row>
    <row r="13" spans="1:29" x14ac:dyDescent="0.2">
      <c r="F13" s="58"/>
      <c r="G13" s="58"/>
      <c r="H13" s="58"/>
      <c r="I13" s="58"/>
      <c r="J13" s="58"/>
      <c r="P13" s="57" t="s">
        <v>67</v>
      </c>
      <c r="Q13" s="57">
        <v>12</v>
      </c>
    </row>
    <row r="14" spans="1:29" x14ac:dyDescent="0.2">
      <c r="B14" s="58">
        <f>SUM(B2:B7)</f>
        <v>178296791.37445563</v>
      </c>
      <c r="C14" s="59">
        <f>SUM(C2:C7)</f>
        <v>135839221.4650678</v>
      </c>
      <c r="F14" s="58"/>
      <c r="G14" s="58"/>
      <c r="H14" s="58"/>
      <c r="I14" s="58"/>
      <c r="J14" s="58"/>
      <c r="P14" s="57" t="s">
        <v>10</v>
      </c>
      <c r="Q14" s="57">
        <f>SUM(Q2:Q13)</f>
        <v>78</v>
      </c>
    </row>
    <row r="15" spans="1:29" x14ac:dyDescent="0.2">
      <c r="F15" s="58"/>
      <c r="G15" s="58"/>
      <c r="H15" s="58"/>
      <c r="I15" s="58"/>
      <c r="J15" s="58"/>
    </row>
    <row r="16" spans="1:29" x14ac:dyDescent="0.2">
      <c r="A16" s="540" t="s">
        <v>53</v>
      </c>
      <c r="B16" s="540"/>
      <c r="C16" s="540"/>
      <c r="M16" s="59"/>
    </row>
    <row r="17" spans="1:61" x14ac:dyDescent="0.2">
      <c r="A17" s="541">
        <f>+'CDM Forecast'!Q33</f>
        <v>98411344</v>
      </c>
      <c r="B17" s="541"/>
      <c r="C17" s="541"/>
    </row>
    <row r="18" spans="1:61" ht="12.75" customHeight="1" thickBot="1" x14ac:dyDescent="0.25"/>
    <row r="19" spans="1:61" x14ac:dyDescent="0.2">
      <c r="A19" s="542" t="s">
        <v>142</v>
      </c>
      <c r="B19" s="543"/>
      <c r="C19" s="543"/>
      <c r="D19" s="543"/>
      <c r="E19" s="544"/>
      <c r="I19" s="492"/>
    </row>
    <row r="20" spans="1:61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61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61" x14ac:dyDescent="0.2">
      <c r="A22" s="466"/>
      <c r="B22" s="467">
        <f>B28/$A$17</f>
        <v>6.6673644859478798E-2</v>
      </c>
      <c r="C22" s="467">
        <f>C28/$A$17</f>
        <v>6.6049296105538405E-2</v>
      </c>
      <c r="D22" s="467">
        <f>D28/$A$17</f>
        <v>6.5033153088530124E-2</v>
      </c>
      <c r="E22" s="465">
        <f>SUM(B22:D22)</f>
        <v>0.19775609405354733</v>
      </c>
    </row>
    <row r="23" spans="1:61" x14ac:dyDescent="0.2">
      <c r="A23" s="466"/>
      <c r="B23" s="467"/>
      <c r="C23" s="467">
        <f>(100%-E21-E22)/3</f>
        <v>9.4620129374147807E-2</v>
      </c>
      <c r="D23" s="467">
        <f>C23</f>
        <v>9.4620129374147807E-2</v>
      </c>
      <c r="E23" s="465">
        <f>SUM(C23:D23)</f>
        <v>0.18924025874829561</v>
      </c>
    </row>
    <row r="24" spans="1:61" x14ac:dyDescent="0.2">
      <c r="A24" s="466"/>
      <c r="B24" s="467"/>
      <c r="C24" s="467"/>
      <c r="D24" s="467">
        <f>D23</f>
        <v>9.4620129374147807E-2</v>
      </c>
      <c r="E24" s="465">
        <f>SUM(D24)</f>
        <v>9.4620129374147807E-2</v>
      </c>
    </row>
    <row r="25" spans="1:61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0.29039768916871583</v>
      </c>
      <c r="D25" s="467">
        <f>SUM(D21:D24)</f>
        <v>0.3821872641164471</v>
      </c>
      <c r="E25" s="465">
        <f>SUM(E21:E24)</f>
        <v>1</v>
      </c>
    </row>
    <row r="26" spans="1:61" x14ac:dyDescent="0.2">
      <c r="A26" s="545"/>
      <c r="B26" s="540"/>
      <c r="C26" s="540"/>
      <c r="D26" s="540"/>
      <c r="E26" s="546"/>
      <c r="BI26" t="s">
        <v>78</v>
      </c>
    </row>
    <row r="27" spans="1:61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308</v>
      </c>
      <c r="AE27" s="64"/>
    </row>
    <row r="28" spans="1:61" x14ac:dyDescent="0.2">
      <c r="A28" s="471"/>
      <c r="B28" s="469">
        <f>(+'CDM Forecast'!M33)</f>
        <v>6561443</v>
      </c>
      <c r="C28" s="469">
        <v>6500000</v>
      </c>
      <c r="D28" s="469">
        <v>6400000</v>
      </c>
      <c r="E28" s="470">
        <f>SUM(A28:D28)</f>
        <v>19461443</v>
      </c>
      <c r="F28" s="163" t="s">
        <v>309</v>
      </c>
    </row>
    <row r="29" spans="1:61" x14ac:dyDescent="0.2">
      <c r="A29" s="471"/>
      <c r="B29" s="332"/>
      <c r="C29" s="332">
        <f>C23*$A$17</f>
        <v>9311694.1011637654</v>
      </c>
      <c r="D29" s="332">
        <f>D23*$A$17</f>
        <v>9311694.1011637654</v>
      </c>
      <c r="E29" s="470">
        <f>SUM(A29:D29)</f>
        <v>18623388.202327531</v>
      </c>
    </row>
    <row r="30" spans="1:61" x14ac:dyDescent="0.2">
      <c r="A30" s="471"/>
      <c r="B30" s="332"/>
      <c r="C30" s="332"/>
      <c r="D30" s="332">
        <f>D24*$A$17</f>
        <v>9311694.1011637654</v>
      </c>
      <c r="E30" s="470">
        <f>SUM(A30:D30)</f>
        <v>9311694.1011637654</v>
      </c>
    </row>
    <row r="31" spans="1:61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28578426.885587566</v>
      </c>
      <c r="D31" s="473">
        <f>SUM(D27:D30)</f>
        <v>37611562.32138253</v>
      </c>
      <c r="E31" s="474">
        <f>SUM(A31:D31)</f>
        <v>98411344</v>
      </c>
    </row>
    <row r="32" spans="1:61" x14ac:dyDescent="0.2">
      <c r="B32" s="2"/>
      <c r="C32" s="2"/>
      <c r="D32" s="64"/>
      <c r="E32" s="64"/>
      <c r="F32" s="58"/>
      <c r="G32" s="58"/>
      <c r="H32" s="58"/>
      <c r="I32" s="58"/>
      <c r="J32" s="58"/>
    </row>
    <row r="33" spans="1:10" x14ac:dyDescent="0.2">
      <c r="B33" s="2"/>
      <c r="C33" s="332">
        <f>C28/2</f>
        <v>3250000</v>
      </c>
      <c r="D33" s="332">
        <f>D28/2</f>
        <v>3200000</v>
      </c>
      <c r="E33" s="64"/>
      <c r="F33" s="58"/>
      <c r="G33" s="58"/>
      <c r="H33" s="58"/>
      <c r="I33" s="58"/>
      <c r="J33" s="58"/>
    </row>
    <row r="34" spans="1:10" x14ac:dyDescent="0.2">
      <c r="B34" s="2"/>
      <c r="C34" s="332">
        <f>C29/2</f>
        <v>4655847.0505818827</v>
      </c>
      <c r="D34" s="332">
        <f>D29</f>
        <v>9311694.1011637654</v>
      </c>
      <c r="E34" s="64"/>
      <c r="F34" s="58"/>
      <c r="G34" s="58"/>
      <c r="H34" s="58"/>
      <c r="I34" s="58"/>
      <c r="J34" s="58"/>
    </row>
    <row r="35" spans="1:10" x14ac:dyDescent="0.2">
      <c r="B35" s="2"/>
      <c r="C35" s="520"/>
      <c r="D35" s="332">
        <f t="shared" ref="D35" si="7">D30/2</f>
        <v>4655847.0505818827</v>
      </c>
      <c r="E35" s="64"/>
      <c r="F35" s="58"/>
      <c r="G35" s="58"/>
      <c r="H35" s="58"/>
      <c r="I35" s="58"/>
      <c r="J35" s="58"/>
    </row>
    <row r="36" spans="1:10" x14ac:dyDescent="0.2">
      <c r="B36" s="2"/>
      <c r="C36" s="521">
        <f>SUM(C33:C35)</f>
        <v>7905847.0505818827</v>
      </c>
      <c r="D36" s="521">
        <f>SUM(D33:D35)</f>
        <v>17167541.151745647</v>
      </c>
      <c r="E36" s="64"/>
      <c r="F36" s="58"/>
      <c r="G36" s="58"/>
      <c r="H36" s="58"/>
      <c r="I36" s="58"/>
      <c r="J36" s="58"/>
    </row>
    <row r="37" spans="1:10" x14ac:dyDescent="0.2">
      <c r="B37" s="2"/>
      <c r="C37" s="2"/>
      <c r="D37" s="64"/>
      <c r="E37" s="64"/>
      <c r="F37" s="58"/>
      <c r="G37" s="58"/>
      <c r="H37" s="58"/>
      <c r="I37" s="58"/>
      <c r="J37" s="58"/>
    </row>
    <row r="38" spans="1:10" x14ac:dyDescent="0.2">
      <c r="B38" s="2"/>
      <c r="C38" s="2"/>
      <c r="D38" s="64"/>
      <c r="E38" s="64"/>
      <c r="F38" s="58"/>
      <c r="G38" s="58"/>
      <c r="H38" s="58"/>
      <c r="I38" s="58"/>
      <c r="J38" s="58"/>
    </row>
    <row r="39" spans="1:10" x14ac:dyDescent="0.2">
      <c r="B39" s="2"/>
      <c r="C39" s="2"/>
      <c r="D39" s="64"/>
      <c r="E39" s="64"/>
      <c r="F39" s="58" t="s">
        <v>66</v>
      </c>
      <c r="J39" s="58"/>
    </row>
    <row r="40" spans="1:10" x14ac:dyDescent="0.2">
      <c r="B40" s="2"/>
      <c r="C40" s="2"/>
      <c r="D40" s="64"/>
      <c r="E40" s="64"/>
      <c r="F40" s="58"/>
    </row>
    <row r="41" spans="1:10" x14ac:dyDescent="0.2">
      <c r="A41" s="2">
        <v>38353</v>
      </c>
      <c r="B41" s="2"/>
      <c r="C41" s="2"/>
      <c r="D41" s="64"/>
      <c r="E41" s="64"/>
      <c r="F41" s="58">
        <f>$J$2</f>
        <v>1875.5320512820513</v>
      </c>
    </row>
    <row r="42" spans="1:10" x14ac:dyDescent="0.2">
      <c r="A42" s="2">
        <v>38384</v>
      </c>
      <c r="B42" s="2"/>
      <c r="C42" s="2"/>
      <c r="D42" s="64"/>
      <c r="E42" s="64"/>
      <c r="F42" s="58">
        <f>F41+$J$2</f>
        <v>3751.0641025641025</v>
      </c>
    </row>
    <row r="43" spans="1:10" x14ac:dyDescent="0.2">
      <c r="A43" s="2">
        <v>38412</v>
      </c>
      <c r="B43" s="2"/>
      <c r="C43" s="2"/>
      <c r="D43" s="64"/>
      <c r="E43" s="64"/>
      <c r="F43" s="58">
        <f t="shared" ref="F43:F52" si="8">F42+$J$2</f>
        <v>5626.5961538461543</v>
      </c>
    </row>
    <row r="44" spans="1:10" x14ac:dyDescent="0.2">
      <c r="A44" s="2">
        <v>38443</v>
      </c>
      <c r="B44" s="2"/>
      <c r="C44" s="2"/>
      <c r="D44" s="64"/>
      <c r="E44" s="64"/>
      <c r="F44" s="58">
        <f t="shared" si="8"/>
        <v>7502.1282051282051</v>
      </c>
    </row>
    <row r="45" spans="1:10" x14ac:dyDescent="0.2">
      <c r="A45" s="2">
        <v>38473</v>
      </c>
      <c r="B45" s="2"/>
      <c r="C45" s="2"/>
      <c r="D45" s="64"/>
      <c r="E45" s="64"/>
      <c r="F45" s="58">
        <f t="shared" si="8"/>
        <v>9377.6602564102559</v>
      </c>
    </row>
    <row r="46" spans="1:10" x14ac:dyDescent="0.2">
      <c r="A46" s="2">
        <v>38504</v>
      </c>
      <c r="B46" s="2"/>
      <c r="C46" s="2"/>
      <c r="D46" s="64"/>
      <c r="E46" s="64"/>
      <c r="F46" s="58">
        <f t="shared" si="8"/>
        <v>11253.192307692307</v>
      </c>
    </row>
    <row r="47" spans="1:10" x14ac:dyDescent="0.2">
      <c r="A47" s="2">
        <v>38534</v>
      </c>
      <c r="B47" s="2"/>
      <c r="C47" s="2"/>
      <c r="D47" s="64"/>
      <c r="E47" s="64"/>
      <c r="F47" s="58">
        <f t="shared" si="8"/>
        <v>13128.724358974358</v>
      </c>
    </row>
    <row r="48" spans="1:10" x14ac:dyDescent="0.2">
      <c r="A48" s="2">
        <v>38565</v>
      </c>
      <c r="B48" s="2"/>
      <c r="C48" s="2"/>
      <c r="D48" s="64"/>
      <c r="E48" s="64"/>
      <c r="F48" s="58">
        <f t="shared" si="8"/>
        <v>15004.256410256408</v>
      </c>
    </row>
    <row r="49" spans="1:9" x14ac:dyDescent="0.2">
      <c r="A49" s="2">
        <v>38596</v>
      </c>
      <c r="B49" s="2"/>
      <c r="C49" s="2"/>
      <c r="D49" s="64"/>
      <c r="E49" s="64"/>
      <c r="F49" s="58">
        <f t="shared" si="8"/>
        <v>16879.788461538461</v>
      </c>
    </row>
    <row r="50" spans="1:9" x14ac:dyDescent="0.2">
      <c r="A50" s="2">
        <v>38626</v>
      </c>
      <c r="B50" s="2"/>
      <c r="C50" s="2"/>
      <c r="D50" s="64"/>
      <c r="E50" s="64"/>
      <c r="F50" s="58">
        <f t="shared" si="8"/>
        <v>18755.320512820512</v>
      </c>
    </row>
    <row r="51" spans="1:9" x14ac:dyDescent="0.2">
      <c r="A51" s="2">
        <v>38657</v>
      </c>
      <c r="B51" s="2"/>
      <c r="C51" s="2"/>
      <c r="D51" s="64"/>
      <c r="E51" s="64"/>
      <c r="F51" s="58">
        <f t="shared" si="8"/>
        <v>20630.852564102563</v>
      </c>
      <c r="G51" s="3" t="s">
        <v>54</v>
      </c>
      <c r="H51" s="3"/>
    </row>
    <row r="52" spans="1:9" x14ac:dyDescent="0.2">
      <c r="A52" s="2">
        <v>38687</v>
      </c>
      <c r="B52" s="2"/>
      <c r="C52" s="2"/>
      <c r="D52" s="64"/>
      <c r="E52" s="64"/>
      <c r="F52" s="58">
        <f t="shared" si="8"/>
        <v>22506.384615384613</v>
      </c>
      <c r="G52" s="58">
        <f>SUM(F41:F52)</f>
        <v>146291.5</v>
      </c>
      <c r="H52" s="58">
        <f>F52*12</f>
        <v>270076.61538461538</v>
      </c>
      <c r="I52" s="3"/>
    </row>
    <row r="53" spans="1:9" x14ac:dyDescent="0.2">
      <c r="A53" s="2">
        <v>38718</v>
      </c>
      <c r="B53" s="2"/>
      <c r="C53" s="2"/>
      <c r="D53" s="64"/>
      <c r="E53" s="64"/>
      <c r="F53" s="58">
        <f>+F52+$J$3</f>
        <v>89668.286797862747</v>
      </c>
      <c r="I53" s="58"/>
    </row>
    <row r="54" spans="1:9" x14ac:dyDescent="0.2">
      <c r="A54" s="2">
        <v>38749</v>
      </c>
      <c r="B54" s="2"/>
      <c r="C54" s="2"/>
      <c r="D54" s="64"/>
      <c r="E54" s="64"/>
      <c r="F54" s="58">
        <f t="shared" ref="F54:F64" si="9">+F53+$J$3</f>
        <v>156830.1889803409</v>
      </c>
    </row>
    <row r="55" spans="1:9" x14ac:dyDescent="0.2">
      <c r="A55" s="2">
        <v>38777</v>
      </c>
      <c r="B55" s="2"/>
      <c r="C55" s="2"/>
      <c r="D55" s="64"/>
      <c r="E55" s="64"/>
      <c r="F55" s="58">
        <f t="shared" si="9"/>
        <v>223992.09116281904</v>
      </c>
    </row>
    <row r="56" spans="1:9" x14ac:dyDescent="0.2">
      <c r="A56" s="2">
        <v>38808</v>
      </c>
      <c r="B56" s="2"/>
      <c r="C56" s="2"/>
      <c r="D56" s="64"/>
      <c r="E56" s="64"/>
      <c r="F56" s="58">
        <f t="shared" si="9"/>
        <v>291153.99334529717</v>
      </c>
    </row>
    <row r="57" spans="1:9" x14ac:dyDescent="0.2">
      <c r="A57" s="2">
        <v>38838</v>
      </c>
      <c r="B57" s="2"/>
      <c r="C57" s="2"/>
      <c r="D57" s="64"/>
      <c r="E57" s="64"/>
      <c r="F57" s="58">
        <f t="shared" si="9"/>
        <v>358315.89552777528</v>
      </c>
    </row>
    <row r="58" spans="1:9" x14ac:dyDescent="0.2">
      <c r="A58" s="2">
        <v>38869</v>
      </c>
      <c r="B58" s="2"/>
      <c r="C58" s="2"/>
      <c r="D58" s="64"/>
      <c r="E58" s="64"/>
      <c r="F58" s="58">
        <f t="shared" si="9"/>
        <v>425477.79771025339</v>
      </c>
    </row>
    <row r="59" spans="1:9" x14ac:dyDescent="0.2">
      <c r="A59" s="2">
        <v>38899</v>
      </c>
      <c r="B59" s="2"/>
      <c r="C59" s="2"/>
      <c r="D59" s="64"/>
      <c r="E59" s="64"/>
      <c r="F59" s="58">
        <f t="shared" si="9"/>
        <v>492639.6998927315</v>
      </c>
    </row>
    <row r="60" spans="1:9" x14ac:dyDescent="0.2">
      <c r="A60" s="2">
        <v>38930</v>
      </c>
      <c r="B60" s="2"/>
      <c r="C60" s="2"/>
      <c r="D60" s="64"/>
      <c r="E60" s="64"/>
      <c r="F60" s="58">
        <f t="shared" si="9"/>
        <v>559801.60207520961</v>
      </c>
    </row>
    <row r="61" spans="1:9" x14ac:dyDescent="0.2">
      <c r="A61" s="2">
        <v>38961</v>
      </c>
      <c r="B61" s="2"/>
      <c r="C61" s="2"/>
      <c r="D61" s="64"/>
      <c r="E61" s="64"/>
      <c r="F61" s="58">
        <f t="shared" si="9"/>
        <v>626963.50425768772</v>
      </c>
    </row>
    <row r="62" spans="1:9" x14ac:dyDescent="0.2">
      <c r="A62" s="2">
        <v>38991</v>
      </c>
      <c r="B62" s="2"/>
      <c r="C62" s="2"/>
      <c r="D62" s="64"/>
      <c r="E62" s="64"/>
      <c r="F62" s="58">
        <f t="shared" si="9"/>
        <v>694125.40644016583</v>
      </c>
    </row>
    <row r="63" spans="1:9" x14ac:dyDescent="0.2">
      <c r="A63" s="2">
        <v>39022</v>
      </c>
      <c r="B63" s="2"/>
      <c r="C63" s="2"/>
      <c r="D63" s="64"/>
      <c r="E63" s="64"/>
      <c r="F63" s="58">
        <f t="shared" si="9"/>
        <v>761287.30862264393</v>
      </c>
    </row>
    <row r="64" spans="1:9" x14ac:dyDescent="0.2">
      <c r="A64" s="2">
        <v>39052</v>
      </c>
      <c r="B64" s="2"/>
      <c r="C64" s="2"/>
      <c r="D64" s="64"/>
      <c r="E64" s="64"/>
      <c r="F64" s="58">
        <f t="shared" si="9"/>
        <v>828449.21080512204</v>
      </c>
      <c r="G64" s="58">
        <f>SUM(F53:F64)</f>
        <v>5508704.9856179086</v>
      </c>
      <c r="H64" s="58">
        <f>F64*12</f>
        <v>9941390.5296614654</v>
      </c>
      <c r="I64" s="3"/>
    </row>
    <row r="65" spans="1:9" x14ac:dyDescent="0.2">
      <c r="A65" s="2">
        <v>39083</v>
      </c>
      <c r="B65" s="2"/>
      <c r="C65" s="2"/>
      <c r="D65" s="64"/>
      <c r="E65" s="64"/>
      <c r="F65" s="58">
        <f>+F64+$J$4</f>
        <v>907332.76800669555</v>
      </c>
      <c r="I65" s="58"/>
    </row>
    <row r="66" spans="1:9" x14ac:dyDescent="0.2">
      <c r="A66" s="2">
        <v>39114</v>
      </c>
      <c r="B66" s="2"/>
      <c r="C66" s="2"/>
      <c r="D66" s="64"/>
      <c r="E66" s="64"/>
      <c r="F66" s="58">
        <f t="shared" ref="F66:F76" si="10">+F65+$J$4</f>
        <v>986216.32520826906</v>
      </c>
    </row>
    <row r="67" spans="1:9" x14ac:dyDescent="0.2">
      <c r="A67" s="2">
        <v>39142</v>
      </c>
      <c r="B67" s="2"/>
      <c r="C67" s="2"/>
      <c r="D67" s="64"/>
      <c r="E67" s="64"/>
      <c r="F67" s="58">
        <f t="shared" si="10"/>
        <v>1065099.8824098425</v>
      </c>
    </row>
    <row r="68" spans="1:9" x14ac:dyDescent="0.2">
      <c r="A68" s="2">
        <v>39173</v>
      </c>
      <c r="B68" s="2"/>
      <c r="C68" s="2"/>
      <c r="D68" s="64"/>
      <c r="E68" s="64"/>
      <c r="F68" s="58">
        <f t="shared" si="10"/>
        <v>1143983.4396114158</v>
      </c>
    </row>
    <row r="69" spans="1:9" x14ac:dyDescent="0.2">
      <c r="A69" s="2">
        <v>39203</v>
      </c>
      <c r="B69" s="2"/>
      <c r="C69" s="2"/>
      <c r="D69" s="64"/>
      <c r="E69" s="64"/>
      <c r="F69" s="58">
        <f t="shared" si="10"/>
        <v>1222866.9968129892</v>
      </c>
    </row>
    <row r="70" spans="1:9" x14ac:dyDescent="0.2">
      <c r="A70" s="2">
        <v>39234</v>
      </c>
      <c r="B70" s="2"/>
      <c r="C70" s="2"/>
      <c r="D70" s="64"/>
      <c r="E70" s="64"/>
      <c r="F70" s="58">
        <f t="shared" si="10"/>
        <v>1301750.5540145626</v>
      </c>
    </row>
    <row r="71" spans="1:9" x14ac:dyDescent="0.2">
      <c r="A71" s="2">
        <v>39264</v>
      </c>
      <c r="B71" s="2"/>
      <c r="C71" s="2"/>
      <c r="D71" s="64"/>
      <c r="E71" s="64"/>
      <c r="F71" s="58">
        <f t="shared" si="10"/>
        <v>1380634.111216136</v>
      </c>
    </row>
    <row r="72" spans="1:9" x14ac:dyDescent="0.2">
      <c r="A72" s="2">
        <v>39295</v>
      </c>
      <c r="B72" s="2"/>
      <c r="C72" s="2"/>
      <c r="D72" s="64"/>
      <c r="E72" s="64"/>
      <c r="F72" s="58">
        <f t="shared" si="10"/>
        <v>1459517.6684177094</v>
      </c>
    </row>
    <row r="73" spans="1:9" x14ac:dyDescent="0.2">
      <c r="A73" s="2">
        <v>39326</v>
      </c>
      <c r="B73" s="2"/>
      <c r="C73" s="2"/>
      <c r="D73" s="64"/>
      <c r="E73" s="64"/>
      <c r="F73" s="58">
        <f t="shared" si="10"/>
        <v>1538401.2256192828</v>
      </c>
    </row>
    <row r="74" spans="1:9" x14ac:dyDescent="0.2">
      <c r="A74" s="2">
        <v>39356</v>
      </c>
      <c r="B74" s="2"/>
      <c r="C74" s="2"/>
      <c r="D74" s="64"/>
      <c r="E74" s="64"/>
      <c r="F74" s="58">
        <f t="shared" si="10"/>
        <v>1617284.7828208562</v>
      </c>
    </row>
    <row r="75" spans="1:9" x14ac:dyDescent="0.2">
      <c r="A75" s="2">
        <v>39387</v>
      </c>
      <c r="B75" s="2"/>
      <c r="C75" s="2"/>
      <c r="D75" s="64"/>
      <c r="E75" s="64"/>
      <c r="F75" s="58">
        <f t="shared" si="10"/>
        <v>1696168.3400224296</v>
      </c>
    </row>
    <row r="76" spans="1:9" x14ac:dyDescent="0.2">
      <c r="A76" s="2">
        <v>39417</v>
      </c>
      <c r="B76" s="2"/>
      <c r="C76" s="2"/>
      <c r="D76" s="64"/>
      <c r="E76" s="64"/>
      <c r="F76" s="58">
        <f t="shared" si="10"/>
        <v>1775051.897224003</v>
      </c>
      <c r="G76" s="58">
        <f>SUM(F65:F76)</f>
        <v>16094307.991384193</v>
      </c>
      <c r="H76" s="58">
        <f>F76*12</f>
        <v>21300622.766688034</v>
      </c>
    </row>
    <row r="77" spans="1:9" x14ac:dyDescent="0.2">
      <c r="A77" s="2">
        <v>39448</v>
      </c>
      <c r="B77" s="2"/>
      <c r="C77" s="2"/>
      <c r="D77" s="64"/>
      <c r="E77" s="64"/>
      <c r="F77" s="58">
        <f>F76+$J$5</f>
        <v>1813009.9287639344</v>
      </c>
      <c r="I77" s="58"/>
    </row>
    <row r="78" spans="1:9" x14ac:dyDescent="0.2">
      <c r="A78" s="2">
        <v>39479</v>
      </c>
      <c r="B78" s="2"/>
      <c r="C78" s="2"/>
      <c r="D78" s="64"/>
      <c r="E78" s="64"/>
      <c r="F78" s="58">
        <f t="shared" ref="F78:F88" si="11">F77+$J$5</f>
        <v>1850967.9603038658</v>
      </c>
    </row>
    <row r="79" spans="1:9" x14ac:dyDescent="0.2">
      <c r="A79" s="2">
        <v>39508</v>
      </c>
      <c r="B79" s="2"/>
      <c r="C79" s="2"/>
      <c r="D79" s="64"/>
      <c r="E79" s="64"/>
      <c r="F79" s="58">
        <f t="shared" si="11"/>
        <v>1888925.9918437973</v>
      </c>
    </row>
    <row r="80" spans="1:9" x14ac:dyDescent="0.2">
      <c r="A80" s="2">
        <v>39539</v>
      </c>
      <c r="B80" s="2"/>
      <c r="C80" s="2"/>
      <c r="D80" s="64"/>
      <c r="E80" s="64"/>
      <c r="F80" s="58">
        <f t="shared" si="11"/>
        <v>1926884.0233837287</v>
      </c>
    </row>
    <row r="81" spans="1:9" x14ac:dyDescent="0.2">
      <c r="A81" s="2">
        <v>39569</v>
      </c>
      <c r="B81" s="2"/>
      <c r="C81" s="2"/>
      <c r="D81" s="64"/>
      <c r="E81" s="64"/>
      <c r="F81" s="58">
        <f t="shared" si="11"/>
        <v>1964842.0549236601</v>
      </c>
    </row>
    <row r="82" spans="1:9" x14ac:dyDescent="0.2">
      <c r="A82" s="2">
        <v>39600</v>
      </c>
      <c r="B82" s="2"/>
      <c r="C82" s="2"/>
      <c r="D82" s="64"/>
      <c r="E82" s="64"/>
      <c r="F82" s="58">
        <f t="shared" si="11"/>
        <v>2002800.0864635915</v>
      </c>
    </row>
    <row r="83" spans="1:9" x14ac:dyDescent="0.2">
      <c r="A83" s="2">
        <v>39630</v>
      </c>
      <c r="B83" s="2"/>
      <c r="C83" s="2"/>
      <c r="D83" s="64"/>
      <c r="E83" s="64"/>
      <c r="F83" s="58">
        <f t="shared" si="11"/>
        <v>2040758.118003523</v>
      </c>
    </row>
    <row r="84" spans="1:9" x14ac:dyDescent="0.2">
      <c r="A84" s="2">
        <v>39661</v>
      </c>
      <c r="B84" s="2"/>
      <c r="C84" s="2"/>
      <c r="D84" s="64"/>
      <c r="E84" s="64"/>
      <c r="F84" s="58">
        <f t="shared" si="11"/>
        <v>2078716.1495434544</v>
      </c>
    </row>
    <row r="85" spans="1:9" x14ac:dyDescent="0.2">
      <c r="A85" s="2">
        <v>39692</v>
      </c>
      <c r="B85" s="2"/>
      <c r="C85" s="2"/>
      <c r="D85" s="64"/>
      <c r="E85" s="64"/>
      <c r="F85" s="58">
        <f t="shared" si="11"/>
        <v>2116674.1810833858</v>
      </c>
    </row>
    <row r="86" spans="1:9" x14ac:dyDescent="0.2">
      <c r="A86" s="2">
        <v>39722</v>
      </c>
      <c r="B86" s="2"/>
      <c r="C86" s="2"/>
      <c r="D86" s="64"/>
      <c r="E86" s="64"/>
      <c r="F86" s="58">
        <f t="shared" si="11"/>
        <v>2154632.2126233173</v>
      </c>
    </row>
    <row r="87" spans="1:9" x14ac:dyDescent="0.2">
      <c r="A87" s="2">
        <v>39753</v>
      </c>
      <c r="B87" s="2"/>
      <c r="C87" s="2"/>
      <c r="D87" s="64"/>
      <c r="E87" s="64"/>
      <c r="F87" s="58">
        <f t="shared" si="11"/>
        <v>2192590.2441632487</v>
      </c>
    </row>
    <row r="88" spans="1:9" x14ac:dyDescent="0.2">
      <c r="A88" s="2">
        <v>39783</v>
      </c>
      <c r="B88" s="2"/>
      <c r="C88" s="2"/>
      <c r="D88" s="64"/>
      <c r="E88" s="64"/>
      <c r="F88" s="58">
        <f t="shared" si="11"/>
        <v>2230548.2757031801</v>
      </c>
      <c r="G88" s="58">
        <f>SUM(F77:F88)</f>
        <v>24261349.226802688</v>
      </c>
      <c r="H88" s="58">
        <f>F88*12</f>
        <v>26766579.30843816</v>
      </c>
    </row>
    <row r="89" spans="1:9" x14ac:dyDescent="0.2">
      <c r="A89" s="2">
        <v>39814</v>
      </c>
      <c r="B89" s="2"/>
      <c r="C89" s="2"/>
      <c r="D89" s="64"/>
      <c r="E89" s="64"/>
      <c r="F89" s="58">
        <f>F88+$J$6</f>
        <v>2295812.7995068827</v>
      </c>
      <c r="I89" s="58"/>
    </row>
    <row r="90" spans="1:9" x14ac:dyDescent="0.2">
      <c r="A90" s="2">
        <v>39845</v>
      </c>
      <c r="B90" s="2"/>
      <c r="C90" s="2"/>
      <c r="D90" s="64"/>
      <c r="E90" s="64"/>
      <c r="F90" s="58">
        <f t="shared" ref="F90:F100" si="12">F89+$J$6</f>
        <v>2361077.3233105852</v>
      </c>
    </row>
    <row r="91" spans="1:9" x14ac:dyDescent="0.2">
      <c r="A91" s="2">
        <v>39873</v>
      </c>
      <c r="B91" s="2"/>
      <c r="C91" s="2"/>
      <c r="D91" s="64"/>
      <c r="E91" s="64"/>
      <c r="F91" s="58">
        <f t="shared" si="12"/>
        <v>2426341.8471142878</v>
      </c>
    </row>
    <row r="92" spans="1:9" x14ac:dyDescent="0.2">
      <c r="A92" s="2">
        <v>39904</v>
      </c>
      <c r="B92" s="2"/>
      <c r="C92" s="2"/>
      <c r="D92" s="64"/>
      <c r="E92" s="64"/>
      <c r="F92" s="58">
        <f t="shared" si="12"/>
        <v>2491606.3709179903</v>
      </c>
    </row>
    <row r="93" spans="1:9" x14ac:dyDescent="0.2">
      <c r="A93" s="2">
        <v>39934</v>
      </c>
      <c r="B93" s="2"/>
      <c r="C93" s="2"/>
      <c r="D93" s="64"/>
      <c r="E93" s="64"/>
      <c r="F93" s="58">
        <f t="shared" si="12"/>
        <v>2556870.8947216929</v>
      </c>
    </row>
    <row r="94" spans="1:9" x14ac:dyDescent="0.2">
      <c r="A94" s="2">
        <v>39965</v>
      </c>
      <c r="B94" s="2"/>
      <c r="C94" s="2"/>
      <c r="D94" s="64"/>
      <c r="E94" s="64"/>
      <c r="F94" s="58">
        <f t="shared" si="12"/>
        <v>2622135.4185253954</v>
      </c>
    </row>
    <row r="95" spans="1:9" x14ac:dyDescent="0.2">
      <c r="A95" s="2">
        <v>39995</v>
      </c>
      <c r="B95" s="2"/>
      <c r="C95" s="2"/>
      <c r="D95" s="64"/>
      <c r="E95" s="64"/>
      <c r="F95" s="58">
        <f t="shared" si="12"/>
        <v>2687399.942329098</v>
      </c>
    </row>
    <row r="96" spans="1:9" x14ac:dyDescent="0.2">
      <c r="A96" s="2">
        <v>40026</v>
      </c>
      <c r="B96" s="2"/>
      <c r="C96" s="2"/>
      <c r="D96" s="64"/>
      <c r="E96" s="64"/>
      <c r="F96" s="58">
        <f t="shared" si="12"/>
        <v>2752664.4661328006</v>
      </c>
    </row>
    <row r="97" spans="1:9" x14ac:dyDescent="0.2">
      <c r="A97" s="2">
        <v>40057</v>
      </c>
      <c r="B97" s="2"/>
      <c r="C97" s="2"/>
      <c r="D97" s="64"/>
      <c r="E97" s="64"/>
      <c r="F97" s="58">
        <f t="shared" si="12"/>
        <v>2817928.9899365031</v>
      </c>
    </row>
    <row r="98" spans="1:9" x14ac:dyDescent="0.2">
      <c r="A98" s="2">
        <v>40087</v>
      </c>
      <c r="B98" s="2"/>
      <c r="C98" s="2"/>
      <c r="D98" s="64"/>
      <c r="E98" s="64"/>
      <c r="F98" s="58">
        <f t="shared" si="12"/>
        <v>2883193.5137402057</v>
      </c>
    </row>
    <row r="99" spans="1:9" x14ac:dyDescent="0.2">
      <c r="A99" s="2">
        <v>40118</v>
      </c>
      <c r="B99" s="2"/>
      <c r="C99" s="2"/>
      <c r="D99" s="64"/>
      <c r="E99" s="64"/>
      <c r="F99" s="58">
        <f t="shared" si="12"/>
        <v>2948458.0375439082</v>
      </c>
    </row>
    <row r="100" spans="1:9" x14ac:dyDescent="0.2">
      <c r="A100" s="2">
        <v>40148</v>
      </c>
      <c r="B100" s="2"/>
      <c r="C100" s="2"/>
      <c r="D100" s="64"/>
      <c r="E100" s="64"/>
      <c r="F100" s="58">
        <f t="shared" si="12"/>
        <v>3013722.5613476108</v>
      </c>
      <c r="G100" s="58">
        <f>SUM(F89:F100)</f>
        <v>31857212.165126961</v>
      </c>
      <c r="H100" s="58">
        <f>F100*12</f>
        <v>36164670.736171328</v>
      </c>
    </row>
    <row r="101" spans="1:9" x14ac:dyDescent="0.2">
      <c r="A101" s="2">
        <v>40179</v>
      </c>
      <c r="B101" s="2"/>
      <c r="C101" s="2"/>
      <c r="D101" s="64"/>
      <c r="E101" s="64"/>
      <c r="F101" s="58">
        <f>F100+$J$7</f>
        <v>3039169.8149878928</v>
      </c>
      <c r="I101" s="58"/>
    </row>
    <row r="102" spans="1:9" x14ac:dyDescent="0.2">
      <c r="A102" s="2">
        <v>40210</v>
      </c>
      <c r="B102" s="2"/>
      <c r="C102" s="2"/>
      <c r="D102" s="64"/>
      <c r="E102" s="64"/>
      <c r="F102" s="58">
        <f t="shared" ref="F102:F112" si="13">F101+$J$7</f>
        <v>3064617.0686281747</v>
      </c>
    </row>
    <row r="103" spans="1:9" x14ac:dyDescent="0.2">
      <c r="A103" s="2">
        <v>40238</v>
      </c>
      <c r="B103" s="2"/>
      <c r="C103" s="2"/>
      <c r="D103" s="64"/>
      <c r="E103" s="64"/>
      <c r="F103" s="58">
        <f t="shared" si="13"/>
        <v>3090064.3222684567</v>
      </c>
    </row>
    <row r="104" spans="1:9" x14ac:dyDescent="0.2">
      <c r="A104" s="2">
        <v>40269</v>
      </c>
      <c r="B104" s="2"/>
      <c r="C104" s="2"/>
      <c r="D104" s="64"/>
      <c r="E104" s="64"/>
      <c r="F104" s="58">
        <f t="shared" si="13"/>
        <v>3115511.5759087387</v>
      </c>
    </row>
    <row r="105" spans="1:9" x14ac:dyDescent="0.2">
      <c r="A105" s="2">
        <v>40299</v>
      </c>
      <c r="B105" s="2"/>
      <c r="C105" s="2"/>
      <c r="D105" s="64"/>
      <c r="E105" s="64"/>
      <c r="F105" s="58">
        <f t="shared" si="13"/>
        <v>3140958.8295490206</v>
      </c>
    </row>
    <row r="106" spans="1:9" x14ac:dyDescent="0.2">
      <c r="A106" s="2">
        <v>40330</v>
      </c>
      <c r="B106" s="2"/>
      <c r="C106" s="2"/>
      <c r="D106" s="64"/>
      <c r="E106" s="64"/>
      <c r="F106" s="58">
        <f t="shared" si="13"/>
        <v>3166406.0831893026</v>
      </c>
    </row>
    <row r="107" spans="1:9" x14ac:dyDescent="0.2">
      <c r="A107" s="2">
        <v>40360</v>
      </c>
      <c r="B107" s="2"/>
      <c r="C107" s="2"/>
      <c r="D107" s="64"/>
      <c r="E107" s="64"/>
      <c r="F107" s="58">
        <f t="shared" si="13"/>
        <v>3191853.3368295846</v>
      </c>
    </row>
    <row r="108" spans="1:9" x14ac:dyDescent="0.2">
      <c r="A108" s="2">
        <v>40391</v>
      </c>
      <c r="B108" s="2"/>
      <c r="C108" s="2"/>
      <c r="D108" s="64"/>
      <c r="E108" s="64"/>
      <c r="F108" s="58">
        <f t="shared" si="13"/>
        <v>3217300.5904698665</v>
      </c>
    </row>
    <row r="109" spans="1:9" x14ac:dyDescent="0.2">
      <c r="A109" s="2">
        <v>40422</v>
      </c>
      <c r="B109" s="2"/>
      <c r="C109" s="2"/>
      <c r="D109" s="64"/>
      <c r="E109" s="64"/>
      <c r="F109" s="58">
        <f t="shared" si="13"/>
        <v>3242747.8441101485</v>
      </c>
    </row>
    <row r="110" spans="1:9" x14ac:dyDescent="0.2">
      <c r="A110" s="2">
        <v>40452</v>
      </c>
      <c r="B110" s="2"/>
      <c r="C110" s="2"/>
      <c r="D110" s="64"/>
      <c r="E110" s="64"/>
      <c r="F110" s="58">
        <f t="shared" si="13"/>
        <v>3268195.0977504305</v>
      </c>
    </row>
    <row r="111" spans="1:9" x14ac:dyDescent="0.2">
      <c r="A111" s="2">
        <v>40483</v>
      </c>
      <c r="B111" s="2"/>
      <c r="C111" s="2"/>
      <c r="D111" s="64"/>
      <c r="E111" s="64"/>
      <c r="F111" s="58">
        <f t="shared" si="13"/>
        <v>3293642.3513907124</v>
      </c>
    </row>
    <row r="112" spans="1:9" x14ac:dyDescent="0.2">
      <c r="A112" s="2">
        <v>40513</v>
      </c>
      <c r="B112" s="2"/>
      <c r="C112" s="2"/>
      <c r="D112" s="64"/>
      <c r="E112" s="64"/>
      <c r="F112" s="58">
        <f t="shared" si="13"/>
        <v>3319089.6050309944</v>
      </c>
      <c r="G112" s="58">
        <f>SUM(F101:F112)</f>
        <v>38149556.520113319</v>
      </c>
      <c r="H112" s="58">
        <f>F112*12</f>
        <v>39829075.260371931</v>
      </c>
    </row>
    <row r="113" spans="1:9" x14ac:dyDescent="0.2">
      <c r="A113" s="2">
        <v>40544</v>
      </c>
      <c r="B113" s="2"/>
      <c r="C113" s="2"/>
      <c r="D113" s="64"/>
      <c r="E113" s="64"/>
      <c r="F113" s="58">
        <f>F112+$J$8</f>
        <v>3384750.099246379</v>
      </c>
      <c r="I113" s="58"/>
    </row>
    <row r="114" spans="1:9" x14ac:dyDescent="0.2">
      <c r="A114" s="2">
        <v>40575</v>
      </c>
      <c r="B114" s="2"/>
      <c r="C114" s="2"/>
      <c r="D114" s="64"/>
      <c r="E114" s="64"/>
      <c r="F114" s="58">
        <f t="shared" ref="F114:F124" si="14">F113+$J$8</f>
        <v>3450410.5934617636</v>
      </c>
    </row>
    <row r="115" spans="1:9" x14ac:dyDescent="0.2">
      <c r="A115" s="2">
        <v>40603</v>
      </c>
      <c r="B115" s="2"/>
      <c r="C115" s="2"/>
      <c r="D115" s="64"/>
      <c r="E115" s="64"/>
      <c r="F115" s="58">
        <f t="shared" si="14"/>
        <v>3516071.0876771482</v>
      </c>
    </row>
    <row r="116" spans="1:9" x14ac:dyDescent="0.2">
      <c r="A116" s="2">
        <v>40634</v>
      </c>
      <c r="F116" s="58">
        <f t="shared" si="14"/>
        <v>3581731.5818925328</v>
      </c>
    </row>
    <row r="117" spans="1:9" x14ac:dyDescent="0.2">
      <c r="A117" s="2">
        <v>40664</v>
      </c>
      <c r="F117" s="58">
        <f t="shared" si="14"/>
        <v>3647392.0761079174</v>
      </c>
    </row>
    <row r="118" spans="1:9" x14ac:dyDescent="0.2">
      <c r="A118" s="2">
        <v>40695</v>
      </c>
      <c r="F118" s="58">
        <f t="shared" si="14"/>
        <v>3713052.5703233019</v>
      </c>
    </row>
    <row r="119" spans="1:9" x14ac:dyDescent="0.2">
      <c r="A119" s="2">
        <v>40725</v>
      </c>
      <c r="F119" s="58">
        <f t="shared" si="14"/>
        <v>3778713.0645386865</v>
      </c>
    </row>
    <row r="120" spans="1:9" x14ac:dyDescent="0.2">
      <c r="A120" s="2">
        <v>40756</v>
      </c>
      <c r="F120" s="58">
        <f t="shared" si="14"/>
        <v>3844373.5587540711</v>
      </c>
    </row>
    <row r="121" spans="1:9" x14ac:dyDescent="0.2">
      <c r="A121" s="2">
        <v>40787</v>
      </c>
      <c r="F121" s="58">
        <f t="shared" si="14"/>
        <v>3910034.0529694557</v>
      </c>
    </row>
    <row r="122" spans="1:9" x14ac:dyDescent="0.2">
      <c r="A122" s="2">
        <v>40817</v>
      </c>
      <c r="F122" s="58">
        <f t="shared" si="14"/>
        <v>3975694.5471848403</v>
      </c>
    </row>
    <row r="123" spans="1:9" x14ac:dyDescent="0.2">
      <c r="A123" s="2">
        <v>40848</v>
      </c>
      <c r="F123" s="58">
        <f t="shared" si="14"/>
        <v>4041355.0414002249</v>
      </c>
    </row>
    <row r="124" spans="1:9" x14ac:dyDescent="0.2">
      <c r="A124" s="2">
        <v>40878</v>
      </c>
      <c r="F124" s="58">
        <f t="shared" si="14"/>
        <v>4107015.5356156095</v>
      </c>
      <c r="G124" s="58">
        <f>SUM(F113:F124)</f>
        <v>44950593.80917193</v>
      </c>
      <c r="H124" s="58">
        <f>F124*12</f>
        <v>49284186.427387312</v>
      </c>
    </row>
    <row r="125" spans="1:9" x14ac:dyDescent="0.2">
      <c r="A125" s="2">
        <v>40909</v>
      </c>
      <c r="F125" s="58">
        <f>F124+$J$9</f>
        <v>4155526.4741674927</v>
      </c>
      <c r="I125" s="58"/>
    </row>
    <row r="126" spans="1:9" x14ac:dyDescent="0.2">
      <c r="A126" s="2">
        <v>40940</v>
      </c>
      <c r="F126" s="58">
        <f t="shared" ref="F126:F136" si="15">F125+$J$9</f>
        <v>4204037.4127193755</v>
      </c>
    </row>
    <row r="127" spans="1:9" x14ac:dyDescent="0.2">
      <c r="A127" s="2">
        <v>40969</v>
      </c>
      <c r="F127" s="58">
        <f t="shared" si="15"/>
        <v>4252548.3512712587</v>
      </c>
    </row>
    <row r="128" spans="1:9" x14ac:dyDescent="0.2">
      <c r="A128" s="2">
        <v>41000</v>
      </c>
      <c r="F128" s="58">
        <f t="shared" si="15"/>
        <v>4301059.2898231419</v>
      </c>
    </row>
    <row r="129" spans="1:9" x14ac:dyDescent="0.2">
      <c r="A129" s="2">
        <v>41030</v>
      </c>
      <c r="F129" s="58">
        <f t="shared" si="15"/>
        <v>4349570.2283750251</v>
      </c>
    </row>
    <row r="130" spans="1:9" x14ac:dyDescent="0.2">
      <c r="A130" s="2">
        <v>41061</v>
      </c>
      <c r="F130" s="58">
        <f t="shared" si="15"/>
        <v>4398081.1669269083</v>
      </c>
    </row>
    <row r="131" spans="1:9" x14ac:dyDescent="0.2">
      <c r="A131" s="2">
        <v>41091</v>
      </c>
      <c r="F131" s="58">
        <f t="shared" si="15"/>
        <v>4446592.1054787915</v>
      </c>
    </row>
    <row r="132" spans="1:9" x14ac:dyDescent="0.2">
      <c r="A132" s="2">
        <v>41122</v>
      </c>
      <c r="F132" s="58">
        <f t="shared" si="15"/>
        <v>4495103.0440306747</v>
      </c>
    </row>
    <row r="133" spans="1:9" x14ac:dyDescent="0.2">
      <c r="A133" s="2">
        <v>41153</v>
      </c>
      <c r="F133" s="58">
        <f t="shared" si="15"/>
        <v>4543613.9825825579</v>
      </c>
    </row>
    <row r="134" spans="1:9" x14ac:dyDescent="0.2">
      <c r="A134" s="2">
        <v>41183</v>
      </c>
      <c r="F134" s="58">
        <f t="shared" si="15"/>
        <v>4592124.9211344412</v>
      </c>
    </row>
    <row r="135" spans="1:9" x14ac:dyDescent="0.2">
      <c r="A135" s="2">
        <v>41214</v>
      </c>
      <c r="F135" s="58">
        <f t="shared" si="15"/>
        <v>4640635.8596863244</v>
      </c>
    </row>
    <row r="136" spans="1:9" x14ac:dyDescent="0.2">
      <c r="A136" s="2">
        <v>41244</v>
      </c>
      <c r="F136" s="58">
        <f t="shared" si="15"/>
        <v>4689146.7982382076</v>
      </c>
      <c r="G136" s="58">
        <f>SUM(F125:F136)</f>
        <v>53068039.634434208</v>
      </c>
      <c r="H136" s="58">
        <f>F136*12</f>
        <v>56269761.578858495</v>
      </c>
    </row>
    <row r="137" spans="1:9" x14ac:dyDescent="0.2">
      <c r="A137" s="2">
        <v>41275</v>
      </c>
      <c r="F137" s="59">
        <f>F136+$J$10</f>
        <v>4649890.2125111697</v>
      </c>
      <c r="I137" s="58"/>
    </row>
    <row r="138" spans="1:9" x14ac:dyDescent="0.2">
      <c r="A138" s="2">
        <v>41306</v>
      </c>
      <c r="F138" s="59">
        <f t="shared" ref="F138:F148" si="16">F137+$J$10</f>
        <v>4610633.6267841319</v>
      </c>
    </row>
    <row r="139" spans="1:9" x14ac:dyDescent="0.2">
      <c r="A139" s="2">
        <v>41334</v>
      </c>
      <c r="F139" s="59">
        <f t="shared" si="16"/>
        <v>4571377.041057094</v>
      </c>
    </row>
    <row r="140" spans="1:9" x14ac:dyDescent="0.2">
      <c r="A140" s="2">
        <v>41365</v>
      </c>
      <c r="F140" s="59">
        <f t="shared" si="16"/>
        <v>4532120.4553300561</v>
      </c>
    </row>
    <row r="141" spans="1:9" x14ac:dyDescent="0.2">
      <c r="A141" s="2">
        <v>41395</v>
      </c>
      <c r="F141" s="59">
        <f t="shared" si="16"/>
        <v>4492863.8696030183</v>
      </c>
    </row>
    <row r="142" spans="1:9" x14ac:dyDescent="0.2">
      <c r="A142" s="2">
        <v>41426</v>
      </c>
      <c r="F142" s="59">
        <f t="shared" si="16"/>
        <v>4453607.2838759804</v>
      </c>
    </row>
    <row r="143" spans="1:9" x14ac:dyDescent="0.2">
      <c r="A143" s="2">
        <v>41456</v>
      </c>
      <c r="F143" s="59">
        <f t="shared" si="16"/>
        <v>4414350.6981489426</v>
      </c>
    </row>
    <row r="144" spans="1:9" x14ac:dyDescent="0.2">
      <c r="A144" s="2">
        <v>41487</v>
      </c>
      <c r="F144" s="59">
        <f t="shared" si="16"/>
        <v>4375094.1124219047</v>
      </c>
    </row>
    <row r="145" spans="1:9" x14ac:dyDescent="0.2">
      <c r="A145" s="2">
        <v>41518</v>
      </c>
      <c r="F145" s="59">
        <f t="shared" si="16"/>
        <v>4335837.5266948668</v>
      </c>
    </row>
    <row r="146" spans="1:9" x14ac:dyDescent="0.2">
      <c r="A146" s="2">
        <v>41548</v>
      </c>
      <c r="F146" s="59">
        <f t="shared" si="16"/>
        <v>4296580.940967829</v>
      </c>
    </row>
    <row r="147" spans="1:9" x14ac:dyDescent="0.2">
      <c r="A147" s="2">
        <v>41579</v>
      </c>
      <c r="F147" s="59">
        <f t="shared" si="16"/>
        <v>4257324.3552407911</v>
      </c>
    </row>
    <row r="148" spans="1:9" x14ac:dyDescent="0.2">
      <c r="A148" s="2">
        <v>41609</v>
      </c>
      <c r="F148" s="59">
        <f t="shared" si="16"/>
        <v>4218067.7695137532</v>
      </c>
      <c r="G148" s="58">
        <f>SUM(F137:F148)</f>
        <v>53207747.892149538</v>
      </c>
      <c r="H148" s="58">
        <f>F148*12</f>
        <v>50616813.234165043</v>
      </c>
    </row>
    <row r="149" spans="1:9" x14ac:dyDescent="0.2">
      <c r="A149" s="2">
        <v>41640</v>
      </c>
      <c r="F149" s="59">
        <f>F148+$J$11</f>
        <v>4210424.2176934229</v>
      </c>
      <c r="I149" s="58"/>
    </row>
    <row r="150" spans="1:9" x14ac:dyDescent="0.2">
      <c r="A150" s="2">
        <v>41671</v>
      </c>
      <c r="F150" s="59">
        <f t="shared" ref="F150:F160" si="17">F149+$J$11</f>
        <v>4202780.6658730926</v>
      </c>
    </row>
    <row r="151" spans="1:9" x14ac:dyDescent="0.2">
      <c r="A151" s="2">
        <v>41699</v>
      </c>
      <c r="F151" s="59">
        <f t="shared" si="17"/>
        <v>4195137.1140527623</v>
      </c>
    </row>
    <row r="152" spans="1:9" x14ac:dyDescent="0.2">
      <c r="A152" s="2">
        <v>41730</v>
      </c>
      <c r="F152" s="59">
        <f t="shared" si="17"/>
        <v>4187493.562232432</v>
      </c>
    </row>
    <row r="153" spans="1:9" x14ac:dyDescent="0.2">
      <c r="A153" s="2">
        <v>41760</v>
      </c>
      <c r="F153" s="59">
        <f t="shared" si="17"/>
        <v>4179850.0104121016</v>
      </c>
    </row>
    <row r="154" spans="1:9" x14ac:dyDescent="0.2">
      <c r="A154" s="2">
        <v>41791</v>
      </c>
      <c r="F154" s="59">
        <f t="shared" si="17"/>
        <v>4172206.4585917713</v>
      </c>
    </row>
    <row r="155" spans="1:9" x14ac:dyDescent="0.2">
      <c r="A155" s="2">
        <v>41821</v>
      </c>
      <c r="F155" s="59">
        <f t="shared" si="17"/>
        <v>4164562.906771441</v>
      </c>
    </row>
    <row r="156" spans="1:9" x14ac:dyDescent="0.2">
      <c r="A156" s="2">
        <v>41852</v>
      </c>
      <c r="F156" s="59">
        <f t="shared" si="17"/>
        <v>4156919.3549511107</v>
      </c>
    </row>
    <row r="157" spans="1:9" x14ac:dyDescent="0.2">
      <c r="A157" s="2">
        <v>41883</v>
      </c>
      <c r="F157" s="59">
        <f t="shared" si="17"/>
        <v>4149275.8031307803</v>
      </c>
    </row>
    <row r="158" spans="1:9" x14ac:dyDescent="0.2">
      <c r="A158" s="2">
        <v>41913</v>
      </c>
      <c r="F158" s="59">
        <f t="shared" si="17"/>
        <v>4141632.25131045</v>
      </c>
    </row>
    <row r="159" spans="1:9" x14ac:dyDescent="0.2">
      <c r="A159" s="2">
        <v>41944</v>
      </c>
      <c r="F159" s="59">
        <f t="shared" si="17"/>
        <v>4133988.6994901197</v>
      </c>
    </row>
    <row r="160" spans="1:9" x14ac:dyDescent="0.2">
      <c r="A160" s="2">
        <v>41974</v>
      </c>
      <c r="F160" s="59">
        <f t="shared" si="17"/>
        <v>4126345.1476697894</v>
      </c>
      <c r="G160" s="59">
        <f>SUM(F149:F160)</f>
        <v>50020616.192179278</v>
      </c>
      <c r="H160" s="58">
        <f>+F160*12</f>
        <v>49516141.772037476</v>
      </c>
    </row>
    <row r="161" spans="6:9" x14ac:dyDescent="0.2">
      <c r="F161" s="59">
        <f>SUM(F41:F160)</f>
        <v>317264419.91698009</v>
      </c>
      <c r="I161" s="59"/>
    </row>
  </sheetData>
  <mergeCells count="5">
    <mergeCell ref="M1:N1"/>
    <mergeCell ref="A16:C16"/>
    <mergeCell ref="A17:C17"/>
    <mergeCell ref="A19:E19"/>
    <mergeCell ref="A26:E26"/>
  </mergeCells>
  <phoneticPr fontId="10" type="noConversion"/>
  <pageMargins left="0.36" right="0.18" top="0.51" bottom="1" header="0.32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121</v>
      </c>
      <c r="B2" s="163" t="s">
        <v>223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118</v>
      </c>
      <c r="W4" s="221" t="s">
        <v>119</v>
      </c>
      <c r="Y4" s="164"/>
      <c r="Z4" s="164"/>
      <c r="AA4" s="164"/>
    </row>
    <row r="5" spans="1:27" x14ac:dyDescent="0.2">
      <c r="A5" s="165" t="s">
        <v>55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56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57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58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59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60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61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62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63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64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65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67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55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56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57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58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59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60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61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62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63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64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65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67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6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79" workbookViewId="0">
      <selection activeCell="I98" sqref="I9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296</v>
      </c>
      <c r="B1" s="205" t="s">
        <v>102</v>
      </c>
      <c r="C1" s="205" t="s">
        <v>131</v>
      </c>
      <c r="D1" s="205" t="s">
        <v>148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640773193.35766029</v>
      </c>
      <c r="C2" s="195"/>
      <c r="D2" s="283">
        <v>0.93893975395513607</v>
      </c>
    </row>
    <row r="3" spans="1:11" x14ac:dyDescent="0.2">
      <c r="A3" s="434" t="str">
        <f>'Rate Class Energy Model'!L2</f>
        <v>GS&lt;50 kW</v>
      </c>
      <c r="B3" s="196">
        <f>Summary!O17</f>
        <v>238668992.13346663</v>
      </c>
      <c r="C3" s="195"/>
      <c r="D3" s="283">
        <v>0.86067746631608777</v>
      </c>
      <c r="F3" s="282" t="s">
        <v>268</v>
      </c>
      <c r="G3" s="282"/>
    </row>
    <row r="4" spans="1:11" x14ac:dyDescent="0.2">
      <c r="A4" s="434" t="str">
        <f>'Rate Class Energy Model'!M2</f>
        <v>GS&gt;50 kW</v>
      </c>
      <c r="B4" s="196">
        <f>Summary!O21</f>
        <v>840854747.55876219</v>
      </c>
      <c r="C4" s="204">
        <f>Summary!O22</f>
        <v>2209319.9588224045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>USL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198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122</v>
      </c>
      <c r="B9" s="170">
        <f>SUM(B2:B8)</f>
        <v>1805824684.4650247</v>
      </c>
      <c r="C9" s="170">
        <f>SUM(C2:C8)</f>
        <v>2384617.8305604751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2" t="s">
        <v>139</v>
      </c>
      <c r="C12" s="554" t="s">
        <v>140</v>
      </c>
      <c r="D12" s="171"/>
      <c r="E12" s="198"/>
      <c r="F12" s="197"/>
    </row>
    <row r="13" spans="1:11" x14ac:dyDescent="0.2">
      <c r="A13" s="180" t="s">
        <v>137</v>
      </c>
      <c r="B13" s="553"/>
      <c r="C13" s="555"/>
      <c r="D13" s="556">
        <v>2013</v>
      </c>
      <c r="E13" s="557"/>
      <c r="F13" s="558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601647424.51228833</v>
      </c>
      <c r="C14" s="278">
        <v>1.0351420520000001</v>
      </c>
      <c r="D14" s="183">
        <f t="shared" ref="D14:D19" si="2">B14*C14</f>
        <v>622790549.59016526</v>
      </c>
      <c r="E14" s="293">
        <v>8.3949999999999997E-2</v>
      </c>
      <c r="F14" s="182">
        <f t="shared" ref="F14:F19" si="3">D14*E14</f>
        <v>52283266.638094373</v>
      </c>
    </row>
    <row r="15" spans="1:11" x14ac:dyDescent="0.2">
      <c r="A15" s="434" t="str">
        <f t="shared" si="0"/>
        <v>GS&lt;50 kW</v>
      </c>
      <c r="B15" s="196">
        <f t="shared" si="1"/>
        <v>205417023.43764633</v>
      </c>
      <c r="C15" s="278">
        <v>1.0351420520000001</v>
      </c>
      <c r="D15" s="183">
        <f t="shared" si="2"/>
        <v>212635799.15697733</v>
      </c>
      <c r="E15" s="293">
        <f t="shared" ref="E15:E20" si="4">E14</f>
        <v>8.3949999999999997E-2</v>
      </c>
      <c r="F15" s="182">
        <f t="shared" si="3"/>
        <v>17850775.339228246</v>
      </c>
    </row>
    <row r="16" spans="1:11" x14ac:dyDescent="0.2">
      <c r="A16" s="434" t="str">
        <f t="shared" si="0"/>
        <v>GS&gt;50 kW</v>
      </c>
      <c r="B16" s="196">
        <f t="shared" si="1"/>
        <v>118975700.92932035</v>
      </c>
      <c r="C16" s="278">
        <v>1.0351420520000001</v>
      </c>
      <c r="D16" s="183">
        <f t="shared" si="2"/>
        <v>123156751.19811499</v>
      </c>
      <c r="E16" s="293">
        <f t="shared" si="4"/>
        <v>8.3949999999999997E-2</v>
      </c>
      <c r="F16" s="182">
        <f t="shared" si="3"/>
        <v>10339009.263081754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>USL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>B20*C20</f>
        <v>0</v>
      </c>
      <c r="E20" s="293">
        <f t="shared" si="4"/>
        <v>8.3949999999999997E-2</v>
      </c>
      <c r="F20" s="182">
        <f>D20*E20</f>
        <v>0</v>
      </c>
    </row>
    <row r="21" spans="1:10" x14ac:dyDescent="0.2">
      <c r="A21" s="436" t="s">
        <v>122</v>
      </c>
      <c r="B21" s="170">
        <f>SUM(B14:B19)</f>
        <v>926040148.87925506</v>
      </c>
      <c r="C21" s="180"/>
      <c r="D21" s="170">
        <f>SUM(D14:D19)</f>
        <v>958583099.94525754</v>
      </c>
      <c r="E21" s="179"/>
      <c r="F21" s="194">
        <f>SUM(F14:F19)</f>
        <v>80473051.240404382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136</v>
      </c>
      <c r="B23" s="552" t="s">
        <v>139</v>
      </c>
      <c r="C23" s="554" t="s">
        <v>140</v>
      </c>
      <c r="D23" s="171"/>
      <c r="E23" s="198"/>
      <c r="F23" s="197"/>
    </row>
    <row r="24" spans="1:10" x14ac:dyDescent="0.2">
      <c r="A24" s="180" t="s">
        <v>128</v>
      </c>
      <c r="B24" s="553"/>
      <c r="C24" s="555"/>
      <c r="D24" s="556">
        <v>2013</v>
      </c>
      <c r="E24" s="557"/>
      <c r="F24" s="558"/>
    </row>
    <row r="25" spans="1:10" x14ac:dyDescent="0.2">
      <c r="A25" s="434" t="str">
        <f t="shared" ref="A25:A31" si="5">A14</f>
        <v xml:space="preserve">Residential </v>
      </c>
      <c r="B25" s="196">
        <f t="shared" ref="B25:B31" si="6">B2-B14</f>
        <v>39125768.845371962</v>
      </c>
      <c r="C25" s="278">
        <f t="shared" ref="C25:C31" si="7">C14</f>
        <v>1.0351420520000001</v>
      </c>
      <c r="D25" s="183">
        <f t="shared" ref="D25:D30" si="8">B25*C25</f>
        <v>40500728.648676008</v>
      </c>
      <c r="E25" s="292">
        <f>0.02105+0.06612</f>
        <v>8.7169999999999997E-2</v>
      </c>
      <c r="F25" s="182">
        <f t="shared" ref="F25:F30" si="9">D25*E25</f>
        <v>3530448.5163050876</v>
      </c>
    </row>
    <row r="26" spans="1:10" x14ac:dyDescent="0.2">
      <c r="A26" s="434" t="str">
        <f t="shared" si="5"/>
        <v>GS&lt;50 kW</v>
      </c>
      <c r="B26" s="196">
        <f t="shared" si="6"/>
        <v>33251968.695820302</v>
      </c>
      <c r="C26" s="278">
        <f t="shared" si="7"/>
        <v>1.0351420520000001</v>
      </c>
      <c r="D26" s="183">
        <f t="shared" si="8"/>
        <v>34420511.108831197</v>
      </c>
      <c r="E26" s="292">
        <f t="shared" ref="E26:E31" si="10">E25</f>
        <v>8.7169999999999997E-2</v>
      </c>
      <c r="F26" s="182">
        <f t="shared" si="9"/>
        <v>3000435.9533568155</v>
      </c>
    </row>
    <row r="27" spans="1:10" x14ac:dyDescent="0.2">
      <c r="A27" s="434" t="str">
        <f t="shared" si="5"/>
        <v>GS&gt;50 kW</v>
      </c>
      <c r="B27" s="196">
        <f>B4-B16-F4</f>
        <v>701736337.40224183</v>
      </c>
      <c r="C27" s="278">
        <f t="shared" si="7"/>
        <v>1.0351420520000001</v>
      </c>
      <c r="D27" s="183">
        <f>B27*C27</f>
        <v>726396792.26152098</v>
      </c>
      <c r="E27" s="292">
        <f t="shared" si="10"/>
        <v>8.7169999999999997E-2</v>
      </c>
      <c r="F27" s="182">
        <f t="shared" si="9"/>
        <v>63320008.38143678</v>
      </c>
    </row>
    <row r="28" spans="1:10" x14ac:dyDescent="0.2">
      <c r="A28" s="434" t="str">
        <f t="shared" si="5"/>
        <v>Large User</v>
      </c>
      <c r="B28" s="196">
        <f t="shared" si="6"/>
        <v>66016828.655037299</v>
      </c>
      <c r="C28" s="278">
        <v>1.0053000000000001</v>
      </c>
      <c r="D28" s="183">
        <f t="shared" si="8"/>
        <v>66366717.846909001</v>
      </c>
      <c r="E28" s="292">
        <f t="shared" si="10"/>
        <v>8.7169999999999997E-2</v>
      </c>
      <c r="F28" s="182">
        <f t="shared" si="9"/>
        <v>5785186.7947150571</v>
      </c>
      <c r="J28">
        <v>5956918</v>
      </c>
    </row>
    <row r="29" spans="1:10" x14ac:dyDescent="0.2">
      <c r="A29" s="434" t="str">
        <f t="shared" si="5"/>
        <v xml:space="preserve">Streetlights </v>
      </c>
      <c r="B29" s="196">
        <f t="shared" si="6"/>
        <v>15898680.403048243</v>
      </c>
      <c r="C29" s="278">
        <f t="shared" si="7"/>
        <v>1.0351420520000001</v>
      </c>
      <c r="D29" s="183">
        <f t="shared" si="8"/>
        <v>16457392.656503547</v>
      </c>
      <c r="E29" s="292">
        <f t="shared" si="10"/>
        <v>8.7169999999999997E-2</v>
      </c>
      <c r="F29" s="182">
        <f t="shared" si="9"/>
        <v>1434590.9178674142</v>
      </c>
      <c r="J29">
        <v>5785186.7947150571</v>
      </c>
    </row>
    <row r="30" spans="1:10" x14ac:dyDescent="0.2">
      <c r="A30" s="434" t="str">
        <f t="shared" si="5"/>
        <v>USL</v>
      </c>
      <c r="B30" s="196">
        <f t="shared" si="6"/>
        <v>3612242.357049867</v>
      </c>
      <c r="C30" s="278">
        <f t="shared" si="7"/>
        <v>1.0351420520000001</v>
      </c>
      <c r="D30" s="183">
        <f t="shared" si="8"/>
        <v>3739183.9657979165</v>
      </c>
      <c r="E30" s="292">
        <f t="shared" si="10"/>
        <v>8.7169999999999997E-2</v>
      </c>
      <c r="F30" s="182">
        <f t="shared" si="9"/>
        <v>325944.6662986044</v>
      </c>
      <c r="J30">
        <f>+J28-J29</f>
        <v>171731.20528494287</v>
      </c>
    </row>
    <row r="31" spans="1:10" x14ac:dyDescent="0.2">
      <c r="A31" s="434" t="str">
        <f t="shared" si="5"/>
        <v>Embedded Distributor</v>
      </c>
      <c r="B31" s="196">
        <f t="shared" si="6"/>
        <v>0</v>
      </c>
      <c r="C31" s="278">
        <f t="shared" si="7"/>
        <v>1.0351420520000001</v>
      </c>
      <c r="D31" s="183">
        <f>B31*C31</f>
        <v>0</v>
      </c>
      <c r="E31" s="292">
        <f t="shared" si="10"/>
        <v>8.7169999999999997E-2</v>
      </c>
      <c r="F31" s="182">
        <f>D31*E31</f>
        <v>0</v>
      </c>
      <c r="J31">
        <f>+J30/12</f>
        <v>14310.933773745239</v>
      </c>
    </row>
    <row r="32" spans="1:10" x14ac:dyDescent="0.2">
      <c r="A32" s="436" t="s">
        <v>122</v>
      </c>
      <c r="B32" s="170">
        <f>SUM(B25:B30)</f>
        <v>859641826.3585695</v>
      </c>
      <c r="C32" s="180"/>
      <c r="D32" s="170">
        <f>SUM(D25:D30)</f>
        <v>887881326.48823869</v>
      </c>
      <c r="E32" s="179"/>
      <c r="F32" s="194">
        <f>SUM(F25:F30)</f>
        <v>77396615.229979753</v>
      </c>
    </row>
    <row r="34" spans="1:8" x14ac:dyDescent="0.2">
      <c r="A34" s="432" t="s">
        <v>135</v>
      </c>
      <c r="B34" s="188"/>
      <c r="C34" s="193" t="s">
        <v>133</v>
      </c>
      <c r="D34" s="190"/>
      <c r="E34" s="189"/>
      <c r="F34" s="188"/>
    </row>
    <row r="35" spans="1:8" x14ac:dyDescent="0.2">
      <c r="A35" s="180" t="s">
        <v>128</v>
      </c>
      <c r="B35" s="187"/>
      <c r="C35" s="192" t="s">
        <v>132</v>
      </c>
      <c r="D35" s="550">
        <v>2013</v>
      </c>
      <c r="E35" s="548"/>
      <c r="F35" s="549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102</v>
      </c>
      <c r="D36" s="183">
        <f>D14+D25</f>
        <v>663291278.2388413</v>
      </c>
      <c r="E36" s="277">
        <v>7.1999999999999998E-3</v>
      </c>
      <c r="F36" s="182">
        <f t="shared" ref="F36:F42" si="12">D36*E36</f>
        <v>4775697.2033196576</v>
      </c>
    </row>
    <row r="37" spans="1:8" x14ac:dyDescent="0.2">
      <c r="A37" s="434" t="str">
        <f t="shared" si="11"/>
        <v>GS&lt;50 kW</v>
      </c>
      <c r="B37" s="183"/>
      <c r="C37" s="184" t="s">
        <v>102</v>
      </c>
      <c r="D37" s="183">
        <f>D15+D26</f>
        <v>247056310.26580852</v>
      </c>
      <c r="E37" s="277">
        <v>6.1999999999999998E-3</v>
      </c>
      <c r="F37" s="182">
        <f t="shared" si="12"/>
        <v>1531749.1236480128</v>
      </c>
    </row>
    <row r="38" spans="1:8" x14ac:dyDescent="0.2">
      <c r="A38" s="434" t="str">
        <f t="shared" si="11"/>
        <v>GS&gt;50 kW</v>
      </c>
      <c r="B38" s="183"/>
      <c r="C38" s="184" t="s">
        <v>131</v>
      </c>
      <c r="D38" s="183">
        <f>+C4</f>
        <v>2209319.9588224045</v>
      </c>
      <c r="E38" s="277">
        <v>3.2835999999999999</v>
      </c>
      <c r="F38" s="182">
        <f t="shared" si="12"/>
        <v>7254523.0167892473</v>
      </c>
    </row>
    <row r="39" spans="1:8" x14ac:dyDescent="0.2">
      <c r="A39" s="434" t="str">
        <f t="shared" si="11"/>
        <v>Large User</v>
      </c>
      <c r="B39" s="183"/>
      <c r="C39" s="184" t="s">
        <v>131</v>
      </c>
      <c r="D39" s="183">
        <f>C5</f>
        <v>130795.77587097054</v>
      </c>
      <c r="E39" s="277">
        <v>3.0861999999999998</v>
      </c>
      <c r="F39" s="182">
        <f t="shared" si="12"/>
        <v>403661.92349298927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131</v>
      </c>
      <c r="D40" s="183">
        <f>C6</f>
        <v>44502.095867100063</v>
      </c>
      <c r="E40" s="277">
        <v>1.9966999999999999</v>
      </c>
      <c r="F40" s="182">
        <f t="shared" si="12"/>
        <v>88857.334817838695</v>
      </c>
    </row>
    <row r="41" spans="1:8" x14ac:dyDescent="0.2">
      <c r="A41" s="434" t="str">
        <f t="shared" si="11"/>
        <v>USL</v>
      </c>
      <c r="B41" s="183"/>
      <c r="C41" s="184" t="s">
        <v>102</v>
      </c>
      <c r="D41" s="183">
        <f>D19+D30</f>
        <v>3739183.9657979165</v>
      </c>
      <c r="E41" s="277">
        <v>6.1999999999999998E-3</v>
      </c>
      <c r="F41" s="182">
        <f t="shared" si="12"/>
        <v>23182.940587947083</v>
      </c>
    </row>
    <row r="42" spans="1:8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v>3.0960000000000001</v>
      </c>
      <c r="F42" s="446">
        <f t="shared" si="12"/>
        <v>138309.98347636362</v>
      </c>
    </row>
    <row r="43" spans="1:8" x14ac:dyDescent="0.2">
      <c r="A43" s="436" t="s">
        <v>122</v>
      </c>
      <c r="B43" s="170"/>
      <c r="C43" s="180"/>
      <c r="D43" s="170"/>
      <c r="E43" s="179"/>
      <c r="F43" s="178">
        <f>SUM(F36:F42)</f>
        <v>14215981.526132055</v>
      </c>
    </row>
    <row r="45" spans="1:8" x14ac:dyDescent="0.2">
      <c r="A45" s="432" t="s">
        <v>134</v>
      </c>
      <c r="B45" s="188"/>
      <c r="C45" s="191" t="s">
        <v>133</v>
      </c>
      <c r="D45" s="190"/>
      <c r="E45" s="189"/>
      <c r="F45" s="188"/>
    </row>
    <row r="46" spans="1:8" x14ac:dyDescent="0.2">
      <c r="A46" s="180" t="s">
        <v>128</v>
      </c>
      <c r="B46" s="187"/>
      <c r="C46" s="186" t="s">
        <v>132</v>
      </c>
      <c r="D46" s="550">
        <v>2013</v>
      </c>
      <c r="E46" s="548"/>
      <c r="F46" s="549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 t="shared" ref="C47:D52" si="14">C36</f>
        <v>kWh</v>
      </c>
      <c r="D47" s="183">
        <f t="shared" si="14"/>
        <v>663291278.2388413</v>
      </c>
      <c r="E47" s="277">
        <v>1.4E-3</v>
      </c>
      <c r="F47" s="182">
        <f t="shared" ref="F47:F53" si="15">D47*E47</f>
        <v>928607.78953437775</v>
      </c>
    </row>
    <row r="48" spans="1:8" x14ac:dyDescent="0.2">
      <c r="A48" s="434" t="str">
        <f t="shared" si="13"/>
        <v>GS&lt;50 kW</v>
      </c>
      <c r="B48" s="183"/>
      <c r="C48" s="184" t="str">
        <f t="shared" si="14"/>
        <v>kWh</v>
      </c>
      <c r="D48" s="183">
        <f t="shared" si="14"/>
        <v>247056310.26580852</v>
      </c>
      <c r="E48" s="277">
        <v>1.2999999999999999E-3</v>
      </c>
      <c r="F48" s="182">
        <f t="shared" si="15"/>
        <v>321173.20334555104</v>
      </c>
    </row>
    <row r="49" spans="1:6" x14ac:dyDescent="0.2">
      <c r="A49" s="434" t="str">
        <f t="shared" si="13"/>
        <v>GS&gt;50 kW</v>
      </c>
      <c r="B49" s="183"/>
      <c r="C49" s="184" t="str">
        <f t="shared" si="14"/>
        <v>kW</v>
      </c>
      <c r="D49" s="183">
        <f t="shared" si="14"/>
        <v>2209319.9588224045</v>
      </c>
      <c r="E49" s="277">
        <v>0.68510000000000004</v>
      </c>
      <c r="F49" s="182">
        <f t="shared" si="15"/>
        <v>1513605.1037892294</v>
      </c>
    </row>
    <row r="50" spans="1:6" x14ac:dyDescent="0.2">
      <c r="A50" s="434" t="str">
        <f t="shared" si="13"/>
        <v>Large User</v>
      </c>
      <c r="B50" s="183"/>
      <c r="C50" s="184" t="str">
        <f t="shared" si="14"/>
        <v>kW</v>
      </c>
      <c r="D50" s="183">
        <f t="shared" si="14"/>
        <v>130795.77587097054</v>
      </c>
      <c r="E50" s="277">
        <v>0.64400000000000002</v>
      </c>
      <c r="F50" s="182">
        <f t="shared" si="15"/>
        <v>84232.479660905025</v>
      </c>
    </row>
    <row r="51" spans="1:6" x14ac:dyDescent="0.2">
      <c r="A51" s="434" t="str">
        <f t="shared" si="13"/>
        <v xml:space="preserve">Streetlights </v>
      </c>
      <c r="B51" s="183"/>
      <c r="C51" s="184" t="str">
        <f t="shared" si="14"/>
        <v>kW</v>
      </c>
      <c r="D51" s="183">
        <f t="shared" si="14"/>
        <v>44502.095867100063</v>
      </c>
      <c r="E51" s="277">
        <v>0.41689999999999999</v>
      </c>
      <c r="F51" s="182">
        <f t="shared" si="15"/>
        <v>18552.923766994016</v>
      </c>
    </row>
    <row r="52" spans="1:6" x14ac:dyDescent="0.2">
      <c r="A52" s="434" t="str">
        <f t="shared" si="13"/>
        <v>USL</v>
      </c>
      <c r="B52" s="183"/>
      <c r="C52" s="184" t="str">
        <f t="shared" si="14"/>
        <v>kWh</v>
      </c>
      <c r="D52" s="183">
        <f t="shared" si="14"/>
        <v>3739183.9657979165</v>
      </c>
      <c r="E52" s="277">
        <v>1.2999999999999999E-3</v>
      </c>
      <c r="F52" s="182">
        <f t="shared" si="15"/>
        <v>4860.9391555372913</v>
      </c>
    </row>
    <row r="53" spans="1:6" x14ac:dyDescent="0.2">
      <c r="A53" s="442" t="s">
        <v>198</v>
      </c>
      <c r="B53" s="443"/>
      <c r="C53" s="444" t="s">
        <v>131</v>
      </c>
      <c r="D53" s="443">
        <f>D42</f>
        <v>44673.767272727266</v>
      </c>
      <c r="E53" s="445">
        <v>0.64610000000000001</v>
      </c>
      <c r="F53" s="446">
        <f t="shared" si="15"/>
        <v>28863.721034909086</v>
      </c>
    </row>
    <row r="54" spans="1:6" x14ac:dyDescent="0.2">
      <c r="A54" s="436" t="s">
        <v>122</v>
      </c>
      <c r="B54" s="170"/>
      <c r="C54" s="180"/>
      <c r="D54" s="170"/>
      <c r="E54" s="179"/>
      <c r="F54" s="178">
        <f>SUM(F47:F53)</f>
        <v>2899896.1602875032</v>
      </c>
    </row>
    <row r="56" spans="1:6" x14ac:dyDescent="0.2">
      <c r="A56" s="432" t="s">
        <v>130</v>
      </c>
      <c r="B56" s="188"/>
      <c r="C56" s="191"/>
      <c r="D56" s="190"/>
      <c r="E56" s="189"/>
      <c r="F56" s="188"/>
    </row>
    <row r="57" spans="1:6" x14ac:dyDescent="0.2">
      <c r="A57" s="180" t="s">
        <v>128</v>
      </c>
      <c r="B57" s="187"/>
      <c r="C57" s="186"/>
      <c r="D57" s="550" t="s">
        <v>228</v>
      </c>
      <c r="E57" s="548"/>
      <c r="F57" s="551"/>
    </row>
    <row r="58" spans="1:6" x14ac:dyDescent="0.2">
      <c r="A58" s="434" t="str">
        <f t="shared" ref="A58:A64" si="16">A47</f>
        <v xml:space="preserve">Residential </v>
      </c>
      <c r="B58" s="183"/>
      <c r="C58" s="184"/>
      <c r="D58" s="183">
        <f t="shared" ref="D58:D64" si="17">D14+D25</f>
        <v>663291278.2388413</v>
      </c>
      <c r="E58" s="277">
        <v>4.4000000000000003E-3</v>
      </c>
      <c r="F58" s="182">
        <f t="shared" ref="F58:F63" si="18">((D58*E58)/12*8)+((D58*0.0052)/12*4)</f>
        <v>3095359.2984479261</v>
      </c>
    </row>
    <row r="59" spans="1:6" x14ac:dyDescent="0.2">
      <c r="A59" s="434" t="str">
        <f t="shared" si="16"/>
        <v>GS&lt;50 kW</v>
      </c>
      <c r="B59" s="183"/>
      <c r="C59" s="184"/>
      <c r="D59" s="183">
        <f t="shared" si="17"/>
        <v>247056310.26580852</v>
      </c>
      <c r="E59" s="277">
        <f>+E58</f>
        <v>4.4000000000000003E-3</v>
      </c>
      <c r="F59" s="182">
        <f t="shared" si="18"/>
        <v>1152929.4479071065</v>
      </c>
    </row>
    <row r="60" spans="1:6" x14ac:dyDescent="0.2">
      <c r="A60" s="434" t="str">
        <f t="shared" si="16"/>
        <v>GS&gt;50 kW</v>
      </c>
      <c r="B60" s="183"/>
      <c r="C60" s="184"/>
      <c r="D60" s="183">
        <f>D16+D27</f>
        <v>849553543.45963597</v>
      </c>
      <c r="E60" s="277">
        <f>+E58</f>
        <v>4.4000000000000003E-3</v>
      </c>
      <c r="F60" s="182">
        <f t="shared" si="18"/>
        <v>3964583.2028116342</v>
      </c>
    </row>
    <row r="61" spans="1:6" x14ac:dyDescent="0.2">
      <c r="A61" s="434" t="str">
        <f t="shared" si="16"/>
        <v>Large User</v>
      </c>
      <c r="B61" s="183"/>
      <c r="C61" s="184"/>
      <c r="D61" s="183">
        <f t="shared" si="17"/>
        <v>66366717.846909001</v>
      </c>
      <c r="E61" s="277">
        <f>+E58</f>
        <v>4.4000000000000003E-3</v>
      </c>
      <c r="F61" s="182">
        <f t="shared" si="18"/>
        <v>309711.34995224199</v>
      </c>
    </row>
    <row r="62" spans="1:6" x14ac:dyDescent="0.2">
      <c r="A62" s="434" t="str">
        <f t="shared" si="16"/>
        <v xml:space="preserve">Streetlights </v>
      </c>
      <c r="B62" s="183"/>
      <c r="C62" s="184"/>
      <c r="D62" s="183">
        <f t="shared" si="17"/>
        <v>16457392.656503547</v>
      </c>
      <c r="E62" s="277">
        <f>+E58</f>
        <v>4.4000000000000003E-3</v>
      </c>
      <c r="F62" s="182">
        <f t="shared" si="18"/>
        <v>76801.165730349894</v>
      </c>
    </row>
    <row r="63" spans="1:6" x14ac:dyDescent="0.2">
      <c r="A63" s="434" t="str">
        <f t="shared" si="16"/>
        <v>USL</v>
      </c>
      <c r="B63" s="183"/>
      <c r="C63" s="184"/>
      <c r="D63" s="183">
        <f t="shared" si="17"/>
        <v>3739183.9657979165</v>
      </c>
      <c r="E63" s="277">
        <f>+E58</f>
        <v>4.4000000000000003E-3</v>
      </c>
      <c r="F63" s="182">
        <f t="shared" si="18"/>
        <v>17449.52517372361</v>
      </c>
    </row>
    <row r="64" spans="1:6" x14ac:dyDescent="0.2">
      <c r="A64" s="435" t="str">
        <f t="shared" si="16"/>
        <v>Embedded Distributor</v>
      </c>
      <c r="B64" s="183"/>
      <c r="C64" s="184"/>
      <c r="D64" s="183">
        <f t="shared" si="17"/>
        <v>0</v>
      </c>
      <c r="E64" s="277">
        <f>+E58</f>
        <v>4.4000000000000003E-3</v>
      </c>
      <c r="F64" s="182">
        <f>D64*E64</f>
        <v>0</v>
      </c>
    </row>
    <row r="65" spans="1:8" x14ac:dyDescent="0.2">
      <c r="A65" s="436" t="s">
        <v>122</v>
      </c>
      <c r="B65" s="170"/>
      <c r="C65" s="180"/>
      <c r="D65" s="170">
        <f>SUM(D58:D64)</f>
        <v>1846464426.4334962</v>
      </c>
      <c r="E65" s="179"/>
      <c r="F65" s="178">
        <f>SUM(F58:F64)</f>
        <v>8616833.9900229815</v>
      </c>
    </row>
    <row r="67" spans="1:8" x14ac:dyDescent="0.2">
      <c r="A67" s="432" t="s">
        <v>129</v>
      </c>
      <c r="B67" s="188"/>
      <c r="C67" s="191"/>
      <c r="D67" s="190"/>
      <c r="E67" s="189"/>
      <c r="F67" s="188"/>
    </row>
    <row r="68" spans="1:8" x14ac:dyDescent="0.2">
      <c r="A68" s="180" t="s">
        <v>128</v>
      </c>
      <c r="B68" s="187"/>
      <c r="C68" s="186"/>
      <c r="D68" s="547">
        <v>2013</v>
      </c>
      <c r="E68" s="548"/>
      <c r="F68" s="549"/>
    </row>
    <row r="69" spans="1:8" x14ac:dyDescent="0.2">
      <c r="A69" s="434" t="str">
        <f t="shared" ref="A69:A75" si="19">A58</f>
        <v xml:space="preserve">Residential </v>
      </c>
      <c r="B69" s="183"/>
      <c r="C69" s="184"/>
      <c r="D69" s="183">
        <f t="shared" ref="D69:D75" si="20">D58</f>
        <v>663291278.2388413</v>
      </c>
      <c r="E69" s="277">
        <v>1.1999999999999999E-3</v>
      </c>
      <c r="F69" s="182">
        <f t="shared" ref="F69:F74" si="21">D69*E69</f>
        <v>795949.53388660948</v>
      </c>
    </row>
    <row r="70" spans="1:8" x14ac:dyDescent="0.2">
      <c r="A70" s="434" t="str">
        <f t="shared" si="19"/>
        <v>GS&lt;50 kW</v>
      </c>
      <c r="B70" s="183"/>
      <c r="C70" s="184"/>
      <c r="D70" s="183">
        <f t="shared" si="20"/>
        <v>247056310.26580852</v>
      </c>
      <c r="E70" s="277">
        <v>1.1999999999999999E-3</v>
      </c>
      <c r="F70" s="182">
        <f t="shared" si="21"/>
        <v>296467.57231897023</v>
      </c>
      <c r="H70" s="163"/>
    </row>
    <row r="71" spans="1:8" x14ac:dyDescent="0.2">
      <c r="A71" s="434" t="str">
        <f t="shared" si="19"/>
        <v>GS&gt;50 kW</v>
      </c>
      <c r="B71" s="183"/>
      <c r="C71" s="184"/>
      <c r="D71" s="183">
        <f t="shared" si="20"/>
        <v>849553543.45963597</v>
      </c>
      <c r="E71" s="277">
        <v>1.1999999999999999E-3</v>
      </c>
      <c r="F71" s="182">
        <f t="shared" si="21"/>
        <v>1019464.2521515631</v>
      </c>
    </row>
    <row r="72" spans="1:8" x14ac:dyDescent="0.2">
      <c r="A72" s="434" t="str">
        <f t="shared" si="19"/>
        <v>Large User</v>
      </c>
      <c r="B72" s="183"/>
      <c r="C72" s="184"/>
      <c r="D72" s="183">
        <f t="shared" si="20"/>
        <v>66366717.846909001</v>
      </c>
      <c r="E72" s="277">
        <v>1.1999999999999999E-3</v>
      </c>
      <c r="F72" s="182">
        <f t="shared" si="21"/>
        <v>79640.061416290788</v>
      </c>
    </row>
    <row r="73" spans="1:8" x14ac:dyDescent="0.2">
      <c r="A73" s="434" t="str">
        <f t="shared" si="19"/>
        <v xml:space="preserve">Streetlights </v>
      </c>
      <c r="B73" s="183"/>
      <c r="C73" s="184"/>
      <c r="D73" s="183">
        <f t="shared" si="20"/>
        <v>16457392.656503547</v>
      </c>
      <c r="E73" s="277">
        <v>1.1999999999999999E-3</v>
      </c>
      <c r="F73" s="182">
        <f t="shared" si="21"/>
        <v>19748.871187804256</v>
      </c>
    </row>
    <row r="74" spans="1:8" x14ac:dyDescent="0.2">
      <c r="A74" s="434" t="str">
        <f t="shared" si="19"/>
        <v>USL</v>
      </c>
      <c r="B74" s="183"/>
      <c r="C74" s="184"/>
      <c r="D74" s="183">
        <f t="shared" si="20"/>
        <v>3739183.9657979165</v>
      </c>
      <c r="E74" s="277">
        <v>1.1999999999999999E-3</v>
      </c>
      <c r="F74" s="182">
        <f t="shared" si="21"/>
        <v>4487.0207589574993</v>
      </c>
    </row>
    <row r="75" spans="1:8" x14ac:dyDescent="0.2">
      <c r="A75" s="435" t="str">
        <f t="shared" si="19"/>
        <v>Embedded Distributor</v>
      </c>
      <c r="B75" s="183"/>
      <c r="C75" s="184"/>
      <c r="D75" s="183">
        <f t="shared" si="20"/>
        <v>0</v>
      </c>
      <c r="E75" s="277">
        <v>1.1999999999999999E-3</v>
      </c>
      <c r="F75" s="182">
        <f>D75*E75</f>
        <v>0</v>
      </c>
    </row>
    <row r="76" spans="1:8" x14ac:dyDescent="0.2">
      <c r="A76" s="436" t="s">
        <v>122</v>
      </c>
      <c r="B76" s="170"/>
      <c r="C76" s="180"/>
      <c r="D76" s="170">
        <f>SUM(D69:D75)</f>
        <v>1846464426.4334962</v>
      </c>
      <c r="E76" s="179"/>
      <c r="F76" s="178">
        <f>SUM(F69:F75)</f>
        <v>2215757.3117201952</v>
      </c>
    </row>
    <row r="78" spans="1:8" x14ac:dyDescent="0.2">
      <c r="A78" s="432" t="s">
        <v>226</v>
      </c>
      <c r="B78" s="188"/>
      <c r="C78" s="191"/>
      <c r="D78" s="190"/>
      <c r="E78" s="189"/>
      <c r="F78" s="188"/>
    </row>
    <row r="79" spans="1:8" x14ac:dyDescent="0.2">
      <c r="A79" s="180" t="s">
        <v>128</v>
      </c>
      <c r="B79" s="297"/>
      <c r="C79" s="186"/>
      <c r="D79" s="547">
        <v>2013</v>
      </c>
      <c r="E79" s="548"/>
      <c r="F79" s="549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>D80*E80</f>
        <v>513670.33664000005</v>
      </c>
    </row>
    <row r="81" spans="1:6" x14ac:dyDescent="0.2">
      <c r="A81" s="434" t="str">
        <f>A70</f>
        <v>GS&lt;50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>D81*E81</f>
        <v>48897.818548512558</v>
      </c>
    </row>
    <row r="82" spans="1:6" x14ac:dyDescent="0.2">
      <c r="A82" s="436" t="s">
        <v>122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127</v>
      </c>
      <c r="B84" s="174">
        <f>F21+F32</f>
        <v>157869666.47038412</v>
      </c>
    </row>
    <row r="85" spans="1:6" x14ac:dyDescent="0.2">
      <c r="A85" s="172" t="s">
        <v>126</v>
      </c>
      <c r="B85" s="173">
        <f>F65</f>
        <v>8616833.9900229815</v>
      </c>
    </row>
    <row r="86" spans="1:6" x14ac:dyDescent="0.2">
      <c r="A86" s="172" t="s">
        <v>125</v>
      </c>
      <c r="B86" s="173">
        <f>F43</f>
        <v>14215981.526132055</v>
      </c>
    </row>
    <row r="87" spans="1:6" x14ac:dyDescent="0.2">
      <c r="A87" s="172" t="s">
        <v>124</v>
      </c>
      <c r="B87" s="173">
        <f>F54</f>
        <v>2899896.1602875032</v>
      </c>
    </row>
    <row r="88" spans="1:6" x14ac:dyDescent="0.2">
      <c r="A88" s="172" t="s">
        <v>123</v>
      </c>
      <c r="B88" s="173">
        <f>F76</f>
        <v>2215757.3117201952</v>
      </c>
    </row>
    <row r="89" spans="1:6" x14ac:dyDescent="0.2">
      <c r="A89" s="268" t="s">
        <v>227</v>
      </c>
      <c r="B89" s="174">
        <f>+F82</f>
        <v>562568.15518851264</v>
      </c>
    </row>
    <row r="90" spans="1:6" x14ac:dyDescent="0.2">
      <c r="A90" s="171" t="s">
        <v>122</v>
      </c>
      <c r="B90" s="178">
        <f>SUM(B84:B89)</f>
        <v>186380703.61373535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39" bottom="0.3" header="0.3" footer="0.17"/>
  <pageSetup scale="66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10" workbookViewId="0">
      <selection activeCell="L23" sqref="L23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8" max="8" width="10.7109375" bestFit="1" customWidth="1"/>
    <col min="10" max="10" width="10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151</v>
      </c>
      <c r="B1" s="505" t="s">
        <v>102</v>
      </c>
      <c r="C1" s="505" t="s">
        <v>131</v>
      </c>
      <c r="D1" s="505" t="s">
        <v>148</v>
      </c>
    </row>
    <row r="2" spans="1:11" x14ac:dyDescent="0.2">
      <c r="A2" s="434" t="s">
        <v>68</v>
      </c>
      <c r="B2" s="196">
        <f>Summary!P13</f>
        <v>647771771.99550164</v>
      </c>
      <c r="C2" s="195"/>
      <c r="D2" s="283">
        <f>'2013 COP Forecast'!D2</f>
        <v>0.93893975395513607</v>
      </c>
    </row>
    <row r="3" spans="1:11" x14ac:dyDescent="0.2">
      <c r="A3" s="434" t="s">
        <v>69</v>
      </c>
      <c r="B3" s="196">
        <f>Summary!P17</f>
        <v>240204686.12850371</v>
      </c>
      <c r="C3" s="195"/>
      <c r="D3" s="283">
        <f>'2013 COP Forecast'!D3</f>
        <v>0.86067746631608777</v>
      </c>
      <c r="F3" s="282" t="s">
        <v>268</v>
      </c>
    </row>
    <row r="4" spans="1:11" x14ac:dyDescent="0.2">
      <c r="A4" s="434" t="s">
        <v>70</v>
      </c>
      <c r="B4" s="196">
        <f>Summary!P21</f>
        <v>841248453.12019193</v>
      </c>
      <c r="C4" s="204">
        <f>Summary!P22</f>
        <v>2225926.8825137992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47</v>
      </c>
      <c r="B5" s="506">
        <f>+'Rate Class Energy Model'!O81</f>
        <v>62838082.336778291</v>
      </c>
      <c r="C5" s="507">
        <f>'Rate Class Load Model'!$C$18</f>
        <v>124497.88790112856</v>
      </c>
      <c r="D5" s="283">
        <v>0</v>
      </c>
      <c r="K5" s="154"/>
    </row>
    <row r="6" spans="1:11" x14ac:dyDescent="0.2">
      <c r="A6" s="434" t="s">
        <v>71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72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198</v>
      </c>
      <c r="B8" s="196"/>
      <c r="C8" s="195"/>
      <c r="D8" s="283"/>
    </row>
    <row r="9" spans="1:11" x14ac:dyDescent="0.2">
      <c r="A9" s="436" t="s">
        <v>122</v>
      </c>
      <c r="B9" s="170">
        <f>SUM(B2:B7)</f>
        <v>1811608646.7358477</v>
      </c>
      <c r="C9" s="170">
        <f>SUM(C2:C7)</f>
        <v>2395570.0569796879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2" t="s">
        <v>149</v>
      </c>
      <c r="C12" s="554" t="s">
        <v>150</v>
      </c>
      <c r="D12" s="171"/>
      <c r="E12" s="198"/>
      <c r="F12" s="197"/>
    </row>
    <row r="13" spans="1:11" x14ac:dyDescent="0.2">
      <c r="A13" s="180" t="s">
        <v>137</v>
      </c>
      <c r="B13" s="553"/>
      <c r="C13" s="555"/>
      <c r="D13" s="556">
        <v>2014</v>
      </c>
      <c r="E13" s="557"/>
      <c r="F13" s="558"/>
    </row>
    <row r="14" spans="1:11" x14ac:dyDescent="0.2">
      <c r="A14" s="434" t="s">
        <v>68</v>
      </c>
      <c r="B14" s="196">
        <f t="shared" ref="B14:B19" si="0">B2*D2</f>
        <v>608218668.21653879</v>
      </c>
      <c r="C14" s="278">
        <f>'2013 COP Forecast'!C14</f>
        <v>1.0351420520000001</v>
      </c>
      <c r="D14" s="183">
        <f t="shared" ref="D14:D19" si="1">B14*C14</f>
        <v>629592720.28237522</v>
      </c>
      <c r="E14" s="508">
        <v>8.8999999999999996E-2</v>
      </c>
      <c r="F14" s="182">
        <f t="shared" ref="F14:F19" si="2">D14*E14</f>
        <v>56033752.105131395</v>
      </c>
    </row>
    <row r="15" spans="1:11" x14ac:dyDescent="0.2">
      <c r="A15" s="434" t="s">
        <v>69</v>
      </c>
      <c r="B15" s="196">
        <f t="shared" si="0"/>
        <v>206738760.65433168</v>
      </c>
      <c r="C15" s="278">
        <f>'2013 COP Forecast'!C15</f>
        <v>1.0351420520000001</v>
      </c>
      <c r="D15" s="183">
        <f t="shared" si="1"/>
        <v>214003984.93166178</v>
      </c>
      <c r="E15" s="508">
        <f>+E14</f>
        <v>8.8999999999999996E-2</v>
      </c>
      <c r="F15" s="182">
        <f t="shared" si="2"/>
        <v>19046354.658917896</v>
      </c>
    </row>
    <row r="16" spans="1:11" x14ac:dyDescent="0.2">
      <c r="A16" s="434" t="s">
        <v>70</v>
      </c>
      <c r="B16" s="196">
        <f t="shared" si="0"/>
        <v>119031407.81004721</v>
      </c>
      <c r="C16" s="278">
        <f>'2013 COP Forecast'!C16</f>
        <v>1.0351420520000001</v>
      </c>
      <c r="D16" s="183">
        <f t="shared" si="1"/>
        <v>123214415.73294111</v>
      </c>
      <c r="E16" s="508">
        <f>+E14</f>
        <v>8.8999999999999996E-2</v>
      </c>
      <c r="F16" s="182">
        <f t="shared" si="2"/>
        <v>10966083.000231758</v>
      </c>
    </row>
    <row r="17" spans="1:10" x14ac:dyDescent="0.2">
      <c r="A17" s="434" t="s">
        <v>47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10" x14ac:dyDescent="0.2">
      <c r="A18" s="434" t="s">
        <v>71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10" x14ac:dyDescent="0.2">
      <c r="A19" s="434" t="s">
        <v>72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10" x14ac:dyDescent="0.2">
      <c r="A20" s="435" t="s">
        <v>198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10" x14ac:dyDescent="0.2">
      <c r="A21" s="436" t="s">
        <v>122</v>
      </c>
      <c r="B21" s="170">
        <f>SUM(B14:B19)</f>
        <v>933988836.68091774</v>
      </c>
      <c r="C21" s="180"/>
      <c r="D21" s="170">
        <f>SUM(D14:D19)</f>
        <v>966811120.94697809</v>
      </c>
      <c r="E21" s="179"/>
      <c r="F21" s="194">
        <f>SUM(F14:F20)</f>
        <v>86046189.764281049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136</v>
      </c>
      <c r="B23" s="552" t="s">
        <v>149</v>
      </c>
      <c r="C23" s="554" t="s">
        <v>150</v>
      </c>
      <c r="D23" s="171"/>
      <c r="E23" s="198"/>
      <c r="F23" s="197"/>
    </row>
    <row r="24" spans="1:10" x14ac:dyDescent="0.2">
      <c r="A24" s="180" t="s">
        <v>128</v>
      </c>
      <c r="B24" s="553"/>
      <c r="C24" s="555"/>
      <c r="D24" s="556">
        <v>2014</v>
      </c>
      <c r="E24" s="557"/>
      <c r="F24" s="558"/>
    </row>
    <row r="25" spans="1:10" x14ac:dyDescent="0.2">
      <c r="A25" s="434" t="s">
        <v>68</v>
      </c>
      <c r="B25" s="196">
        <f>B2-B14</f>
        <v>39553103.778962851</v>
      </c>
      <c r="C25" s="278">
        <f t="shared" ref="C25:C31" si="3">C14</f>
        <v>1.0351420520000001</v>
      </c>
      <c r="D25" s="183">
        <f t="shared" ref="D25:D30" si="4">B25*C25</f>
        <v>40943081.008724563</v>
      </c>
      <c r="E25" s="508">
        <v>8.7599999999999997E-2</v>
      </c>
      <c r="F25" s="182">
        <f t="shared" ref="F25:F30" si="5">D25*E25</f>
        <v>3586613.8963642716</v>
      </c>
    </row>
    <row r="26" spans="1:10" x14ac:dyDescent="0.2">
      <c r="A26" s="434" t="s">
        <v>69</v>
      </c>
      <c r="B26" s="196">
        <f>B3-B15</f>
        <v>33465925.474172026</v>
      </c>
      <c r="C26" s="278">
        <f t="shared" si="3"/>
        <v>1.0351420520000001</v>
      </c>
      <c r="D26" s="183">
        <f t="shared" si="4"/>
        <v>34641986.767413504</v>
      </c>
      <c r="E26" s="508">
        <f t="shared" ref="E26:E31" si="6">E25</f>
        <v>8.7599999999999997E-2</v>
      </c>
      <c r="F26" s="182">
        <f t="shared" si="5"/>
        <v>3034638.0408254229</v>
      </c>
    </row>
    <row r="27" spans="1:10" x14ac:dyDescent="0.2">
      <c r="A27" s="434" t="s">
        <v>70</v>
      </c>
      <c r="B27" s="196">
        <f>B4-B16-F4</f>
        <v>702074336.08294463</v>
      </c>
      <c r="C27" s="278">
        <f t="shared" si="3"/>
        <v>1.0351420520000001</v>
      </c>
      <c r="D27" s="183">
        <f t="shared" si="4"/>
        <v>726746668.90943706</v>
      </c>
      <c r="E27" s="508">
        <f t="shared" si="6"/>
        <v>8.7599999999999997E-2</v>
      </c>
      <c r="F27" s="182">
        <f t="shared" si="5"/>
        <v>63663008.196466684</v>
      </c>
      <c r="H27" s="559" t="s">
        <v>316</v>
      </c>
      <c r="I27" s="559"/>
      <c r="J27" s="559"/>
    </row>
    <row r="28" spans="1:10" x14ac:dyDescent="0.2">
      <c r="A28" s="434" t="s">
        <v>47</v>
      </c>
      <c r="B28" s="196">
        <f>B5-B17</f>
        <v>62838082.336778291</v>
      </c>
      <c r="C28" s="278">
        <v>1.0053000000000001</v>
      </c>
      <c r="D28" s="183">
        <f t="shared" si="4"/>
        <v>63171124.17316322</v>
      </c>
      <c r="E28" s="508">
        <f t="shared" si="6"/>
        <v>8.7599999999999997E-2</v>
      </c>
      <c r="F28" s="182">
        <f t="shared" si="5"/>
        <v>5533790.4775690977</v>
      </c>
      <c r="H28" s="509">
        <f>+F28-'2014 COP Forecast'!F28</f>
        <v>2733435.2927363398</v>
      </c>
      <c r="I28" s="510"/>
      <c r="J28" s="509">
        <f>+H28+H39+H50+H61+H72</f>
        <v>3137568.4622470243</v>
      </c>
    </row>
    <row r="29" spans="1:10" x14ac:dyDescent="0.2">
      <c r="A29" s="434" t="s">
        <v>71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  <c r="H29" s="510"/>
      <c r="I29" s="510"/>
      <c r="J29" s="510"/>
    </row>
    <row r="30" spans="1:10" x14ac:dyDescent="0.2">
      <c r="A30" s="434" t="s">
        <v>72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  <c r="H30" s="510"/>
      <c r="I30" s="510"/>
      <c r="J30" s="510"/>
    </row>
    <row r="31" spans="1:10" x14ac:dyDescent="0.2">
      <c r="A31" s="435" t="s">
        <v>198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  <c r="H31" s="510"/>
      <c r="I31" s="510"/>
      <c r="J31" s="510"/>
    </row>
    <row r="32" spans="1:10" x14ac:dyDescent="0.2">
      <c r="A32" s="436" t="s">
        <v>122</v>
      </c>
      <c r="B32" s="170">
        <f>SUM(B25:B30)</f>
        <v>857477100.82772994</v>
      </c>
      <c r="C32" s="180"/>
      <c r="D32" s="170">
        <f>SUM(D25:D30)</f>
        <v>885735388.37315297</v>
      </c>
      <c r="E32" s="179"/>
      <c r="F32" s="194">
        <f>SUM(F25:F31)</f>
        <v>77590420.021488205</v>
      </c>
      <c r="H32" s="510"/>
      <c r="I32" s="510"/>
      <c r="J32" s="510"/>
    </row>
    <row r="33" spans="1:10" x14ac:dyDescent="0.2">
      <c r="H33" s="510"/>
      <c r="I33" s="510"/>
      <c r="J33" s="510"/>
    </row>
    <row r="34" spans="1:10" x14ac:dyDescent="0.2">
      <c r="A34" s="432" t="s">
        <v>135</v>
      </c>
      <c r="B34" s="188"/>
      <c r="C34" s="193" t="s">
        <v>133</v>
      </c>
      <c r="D34" s="190"/>
      <c r="E34" s="189"/>
      <c r="F34" s="188"/>
      <c r="H34" s="510"/>
      <c r="I34" s="510"/>
      <c r="J34" s="510"/>
    </row>
    <row r="35" spans="1:10" x14ac:dyDescent="0.2">
      <c r="A35" s="180" t="s">
        <v>128</v>
      </c>
      <c r="B35" s="504"/>
      <c r="C35" s="192" t="s">
        <v>132</v>
      </c>
      <c r="D35" s="550">
        <v>2014</v>
      </c>
      <c r="E35" s="548"/>
      <c r="F35" s="549"/>
      <c r="H35" s="510"/>
      <c r="I35" s="510"/>
      <c r="J35" s="510"/>
    </row>
    <row r="36" spans="1:10" x14ac:dyDescent="0.2">
      <c r="A36" s="434" t="str">
        <f t="shared" ref="A36:A41" si="7">A25</f>
        <v xml:space="preserve">Residential </v>
      </c>
      <c r="B36" s="183"/>
      <c r="C36" s="184" t="s">
        <v>102</v>
      </c>
      <c r="D36" s="183">
        <f>D14+D25</f>
        <v>670535801.29109979</v>
      </c>
      <c r="E36" s="277">
        <f>'2013 COP Forecast'!E36</f>
        <v>7.1999999999999998E-3</v>
      </c>
      <c r="F36" s="182">
        <f t="shared" ref="F36:F42" si="8">D36*E36</f>
        <v>4827857.7692959188</v>
      </c>
      <c r="H36" s="510"/>
      <c r="I36" s="510"/>
      <c r="J36" s="510"/>
    </row>
    <row r="37" spans="1:10" x14ac:dyDescent="0.2">
      <c r="A37" s="434" t="str">
        <f t="shared" si="7"/>
        <v>General Service
&lt; 50 kW</v>
      </c>
      <c r="B37" s="183"/>
      <c r="C37" s="184" t="s">
        <v>102</v>
      </c>
      <c r="D37" s="183">
        <f>D15+D26</f>
        <v>248645971.69907528</v>
      </c>
      <c r="E37" s="277">
        <f>'2013 COP Forecast'!E37</f>
        <v>6.1999999999999998E-3</v>
      </c>
      <c r="F37" s="182">
        <f t="shared" si="8"/>
        <v>1541605.0245342667</v>
      </c>
      <c r="H37" s="510"/>
      <c r="I37" s="510"/>
      <c r="J37" s="510"/>
    </row>
    <row r="38" spans="1:10" x14ac:dyDescent="0.2">
      <c r="A38" s="434" t="str">
        <f t="shared" si="7"/>
        <v>General Service
&gt; 50 kW</v>
      </c>
      <c r="B38" s="183"/>
      <c r="C38" s="184" t="s">
        <v>131</v>
      </c>
      <c r="D38" s="183">
        <f>+C4</f>
        <v>2225926.8825137992</v>
      </c>
      <c r="E38" s="277">
        <f>'2013 COP Forecast'!E38</f>
        <v>3.2835999999999999</v>
      </c>
      <c r="F38" s="182">
        <f t="shared" si="8"/>
        <v>7309053.511422311</v>
      </c>
      <c r="H38" s="510"/>
      <c r="I38" s="510"/>
      <c r="J38" s="510"/>
    </row>
    <row r="39" spans="1:10" x14ac:dyDescent="0.2">
      <c r="A39" s="434" t="str">
        <f t="shared" si="7"/>
        <v>Large User</v>
      </c>
      <c r="B39" s="183"/>
      <c r="C39" s="184" t="s">
        <v>131</v>
      </c>
      <c r="D39" s="183">
        <f>C5</f>
        <v>124497.88790112856</v>
      </c>
      <c r="E39" s="277">
        <f>'2013 COP Forecast'!E39</f>
        <v>3.0861999999999998</v>
      </c>
      <c r="F39" s="182">
        <f t="shared" si="8"/>
        <v>384225.38164046296</v>
      </c>
      <c r="H39" s="511">
        <f>+F39-'2014 COP Forecast'!F39</f>
        <v>189789.4802483542</v>
      </c>
      <c r="I39" s="510"/>
      <c r="J39" s="509">
        <f>+H39+H50+H61+H72</f>
        <v>404133.16951068444</v>
      </c>
    </row>
    <row r="40" spans="1:10" x14ac:dyDescent="0.2">
      <c r="A40" s="434" t="str">
        <f t="shared" si="7"/>
        <v xml:space="preserve">Streetlights </v>
      </c>
      <c r="B40" s="183"/>
      <c r="C40" s="184" t="s">
        <v>131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  <c r="H40" s="510"/>
      <c r="I40" s="510"/>
      <c r="J40" s="510"/>
    </row>
    <row r="41" spans="1:10" x14ac:dyDescent="0.2">
      <c r="A41" s="434" t="str">
        <f t="shared" si="7"/>
        <v xml:space="preserve">Unmetered Loads </v>
      </c>
      <c r="B41" s="183"/>
      <c r="C41" s="184" t="s">
        <v>102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  <c r="H41" s="510"/>
      <c r="I41" s="510"/>
      <c r="J41" s="510"/>
    </row>
    <row r="42" spans="1:10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  <c r="H42" s="510"/>
      <c r="I42" s="510"/>
      <c r="J42" s="510"/>
    </row>
    <row r="43" spans="1:10" x14ac:dyDescent="0.2">
      <c r="A43" s="436" t="s">
        <v>122</v>
      </c>
      <c r="B43" s="170"/>
      <c r="C43" s="180"/>
      <c r="D43" s="170"/>
      <c r="E43" s="179"/>
      <c r="F43" s="178">
        <f>SUM(F36:F42)</f>
        <v>14313124.371886276</v>
      </c>
      <c r="H43" s="510"/>
      <c r="I43" s="510"/>
      <c r="J43" s="510"/>
    </row>
    <row r="44" spans="1:10" x14ac:dyDescent="0.2">
      <c r="H44" s="510"/>
      <c r="I44" s="510"/>
      <c r="J44" s="510"/>
    </row>
    <row r="45" spans="1:10" x14ac:dyDescent="0.2">
      <c r="A45" s="432" t="s">
        <v>134</v>
      </c>
      <c r="B45" s="188"/>
      <c r="C45" s="191" t="s">
        <v>133</v>
      </c>
      <c r="D45" s="190"/>
      <c r="E45" s="189"/>
      <c r="F45" s="188"/>
      <c r="H45" s="510"/>
      <c r="I45" s="510"/>
      <c r="J45" s="510"/>
    </row>
    <row r="46" spans="1:10" x14ac:dyDescent="0.2">
      <c r="A46" s="180" t="s">
        <v>128</v>
      </c>
      <c r="B46" s="504"/>
      <c r="C46" s="186" t="s">
        <v>132</v>
      </c>
      <c r="D46" s="550">
        <v>2014</v>
      </c>
      <c r="E46" s="548"/>
      <c r="F46" s="549"/>
      <c r="H46" s="510"/>
      <c r="I46" s="510"/>
      <c r="J46" s="510"/>
    </row>
    <row r="47" spans="1:10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670535801.29109979</v>
      </c>
      <c r="E47" s="277">
        <f>'2013 COP Forecast'!E47</f>
        <v>1.4E-3</v>
      </c>
      <c r="F47" s="182">
        <f t="shared" ref="F47:F53" si="10">D47*E47</f>
        <v>938750.12180753972</v>
      </c>
      <c r="H47" s="510"/>
      <c r="I47" s="510"/>
      <c r="J47" s="510"/>
    </row>
    <row r="48" spans="1:10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248645971.69907528</v>
      </c>
      <c r="E48" s="277">
        <f>'2013 COP Forecast'!E48</f>
        <v>1.2999999999999999E-3</v>
      </c>
      <c r="F48" s="182">
        <f t="shared" si="10"/>
        <v>323239.76320879784</v>
      </c>
      <c r="H48" s="510"/>
      <c r="I48" s="510"/>
      <c r="J48" s="510"/>
    </row>
    <row r="49" spans="1:10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2225926.8825137992</v>
      </c>
      <c r="E49" s="277">
        <f>'2013 COP Forecast'!E49</f>
        <v>0.68510000000000004</v>
      </c>
      <c r="F49" s="182">
        <f t="shared" si="10"/>
        <v>1524982.5072102039</v>
      </c>
      <c r="H49" s="510"/>
      <c r="I49" s="510"/>
      <c r="J49" s="510"/>
    </row>
    <row r="50" spans="1:10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124497.88790112856</v>
      </c>
      <c r="E50" s="277">
        <f>'2013 COP Forecast'!E50</f>
        <v>0.64400000000000002</v>
      </c>
      <c r="F50" s="182">
        <f t="shared" si="10"/>
        <v>80176.6398083268</v>
      </c>
      <c r="H50" s="509">
        <f>+F50-'2014 COP Forecast'!F50</f>
        <v>39603.533562290235</v>
      </c>
      <c r="I50" s="510"/>
      <c r="J50" s="510"/>
    </row>
    <row r="51" spans="1:10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  <c r="H51" s="510"/>
      <c r="I51" s="510"/>
      <c r="J51" s="510"/>
    </row>
    <row r="52" spans="1:10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  <c r="H52" s="510"/>
      <c r="I52" s="510"/>
      <c r="J52" s="510"/>
    </row>
    <row r="53" spans="1:10" x14ac:dyDescent="0.2">
      <c r="A53" s="442" t="s">
        <v>198</v>
      </c>
      <c r="B53" s="443"/>
      <c r="C53" s="444" t="s">
        <v>131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  <c r="H53" s="510"/>
      <c r="I53" s="510"/>
      <c r="J53" s="510"/>
    </row>
    <row r="54" spans="1:10" x14ac:dyDescent="0.2">
      <c r="A54" s="436" t="s">
        <v>122</v>
      </c>
      <c r="B54" s="170"/>
      <c r="C54" s="180"/>
      <c r="D54" s="183"/>
      <c r="E54" s="277"/>
      <c r="F54" s="178">
        <f>SUM(F47:F53)</f>
        <v>2919432.2811326627</v>
      </c>
      <c r="H54" s="510"/>
      <c r="I54" s="510"/>
      <c r="J54" s="510"/>
    </row>
    <row r="55" spans="1:10" x14ac:dyDescent="0.2">
      <c r="H55" s="510"/>
      <c r="I55" s="510"/>
      <c r="J55" s="510"/>
    </row>
    <row r="56" spans="1:10" x14ac:dyDescent="0.2">
      <c r="A56" s="432" t="s">
        <v>130</v>
      </c>
      <c r="B56" s="188"/>
      <c r="C56" s="191"/>
      <c r="D56" s="190"/>
      <c r="E56" s="189"/>
      <c r="F56" s="188"/>
      <c r="H56" s="510"/>
      <c r="I56" s="510"/>
      <c r="J56" s="510"/>
    </row>
    <row r="57" spans="1:10" x14ac:dyDescent="0.2">
      <c r="A57" s="180" t="s">
        <v>128</v>
      </c>
      <c r="B57" s="504"/>
      <c r="C57" s="186"/>
      <c r="D57" s="550">
        <v>2014</v>
      </c>
      <c r="E57" s="548"/>
      <c r="F57" s="551"/>
      <c r="H57" s="510"/>
      <c r="I57" s="510"/>
      <c r="J57" s="510"/>
    </row>
    <row r="58" spans="1:10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670535801.29109979</v>
      </c>
      <c r="E58" s="277">
        <v>4.4000000000000003E-3</v>
      </c>
      <c r="F58" s="182">
        <f t="shared" ref="F58:F64" si="13">D58*E58</f>
        <v>2950357.5256808391</v>
      </c>
      <c r="H58" s="510"/>
      <c r="I58" s="510"/>
      <c r="J58" s="510"/>
    </row>
    <row r="59" spans="1:10" x14ac:dyDescent="0.2">
      <c r="A59" s="434" t="str">
        <f t="shared" si="11"/>
        <v>General Service
&lt; 50 kW</v>
      </c>
      <c r="B59" s="183"/>
      <c r="C59" s="184"/>
      <c r="D59" s="183">
        <f t="shared" si="12"/>
        <v>248645971.69907528</v>
      </c>
      <c r="E59" s="277">
        <f>+E58</f>
        <v>4.4000000000000003E-3</v>
      </c>
      <c r="F59" s="182">
        <f t="shared" si="13"/>
        <v>1094042.2754759314</v>
      </c>
      <c r="H59" s="510"/>
      <c r="I59" s="510"/>
      <c r="J59" s="510"/>
    </row>
    <row r="60" spans="1:10" x14ac:dyDescent="0.2">
      <c r="A60" s="434" t="str">
        <f t="shared" si="11"/>
        <v>General Service
&gt; 50 kW</v>
      </c>
      <c r="B60" s="183"/>
      <c r="C60" s="184"/>
      <c r="D60" s="183">
        <f t="shared" si="12"/>
        <v>849961084.64237821</v>
      </c>
      <c r="E60" s="277">
        <f>+E58</f>
        <v>4.4000000000000003E-3</v>
      </c>
      <c r="F60" s="182">
        <f t="shared" si="13"/>
        <v>3739828.7724264641</v>
      </c>
      <c r="H60" s="510"/>
      <c r="I60" s="510"/>
      <c r="J60" s="510"/>
    </row>
    <row r="61" spans="1:10" x14ac:dyDescent="0.2">
      <c r="A61" s="434" t="str">
        <f t="shared" si="11"/>
        <v>Large User</v>
      </c>
      <c r="B61" s="183"/>
      <c r="C61" s="184"/>
      <c r="D61" s="183">
        <f t="shared" si="12"/>
        <v>63171124.17316322</v>
      </c>
      <c r="E61" s="277">
        <f>+E58</f>
        <v>4.4000000000000003E-3</v>
      </c>
      <c r="F61" s="182">
        <f t="shared" si="13"/>
        <v>277952.94636191818</v>
      </c>
      <c r="H61" s="509">
        <f>+F61-'2014 COP Forecast'!F61</f>
        <v>137295.83662146001</v>
      </c>
      <c r="I61" s="510"/>
      <c r="J61" s="510"/>
    </row>
    <row r="62" spans="1:10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  <c r="H62" s="510"/>
      <c r="I62" s="510"/>
      <c r="J62" s="510"/>
    </row>
    <row r="63" spans="1:10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  <c r="H63" s="510"/>
      <c r="I63" s="510"/>
      <c r="J63" s="510"/>
    </row>
    <row r="64" spans="1:10" x14ac:dyDescent="0.2">
      <c r="A64" s="435" t="s">
        <v>198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  <c r="H64" s="510"/>
      <c r="I64" s="510"/>
      <c r="J64" s="510"/>
    </row>
    <row r="65" spans="1:10" x14ac:dyDescent="0.2">
      <c r="A65" s="436" t="s">
        <v>122</v>
      </c>
      <c r="B65" s="170"/>
      <c r="C65" s="180"/>
      <c r="D65" s="170">
        <f>SUM(D58:D63)</f>
        <v>1852546509.3201308</v>
      </c>
      <c r="E65" s="179"/>
      <c r="F65" s="178">
        <f>SUM(F58:F64)</f>
        <v>8151204.6410085764</v>
      </c>
      <c r="H65" s="510"/>
      <c r="I65" s="510"/>
      <c r="J65" s="510"/>
    </row>
    <row r="66" spans="1:10" x14ac:dyDescent="0.2">
      <c r="H66" s="510"/>
      <c r="I66" s="510"/>
      <c r="J66" s="510"/>
    </row>
    <row r="67" spans="1:10" x14ac:dyDescent="0.2">
      <c r="A67" s="432" t="s">
        <v>129</v>
      </c>
      <c r="B67" s="188"/>
      <c r="C67" s="191"/>
      <c r="D67" s="190"/>
      <c r="E67" s="189"/>
      <c r="F67" s="188"/>
      <c r="H67" s="510"/>
      <c r="I67" s="510"/>
      <c r="J67" s="510"/>
    </row>
    <row r="68" spans="1:10" x14ac:dyDescent="0.2">
      <c r="A68" s="180" t="s">
        <v>128</v>
      </c>
      <c r="B68" s="504"/>
      <c r="C68" s="186"/>
      <c r="D68" s="547">
        <v>2014</v>
      </c>
      <c r="E68" s="548"/>
      <c r="F68" s="549"/>
      <c r="H68" s="510"/>
      <c r="I68" s="510"/>
      <c r="J68" s="510"/>
    </row>
    <row r="69" spans="1:10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670535801.29109979</v>
      </c>
      <c r="E69" s="277">
        <v>1.1999999999999999E-3</v>
      </c>
      <c r="F69" s="182">
        <f t="shared" ref="F69:F75" si="16">D69*E69</f>
        <v>804642.96154931968</v>
      </c>
      <c r="H69" s="510"/>
      <c r="I69" s="510"/>
      <c r="J69" s="510"/>
    </row>
    <row r="70" spans="1:10" x14ac:dyDescent="0.2">
      <c r="A70" s="434" t="str">
        <f t="shared" si="14"/>
        <v>General Service
&lt; 50 kW</v>
      </c>
      <c r="B70" s="183"/>
      <c r="C70" s="184"/>
      <c r="D70" s="183">
        <f t="shared" si="15"/>
        <v>248645971.69907528</v>
      </c>
      <c r="E70" s="277">
        <v>1.1999999999999999E-3</v>
      </c>
      <c r="F70" s="182">
        <f t="shared" si="16"/>
        <v>298375.16603889031</v>
      </c>
      <c r="H70" s="510"/>
      <c r="I70" s="510"/>
      <c r="J70" s="510"/>
    </row>
    <row r="71" spans="1:10" x14ac:dyDescent="0.2">
      <c r="A71" s="434" t="str">
        <f t="shared" si="14"/>
        <v>General Service
&gt; 50 kW</v>
      </c>
      <c r="B71" s="183"/>
      <c r="C71" s="184"/>
      <c r="D71" s="183">
        <f t="shared" si="15"/>
        <v>849961084.64237821</v>
      </c>
      <c r="E71" s="277">
        <v>1.1999999999999999E-3</v>
      </c>
      <c r="F71" s="182">
        <f t="shared" si="16"/>
        <v>1019953.3015708538</v>
      </c>
      <c r="H71" s="510"/>
      <c r="I71" s="510"/>
      <c r="J71" s="510"/>
    </row>
    <row r="72" spans="1:10" x14ac:dyDescent="0.2">
      <c r="A72" s="434" t="str">
        <f t="shared" si="14"/>
        <v>Large User</v>
      </c>
      <c r="B72" s="183"/>
      <c r="C72" s="184"/>
      <c r="D72" s="183">
        <f t="shared" si="15"/>
        <v>63171124.17316322</v>
      </c>
      <c r="E72" s="277">
        <v>1.1999999999999999E-3</v>
      </c>
      <c r="F72" s="182">
        <f t="shared" si="16"/>
        <v>75805.349007795856</v>
      </c>
      <c r="H72" s="509">
        <f>+F72-'2014 COP Forecast'!F72</f>
        <v>37444.319078579996</v>
      </c>
      <c r="I72" s="510"/>
      <c r="J72" s="510"/>
    </row>
    <row r="73" spans="1:10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  <c r="H73" s="510"/>
      <c r="I73" s="510"/>
      <c r="J73" s="510"/>
    </row>
    <row r="74" spans="1:10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  <c r="H74" s="510"/>
      <c r="I74" s="510"/>
      <c r="J74" s="510"/>
    </row>
    <row r="75" spans="1:10" x14ac:dyDescent="0.2">
      <c r="A75" s="435" t="s">
        <v>198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  <c r="H75" s="510"/>
      <c r="I75" s="510"/>
      <c r="J75" s="510"/>
    </row>
    <row r="76" spans="1:10" x14ac:dyDescent="0.2">
      <c r="A76" s="436" t="s">
        <v>122</v>
      </c>
      <c r="B76" s="170"/>
      <c r="C76" s="180"/>
      <c r="D76" s="170">
        <f>SUM(D69:D74)</f>
        <v>1852546509.3201308</v>
      </c>
      <c r="E76" s="179"/>
      <c r="F76" s="178">
        <f>SUM(F69:F75)</f>
        <v>2223055.8111841576</v>
      </c>
      <c r="H76" s="510"/>
      <c r="I76" s="510"/>
      <c r="J76" s="510"/>
    </row>
    <row r="77" spans="1:10" x14ac:dyDescent="0.2">
      <c r="A77" s="203"/>
      <c r="B77" s="201"/>
      <c r="C77" s="202"/>
      <c r="D77" s="201"/>
      <c r="E77" s="200"/>
      <c r="F77" s="302"/>
      <c r="H77" s="510"/>
      <c r="I77" s="510"/>
      <c r="J77" s="510"/>
    </row>
    <row r="78" spans="1:10" x14ac:dyDescent="0.2">
      <c r="A78" s="432" t="s">
        <v>226</v>
      </c>
      <c r="B78" s="188"/>
      <c r="C78" s="191"/>
      <c r="D78" s="190"/>
      <c r="E78" s="189"/>
      <c r="F78" s="188"/>
      <c r="H78" s="510"/>
      <c r="I78" s="510"/>
      <c r="J78" s="510"/>
    </row>
    <row r="79" spans="1:10" x14ac:dyDescent="0.2">
      <c r="A79" s="180" t="s">
        <v>128</v>
      </c>
      <c r="B79" s="504"/>
      <c r="C79" s="186"/>
      <c r="D79" s="547">
        <v>2014</v>
      </c>
      <c r="E79" s="548"/>
      <c r="F79" s="549"/>
      <c r="H79" s="510"/>
      <c r="I79" s="510"/>
      <c r="J79" s="510"/>
    </row>
    <row r="80" spans="1:10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  <c r="H80" s="510"/>
      <c r="I80" s="510"/>
      <c r="J80" s="510"/>
    </row>
    <row r="81" spans="1:10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  <c r="H81" s="510"/>
      <c r="I81" s="510"/>
      <c r="J81" s="510"/>
    </row>
    <row r="82" spans="1:10" x14ac:dyDescent="0.2">
      <c r="A82" s="181" t="s">
        <v>122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  <c r="H82" s="510"/>
      <c r="I82" s="510"/>
      <c r="J82" s="510"/>
    </row>
    <row r="83" spans="1:10" x14ac:dyDescent="0.2">
      <c r="A83" s="203"/>
      <c r="B83" s="201"/>
      <c r="C83" s="202"/>
      <c r="D83" s="201"/>
      <c r="E83" s="200"/>
      <c r="F83" s="302"/>
      <c r="H83" s="510"/>
      <c r="I83" s="510"/>
      <c r="J83" s="510"/>
    </row>
    <row r="84" spans="1:10" x14ac:dyDescent="0.2">
      <c r="A84" s="176"/>
      <c r="B84" s="177">
        <v>2014</v>
      </c>
    </row>
    <row r="85" spans="1:10" x14ac:dyDescent="0.2">
      <c r="A85" s="176"/>
      <c r="B85" s="175"/>
    </row>
    <row r="86" spans="1:10" x14ac:dyDescent="0.2">
      <c r="A86" s="172" t="s">
        <v>127</v>
      </c>
      <c r="B86" s="174">
        <f>F21+F32</f>
        <v>163636609.78576925</v>
      </c>
    </row>
    <row r="87" spans="1:10" x14ac:dyDescent="0.2">
      <c r="A87" s="172" t="s">
        <v>126</v>
      </c>
      <c r="B87" s="173">
        <f>F65</f>
        <v>8151204.6410085764</v>
      </c>
    </row>
    <row r="88" spans="1:10" x14ac:dyDescent="0.2">
      <c r="A88" s="172" t="s">
        <v>125</v>
      </c>
      <c r="B88" s="173">
        <f>F43</f>
        <v>14313124.371886276</v>
      </c>
    </row>
    <row r="89" spans="1:10" x14ac:dyDescent="0.2">
      <c r="A89" s="172" t="s">
        <v>124</v>
      </c>
      <c r="B89" s="173">
        <f>F54</f>
        <v>2919432.2811326627</v>
      </c>
    </row>
    <row r="90" spans="1:10" x14ac:dyDescent="0.2">
      <c r="A90" s="172" t="s">
        <v>123</v>
      </c>
      <c r="B90" s="173">
        <f>F76</f>
        <v>2223055.8111841576</v>
      </c>
    </row>
    <row r="91" spans="1:10" x14ac:dyDescent="0.2">
      <c r="A91" s="268" t="s">
        <v>227</v>
      </c>
      <c r="B91" s="174">
        <f>+F82</f>
        <v>857059.70712328504</v>
      </c>
    </row>
    <row r="92" spans="1:10" x14ac:dyDescent="0.2">
      <c r="A92" s="171" t="s">
        <v>122</v>
      </c>
      <c r="B92" s="178">
        <f>SUM(B86:B91)</f>
        <v>192100486.59810424</v>
      </c>
    </row>
  </sheetData>
  <mergeCells count="12">
    <mergeCell ref="D35:F35"/>
    <mergeCell ref="D46:F46"/>
    <mergeCell ref="D57:F57"/>
    <mergeCell ref="D68:F68"/>
    <mergeCell ref="D79:F79"/>
    <mergeCell ref="H27:J27"/>
    <mergeCell ref="B12:B13"/>
    <mergeCell ref="C12:C13"/>
    <mergeCell ref="D13:F13"/>
    <mergeCell ref="B23:B24"/>
    <mergeCell ref="C23:C24"/>
    <mergeCell ref="D24:F24"/>
  </mergeCells>
  <pageMargins left="0.7" right="0.18" top="0.23" bottom="0.28999999999999998" header="0.18" footer="0.17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Forecast-2LU</vt:lpstr>
      <vt:lpstr>2014 COP Forecast</vt:lpstr>
      <vt:lpstr>CDM Forecast</vt:lpstr>
      <vt:lpstr>Exibit 3 Tables</vt:lpstr>
      <vt:lpstr>ED</vt:lpstr>
      <vt:lpstr>IR Chart</vt:lpstr>
      <vt:lpstr>Sheet1</vt:lpstr>
      <vt:lpstr>Chart1</vt:lpstr>
      <vt:lpstr>'2013 COP Forecast'!Print_Area</vt:lpstr>
      <vt:lpstr>'CDM Activity'!Print_Area</vt:lpstr>
      <vt:lpstr>ED!Print_Area</vt:lpstr>
      <vt:lpstr>'Exibit 3 Tables'!Print_Area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2013-10-31T17:19:48Z</cp:lastPrinted>
  <dcterms:created xsi:type="dcterms:W3CDTF">2008-02-06T18:24:44Z</dcterms:created>
  <dcterms:modified xsi:type="dcterms:W3CDTF">2013-11-01T17:03:51Z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