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30" yWindow="-45" windowWidth="13485" windowHeight="12930" tabRatio="956" firstSheet="3" activeTab="11"/>
  </bookViews>
  <sheets>
    <sheet name="Input-Customer Growth" sheetId="6" r:id="rId1"/>
    <sheet name="Input-Retail by Rate Class" sheetId="30" r:id="rId2"/>
    <sheet name="10 year avg. VS 20 year avg." sheetId="63" r:id="rId3"/>
    <sheet name="Regression Calculations" sheetId="62" r:id="rId4"/>
    <sheet name="Input WS Regression Analysis" sheetId="4" r:id="rId5"/>
    <sheet name="Regression Result of Cust Count" sheetId="66" r:id="rId6"/>
    <sheet name="Worksheet-Class Analysis" sheetId="29" r:id="rId7"/>
    <sheet name="Results -Weather Adj LF" sheetId="32" r:id="rId8"/>
    <sheet name="Result - AvgPerCust" sheetId="38" r:id="rId9"/>
    <sheet name="CDM Calculations" sheetId="64" r:id="rId10"/>
    <sheet name="CDM Adjustments" sheetId="40" r:id="rId11"/>
    <sheet name="Final Load Forecast" sheetId="41" r:id="rId12"/>
  </sheets>
  <externalReferences>
    <externalReference r:id="rId13"/>
  </externalReferences>
  <definedNames>
    <definedName name="CASENUMBER">'[1]LDC Info'!$E$18</definedName>
  </definedNames>
  <calcPr calcId="145621"/>
</workbook>
</file>

<file path=xl/calcChain.xml><?xml version="1.0" encoding="utf-8"?>
<calcChain xmlns="http://schemas.openxmlformats.org/spreadsheetml/2006/main">
  <c r="K10" i="4" l="1"/>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6" i="4"/>
  <c r="K7" i="4"/>
  <c r="K8" i="4"/>
  <c r="K9" i="4"/>
  <c r="K5" i="4"/>
  <c r="F113" i="4" l="1"/>
  <c r="I4" i="64" l="1"/>
  <c r="J4" i="64"/>
  <c r="K4" i="64"/>
  <c r="L4" i="64"/>
  <c r="H5" i="64"/>
  <c r="I5" i="64"/>
  <c r="H6" i="64"/>
  <c r="H7" i="64"/>
  <c r="H8" i="64"/>
  <c r="D9" i="40"/>
  <c r="E9" i="40"/>
  <c r="F9" i="40"/>
  <c r="D11" i="40"/>
  <c r="E11" i="40"/>
  <c r="F11" i="40"/>
  <c r="C53" i="64"/>
  <c r="B53" i="64"/>
  <c r="F15" i="64"/>
  <c r="B5" i="64" s="1"/>
  <c r="C15" i="64"/>
  <c r="B15" i="64"/>
  <c r="F12" i="64"/>
  <c r="F11" i="64"/>
  <c r="C6" i="64" l="1"/>
  <c r="E5" i="64"/>
  <c r="D5" i="64"/>
  <c r="D30" i="64"/>
  <c r="F30" i="64" s="1"/>
  <c r="B55" i="64" s="1"/>
  <c r="B58" i="64" s="1"/>
  <c r="E6" i="64"/>
  <c r="D6" i="64"/>
  <c r="C5" i="64"/>
  <c r="C30" i="64"/>
  <c r="D13" i="64"/>
  <c r="D7" i="64" s="1"/>
  <c r="E14" i="64" l="1"/>
  <c r="F14" i="64" s="1"/>
  <c r="D9" i="64"/>
  <c r="E30" i="64"/>
  <c r="C55" i="64"/>
  <c r="C58" i="64" s="1"/>
  <c r="E13" i="64"/>
  <c r="E7" i="64" s="1"/>
  <c r="D15" i="64"/>
  <c r="F6" i="64"/>
  <c r="C9" i="64"/>
  <c r="B9" i="64"/>
  <c r="F5" i="64"/>
  <c r="E53" i="64"/>
  <c r="E55" i="64" s="1"/>
  <c r="E58" i="64" s="1"/>
  <c r="E8" i="64" l="1"/>
  <c r="F8" i="64" s="1"/>
  <c r="D53" i="64"/>
  <c r="F53" i="64" s="1"/>
  <c r="F13" i="64"/>
  <c r="F17" i="64" s="1"/>
  <c r="E15" i="64"/>
  <c r="F7" i="64"/>
  <c r="E9" i="64" l="1"/>
  <c r="F9" i="64" s="1"/>
  <c r="D55" i="64"/>
  <c r="D58" i="64" s="1"/>
  <c r="F58" i="64" s="1"/>
  <c r="F55" i="64" l="1"/>
  <c r="K21" i="40" s="1"/>
  <c r="E15" i="40" l="1"/>
  <c r="D15" i="40"/>
  <c r="D13" i="40" l="1"/>
  <c r="D15" i="41" s="1"/>
  <c r="E13" i="40"/>
  <c r="E15" i="41" s="1"/>
  <c r="F13" i="40"/>
  <c r="F15" i="41" s="1"/>
  <c r="D12" i="41"/>
  <c r="E12" i="41"/>
  <c r="F12" i="41"/>
  <c r="D9" i="41"/>
  <c r="E9" i="41"/>
  <c r="B65" i="4"/>
  <c r="B66" i="4"/>
  <c r="B67" i="4"/>
  <c r="B68" i="4"/>
  <c r="B69" i="4"/>
  <c r="B70" i="4"/>
  <c r="B71" i="4"/>
  <c r="B72" i="4"/>
  <c r="B73" i="4"/>
  <c r="B74" i="4"/>
  <c r="B75" i="4"/>
  <c r="B76" i="4"/>
  <c r="E26" i="41"/>
  <c r="H18" i="41"/>
  <c r="E14" i="41"/>
  <c r="G11" i="41"/>
  <c r="F11" i="41"/>
  <c r="H8" i="41"/>
  <c r="E8" i="41"/>
  <c r="C24" i="41"/>
  <c r="C20" i="41"/>
  <c r="C16" i="41"/>
  <c r="B6" i="41"/>
  <c r="C6" i="41"/>
  <c r="D6" i="41"/>
  <c r="E6" i="41"/>
  <c r="F6" i="41"/>
  <c r="G6" i="41"/>
  <c r="H6" i="41"/>
  <c r="C9" i="41"/>
  <c r="C12" i="41"/>
  <c r="C15" i="41"/>
  <c r="C19" i="41"/>
  <c r="D19" i="41"/>
  <c r="E19" i="41"/>
  <c r="C23" i="41"/>
  <c r="C27" i="41"/>
  <c r="H17" i="40"/>
  <c r="F25" i="40"/>
  <c r="F16" i="41" s="1"/>
  <c r="N22" i="38"/>
  <c r="N26" i="38"/>
  <c r="N30" i="38"/>
  <c r="G29" i="40"/>
  <c r="G24" i="41" s="1"/>
  <c r="M24" i="38"/>
  <c r="M31" i="38"/>
  <c r="M21" i="38"/>
  <c r="L23" i="38"/>
  <c r="K23" i="38"/>
  <c r="K21" i="38"/>
  <c r="S38" i="29"/>
  <c r="S39" i="29"/>
  <c r="S40" i="29"/>
  <c r="S41" i="29"/>
  <c r="H114" i="4"/>
  <c r="H115" i="4"/>
  <c r="H116" i="4"/>
  <c r="H117" i="4"/>
  <c r="H129" i="4"/>
  <c r="H118" i="4"/>
  <c r="H130" i="4"/>
  <c r="H119" i="4"/>
  <c r="H131" i="4"/>
  <c r="H120" i="4"/>
  <c r="H132" i="4"/>
  <c r="H121" i="4"/>
  <c r="H122" i="4"/>
  <c r="H123" i="4"/>
  <c r="H124" i="4"/>
  <c r="H125" i="4"/>
  <c r="H126" i="4"/>
  <c r="H127" i="4"/>
  <c r="H128" i="4"/>
  <c r="H133" i="4"/>
  <c r="H134" i="4"/>
  <c r="H135" i="4"/>
  <c r="H136" i="4"/>
  <c r="H113" i="4"/>
  <c r="F114" i="4"/>
  <c r="F115" i="4"/>
  <c r="F127" i="4" s="1"/>
  <c r="F116" i="4"/>
  <c r="F117" i="4"/>
  <c r="F129" i="4"/>
  <c r="F118" i="4"/>
  <c r="F130" i="4" s="1"/>
  <c r="F119" i="4"/>
  <c r="F120" i="4"/>
  <c r="F121" i="4"/>
  <c r="F133" i="4"/>
  <c r="F122" i="4"/>
  <c r="F134" i="4"/>
  <c r="F123" i="4"/>
  <c r="F135" i="4" s="1"/>
  <c r="F124" i="4"/>
  <c r="F136" i="4" s="1"/>
  <c r="F126" i="4"/>
  <c r="F131" i="4"/>
  <c r="F132" i="4"/>
  <c r="F125" i="4"/>
  <c r="C114" i="4"/>
  <c r="C126" i="4"/>
  <c r="D114" i="4"/>
  <c r="C115" i="4"/>
  <c r="C127" i="4"/>
  <c r="D115" i="4"/>
  <c r="D127" i="4"/>
  <c r="C116" i="4"/>
  <c r="D116" i="4"/>
  <c r="D128" i="4"/>
  <c r="C117" i="4"/>
  <c r="C129" i="4"/>
  <c r="D117" i="4"/>
  <c r="C118" i="4"/>
  <c r="C130" i="4"/>
  <c r="D118" i="4"/>
  <c r="C119" i="4"/>
  <c r="C131" i="4"/>
  <c r="D119" i="4"/>
  <c r="D131" i="4"/>
  <c r="C120" i="4"/>
  <c r="D120" i="4"/>
  <c r="D132" i="4"/>
  <c r="C121" i="4"/>
  <c r="D121" i="4"/>
  <c r="C122" i="4"/>
  <c r="D122" i="4"/>
  <c r="C123" i="4"/>
  <c r="C135" i="4"/>
  <c r="D123" i="4"/>
  <c r="C124" i="4"/>
  <c r="D124" i="4"/>
  <c r="D126" i="4"/>
  <c r="C128" i="4"/>
  <c r="D129" i="4"/>
  <c r="D130" i="4"/>
  <c r="C132" i="4"/>
  <c r="C133" i="4"/>
  <c r="D133" i="4"/>
  <c r="C134" i="4"/>
  <c r="C136" i="4"/>
  <c r="D136" i="4"/>
  <c r="D113" i="4"/>
  <c r="D125" i="4"/>
  <c r="C113" i="4"/>
  <c r="C125" i="4"/>
  <c r="L23" i="32"/>
  <c r="L21" i="38"/>
  <c r="L32" i="32"/>
  <c r="L33" i="32"/>
  <c r="N31" i="38"/>
  <c r="F23" i="32"/>
  <c r="F28" i="32"/>
  <c r="G29" i="32"/>
  <c r="F31" i="32"/>
  <c r="D29" i="32"/>
  <c r="E29" i="32"/>
  <c r="D30" i="32"/>
  <c r="E30" i="32"/>
  <c r="D31" i="32"/>
  <c r="E31" i="32"/>
  <c r="H33" i="32"/>
  <c r="J31" i="38"/>
  <c r="H22" i="41"/>
  <c r="H32" i="32"/>
  <c r="I33" i="32"/>
  <c r="B33" i="32"/>
  <c r="B32" i="32"/>
  <c r="C32" i="32"/>
  <c r="N23" i="32"/>
  <c r="O24" i="32"/>
  <c r="N24" i="32"/>
  <c r="N25" i="32"/>
  <c r="O25" i="32"/>
  <c r="N26" i="32"/>
  <c r="O27" i="32"/>
  <c r="N27" i="32"/>
  <c r="N28" i="32"/>
  <c r="O28" i="32"/>
  <c r="N29" i="32"/>
  <c r="O29" i="32"/>
  <c r="N30" i="32"/>
  <c r="N31" i="32"/>
  <c r="O32" i="32"/>
  <c r="H23" i="32"/>
  <c r="J21" i="38"/>
  <c r="H24" i="32"/>
  <c r="I24" i="32"/>
  <c r="H25" i="32"/>
  <c r="I25" i="32"/>
  <c r="J23" i="38"/>
  <c r="O23" i="38"/>
  <c r="I40" i="38"/>
  <c r="H26" i="32"/>
  <c r="J24" i="38"/>
  <c r="H27" i="32"/>
  <c r="H28" i="32"/>
  <c r="I29" i="32"/>
  <c r="H29" i="32"/>
  <c r="J27" i="38"/>
  <c r="H30" i="32"/>
  <c r="J28" i="38"/>
  <c r="P28" i="38"/>
  <c r="J45" i="38"/>
  <c r="H31" i="32"/>
  <c r="J29" i="38"/>
  <c r="B23" i="32"/>
  <c r="C24" i="32"/>
  <c r="B24" i="32"/>
  <c r="B25" i="32"/>
  <c r="C25" i="32"/>
  <c r="B26" i="32"/>
  <c r="C26" i="32"/>
  <c r="B27" i="32"/>
  <c r="B28" i="32"/>
  <c r="C28" i="32"/>
  <c r="B29" i="32"/>
  <c r="B30" i="32"/>
  <c r="C30" i="32"/>
  <c r="B31" i="32"/>
  <c r="O38" i="29"/>
  <c r="Q38" i="29"/>
  <c r="O39" i="29"/>
  <c r="O40" i="29"/>
  <c r="O41" i="29"/>
  <c r="Q41" i="29"/>
  <c r="O42" i="29"/>
  <c r="Q42" i="29"/>
  <c r="O43" i="29"/>
  <c r="P43" i="29"/>
  <c r="O44" i="29"/>
  <c r="P44" i="29"/>
  <c r="O45" i="29"/>
  <c r="P45" i="29"/>
  <c r="O46" i="29"/>
  <c r="N38" i="29"/>
  <c r="N39" i="29"/>
  <c r="L24" i="32"/>
  <c r="L22" i="38"/>
  <c r="N40" i="29"/>
  <c r="N41" i="29"/>
  <c r="N42" i="29"/>
  <c r="R42" i="29"/>
  <c r="N43" i="29"/>
  <c r="R43" i="29"/>
  <c r="N44" i="29"/>
  <c r="L29" i="32"/>
  <c r="L27" i="38"/>
  <c r="N45" i="29"/>
  <c r="N46" i="29"/>
  <c r="L24" i="6"/>
  <c r="L23" i="6"/>
  <c r="L15" i="6"/>
  <c r="L14" i="6"/>
  <c r="L13" i="6"/>
  <c r="L12" i="6"/>
  <c r="L11" i="6"/>
  <c r="L10" i="6"/>
  <c r="L9" i="6"/>
  <c r="L8" i="6"/>
  <c r="L7" i="6"/>
  <c r="L17" i="6"/>
  <c r="K19" i="6"/>
  <c r="K20" i="6"/>
  <c r="T48" i="29"/>
  <c r="T47" i="29"/>
  <c r="I48" i="29"/>
  <c r="I47" i="29"/>
  <c r="M46" i="29"/>
  <c r="M45" i="29"/>
  <c r="J30" i="32"/>
  <c r="M28" i="38"/>
  <c r="E17" i="40"/>
  <c r="E23" i="41" s="1"/>
  <c r="M44" i="29"/>
  <c r="M43" i="29"/>
  <c r="J28" i="32"/>
  <c r="M26" i="38"/>
  <c r="M42" i="29"/>
  <c r="P42" i="29"/>
  <c r="M41" i="29"/>
  <c r="J26" i="32"/>
  <c r="K24" i="38"/>
  <c r="M40" i="29"/>
  <c r="P40" i="29"/>
  <c r="M39" i="29"/>
  <c r="R39" i="29"/>
  <c r="M38" i="29"/>
  <c r="C10" i="29"/>
  <c r="D9" i="38"/>
  <c r="N7" i="6"/>
  <c r="N8" i="6"/>
  <c r="N9" i="6"/>
  <c r="N10" i="6"/>
  <c r="N11" i="6"/>
  <c r="G46" i="29"/>
  <c r="F29" i="38"/>
  <c r="F15" i="40"/>
  <c r="F19" i="41" s="1"/>
  <c r="Q31" i="38"/>
  <c r="H26" i="41"/>
  <c r="C31" i="38"/>
  <c r="K16" i="38"/>
  <c r="H14" i="41"/>
  <c r="G16" i="38"/>
  <c r="H11" i="41"/>
  <c r="C16" i="38"/>
  <c r="Q30" i="38"/>
  <c r="G26" i="41"/>
  <c r="C30" i="38"/>
  <c r="G18" i="41"/>
  <c r="K15" i="38"/>
  <c r="G14" i="41"/>
  <c r="G15" i="38"/>
  <c r="C15" i="38"/>
  <c r="G8" i="41"/>
  <c r="Q29" i="38"/>
  <c r="S29" i="38"/>
  <c r="K46" i="38"/>
  <c r="C29" i="38"/>
  <c r="F18" i="41"/>
  <c r="K14" i="38"/>
  <c r="F14" i="41"/>
  <c r="G14" i="38"/>
  <c r="J14" i="38"/>
  <c r="D46" i="38"/>
  <c r="C14" i="38"/>
  <c r="F8" i="41"/>
  <c r="Q28" i="38"/>
  <c r="C28" i="38"/>
  <c r="E18" i="41"/>
  <c r="K13" i="38"/>
  <c r="P13" i="38"/>
  <c r="E45" i="38"/>
  <c r="G13" i="38"/>
  <c r="E11" i="41"/>
  <c r="C13" i="38"/>
  <c r="Q27" i="38"/>
  <c r="D26" i="41"/>
  <c r="C27" i="38"/>
  <c r="D18" i="41"/>
  <c r="K12" i="38"/>
  <c r="D14" i="41"/>
  <c r="G12" i="38"/>
  <c r="D11" i="41"/>
  <c r="C12" i="38"/>
  <c r="D8" i="41"/>
  <c r="Q26" i="38"/>
  <c r="C26" i="38"/>
  <c r="I26" i="38"/>
  <c r="H43" i="38"/>
  <c r="K11" i="38"/>
  <c r="G11" i="38"/>
  <c r="C11" i="38"/>
  <c r="Q25" i="38"/>
  <c r="S25" i="38"/>
  <c r="K42" i="38"/>
  <c r="C25" i="38"/>
  <c r="I25" i="38"/>
  <c r="H42" i="38"/>
  <c r="K10" i="38"/>
  <c r="Q10" i="38"/>
  <c r="F42" i="38"/>
  <c r="G10" i="38"/>
  <c r="C10" i="38"/>
  <c r="Q24" i="38"/>
  <c r="C24" i="38"/>
  <c r="H24" i="38"/>
  <c r="G41" i="38"/>
  <c r="K9" i="38"/>
  <c r="Q9" i="38"/>
  <c r="F41" i="38"/>
  <c r="G9" i="38"/>
  <c r="C9" i="38"/>
  <c r="Q23" i="38"/>
  <c r="C23" i="38"/>
  <c r="H23" i="38"/>
  <c r="G40" i="38"/>
  <c r="K8" i="38"/>
  <c r="Q8" i="38"/>
  <c r="F40" i="38"/>
  <c r="G8" i="38"/>
  <c r="C8" i="38"/>
  <c r="Q22" i="38"/>
  <c r="C22" i="38"/>
  <c r="I22" i="38"/>
  <c r="H39" i="38"/>
  <c r="K7" i="38"/>
  <c r="Q7" i="38"/>
  <c r="F39" i="38"/>
  <c r="G7" i="38"/>
  <c r="J7" i="38"/>
  <c r="D39" i="38"/>
  <c r="C7" i="38"/>
  <c r="Q21" i="38"/>
  <c r="C21" i="38"/>
  <c r="H21" i="38"/>
  <c r="G38" i="38"/>
  <c r="K6" i="38"/>
  <c r="P6" i="38"/>
  <c r="E38" i="38"/>
  <c r="G6" i="38"/>
  <c r="C6" i="38"/>
  <c r="N24" i="6"/>
  <c r="N23" i="6"/>
  <c r="J24" i="6"/>
  <c r="J23" i="6"/>
  <c r="H24" i="6"/>
  <c r="H23" i="6"/>
  <c r="F24" i="6"/>
  <c r="F23" i="6"/>
  <c r="D23" i="6"/>
  <c r="D24" i="6"/>
  <c r="D7" i="6"/>
  <c r="D8" i="6"/>
  <c r="D9" i="6"/>
  <c r="D17" i="6"/>
  <c r="C19" i="6"/>
  <c r="C20" i="6"/>
  <c r="D10" i="6"/>
  <c r="D11" i="6"/>
  <c r="D12" i="6"/>
  <c r="D13" i="6"/>
  <c r="D14" i="6"/>
  <c r="D15" i="6"/>
  <c r="F7" i="6"/>
  <c r="F8" i="6"/>
  <c r="F17" i="6"/>
  <c r="E19" i="6"/>
  <c r="E20" i="6"/>
  <c r="F9" i="6"/>
  <c r="F10" i="6"/>
  <c r="F11" i="6"/>
  <c r="F12" i="6"/>
  <c r="F13" i="6"/>
  <c r="F14" i="6"/>
  <c r="F15" i="6"/>
  <c r="H7" i="6"/>
  <c r="H17" i="6"/>
  <c r="G19" i="6"/>
  <c r="G20" i="6"/>
  <c r="H8" i="6"/>
  <c r="H9" i="6"/>
  <c r="H10" i="6"/>
  <c r="H11" i="6"/>
  <c r="H12" i="6"/>
  <c r="H13" i="6"/>
  <c r="H14" i="6"/>
  <c r="H15" i="6"/>
  <c r="J7" i="6"/>
  <c r="J8" i="6"/>
  <c r="J9" i="6"/>
  <c r="J10" i="6"/>
  <c r="J11" i="6"/>
  <c r="J17" i="6"/>
  <c r="I19" i="6"/>
  <c r="I20" i="6"/>
  <c r="J12" i="6"/>
  <c r="J13" i="6"/>
  <c r="J14" i="6"/>
  <c r="J15" i="6"/>
  <c r="N17" i="6"/>
  <c r="M19" i="6"/>
  <c r="M20" i="6"/>
  <c r="N12" i="6"/>
  <c r="N13" i="6"/>
  <c r="N14" i="6"/>
  <c r="N15" i="6"/>
  <c r="E38" i="29"/>
  <c r="M6" i="38"/>
  <c r="G38" i="29"/>
  <c r="L38" i="29"/>
  <c r="D21" i="38"/>
  <c r="H38" i="29"/>
  <c r="E21" i="38"/>
  <c r="I38" i="29"/>
  <c r="T38" i="29"/>
  <c r="E39" i="29"/>
  <c r="M7" i="38"/>
  <c r="G39" i="29"/>
  <c r="H39" i="29"/>
  <c r="L39" i="29"/>
  <c r="I39" i="29"/>
  <c r="J39" i="29"/>
  <c r="T39" i="29"/>
  <c r="E40" i="29"/>
  <c r="M8" i="38"/>
  <c r="G40" i="29"/>
  <c r="H40" i="29"/>
  <c r="F25" i="32"/>
  <c r="G23" i="38"/>
  <c r="I40" i="29"/>
  <c r="J40" i="29"/>
  <c r="K40" i="29"/>
  <c r="T40" i="29"/>
  <c r="E41" i="29"/>
  <c r="M9" i="38"/>
  <c r="G41" i="29"/>
  <c r="H41" i="29"/>
  <c r="F26" i="32"/>
  <c r="G26" i="32"/>
  <c r="E24" i="38"/>
  <c r="I41" i="29"/>
  <c r="K41" i="29"/>
  <c r="T41" i="29"/>
  <c r="E42" i="29"/>
  <c r="G42" i="29"/>
  <c r="D27" i="32"/>
  <c r="E27" i="32"/>
  <c r="F25" i="38"/>
  <c r="H42" i="29"/>
  <c r="E25" i="38"/>
  <c r="I42" i="29"/>
  <c r="K42" i="29"/>
  <c r="J42" i="29"/>
  <c r="S42" i="29"/>
  <c r="P27" i="32"/>
  <c r="T42" i="29"/>
  <c r="U42" i="29"/>
  <c r="E43" i="29"/>
  <c r="O12" i="32"/>
  <c r="P12" i="32"/>
  <c r="G43" i="29"/>
  <c r="F26" i="38"/>
  <c r="H43" i="29"/>
  <c r="E26" i="38"/>
  <c r="I43" i="29"/>
  <c r="J43" i="29"/>
  <c r="K43" i="29"/>
  <c r="S43" i="29"/>
  <c r="T43" i="29"/>
  <c r="E44" i="29"/>
  <c r="G44" i="29"/>
  <c r="H44" i="29"/>
  <c r="F29" i="32"/>
  <c r="I44" i="29"/>
  <c r="J44" i="29"/>
  <c r="S44" i="29"/>
  <c r="P29" i="32"/>
  <c r="T44" i="29"/>
  <c r="U44" i="29"/>
  <c r="E45" i="29"/>
  <c r="M13" i="38"/>
  <c r="G45" i="29"/>
  <c r="F28" i="38"/>
  <c r="H45" i="29"/>
  <c r="F30" i="32"/>
  <c r="G30" i="32"/>
  <c r="G28" i="38"/>
  <c r="E27" i="40"/>
  <c r="E20" i="41" s="1"/>
  <c r="I45" i="29"/>
  <c r="K45" i="29"/>
  <c r="S45" i="29"/>
  <c r="P30" i="32"/>
  <c r="T45" i="29"/>
  <c r="E46" i="29"/>
  <c r="M14" i="38"/>
  <c r="H46" i="29"/>
  <c r="G29" i="38"/>
  <c r="F27" i="40"/>
  <c r="F20" i="41" s="1"/>
  <c r="I46" i="29"/>
  <c r="J46" i="29"/>
  <c r="S46" i="29"/>
  <c r="T46" i="29"/>
  <c r="N33" i="32"/>
  <c r="O33" i="32"/>
  <c r="K17" i="32"/>
  <c r="G17" i="32"/>
  <c r="C17" i="32"/>
  <c r="D17" i="32"/>
  <c r="N32" i="32"/>
  <c r="K16" i="32"/>
  <c r="L16" i="32"/>
  <c r="L17" i="32"/>
  <c r="G16" i="32"/>
  <c r="H16" i="32"/>
  <c r="C16" i="32"/>
  <c r="D16" i="32"/>
  <c r="K15" i="32"/>
  <c r="G15" i="32"/>
  <c r="H15" i="32"/>
  <c r="C15" i="32"/>
  <c r="K14" i="32"/>
  <c r="G14" i="32"/>
  <c r="H14" i="32"/>
  <c r="C14" i="32"/>
  <c r="K13" i="32"/>
  <c r="L13" i="32"/>
  <c r="L14" i="32"/>
  <c r="G13" i="32"/>
  <c r="C13" i="32"/>
  <c r="D13" i="32"/>
  <c r="K12" i="32"/>
  <c r="G12" i="32"/>
  <c r="H12" i="32"/>
  <c r="C12" i="32"/>
  <c r="K11" i="32"/>
  <c r="L11" i="32"/>
  <c r="G11" i="32"/>
  <c r="H11" i="32"/>
  <c r="C11" i="32"/>
  <c r="D11" i="32"/>
  <c r="K10" i="32"/>
  <c r="G10" i="32"/>
  <c r="C10" i="32"/>
  <c r="D10" i="32"/>
  <c r="K9" i="32"/>
  <c r="L9" i="32"/>
  <c r="G9" i="32"/>
  <c r="H10" i="32"/>
  <c r="C9" i="32"/>
  <c r="K8" i="32"/>
  <c r="G8" i="32"/>
  <c r="H8" i="32"/>
  <c r="C8" i="32"/>
  <c r="D8" i="32"/>
  <c r="K7" i="32"/>
  <c r="L8" i="32"/>
  <c r="G7" i="32"/>
  <c r="C7" i="32"/>
  <c r="O40" i="4"/>
  <c r="P40" i="4"/>
  <c r="O39" i="4"/>
  <c r="P39" i="4"/>
  <c r="O38" i="4"/>
  <c r="O37" i="4"/>
  <c r="O36" i="4"/>
  <c r="O48" i="4"/>
  <c r="O35" i="4"/>
  <c r="O47" i="4"/>
  <c r="O34" i="4"/>
  <c r="P35" i="4"/>
  <c r="O33" i="4"/>
  <c r="O45" i="4"/>
  <c r="O32" i="4"/>
  <c r="J24" i="29"/>
  <c r="K24" i="29"/>
  <c r="J25" i="29"/>
  <c r="K25" i="29"/>
  <c r="C24" i="29"/>
  <c r="D24" i="29"/>
  <c r="C25" i="29"/>
  <c r="D25" i="29"/>
  <c r="D15" i="29"/>
  <c r="F15" i="29"/>
  <c r="K15" i="29"/>
  <c r="M15" i="29"/>
  <c r="Q15" i="29"/>
  <c r="C46" i="29"/>
  <c r="Q14" i="29"/>
  <c r="C45" i="29"/>
  <c r="F45" i="29"/>
  <c r="Q13" i="29"/>
  <c r="L12" i="38"/>
  <c r="C44" i="29"/>
  <c r="F44" i="29"/>
  <c r="Q12" i="29"/>
  <c r="C43" i="29"/>
  <c r="F43" i="29"/>
  <c r="Q11" i="29"/>
  <c r="C42" i="29"/>
  <c r="L10" i="38"/>
  <c r="Q10" i="29"/>
  <c r="L9" i="38"/>
  <c r="Q9" i="29"/>
  <c r="Q8" i="29"/>
  <c r="Q7" i="29"/>
  <c r="L6" i="38"/>
  <c r="J15" i="29"/>
  <c r="J23" i="29"/>
  <c r="J14" i="29"/>
  <c r="H13" i="38"/>
  <c r="J13" i="29"/>
  <c r="H12" i="38"/>
  <c r="J12" i="29"/>
  <c r="H11" i="38"/>
  <c r="J11" i="29"/>
  <c r="H10" i="38"/>
  <c r="J10" i="29"/>
  <c r="H9" i="38"/>
  <c r="J9" i="29"/>
  <c r="H8" i="38"/>
  <c r="J8" i="38"/>
  <c r="D40" i="38"/>
  <c r="J8" i="29"/>
  <c r="H7" i="38"/>
  <c r="J7" i="29"/>
  <c r="H6" i="38"/>
  <c r="D14" i="29"/>
  <c r="K14" i="29"/>
  <c r="D13" i="29"/>
  <c r="F13" i="29"/>
  <c r="K13" i="29"/>
  <c r="M13" i="29"/>
  <c r="D12" i="29"/>
  <c r="F12" i="29"/>
  <c r="D11" i="29"/>
  <c r="F11" i="29"/>
  <c r="K11" i="29"/>
  <c r="D10" i="29"/>
  <c r="K10" i="29"/>
  <c r="D9" i="29"/>
  <c r="K9" i="29"/>
  <c r="R9" i="29"/>
  <c r="T9" i="29"/>
  <c r="D8" i="29"/>
  <c r="D7" i="29"/>
  <c r="K7" i="29"/>
  <c r="M7" i="29"/>
  <c r="R7" i="29"/>
  <c r="T7" i="29"/>
  <c r="C15" i="29"/>
  <c r="C14" i="29"/>
  <c r="D13" i="38"/>
  <c r="F13" i="38"/>
  <c r="C45" i="38"/>
  <c r="C13" i="29"/>
  <c r="D12" i="38"/>
  <c r="F12" i="38"/>
  <c r="C44" i="38"/>
  <c r="C12" i="29"/>
  <c r="D11" i="38"/>
  <c r="C11" i="29"/>
  <c r="D10" i="38"/>
  <c r="F10" i="38"/>
  <c r="C42" i="38"/>
  <c r="C9" i="29"/>
  <c r="D8" i="38"/>
  <c r="C8" i="29"/>
  <c r="D7" i="38"/>
  <c r="F7" i="38"/>
  <c r="C39" i="38"/>
  <c r="C7" i="29"/>
  <c r="F7" i="29"/>
  <c r="O50" i="4"/>
  <c r="O52" i="4"/>
  <c r="O51" i="4"/>
  <c r="M11" i="38"/>
  <c r="D27" i="38"/>
  <c r="O7" i="32"/>
  <c r="O8" i="32"/>
  <c r="P8" i="32"/>
  <c r="H14" i="38"/>
  <c r="H9" i="32"/>
  <c r="H17" i="32"/>
  <c r="R21" i="38"/>
  <c r="S21" i="38"/>
  <c r="E29" i="38"/>
  <c r="I29" i="38"/>
  <c r="H46" i="38"/>
  <c r="C40" i="29"/>
  <c r="O7" i="38"/>
  <c r="C23" i="29"/>
  <c r="O13" i="32"/>
  <c r="O6" i="38"/>
  <c r="O10" i="38"/>
  <c r="F21" i="38"/>
  <c r="G26" i="38"/>
  <c r="D28" i="38"/>
  <c r="E23" i="38"/>
  <c r="K38" i="29"/>
  <c r="O14" i="32"/>
  <c r="P14" i="32"/>
  <c r="L8" i="38"/>
  <c r="K39" i="29"/>
  <c r="O13" i="38"/>
  <c r="E25" i="40"/>
  <c r="E16" i="41" s="1"/>
  <c r="C41" i="29"/>
  <c r="O14" i="38"/>
  <c r="L45" i="29"/>
  <c r="D25" i="38"/>
  <c r="G27" i="38"/>
  <c r="D27" i="40"/>
  <c r="D20" i="41" s="1"/>
  <c r="L13" i="38"/>
  <c r="E28" i="38"/>
  <c r="I28" i="38"/>
  <c r="H45" i="38"/>
  <c r="G24" i="38"/>
  <c r="D26" i="38"/>
  <c r="O9" i="38"/>
  <c r="G21" i="38"/>
  <c r="P24" i="32"/>
  <c r="M9" i="29"/>
  <c r="F9" i="29"/>
  <c r="O44" i="4"/>
  <c r="P33" i="4"/>
  <c r="K8" i="29"/>
  <c r="R8" i="29"/>
  <c r="O46" i="4"/>
  <c r="T8" i="29"/>
  <c r="F128" i="4"/>
  <c r="D135" i="4"/>
  <c r="D15" i="32"/>
  <c r="G31" i="32"/>
  <c r="D9" i="32"/>
  <c r="L11" i="38"/>
  <c r="F22" i="38"/>
  <c r="G22" i="38"/>
  <c r="D6" i="38"/>
  <c r="L27" i="32"/>
  <c r="M27" i="32"/>
  <c r="R24" i="38"/>
  <c r="S24" i="38"/>
  <c r="R25" i="38"/>
  <c r="C38" i="29"/>
  <c r="F38" i="29"/>
  <c r="O11" i="38"/>
  <c r="P26" i="32"/>
  <c r="J25" i="32"/>
  <c r="M23" i="38"/>
  <c r="K26" i="32"/>
  <c r="J38" i="29"/>
  <c r="R45" i="29"/>
  <c r="D23" i="32"/>
  <c r="K23" i="29"/>
  <c r="L46" i="29"/>
  <c r="Q44" i="29"/>
  <c r="Q40" i="29"/>
  <c r="F27" i="32"/>
  <c r="D29" i="38"/>
  <c r="H29" i="38"/>
  <c r="G46" i="38"/>
  <c r="G25" i="38"/>
  <c r="O10" i="32"/>
  <c r="P11" i="32"/>
  <c r="F40" i="29"/>
  <c r="F50" i="29"/>
  <c r="P41" i="29"/>
  <c r="J23" i="32"/>
  <c r="R38" i="29"/>
  <c r="R50" i="29"/>
  <c r="M50" i="29"/>
  <c r="D25" i="32"/>
  <c r="D23" i="38"/>
  <c r="L40" i="29"/>
  <c r="F23" i="38"/>
  <c r="D26" i="32"/>
  <c r="L41" i="29"/>
  <c r="D24" i="38"/>
  <c r="F24" i="38"/>
  <c r="J41" i="29"/>
  <c r="J31" i="32"/>
  <c r="K29" i="38"/>
  <c r="P46" i="29"/>
  <c r="R26" i="38"/>
  <c r="U43" i="29"/>
  <c r="P28" i="32"/>
  <c r="R28" i="38"/>
  <c r="E19" i="40"/>
  <c r="E27" i="41" s="1"/>
  <c r="U45" i="29"/>
  <c r="U50" i="29"/>
  <c r="S47" i="29"/>
  <c r="M10" i="38"/>
  <c r="F42" i="29"/>
  <c r="O11" i="32"/>
  <c r="D24" i="32"/>
  <c r="E24" i="32"/>
  <c r="D22" i="38"/>
  <c r="J29" i="32"/>
  <c r="K29" i="32"/>
  <c r="F10" i="29"/>
  <c r="L42" i="29"/>
  <c r="R27" i="38"/>
  <c r="D19" i="40"/>
  <c r="D27" i="41" s="1"/>
  <c r="C39" i="29"/>
  <c r="F39" i="29"/>
  <c r="L7" i="38"/>
  <c r="L28" i="32"/>
  <c r="L26" i="38"/>
  <c r="Q43" i="29"/>
  <c r="J27" i="32"/>
  <c r="M25" i="38"/>
  <c r="K27" i="32"/>
  <c r="L25" i="32"/>
  <c r="N23" i="38"/>
  <c r="M25" i="32"/>
  <c r="D14" i="38"/>
  <c r="O8" i="38"/>
  <c r="O9" i="32"/>
  <c r="P9" i="32"/>
  <c r="L26" i="32"/>
  <c r="M26" i="32"/>
  <c r="F41" i="29"/>
  <c r="F14" i="29"/>
  <c r="K44" i="29"/>
  <c r="E27" i="38"/>
  <c r="L44" i="29"/>
  <c r="R41" i="29"/>
  <c r="Q46" i="29"/>
  <c r="R46" i="29"/>
  <c r="R40" i="29"/>
  <c r="P31" i="32"/>
  <c r="R29" i="38"/>
  <c r="F19" i="40"/>
  <c r="F27" i="41" s="1"/>
  <c r="U46" i="29"/>
  <c r="M8" i="29"/>
  <c r="J45" i="29"/>
  <c r="F8" i="29"/>
  <c r="L14" i="38"/>
  <c r="F27" i="38"/>
  <c r="L30" i="32"/>
  <c r="N28" i="38"/>
  <c r="M30" i="32"/>
  <c r="N50" i="29"/>
  <c r="R22" i="38"/>
  <c r="P39" i="29"/>
  <c r="J24" i="32"/>
  <c r="K22" i="38"/>
  <c r="O15" i="32"/>
  <c r="P15" i="32"/>
  <c r="F46" i="29"/>
  <c r="O12" i="38"/>
  <c r="D25" i="40"/>
  <c r="D16" i="41" s="1"/>
  <c r="M12" i="38"/>
  <c r="D28" i="32"/>
  <c r="E28" i="32"/>
  <c r="L43" i="29"/>
  <c r="F24" i="32"/>
  <c r="G24" i="32"/>
  <c r="E22" i="38"/>
  <c r="R44" i="29"/>
  <c r="Q39" i="29"/>
  <c r="L31" i="32"/>
  <c r="N29" i="38"/>
  <c r="E26" i="32"/>
  <c r="P10" i="32"/>
  <c r="M48" i="29"/>
  <c r="J33" i="32"/>
  <c r="K33" i="32"/>
  <c r="M47" i="29"/>
  <c r="J32" i="32"/>
  <c r="K32" i="32"/>
  <c r="R23" i="38"/>
  <c r="P25" i="32"/>
  <c r="L50" i="29"/>
  <c r="M32" i="32"/>
  <c r="F16" i="29"/>
  <c r="G25" i="32"/>
  <c r="F9" i="38"/>
  <c r="C41" i="38"/>
  <c r="I21" i="38"/>
  <c r="H38" i="38"/>
  <c r="I27" i="38"/>
  <c r="H44" i="38"/>
  <c r="Q11" i="38"/>
  <c r="F43" i="38"/>
  <c r="P11" i="38"/>
  <c r="E43" i="38"/>
  <c r="H29" i="40"/>
  <c r="P31" i="38"/>
  <c r="J48" i="38"/>
  <c r="O21" i="38"/>
  <c r="I38" i="38"/>
  <c r="O31" i="38"/>
  <c r="I48" i="38"/>
  <c r="E29" i="40"/>
  <c r="E24" i="41" s="1"/>
  <c r="F29" i="40"/>
  <c r="F24" i="41" s="1"/>
  <c r="O28" i="38"/>
  <c r="I45" i="38"/>
  <c r="M24" i="32"/>
  <c r="C33" i="32"/>
  <c r="L29" i="38"/>
  <c r="N27" i="38"/>
  <c r="M29" i="32"/>
  <c r="K25" i="32"/>
  <c r="L10" i="32"/>
  <c r="K24" i="32"/>
  <c r="K28" i="32"/>
  <c r="I30" i="32"/>
  <c r="M33" i="32"/>
  <c r="J25" i="38"/>
  <c r="O25" i="38"/>
  <c r="I42" i="38"/>
  <c r="K26" i="38"/>
  <c r="M30" i="38"/>
  <c r="M22" i="38"/>
  <c r="N25" i="38"/>
  <c r="E25" i="32"/>
  <c r="K28" i="38"/>
  <c r="M28" i="32"/>
  <c r="G27" i="32"/>
  <c r="L28" i="38"/>
  <c r="K30" i="32"/>
  <c r="P13" i="32"/>
  <c r="I31" i="32"/>
  <c r="L15" i="32"/>
  <c r="K25" i="38"/>
  <c r="M29" i="38"/>
  <c r="N21" i="38"/>
  <c r="P21" i="38"/>
  <c r="J38" i="38"/>
  <c r="N24" i="38"/>
  <c r="K27" i="38"/>
  <c r="M31" i="32"/>
  <c r="L25" i="38"/>
  <c r="L24" i="38"/>
  <c r="M27" i="38"/>
  <c r="G28" i="32"/>
  <c r="K31" i="32"/>
  <c r="J11" i="38"/>
  <c r="D43" i="38"/>
  <c r="I23" i="38"/>
  <c r="H40" i="38"/>
  <c r="J12" i="38"/>
  <c r="D44" i="38"/>
  <c r="P14" i="38"/>
  <c r="E46" i="38"/>
  <c r="F8" i="38"/>
  <c r="C40" i="38"/>
  <c r="S26" i="38"/>
  <c r="K43" i="38"/>
  <c r="Q14" i="38"/>
  <c r="F46" i="38"/>
  <c r="S28" i="38"/>
  <c r="K45" i="38"/>
  <c r="S23" i="38"/>
  <c r="J10" i="38"/>
  <c r="D42" i="38"/>
  <c r="J9" i="38"/>
  <c r="D41" i="38"/>
  <c r="S22" i="38"/>
  <c r="P9" i="38"/>
  <c r="E41" i="38"/>
  <c r="F11" i="38"/>
  <c r="C43" i="38"/>
  <c r="F6" i="38"/>
  <c r="C38" i="38"/>
  <c r="H28" i="38"/>
  <c r="G45" i="38"/>
  <c r="P7" i="38"/>
  <c r="E39" i="38"/>
  <c r="J6" i="38"/>
  <c r="D38" i="38"/>
  <c r="S27" i="38"/>
  <c r="K44" i="38"/>
  <c r="H25" i="38"/>
  <c r="G42" i="38"/>
  <c r="F17" i="40"/>
  <c r="F23" i="41" s="1"/>
  <c r="G17" i="40"/>
  <c r="G23" i="41" s="1"/>
  <c r="D17" i="40"/>
  <c r="D23" i="41" s="1"/>
  <c r="P25" i="38"/>
  <c r="J42" i="38"/>
  <c r="D29" i="40"/>
  <c r="D24" i="41" s="1"/>
  <c r="L28" i="4"/>
  <c r="Q33" i="4" s="1"/>
  <c r="E15" i="29"/>
  <c r="G15" i="29" s="1"/>
  <c r="E14" i="38" s="1"/>
  <c r="L88" i="4"/>
  <c r="Q38" i="4" s="1"/>
  <c r="S38" i="4" s="1"/>
  <c r="E11" i="29"/>
  <c r="L11" i="29" s="1"/>
  <c r="L40" i="4"/>
  <c r="Q34" i="4" s="1"/>
  <c r="D134" i="4"/>
  <c r="L64" i="4"/>
  <c r="Q36" i="4"/>
  <c r="P48" i="4" s="1"/>
  <c r="Q48" i="4" s="1"/>
  <c r="L100" i="4"/>
  <c r="Q39" i="4" s="1"/>
  <c r="E12" i="29"/>
  <c r="L12" i="29" s="1"/>
  <c r="L52" i="4"/>
  <c r="E7" i="29"/>
  <c r="G7" i="29" s="1"/>
  <c r="E14" i="29"/>
  <c r="L14" i="29" s="1"/>
  <c r="E8" i="29"/>
  <c r="G8" i="29" s="1"/>
  <c r="E10" i="29"/>
  <c r="L10" i="29" s="1"/>
  <c r="L76" i="4"/>
  <c r="Q37" i="4"/>
  <c r="P49" i="4" s="1"/>
  <c r="Q49" i="4" s="1"/>
  <c r="E13" i="29"/>
  <c r="L13" i="29" s="1"/>
  <c r="E9" i="29"/>
  <c r="G9" i="29" s="1"/>
  <c r="L16" i="4"/>
  <c r="Q32" i="4" s="1"/>
  <c r="S32" i="4" s="1"/>
  <c r="L112" i="4"/>
  <c r="Q40" i="4" s="1"/>
  <c r="S40" i="4" s="1"/>
  <c r="M14" i="29"/>
  <c r="R14" i="29"/>
  <c r="T14" i="29"/>
  <c r="M10" i="29"/>
  <c r="R10" i="29"/>
  <c r="T10" i="29"/>
  <c r="M23" i="29"/>
  <c r="M16" i="29"/>
  <c r="R11" i="29"/>
  <c r="T11" i="29"/>
  <c r="M11" i="29"/>
  <c r="F23" i="29"/>
  <c r="F24" i="29"/>
  <c r="F17" i="29"/>
  <c r="R15" i="29"/>
  <c r="T15" i="29"/>
  <c r="P34" i="4"/>
  <c r="P37" i="4"/>
  <c r="P36" i="4"/>
  <c r="R13" i="29"/>
  <c r="T13" i="29"/>
  <c r="D23" i="29"/>
  <c r="O49" i="4"/>
  <c r="K12" i="29"/>
  <c r="P38" i="4"/>
  <c r="G14" i="29"/>
  <c r="E14" i="32" s="1"/>
  <c r="E17" i="29"/>
  <c r="E25" i="29" s="1"/>
  <c r="L136" i="4"/>
  <c r="E16" i="29"/>
  <c r="E24" i="29" s="1"/>
  <c r="L124" i="4"/>
  <c r="T16" i="29"/>
  <c r="M17" i="29"/>
  <c r="M24" i="29"/>
  <c r="F25" i="29"/>
  <c r="R12" i="29"/>
  <c r="T12" i="29"/>
  <c r="M12" i="29"/>
  <c r="F9" i="41"/>
  <c r="T17" i="29"/>
  <c r="M25" i="29"/>
  <c r="P27" i="38"/>
  <c r="J44" i="38"/>
  <c r="O27" i="38"/>
  <c r="I44" i="38"/>
  <c r="D22" i="41"/>
  <c r="J50" i="29"/>
  <c r="G48" i="29"/>
  <c r="G47" i="29"/>
  <c r="R30" i="38"/>
  <c r="P32" i="32"/>
  <c r="O24" i="38"/>
  <c r="I41" i="38"/>
  <c r="P24" i="38"/>
  <c r="J41" i="38"/>
  <c r="O29" i="38"/>
  <c r="I46" i="38"/>
  <c r="F22" i="41"/>
  <c r="P29" i="38"/>
  <c r="J46" i="38"/>
  <c r="F14" i="38"/>
  <c r="C46" i="38"/>
  <c r="I24" i="38"/>
  <c r="H41" i="38"/>
  <c r="P8" i="38"/>
  <c r="E40" i="38"/>
  <c r="Q45" i="29"/>
  <c r="Q50" i="29"/>
  <c r="O26" i="32"/>
  <c r="D12" i="32"/>
  <c r="C31" i="32"/>
  <c r="C27" i="32"/>
  <c r="I32" i="32"/>
  <c r="I27" i="32"/>
  <c r="J22" i="38"/>
  <c r="F26" i="41"/>
  <c r="P10" i="38"/>
  <c r="E42" i="38"/>
  <c r="P23" i="38"/>
  <c r="J40" i="38"/>
  <c r="H27" i="38"/>
  <c r="G44" i="38"/>
  <c r="I28" i="32"/>
  <c r="J26" i="38"/>
  <c r="J13" i="38"/>
  <c r="D45" i="38"/>
  <c r="P38" i="29"/>
  <c r="P50" i="29"/>
  <c r="H13" i="32"/>
  <c r="H22" i="38"/>
  <c r="G39" i="38"/>
  <c r="H26" i="38"/>
  <c r="G43" i="38"/>
  <c r="Q12" i="38"/>
  <c r="F44" i="38"/>
  <c r="Q6" i="38"/>
  <c r="F38" i="38"/>
  <c r="K46" i="29"/>
  <c r="K50" i="29"/>
  <c r="I26" i="32"/>
  <c r="O31" i="32"/>
  <c r="E22" i="41"/>
  <c r="Q13" i="38"/>
  <c r="F45" i="38"/>
  <c r="S48" i="29"/>
  <c r="D14" i="32"/>
  <c r="J30" i="38"/>
  <c r="P12" i="38"/>
  <c r="E44" i="38"/>
  <c r="L12" i="32"/>
  <c r="C29" i="32"/>
  <c r="O30" i="32"/>
  <c r="H47" i="29"/>
  <c r="H48" i="29"/>
  <c r="G19" i="40"/>
  <c r="G27" i="41" s="1"/>
  <c r="S30" i="38"/>
  <c r="K47" i="38"/>
  <c r="O26" i="38"/>
  <c r="I43" i="38"/>
  <c r="P26" i="38"/>
  <c r="J43" i="38"/>
  <c r="P33" i="32"/>
  <c r="R31" i="38"/>
  <c r="G22" i="41"/>
  <c r="P30" i="38"/>
  <c r="J47" i="38"/>
  <c r="O30" i="38"/>
  <c r="I47" i="38"/>
  <c r="O22" i="38"/>
  <c r="I39" i="38"/>
  <c r="P22" i="38"/>
  <c r="J39" i="38"/>
  <c r="F30" i="38"/>
  <c r="D32" i="32"/>
  <c r="E32" i="32"/>
  <c r="F31" i="38"/>
  <c r="D33" i="32"/>
  <c r="H31" i="38"/>
  <c r="G48" i="38"/>
  <c r="H15" i="40"/>
  <c r="H30" i="38"/>
  <c r="G47" i="38"/>
  <c r="G15" i="40"/>
  <c r="G19" i="41" s="1"/>
  <c r="S31" i="38"/>
  <c r="K48" i="38"/>
  <c r="H19" i="40"/>
  <c r="G31" i="38"/>
  <c r="F33" i="32"/>
  <c r="E33" i="32"/>
  <c r="G30" i="38"/>
  <c r="F32" i="32"/>
  <c r="G32" i="32"/>
  <c r="G33" i="32"/>
  <c r="H27" i="40"/>
  <c r="I31" i="38"/>
  <c r="H48" i="38"/>
  <c r="I30" i="38"/>
  <c r="H47" i="38"/>
  <c r="G27" i="40"/>
  <c r="G20" i="41" s="1"/>
  <c r="Q35" i="4" l="1"/>
  <c r="P47" i="4" s="1"/>
  <c r="Q47" i="4" s="1"/>
  <c r="G12" i="29"/>
  <c r="E23" i="29"/>
  <c r="D21" i="40"/>
  <c r="E21" i="40"/>
  <c r="F21" i="40"/>
  <c r="S14" i="29"/>
  <c r="U14" i="29" s="1"/>
  <c r="N13" i="38" s="1"/>
  <c r="N14" i="29"/>
  <c r="I14" i="32" s="1"/>
  <c r="L15" i="29"/>
  <c r="S15" i="29" s="1"/>
  <c r="U15" i="29" s="1"/>
  <c r="V15" i="29" s="1"/>
  <c r="S35" i="4"/>
  <c r="L8" i="29"/>
  <c r="S8" i="29" s="1"/>
  <c r="U8" i="29" s="1"/>
  <c r="N7" i="38" s="1"/>
  <c r="P52" i="4"/>
  <c r="Q52" i="4" s="1"/>
  <c r="L9" i="29"/>
  <c r="N9" i="29" s="1"/>
  <c r="I9" i="32" s="1"/>
  <c r="S12" i="29"/>
  <c r="U12" i="29" s="1"/>
  <c r="M12" i="32" s="1"/>
  <c r="N12" i="29"/>
  <c r="I12" i="32" s="1"/>
  <c r="R39" i="4"/>
  <c r="S39" i="4"/>
  <c r="R35" i="4"/>
  <c r="P46" i="4"/>
  <c r="Q46" i="4" s="1"/>
  <c r="S34" i="4"/>
  <c r="L23" i="29"/>
  <c r="L17" i="29"/>
  <c r="L25" i="29" s="1"/>
  <c r="G17" i="29"/>
  <c r="H17" i="29" s="1"/>
  <c r="D30" i="29" s="1"/>
  <c r="F30" i="29" s="1"/>
  <c r="G10" i="29"/>
  <c r="E10" i="32" s="1"/>
  <c r="L16" i="29"/>
  <c r="S16" i="29" s="1"/>
  <c r="U16" i="29" s="1"/>
  <c r="M8" i="32"/>
  <c r="V8" i="29"/>
  <c r="E7" i="38"/>
  <c r="H8" i="29"/>
  <c r="E8" i="32"/>
  <c r="S33" i="4"/>
  <c r="P45" i="4"/>
  <c r="Q45" i="4" s="1"/>
  <c r="R33" i="4"/>
  <c r="S13" i="29"/>
  <c r="U13" i="29" s="1"/>
  <c r="N13" i="29"/>
  <c r="N10" i="29"/>
  <c r="S10" i="29"/>
  <c r="U10" i="29" s="1"/>
  <c r="S11" i="29"/>
  <c r="U11" i="29" s="1"/>
  <c r="N11" i="29"/>
  <c r="H9" i="29"/>
  <c r="E8" i="38"/>
  <c r="E9" i="32"/>
  <c r="M15" i="32"/>
  <c r="N14" i="38"/>
  <c r="G23" i="29"/>
  <c r="S37" i="4"/>
  <c r="E13" i="38"/>
  <c r="R40" i="4"/>
  <c r="L7" i="29"/>
  <c r="G13" i="29"/>
  <c r="P51" i="4"/>
  <c r="Q51" i="4" s="1"/>
  <c r="E15" i="32"/>
  <c r="F15" i="32" s="1"/>
  <c r="G11" i="29"/>
  <c r="R34" i="4"/>
  <c r="S36" i="4"/>
  <c r="P50" i="4"/>
  <c r="Q50" i="4" s="1"/>
  <c r="R37" i="4"/>
  <c r="P44" i="4"/>
  <c r="Q44" i="4" s="1"/>
  <c r="G16" i="29"/>
  <c r="N8" i="29"/>
  <c r="R38" i="4"/>
  <c r="H15" i="29"/>
  <c r="H23" i="29" s="1"/>
  <c r="R36" i="4"/>
  <c r="H14" i="29"/>
  <c r="E7" i="32"/>
  <c r="H7" i="29"/>
  <c r="E6" i="38"/>
  <c r="D29" i="41"/>
  <c r="G29" i="41"/>
  <c r="D30" i="41"/>
  <c r="F30" i="41"/>
  <c r="E29" i="41"/>
  <c r="F29" i="41"/>
  <c r="H29" i="41"/>
  <c r="E30" i="41"/>
  <c r="F31" i="41"/>
  <c r="D31" i="41"/>
  <c r="E31" i="41"/>
  <c r="F10" i="32" l="1"/>
  <c r="E9" i="38"/>
  <c r="I13" i="38"/>
  <c r="M14" i="32"/>
  <c r="N15" i="32" s="1"/>
  <c r="I8" i="38"/>
  <c r="S9" i="29"/>
  <c r="U9" i="29" s="1"/>
  <c r="V9" i="29" s="1"/>
  <c r="O14" i="29"/>
  <c r="V14" i="29"/>
  <c r="G25" i="29"/>
  <c r="O9" i="29"/>
  <c r="H30" i="29"/>
  <c r="H12" i="29"/>
  <c r="E12" i="32"/>
  <c r="E11" i="38"/>
  <c r="Q53" i="4"/>
  <c r="N11" i="38"/>
  <c r="N15" i="29"/>
  <c r="O15" i="29" s="1"/>
  <c r="O23" i="29" s="1"/>
  <c r="S17" i="29"/>
  <c r="U17" i="29" s="1"/>
  <c r="N17" i="29"/>
  <c r="Q59" i="4"/>
  <c r="V12" i="29"/>
  <c r="H25" i="29"/>
  <c r="H10" i="29"/>
  <c r="I15" i="32"/>
  <c r="J15" i="32" s="1"/>
  <c r="I11" i="38"/>
  <c r="O12" i="29"/>
  <c r="E17" i="32"/>
  <c r="E16" i="38"/>
  <c r="N16" i="29"/>
  <c r="L24" i="29"/>
  <c r="H13" i="29"/>
  <c r="E12" i="38"/>
  <c r="E13" i="32"/>
  <c r="I11" i="32"/>
  <c r="J12" i="32" s="1"/>
  <c r="O11" i="29"/>
  <c r="I10" i="38"/>
  <c r="I8" i="32"/>
  <c r="J9" i="32" s="1"/>
  <c r="O8" i="29"/>
  <c r="I7" i="38"/>
  <c r="N7" i="29"/>
  <c r="S7" i="29"/>
  <c r="U7" i="29" s="1"/>
  <c r="V11" i="29"/>
  <c r="M11" i="32"/>
  <c r="N12" i="32" s="1"/>
  <c r="N10" i="38"/>
  <c r="H16" i="29"/>
  <c r="G24" i="29"/>
  <c r="E11" i="32"/>
  <c r="E10" i="38"/>
  <c r="H11" i="29"/>
  <c r="N9" i="38"/>
  <c r="V10" i="29"/>
  <c r="M10" i="32"/>
  <c r="F8" i="32"/>
  <c r="F9" i="32"/>
  <c r="I9" i="38"/>
  <c r="O10" i="29"/>
  <c r="I10" i="32"/>
  <c r="J10" i="32" s="1"/>
  <c r="I12" i="38"/>
  <c r="O13" i="29"/>
  <c r="I13" i="32"/>
  <c r="V13" i="29"/>
  <c r="N12" i="38"/>
  <c r="M13" i="32"/>
  <c r="N13" i="32" s="1"/>
  <c r="D47" i="29"/>
  <c r="E47" i="29" s="1"/>
  <c r="M16" i="32"/>
  <c r="N15" i="38"/>
  <c r="V16" i="29"/>
  <c r="M9" i="32" l="1"/>
  <c r="N9" i="32" s="1"/>
  <c r="N8" i="38"/>
  <c r="N10" i="32"/>
  <c r="N23" i="29"/>
  <c r="I14" i="38"/>
  <c r="N25" i="29"/>
  <c r="O17" i="29"/>
  <c r="N16" i="38"/>
  <c r="D48" i="29"/>
  <c r="E48" i="29" s="1"/>
  <c r="M17" i="32"/>
  <c r="N17" i="32" s="1"/>
  <c r="V17" i="29"/>
  <c r="N24" i="29"/>
  <c r="O16" i="29"/>
  <c r="H9" i="40"/>
  <c r="F16" i="38"/>
  <c r="C48" i="38" s="1"/>
  <c r="P15" i="38"/>
  <c r="E47" i="38" s="1"/>
  <c r="G13" i="40"/>
  <c r="G15" i="41" s="1"/>
  <c r="N6" i="38"/>
  <c r="V7" i="29"/>
  <c r="M7" i="32"/>
  <c r="N8" i="32" s="1"/>
  <c r="F13" i="32"/>
  <c r="F14" i="32"/>
  <c r="J13" i="32"/>
  <c r="J14" i="32"/>
  <c r="O16" i="32"/>
  <c r="O15" i="38"/>
  <c r="H24" i="29"/>
  <c r="D29" i="29"/>
  <c r="F29" i="29" s="1"/>
  <c r="H29" i="29" s="1"/>
  <c r="N14" i="32"/>
  <c r="N11" i="32"/>
  <c r="J11" i="32"/>
  <c r="F11" i="32"/>
  <c r="F12" i="32"/>
  <c r="N16" i="32"/>
  <c r="I7" i="32"/>
  <c r="J8" i="32" s="1"/>
  <c r="O7" i="29"/>
  <c r="I6" i="38"/>
  <c r="O16" i="38" l="1"/>
  <c r="O17" i="32"/>
  <c r="H13" i="40"/>
  <c r="P16" i="38"/>
  <c r="E48" i="38" s="1"/>
  <c r="K30" i="29"/>
  <c r="M30" i="29" s="1"/>
  <c r="O30" i="29" s="1"/>
  <c r="O25" i="29"/>
  <c r="O24" i="29"/>
  <c r="K29" i="29"/>
  <c r="M29" i="29" s="1"/>
  <c r="O29" i="29" s="1"/>
  <c r="P16" i="32"/>
  <c r="P17" i="32"/>
  <c r="E16" i="32"/>
  <c r="E15" i="38"/>
  <c r="G9" i="40" s="1"/>
  <c r="Q15" i="38"/>
  <c r="F47" i="38" s="1"/>
  <c r="G25" i="40"/>
  <c r="G16" i="41" s="1"/>
  <c r="G30" i="41" s="1"/>
  <c r="I16" i="38" l="1"/>
  <c r="I17" i="32"/>
  <c r="Q16" i="38"/>
  <c r="F48" i="38" s="1"/>
  <c r="H25" i="40"/>
  <c r="H31" i="40" s="1"/>
  <c r="I15" i="38"/>
  <c r="G11" i="40" s="1"/>
  <c r="I16" i="32"/>
  <c r="F17" i="32"/>
  <c r="F16" i="32"/>
  <c r="F15" i="38"/>
  <c r="C47" i="38" s="1"/>
  <c r="H11" i="40" l="1"/>
  <c r="J16" i="38"/>
  <c r="D48" i="38" s="1"/>
  <c r="G12" i="41"/>
  <c r="J15" i="38"/>
  <c r="D47" i="38" s="1"/>
  <c r="J16" i="32"/>
  <c r="J17" i="32"/>
  <c r="G9" i="41"/>
  <c r="G21" i="40" l="1"/>
  <c r="G31" i="41"/>
  <c r="H21" i="40"/>
  <c r="J11" i="40" s="1"/>
  <c r="K11" i="40" s="1"/>
  <c r="L11" i="40" s="1"/>
  <c r="H12" i="41" s="1"/>
  <c r="J9" i="40" l="1"/>
  <c r="J15" i="40"/>
  <c r="K15" i="40" s="1"/>
  <c r="L15" i="40" s="1"/>
  <c r="J19" i="40"/>
  <c r="K19" i="40" s="1"/>
  <c r="L19" i="40" s="1"/>
  <c r="H27" i="41" s="1"/>
  <c r="J17" i="40"/>
  <c r="K17" i="40" s="1"/>
  <c r="L17" i="40" s="1"/>
  <c r="L21" i="40"/>
  <c r="J13" i="40"/>
  <c r="K13" i="40" s="1"/>
  <c r="L13" i="40" s="1"/>
  <c r="H15" i="41" l="1"/>
  <c r="L25" i="40"/>
  <c r="L29" i="40"/>
  <c r="H24" i="41" s="1"/>
  <c r="H23" i="41"/>
  <c r="H19" i="41"/>
  <c r="L27" i="40"/>
  <c r="H20" i="41" s="1"/>
  <c r="K9" i="40"/>
  <c r="L9" i="40" s="1"/>
  <c r="H9" i="41" s="1"/>
  <c r="J21" i="40"/>
  <c r="H16" i="41" l="1"/>
  <c r="H30" i="41" s="1"/>
  <c r="L31" i="40"/>
  <c r="H31" i="4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<sst xmlns="http://schemas.openxmlformats.org/spreadsheetml/2006/main" count="540" uniqueCount="198">
  <si>
    <t>Purchased kWh</t>
  </si>
  <si>
    <t>Connections</t>
  </si>
  <si>
    <t>HDD</t>
  </si>
  <si>
    <t>CDD</t>
  </si>
  <si>
    <t>Days/month</t>
  </si>
  <si>
    <t>GS&lt;50</t>
  </si>
  <si>
    <t>GS&gt;50</t>
  </si>
  <si>
    <t>USL</t>
  </si>
  <si>
    <t>Date</t>
  </si>
  <si>
    <t>Geomean</t>
  </si>
  <si>
    <t>Growth Rate</t>
  </si>
  <si>
    <t>Residential</t>
  </si>
  <si>
    <t>Street Lights</t>
  </si>
  <si>
    <t>2004</t>
  </si>
  <si>
    <t>2005</t>
  </si>
  <si>
    <t>2006</t>
  </si>
  <si>
    <t>2007</t>
  </si>
  <si>
    <t>2008</t>
  </si>
  <si>
    <t>2009</t>
  </si>
  <si>
    <t>2010</t>
  </si>
  <si>
    <t>2011</t>
  </si>
  <si>
    <t>2012</t>
  </si>
  <si>
    <t>2013</t>
  </si>
  <si>
    <t>2014</t>
  </si>
  <si>
    <t xml:space="preserve">Spring Fall </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</si>
  <si>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</si>
  <si>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</si>
  <si>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</si>
  <si>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</si>
  <si>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</si>
  <si>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</si>
  <si>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</si>
  <si>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</si>
  <si>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</si>
  <si>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</si>
  <si>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</si>
  <si>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</si>
  <si>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</si>
  <si>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</si>
  <si>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</si>
  <si>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</si>
  <si>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</si>
  <si>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</si>
  <si>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</si>
  <si>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</si>
  <si>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</si>
  <si>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</si>
  <si>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</si>
  <si>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Full Time Employement for Kingston Penbroke</t>
  </si>
  <si>
    <t xml:space="preserve"> </t>
  </si>
  <si>
    <t>Adjusted</t>
  </si>
  <si>
    <t>Yearly Total</t>
  </si>
  <si>
    <t>Year</t>
  </si>
  <si>
    <t>Actual residential kWh</t>
  </si>
  <si>
    <t>Share%</t>
  </si>
  <si>
    <t>Weather Normal</t>
  </si>
  <si>
    <t>Actual GS&lt;50 kWh</t>
  </si>
  <si>
    <t>Actual GS&gt;50 kWh</t>
  </si>
  <si>
    <t xml:space="preserve">Residential (unadjusted) </t>
  </si>
  <si>
    <t xml:space="preserve">GS&lt;50 (unadusted) </t>
  </si>
  <si>
    <t xml:space="preserve">GS&gt;50 (Unadjusted) </t>
  </si>
  <si>
    <t xml:space="preserve">Streetlights (unadjusted) </t>
  </si>
  <si>
    <t xml:space="preserve">USL (unadjusted) </t>
  </si>
  <si>
    <t>Customer</t>
  </si>
  <si>
    <t>kWh</t>
  </si>
  <si>
    <t>kW</t>
  </si>
  <si>
    <t>Wholesale Purchases</t>
  </si>
  <si>
    <t>Adjusted Purchases</t>
  </si>
  <si>
    <t>Per customer</t>
  </si>
  <si>
    <t>Added Load</t>
  </si>
  <si>
    <t>New Customer</t>
  </si>
  <si>
    <t>Per Customer Weather Normalized</t>
  </si>
  <si>
    <t>Per Customer Weather Normalized (based on 2012 cust count)</t>
  </si>
  <si>
    <t>Streetlight</t>
  </si>
  <si>
    <t>Energy</t>
  </si>
  <si>
    <t>Demand</t>
  </si>
  <si>
    <t>KW/kWh Ratio</t>
  </si>
  <si>
    <t>Weather Adj</t>
  </si>
  <si>
    <t>Avg</t>
  </si>
  <si>
    <t>Connection</t>
  </si>
  <si>
    <t>KW per connection</t>
  </si>
  <si>
    <t>kWh per connection</t>
  </si>
  <si>
    <t>Weather Adjusted</t>
  </si>
  <si>
    <t>Non-Weather Sensitive</t>
  </si>
  <si>
    <t>Variables Not Used</t>
  </si>
  <si>
    <t>kWh Purchased</t>
  </si>
  <si>
    <t>Weather Sensitive Load</t>
  </si>
  <si>
    <t>year over year</t>
  </si>
  <si>
    <t>Purch. VS Adj.</t>
  </si>
  <si>
    <t>* consumption is further adjsuted below</t>
  </si>
  <si>
    <t>Residential and GS&lt;50 Weather and Load Adjusted</t>
  </si>
  <si>
    <t>Mean Average Percentage Error (Mape) :</t>
  </si>
  <si>
    <t xml:space="preserve">in column A: Actual value </t>
  </si>
  <si>
    <t xml:space="preserve">in column B: Forecast value </t>
  </si>
  <si>
    <t xml:space="preserve">in column C: =IF(ABS(A2-B2)=0,0,ABS(A2-B2)/A2*100) </t>
  </si>
  <si>
    <t xml:space="preserve">calculate an average of column C ( =AVERAGE(C2:Cx) and you have the MAPE in percent. </t>
  </si>
  <si>
    <t>Per cust</t>
  </si>
  <si>
    <t>Adj</t>
  </si>
  <si>
    <t>Adj kWh</t>
  </si>
  <si>
    <t>Adj kW</t>
  </si>
  <si>
    <t>Act kWh</t>
  </si>
  <si>
    <t>Act kW</t>
  </si>
  <si>
    <t>per cust kWh</t>
  </si>
  <si>
    <t>Streetlights</t>
  </si>
  <si>
    <t>Actual</t>
  </si>
  <si>
    <t>Residenttial</t>
  </si>
  <si>
    <t>Conn.</t>
  </si>
  <si>
    <t>Cust</t>
  </si>
  <si>
    <t>4 Year (2011-2014) kWh Target:</t>
  </si>
  <si>
    <t>2011 CDM Programs</t>
  </si>
  <si>
    <t>2012 CDM Programs</t>
  </si>
  <si>
    <t>2013 CDM Programs</t>
  </si>
  <si>
    <t>2014 CDM Programs</t>
  </si>
  <si>
    <t>Total in Year</t>
  </si>
  <si>
    <t>Check</t>
  </si>
  <si>
    <t>"Gross"</t>
  </si>
  <si>
    <t>"Net"</t>
  </si>
  <si>
    <t>Difference</t>
  </si>
  <si>
    <t>Total for 2014</t>
  </si>
  <si>
    <t xml:space="preserve">Average per customer </t>
  </si>
  <si>
    <t>CDM Adjustment</t>
  </si>
  <si>
    <t>Share</t>
  </si>
  <si>
    <t>Target</t>
  </si>
  <si>
    <t>%chg</t>
  </si>
  <si>
    <t>Load Forecast Results</t>
  </si>
  <si>
    <t>Median</t>
  </si>
  <si>
    <t>Retail by Class</t>
  </si>
  <si>
    <t>Final Load Forecast</t>
  </si>
  <si>
    <t xml:space="preserve">Customer Growth Chart, </t>
  </si>
  <si>
    <t>HHI adjusted</t>
  </si>
  <si>
    <t xml:space="preserve">Sentinel lights (unadjusted) </t>
  </si>
  <si>
    <t>Sentinel Lights</t>
  </si>
  <si>
    <t>kW and Non-Weather Sensitive Load</t>
  </si>
  <si>
    <t>Regression Analysis</t>
  </si>
  <si>
    <t>kWh Purchased VS Adjsuted</t>
  </si>
  <si>
    <t>Sentinel Light</t>
  </si>
  <si>
    <t>per cust kW</t>
  </si>
  <si>
    <t>SUMMARY OUTPUT</t>
  </si>
  <si>
    <t>Total Cust</t>
  </si>
  <si>
    <t>Total Demand</t>
  </si>
  <si>
    <t>Total Energy</t>
  </si>
  <si>
    <t xml:space="preserve">REGRESSION ANALYSIS _SUMMARY OUTPUT </t>
  </si>
  <si>
    <t>Load corrected based on HHI input</t>
  </si>
  <si>
    <t>MAPE</t>
  </si>
  <si>
    <t>Projected</t>
  </si>
  <si>
    <t>Actual and Weather Normalized</t>
  </si>
  <si>
    <t>VECC Alternate Scenario: Employement variable removed</t>
  </si>
  <si>
    <t>VECC Alternate Scenario: Employement and Spring Fall Flag variables removed</t>
  </si>
  <si>
    <t>10 year avg</t>
  </si>
  <si>
    <t>20 year avg</t>
  </si>
  <si>
    <t>as filed (9 years)</t>
  </si>
  <si>
    <t>Jan</t>
  </si>
  <si>
    <t>Feb</t>
  </si>
  <si>
    <t>Mar</t>
  </si>
  <si>
    <t>Apr</t>
  </si>
  <si>
    <t>May</t>
  </si>
  <si>
    <t>Jun</t>
  </si>
  <si>
    <t>Jul</t>
  </si>
  <si>
    <t>Aug</t>
  </si>
  <si>
    <t>Sep</t>
  </si>
  <si>
    <t>Oct</t>
  </si>
  <si>
    <t>Nov</t>
  </si>
  <si>
    <t>Dec</t>
  </si>
  <si>
    <t>From each of the 2006-2010 CDM Final Report, 2011 CDM Final Report, and the 2012 CDM Final Report,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</si>
  <si>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The Board has determined that the "net" number should be used in its Decision and Order with respect to Centre Wellington Hydro Ltd.'s 2013 Cost of Service rates (EB-2012-0113).  This approach has also been used in Settlement Agreements accepted by the Board in other 2013 applications.  The distributor should select whether the adjustment is done on a "net" or "gross" basis, but must support a proposal for the adjustment being done on a "gross" basis.</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</si>
  <si>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</si>
  <si>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</si>
  <si>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</si>
  <si>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</si>
  <si>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</si>
  <si>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</si>
  <si>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</si>
  <si>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</si>
  <si>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</si>
  <si>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2006 to 2011 OPA CDM programs:  Persistence to 2013</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</si>
  <si>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</si>
  <si>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</si>
  <si>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</si>
  <si>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</si>
  <si>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Utility can select "0", "0.5", or "1" from drop-down list</t>
  </si>
  <si>
    <t xml:space="preserve">Default Value selection rationale.  </t>
  </si>
  <si>
    <t>Persistence of 2011 CDM programs for the full year of 2012 means that all of 2011 CDM impact is assumed to be in the base forecast before the CDM Adjustment</t>
  </si>
  <si>
    <t>50% of 2012 CDM impact is assumed reflected in base forecast based on 1/2 year rule.</t>
  </si>
  <si>
    <t>Full year impact of 2013 CDM programs on adjustment for 2014 load forecast</t>
  </si>
  <si>
    <t>Only 50% of 2014 CDM impact is used based on a half year rule</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</si>
  <si>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</si>
  <si>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</si>
  <si>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2014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</si>
  <si>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</si>
  <si>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for both the LRAMVA and for the load forecast adjustment.</t>
  </si>
  <si>
    <t>Amount used for CDM threshold for LRAMVA (2014)</t>
  </si>
  <si>
    <t>Manual Adjustment for 2014 Load Forecast (billed basis)</t>
  </si>
  <si>
    <t>Proposed Loss Factor (TLF)</t>
  </si>
  <si>
    <t xml:space="preserve"> Format: X.XX%</t>
  </si>
  <si>
    <t>Manual Adjustment for 2014 Load Forecast (system purchased basis)</t>
  </si>
  <si>
    <t>Manual adjustment uses "gross" versus "net" (i.e. numbers multiplied by (1 + g).  The Weight factor is also used calculate the impact of each year's program on the CDM adjustment to the 2014 load forecast.</t>
  </si>
  <si>
    <t>CDM Adjustement</t>
  </si>
  <si>
    <t>ResCustCount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</si>
</sst>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
    <numFmt numFmtId="169" formatCode="#,##0.00000"/>
    <numFmt numFmtId="170" formatCode="#,##0_ ;\-#,##0\ "/>
    <numFmt numFmtId="171" formatCode="#,##0.00_ ;\-#,##0.00\ "/>
    <numFmt numFmtId="172" formatCode="_-* #,##0.00\ _$_-;_-* #,##0.00\ _$\-;_-* &quot;-&quot;??\ _$_-;_-@_-"/>
    <numFmt numFmtId="173" formatCode="_-* #,##0.00_-;\-* #,##0.00_-;_-* \-??_-;_-@_-"/>
    <numFmt numFmtId="174" formatCode="_-* #,##0_-;\-* #,##0_-;_-* \-??_-;_-@_-"/>
  </numFmts>
  <fonts count="50" x14ac:knownFonts="1">
    <font>
      <sz val="10"/>
      <name val="Times New Roman"/>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b/>
      <sz val="12"/>
      <name val="Times New Roman"/>
      <family val="1"/>
    </font>
    <font>
      <sz val="10"/>
      <name val="Times New Roman"/>
      <family val="1"/>
    </font>
    <font>
      <i/>
      <sz val="10"/>
      <name val="Times New Roman"/>
      <family val="1"/>
    </font>
    <font>
      <b/>
      <sz val="10"/>
      <name val="Times New Roman"/>
      <family val="1"/>
    </font>
    <font>
      <i/>
      <sz val="9"/>
      <name val="Times New Roman"/>
      <family val="1"/>
    </font>
    <font>
      <sz val="6"/>
      <name val="Times New Roman"/>
      <family val="1"/>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Calibri"/>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Times New Roman"/>
      <family val="1"/>
    </font>
    <font>
      <sz val="10"/>
      <color rgb="FFFF0000"/>
      <name val="Times New Roman"/>
      <family val="1"/>
    </font>
    <font>
      <i/>
      <sz val="9"/>
      <color rgb="FF000000"/>
      <name val="Times New Roman"/>
      <family val="1"/>
    </font>
    <font>
      <i/>
      <sz val="12"/>
      <color rgb="FF000000"/>
      <name val="Times New Roman"/>
      <family val="1"/>
    </font>
    <font>
      <sz val="10"/>
      <color theme="1"/>
      <name val="Times New Roman"/>
      <family val="1"/>
    </font>
    <font>
      <b/>
      <sz val="10"/>
      <color rgb="FFFF0000"/>
      <name val="Times New Roman"/>
      <family val="1"/>
    </font>
    <font>
      <b/>
      <i/>
      <u/>
      <sz val="12"/>
      <color rgb="FF000000"/>
      <name val="Times New Roman"/>
      <family val="1"/>
    </font>
    <font>
      <sz val="9"/>
      <color rgb="FF000000"/>
      <name val="Times New Roman"/>
      <family val="1"/>
    </font>
    <font>
      <sz val="11"/>
      <color indexed="8"/>
      <name val="Calibri"/>
      <family val="2"/>
      <charset val="1"/>
    </font>
    <font>
      <sz val="10"/>
      <name val="Mangal"/>
      <family val="2"/>
    </font>
    <font>
      <sz val="10"/>
      <name val="Calibri"/>
      <family val="2"/>
      <charset val="1"/>
    </font>
    <font>
      <b/>
      <sz val="11"/>
      <color indexed="8"/>
      <name val="Calibri"/>
      <family val="2"/>
      <charset val="1"/>
    </font>
    <font>
      <sz val="11"/>
      <name val="Calibri"/>
      <family val="2"/>
      <charset val="1"/>
    </font>
    <font>
      <sz val="10"/>
      <name val="Arial"/>
      <family val="2"/>
      <charset val="1"/>
    </font>
    <font>
      <sz val="11"/>
      <color indexed="9"/>
      <name val="Calibri"/>
      <family val="2"/>
      <charset val="1"/>
    </font>
    <font>
      <b/>
      <i/>
      <sz val="11"/>
      <color indexed="8"/>
      <name val="Calibri"/>
      <family val="2"/>
      <charset val="1"/>
    </font>
    <font>
      <i/>
      <sz val="11"/>
      <color indexed="8"/>
      <name val="Calibri"/>
      <family val="2"/>
      <charset val="1"/>
    </font>
    <font>
      <sz val="11"/>
      <color indexed="10"/>
      <name val="Calibri"/>
      <family val="2"/>
      <charset val="1"/>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9"/>
      </top>
      <bottom style="thin">
        <color indexed="9"/>
      </bottom>
      <diagonal/>
    </border>
    <border>
      <left style="medium">
        <color indexed="8"/>
      </left>
      <right/>
      <top/>
      <bottom/>
      <diagonal/>
    </border>
    <border>
      <left/>
      <right style="medium">
        <color indexed="8"/>
      </right>
      <top/>
      <bottom/>
      <diagonal/>
    </border>
    <border>
      <left/>
      <right style="double">
        <color indexed="8"/>
      </right>
      <top/>
      <bottom/>
      <diagonal/>
    </border>
    <border>
      <left style="medium">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style="medium">
        <color indexed="8"/>
      </right>
      <top/>
      <bottom style="double">
        <color indexed="8"/>
      </bottom>
      <diagonal/>
    </border>
    <border>
      <left/>
      <right/>
      <top style="thin">
        <color indexed="9"/>
      </top>
      <bottom/>
      <diagonal/>
    </border>
    <border>
      <left style="medium">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double">
        <color indexed="8"/>
      </top>
      <bottom style="medium">
        <color indexed="8"/>
      </bottom>
      <diagonal/>
    </border>
    <border>
      <left/>
      <right/>
      <top style="double">
        <color indexed="8"/>
      </top>
      <bottom style="medium">
        <color indexed="8"/>
      </bottom>
      <diagonal/>
    </border>
  </borders>
  <cellStyleXfs count="633">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43" fontId="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72"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xf numFmtId="0" fontId="19" fillId="0" borderId="0"/>
    <xf numFmtId="0" fontId="19" fillId="0" borderId="0"/>
    <xf numFmtId="0" fontId="3" fillId="0" borderId="0"/>
    <xf numFmtId="0" fontId="6" fillId="0" borderId="0"/>
    <xf numFmtId="0" fontId="3" fillId="0" borderId="0"/>
    <xf numFmtId="0" fontId="3" fillId="0" borderId="0"/>
    <xf numFmtId="0" fontId="14" fillId="0" borderId="0"/>
    <xf numFmtId="0" fontId="3" fillId="0" borderId="0"/>
    <xf numFmtId="0" fontId="3" fillId="0" borderId="0"/>
    <xf numFmtId="0" fontId="19" fillId="0" borderId="0"/>
    <xf numFmtId="0" fontId="19" fillId="0" borderId="0"/>
    <xf numFmtId="0" fontId="7" fillId="0" borderId="0"/>
    <xf numFmtId="0" fontId="7" fillId="0" borderId="0"/>
    <xf numFmtId="0" fontId="19"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 fillId="0" borderId="0"/>
    <xf numFmtId="9" fontId="41" fillId="0" borderId="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521">
    <xf numFmtId="0" fontId="0" fillId="0" borderId="0" xfId="0"/>
    <xf numFmtId="0" fontId="10" fillId="0" borderId="1" xfId="0" applyFont="1" applyFill="1" applyBorder="1" applyAlignment="1">
      <alignment horizontal="center"/>
    </xf>
    <xf numFmtId="0" fontId="10" fillId="0" borderId="1" xfId="0" applyFont="1" applyFill="1" applyBorder="1" applyAlignment="1">
      <alignment horizontal="centerContinuous"/>
    </xf>
    <xf numFmtId="0" fontId="7" fillId="0" borderId="0" xfId="0" applyFont="1"/>
    <xf numFmtId="0" fontId="7" fillId="0" borderId="2" xfId="0" applyFont="1" applyBorder="1" applyAlignment="1">
      <alignment horizontal="center"/>
    </xf>
    <xf numFmtId="0" fontId="8"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49" fontId="7" fillId="0" borderId="7"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49" fontId="7" fillId="0" borderId="10" xfId="0" applyNumberFormat="1" applyFont="1" applyBorder="1" applyAlignment="1">
      <alignment horizontal="center"/>
    </xf>
    <xf numFmtId="166" fontId="7" fillId="0" borderId="2" xfId="0" applyNumberFormat="1" applyFont="1" applyBorder="1" applyAlignment="1">
      <alignment horizontal="center"/>
    </xf>
    <xf numFmtId="166" fontId="7" fillId="0" borderId="11" xfId="0" applyNumberFormat="1" applyFont="1" applyBorder="1" applyAlignment="1">
      <alignment horizontal="center"/>
    </xf>
    <xf numFmtId="14" fontId="7" fillId="0" borderId="10" xfId="0" applyNumberFormat="1" applyFont="1" applyBorder="1" applyAlignment="1">
      <alignment horizontal="center"/>
    </xf>
    <xf numFmtId="14" fontId="10" fillId="0" borderId="10" xfId="0" applyNumberFormat="1" applyFont="1" applyBorder="1" applyAlignment="1">
      <alignment horizontal="center"/>
    </xf>
    <xf numFmtId="166" fontId="10" fillId="0" borderId="2" xfId="0" applyNumberFormat="1" applyFont="1" applyBorder="1" applyAlignment="1">
      <alignment horizontal="center"/>
    </xf>
    <xf numFmtId="0" fontId="10" fillId="0" borderId="2" xfId="0" applyFont="1" applyBorder="1" applyAlignment="1">
      <alignment horizontal="center"/>
    </xf>
    <xf numFmtId="166" fontId="10" fillId="0" borderId="11" xfId="0" applyNumberFormat="1" applyFont="1" applyBorder="1" applyAlignment="1">
      <alignment horizontal="center"/>
    </xf>
    <xf numFmtId="49" fontId="7" fillId="0" borderId="12" xfId="0" applyNumberFormat="1" applyFont="1" applyBorder="1" applyAlignment="1">
      <alignment horizontal="center"/>
    </xf>
    <xf numFmtId="17" fontId="7" fillId="0" borderId="2" xfId="0" applyNumberFormat="1" applyFont="1" applyBorder="1"/>
    <xf numFmtId="0" fontId="7" fillId="0" borderId="0" xfId="0" applyFont="1" applyAlignment="1">
      <alignment horizontal="center"/>
    </xf>
    <xf numFmtId="0" fontId="7" fillId="0" borderId="2" xfId="0" applyFont="1" applyFill="1" applyBorder="1"/>
    <xf numFmtId="2" fontId="7" fillId="33" borderId="2" xfId="379" applyNumberFormat="1" applyFont="1" applyFill="1" applyBorder="1" applyAlignment="1">
      <alignment horizontal="center"/>
    </xf>
    <xf numFmtId="17" fontId="7" fillId="0" borderId="0" xfId="0" applyNumberFormat="1" applyFont="1" applyBorder="1"/>
    <xf numFmtId="2" fontId="7" fillId="0" borderId="2" xfId="0" applyNumberFormat="1" applyFont="1" applyFill="1" applyBorder="1" applyAlignment="1">
      <alignment horizontal="center"/>
    </xf>
    <xf numFmtId="2" fontId="7" fillId="0" borderId="2" xfId="0" applyNumberFormat="1" applyFont="1" applyFill="1" applyBorder="1"/>
    <xf numFmtId="0" fontId="11" fillId="0" borderId="2" xfId="0" applyFont="1" applyFill="1" applyBorder="1" applyAlignment="1">
      <alignment horizontal="center" wrapText="1"/>
    </xf>
    <xf numFmtId="1" fontId="7" fillId="33" borderId="2" xfId="0" applyNumberFormat="1" applyFont="1" applyFill="1" applyBorder="1" applyAlignment="1">
      <alignment horizontal="center"/>
    </xf>
    <xf numFmtId="0" fontId="7" fillId="33" borderId="2" xfId="0" applyFont="1" applyFill="1" applyBorder="1" applyAlignment="1">
      <alignment horizontal="center"/>
    </xf>
    <xf numFmtId="1" fontId="7" fillId="33" borderId="13" xfId="0" applyNumberFormat="1" applyFont="1" applyFill="1" applyBorder="1" applyAlignment="1">
      <alignment horizontal="center"/>
    </xf>
    <xf numFmtId="1"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11" xfId="0" applyFont="1" applyFill="1" applyBorder="1" applyAlignment="1">
      <alignment horizontal="center"/>
    </xf>
    <xf numFmtId="1" fontId="7" fillId="0" borderId="13" xfId="0" applyNumberFormat="1" applyFont="1" applyFill="1" applyBorder="1" applyAlignment="1">
      <alignment horizontal="center"/>
    </xf>
    <xf numFmtId="0" fontId="7" fillId="0" borderId="13" xfId="0" applyFont="1" applyFill="1" applyBorder="1" applyAlignment="1">
      <alignment horizontal="center"/>
    </xf>
    <xf numFmtId="0" fontId="7" fillId="0" borderId="14" xfId="0" applyFont="1" applyFill="1" applyBorder="1" applyAlignment="1">
      <alignment horizontal="center"/>
    </xf>
    <xf numFmtId="0" fontId="7" fillId="33" borderId="8" xfId="0" applyFont="1" applyFill="1" applyBorder="1" applyAlignment="1">
      <alignment horizontal="center"/>
    </xf>
    <xf numFmtId="3" fontId="32" fillId="0" borderId="2" xfId="0" applyNumberFormat="1" applyFont="1" applyBorder="1" applyAlignment="1">
      <alignment horizontal="center" vertical="center" wrapText="1"/>
    </xf>
    <xf numFmtId="10" fontId="32" fillId="0" borderId="2" xfId="0" applyNumberFormat="1" applyFont="1" applyBorder="1" applyAlignment="1">
      <alignment horizontal="center" vertical="center" wrapText="1"/>
    </xf>
    <xf numFmtId="3" fontId="33" fillId="0" borderId="2" xfId="0" applyNumberFormat="1" applyFont="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xf numFmtId="3" fontId="7" fillId="0" borderId="0" xfId="0" applyNumberFormat="1" applyFont="1" applyFill="1" applyBorder="1" applyAlignment="1">
      <alignment horizontal="center"/>
    </xf>
    <xf numFmtId="3" fontId="7" fillId="0" borderId="0" xfId="0" applyNumberFormat="1" applyFont="1" applyFill="1" applyBorder="1"/>
    <xf numFmtId="2" fontId="33" fillId="0" borderId="0" xfId="0" applyNumberFormat="1" applyFont="1" applyFill="1" applyBorder="1" applyAlignment="1">
      <alignment horizontal="center"/>
    </xf>
    <xf numFmtId="1" fontId="7" fillId="33" borderId="2" xfId="379" applyNumberFormat="1" applyFont="1" applyFill="1" applyBorder="1" applyAlignment="1">
      <alignment horizontal="center"/>
    </xf>
    <xf numFmtId="0" fontId="33" fillId="0" borderId="2" xfId="0" applyFont="1" applyBorder="1" applyAlignment="1">
      <alignment horizontal="center" vertical="center" wrapText="1"/>
    </xf>
    <xf numFmtId="10" fontId="33" fillId="0" borderId="2"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7" fillId="0" borderId="0" xfId="0" applyFont="1" applyBorder="1"/>
    <xf numFmtId="0" fontId="33" fillId="0" borderId="0" xfId="0" applyFont="1" applyBorder="1" applyAlignment="1">
      <alignment horizontal="center" vertical="center" wrapText="1"/>
    </xf>
    <xf numFmtId="3" fontId="33" fillId="0" borderId="0" xfId="0" applyNumberFormat="1" applyFont="1" applyBorder="1" applyAlignment="1">
      <alignment horizontal="center" vertical="center" wrapText="1"/>
    </xf>
    <xf numFmtId="10" fontId="33" fillId="0" borderId="0" xfId="0" applyNumberFormat="1" applyFont="1" applyBorder="1" applyAlignment="1">
      <alignment horizontal="center" vertical="center" wrapText="1"/>
    </xf>
    <xf numFmtId="0" fontId="7" fillId="0" borderId="2" xfId="0" applyFont="1" applyBorder="1"/>
    <xf numFmtId="3" fontId="32" fillId="0" borderId="0" xfId="0" applyNumberFormat="1" applyFont="1" applyBorder="1" applyAlignment="1">
      <alignment horizontal="center" vertical="center" wrapText="1"/>
    </xf>
    <xf numFmtId="0" fontId="35" fillId="0" borderId="0" xfId="0" applyFont="1" applyBorder="1" applyAlignment="1">
      <alignment horizontal="left" vertical="center"/>
    </xf>
    <xf numFmtId="0" fontId="7" fillId="0" borderId="10" xfId="0" applyFont="1" applyFill="1" applyBorder="1" applyAlignment="1">
      <alignment horizontal="center"/>
    </xf>
    <xf numFmtId="2" fontId="33" fillId="0" borderId="11" xfId="0" applyNumberFormat="1" applyFont="1" applyFill="1" applyBorder="1" applyAlignment="1">
      <alignment horizontal="center"/>
    </xf>
    <xf numFmtId="0" fontId="7" fillId="0" borderId="12" xfId="0" applyFont="1" applyFill="1" applyBorder="1" applyAlignment="1">
      <alignment horizontal="center"/>
    </xf>
    <xf numFmtId="2" fontId="33" fillId="0" borderId="14" xfId="0" applyNumberFormat="1" applyFont="1" applyFill="1" applyBorder="1" applyAlignment="1">
      <alignment horizontal="center"/>
    </xf>
    <xf numFmtId="0" fontId="7" fillId="0" borderId="15" xfId="0" applyFont="1" applyFill="1" applyBorder="1" applyAlignment="1">
      <alignment horizontal="center"/>
    </xf>
    <xf numFmtId="2" fontId="33" fillId="0" borderId="16" xfId="0" applyNumberFormat="1" applyFont="1" applyFill="1" applyBorder="1" applyAlignment="1">
      <alignment horizontal="center"/>
    </xf>
    <xf numFmtId="1" fontId="33" fillId="33" borderId="11" xfId="0" applyNumberFormat="1" applyFont="1" applyFill="1" applyBorder="1" applyAlignment="1">
      <alignment horizontal="center"/>
    </xf>
    <xf numFmtId="1" fontId="7" fillId="33" borderId="13" xfId="379" applyNumberFormat="1" applyFont="1" applyFill="1" applyBorder="1" applyAlignment="1">
      <alignment horizontal="center"/>
    </xf>
    <xf numFmtId="1" fontId="33" fillId="33" borderId="14" xfId="0" applyNumberFormat="1" applyFont="1" applyFill="1" applyBorder="1" applyAlignment="1">
      <alignment horizontal="center"/>
    </xf>
    <xf numFmtId="0" fontId="7" fillId="0" borderId="17" xfId="0" applyFont="1" applyFill="1" applyBorder="1" applyAlignment="1">
      <alignment horizontal="center"/>
    </xf>
    <xf numFmtId="0" fontId="7" fillId="0" borderId="18" xfId="0" applyFont="1" applyFill="1" applyBorder="1" applyAlignment="1">
      <alignment horizontal="center"/>
    </xf>
    <xf numFmtId="0" fontId="7" fillId="0" borderId="19" xfId="0" applyFont="1" applyFill="1" applyBorder="1" applyAlignment="1">
      <alignment horizontal="center"/>
    </xf>
    <xf numFmtId="17" fontId="7" fillId="0" borderId="18" xfId="0" applyNumberFormat="1" applyFont="1" applyFill="1" applyBorder="1" applyAlignment="1">
      <alignment horizontal="center"/>
    </xf>
    <xf numFmtId="17" fontId="7" fillId="0" borderId="19" xfId="0" applyNumberFormat="1" applyFont="1" applyFill="1" applyBorder="1" applyAlignment="1">
      <alignment horizontal="center"/>
    </xf>
    <xf numFmtId="0" fontId="7" fillId="0" borderId="20" xfId="0" applyFont="1" applyFill="1" applyBorder="1" applyAlignment="1">
      <alignment horizontal="center"/>
    </xf>
    <xf numFmtId="0" fontId="7" fillId="0" borderId="21" xfId="0" applyFont="1" applyFill="1" applyBorder="1" applyAlignment="1">
      <alignment horizontal="left"/>
    </xf>
    <xf numFmtId="1" fontId="7" fillId="33" borderId="20" xfId="0" applyNumberFormat="1" applyFont="1" applyFill="1" applyBorder="1" applyAlignment="1">
      <alignment horizontal="center"/>
    </xf>
    <xf numFmtId="1" fontId="7" fillId="33" borderId="20" xfId="379" applyNumberFormat="1" applyFont="1" applyFill="1" applyBorder="1" applyAlignment="1">
      <alignment horizontal="center"/>
    </xf>
    <xf numFmtId="1" fontId="7" fillId="33" borderId="22" xfId="0" applyNumberFormat="1" applyFont="1" applyFill="1" applyBorder="1" applyAlignment="1">
      <alignment horizontal="center"/>
    </xf>
    <xf numFmtId="0" fontId="7" fillId="0" borderId="23" xfId="0" applyFont="1" applyFill="1" applyBorder="1" applyAlignment="1">
      <alignment horizontal="left"/>
    </xf>
    <xf numFmtId="1" fontId="7" fillId="33" borderId="10" xfId="0" applyNumberFormat="1" applyFont="1" applyFill="1" applyBorder="1" applyAlignment="1">
      <alignment horizontal="center"/>
    </xf>
    <xf numFmtId="1" fontId="7" fillId="33" borderId="10" xfId="379" applyNumberFormat="1" applyFont="1" applyFill="1" applyBorder="1" applyAlignment="1">
      <alignment horizontal="center"/>
    </xf>
    <xf numFmtId="1" fontId="7" fillId="33" borderId="10" xfId="389" applyNumberFormat="1" applyFont="1" applyFill="1" applyBorder="1" applyAlignment="1">
      <alignment horizontal="center"/>
    </xf>
    <xf numFmtId="1" fontId="32" fillId="33" borderId="10" xfId="0" applyNumberFormat="1" applyFont="1" applyFill="1" applyBorder="1" applyAlignment="1">
      <alignment horizontal="center"/>
    </xf>
    <xf numFmtId="1" fontId="36" fillId="33" borderId="10" xfId="0" applyNumberFormat="1" applyFont="1" applyFill="1" applyBorder="1" applyAlignment="1">
      <alignment horizontal="center"/>
    </xf>
    <xf numFmtId="1" fontId="7" fillId="33" borderId="12" xfId="0" applyNumberFormat="1" applyFont="1" applyFill="1" applyBorder="1" applyAlignment="1">
      <alignment horizontal="center"/>
    </xf>
    <xf numFmtId="1" fontId="7" fillId="33" borderId="10" xfId="379" applyNumberFormat="1" applyFont="1" applyFill="1" applyBorder="1" applyAlignment="1">
      <alignment horizontal="center" vertical="center"/>
    </xf>
    <xf numFmtId="0" fontId="32" fillId="0" borderId="10" xfId="0" applyFont="1" applyBorder="1" applyAlignment="1">
      <alignment horizontal="center" vertical="center" wrapText="1"/>
    </xf>
    <xf numFmtId="3" fontId="32" fillId="0" borderId="1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3" fillId="0" borderId="10" xfId="0" applyFont="1" applyBorder="1" applyAlignment="1">
      <alignment horizontal="center" vertical="center" wrapText="1"/>
    </xf>
    <xf numFmtId="3" fontId="33" fillId="0" borderId="11" xfId="0" applyNumberFormat="1" applyFont="1" applyBorder="1" applyAlignment="1">
      <alignment horizontal="center" vertical="center" wrapText="1"/>
    </xf>
    <xf numFmtId="0" fontId="33" fillId="0" borderId="12" xfId="0" applyFont="1" applyBorder="1" applyAlignment="1">
      <alignment horizontal="center" vertical="center" wrapText="1"/>
    </xf>
    <xf numFmtId="3" fontId="32" fillId="0" borderId="10" xfId="0" applyNumberFormat="1" applyFont="1" applyBorder="1" applyAlignment="1">
      <alignment horizontal="center" vertical="center" wrapText="1"/>
    </xf>
    <xf numFmtId="3" fontId="33" fillId="0" borderId="10" xfId="0" applyNumberFormat="1" applyFont="1" applyBorder="1" applyAlignment="1">
      <alignment horizontal="center" vertical="center" wrapText="1"/>
    </xf>
    <xf numFmtId="3" fontId="32" fillId="0" borderId="14"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0" fillId="0" borderId="0" xfId="0" applyFill="1" applyBorder="1" applyAlignment="1"/>
    <xf numFmtId="168" fontId="32" fillId="0" borderId="2" xfId="0" applyNumberFormat="1" applyFont="1" applyBorder="1" applyAlignment="1">
      <alignment horizontal="center" vertical="center" wrapText="1"/>
    </xf>
    <xf numFmtId="169" fontId="32" fillId="0" borderId="11"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169" fontId="10" fillId="0" borderId="13" xfId="0" applyNumberFormat="1" applyFont="1" applyBorder="1" applyAlignment="1">
      <alignment horizontal="center" vertical="center" wrapText="1"/>
    </xf>
    <xf numFmtId="169"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0" fontId="11" fillId="0" borderId="23" xfId="0" applyFont="1" applyFill="1" applyBorder="1"/>
    <xf numFmtId="0" fontId="7" fillId="0" borderId="15" xfId="0" applyFont="1" applyFill="1" applyBorder="1"/>
    <xf numFmtId="0" fontId="7" fillId="0" borderId="16" xfId="0" applyFont="1" applyFill="1" applyBorder="1"/>
    <xf numFmtId="0" fontId="11" fillId="0" borderId="10" xfId="528" applyFont="1" applyFill="1" applyBorder="1" applyAlignment="1">
      <alignment horizontal="center"/>
    </xf>
    <xf numFmtId="0" fontId="11" fillId="0" borderId="12" xfId="528" applyFont="1" applyFill="1" applyBorder="1" applyAlignment="1">
      <alignment horizontal="center"/>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7"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7" fillId="0" borderId="25" xfId="0" applyFont="1" applyFill="1" applyBorder="1" applyAlignment="1">
      <alignment horizontal="center"/>
    </xf>
    <xf numFmtId="2" fontId="33" fillId="0" borderId="26" xfId="0" applyNumberFormat="1" applyFont="1" applyFill="1" applyBorder="1" applyAlignment="1">
      <alignment horizontal="center"/>
    </xf>
    <xf numFmtId="3" fontId="10" fillId="0" borderId="14" xfId="0" applyNumberFormat="1" applyFont="1" applyBorder="1" applyAlignment="1">
      <alignment horizontal="center" vertical="center" wrapText="1"/>
    </xf>
    <xf numFmtId="168" fontId="10" fillId="0" borderId="13" xfId="0" applyNumberFormat="1" applyFont="1" applyBorder="1" applyAlignment="1">
      <alignment horizontal="center" vertical="center" wrapText="1"/>
    </xf>
    <xf numFmtId="3" fontId="37" fillId="0" borderId="11" xfId="0" applyNumberFormat="1" applyFont="1" applyBorder="1" applyAlignment="1">
      <alignment horizontal="center" vertical="center" wrapText="1"/>
    </xf>
    <xf numFmtId="0" fontId="33" fillId="0" borderId="13" xfId="0" applyFont="1" applyBorder="1" applyAlignment="1">
      <alignment horizontal="center" vertical="center" wrapText="1"/>
    </xf>
    <xf numFmtId="10" fontId="33" fillId="0" borderId="13" xfId="0" applyNumberFormat="1"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4" fillId="0" borderId="28" xfId="0" applyFont="1" applyBorder="1" applyAlignment="1">
      <alignment horizontal="center" vertical="center" wrapText="1"/>
    </xf>
    <xf numFmtId="0" fontId="32" fillId="0" borderId="29" xfId="0" applyFont="1" applyFill="1" applyBorder="1" applyAlignment="1">
      <alignment horizontal="center" vertical="center" wrapText="1"/>
    </xf>
    <xf numFmtId="0" fontId="7" fillId="0" borderId="30" xfId="0" applyFont="1" applyFill="1" applyBorder="1" applyAlignment="1">
      <alignment horizontal="center"/>
    </xf>
    <xf numFmtId="0" fontId="32" fillId="0" borderId="4" xfId="0" applyFont="1" applyBorder="1" applyAlignment="1">
      <alignment horizontal="center" vertical="center" wrapText="1"/>
    </xf>
    <xf numFmtId="0" fontId="32" fillId="0" borderId="31" xfId="0" applyFont="1" applyFill="1" applyBorder="1" applyAlignment="1">
      <alignment horizontal="center" vertical="center" wrapText="1"/>
    </xf>
    <xf numFmtId="0" fontId="10" fillId="0" borderId="32" xfId="0" applyFont="1" applyBorder="1" applyAlignment="1">
      <alignment horizontal="center" vertical="center" wrapText="1"/>
    </xf>
    <xf numFmtId="43" fontId="7" fillId="0" borderId="2" xfId="379" applyFont="1" applyBorder="1" applyAlignment="1">
      <alignment horizontal="center"/>
    </xf>
    <xf numFmtId="10" fontId="7" fillId="0" borderId="2" xfId="596" applyNumberFormat="1" applyFont="1" applyBorder="1" applyAlignment="1">
      <alignment horizontal="center"/>
    </xf>
    <xf numFmtId="0" fontId="38" fillId="0" borderId="0" xfId="0" applyFont="1" applyBorder="1" applyAlignment="1">
      <alignment horizontal="left" vertical="center"/>
    </xf>
    <xf numFmtId="0" fontId="0" fillId="0" borderId="33" xfId="0" applyFill="1" applyBorder="1" applyAlignment="1"/>
    <xf numFmtId="0" fontId="7" fillId="0" borderId="0" xfId="0" applyFont="1" applyFill="1"/>
    <xf numFmtId="0" fontId="32" fillId="0" borderId="8" xfId="0" applyFont="1" applyFill="1" applyBorder="1" applyAlignment="1">
      <alignment horizontal="center" vertical="center" wrapText="1"/>
    </xf>
    <xf numFmtId="0" fontId="32" fillId="0" borderId="12" xfId="0" applyFont="1" applyFill="1" applyBorder="1" applyAlignment="1">
      <alignment horizontal="center" vertical="center" wrapText="1"/>
    </xf>
    <xf numFmtId="3" fontId="37" fillId="0" borderId="14" xfId="0" applyNumberFormat="1" applyFont="1" applyBorder="1" applyAlignment="1">
      <alignment horizontal="center" vertical="center" wrapText="1"/>
    </xf>
    <xf numFmtId="3" fontId="33" fillId="0" borderId="0" xfId="0" applyNumberFormat="1" applyFont="1" applyBorder="1" applyAlignment="1">
      <alignment horizontal="left" vertical="center"/>
    </xf>
    <xf numFmtId="10" fontId="11" fillId="0" borderId="0" xfId="0" applyNumberFormat="1" applyFont="1" applyAlignment="1">
      <alignment horizontal="center"/>
    </xf>
    <xf numFmtId="0" fontId="12" fillId="0" borderId="0" xfId="0" applyFont="1" applyAlignment="1">
      <alignment horizontal="left" indent="1"/>
    </xf>
    <xf numFmtId="10" fontId="32" fillId="0" borderId="2" xfId="596" applyNumberFormat="1" applyFont="1" applyBorder="1" applyAlignment="1">
      <alignment horizontal="center" vertical="center" wrapText="1"/>
    </xf>
    <xf numFmtId="10" fontId="33" fillId="0" borderId="2" xfId="596" applyNumberFormat="1" applyFont="1" applyBorder="1" applyAlignment="1">
      <alignment horizontal="center" vertical="center" wrapText="1"/>
    </xf>
    <xf numFmtId="10" fontId="33" fillId="0" borderId="13" xfId="596" applyNumberFormat="1" applyFont="1" applyBorder="1" applyAlignment="1">
      <alignment horizontal="center" vertical="center" wrapText="1"/>
    </xf>
    <xf numFmtId="166" fontId="7" fillId="0" borderId="13" xfId="0" applyNumberFormat="1" applyFont="1" applyBorder="1" applyAlignment="1">
      <alignment horizontal="center"/>
    </xf>
    <xf numFmtId="166" fontId="7" fillId="0" borderId="14" xfId="0" applyNumberFormat="1" applyFont="1" applyBorder="1" applyAlignment="1">
      <alignment horizontal="center"/>
    </xf>
    <xf numFmtId="0" fontId="0" fillId="0" borderId="2" xfId="0" applyBorder="1"/>
    <xf numFmtId="0" fontId="38" fillId="0" borderId="0" xfId="0" applyFont="1" applyFill="1" applyBorder="1" applyAlignment="1">
      <alignment horizontal="left" vertical="center"/>
    </xf>
    <xf numFmtId="0" fontId="0" fillId="0" borderId="0" xfId="0" applyFill="1"/>
    <xf numFmtId="3" fontId="32" fillId="0" borderId="2" xfId="0" applyNumberFormat="1" applyFont="1" applyFill="1" applyBorder="1" applyAlignment="1">
      <alignment horizontal="center" vertical="center" wrapText="1"/>
    </xf>
    <xf numFmtId="3" fontId="33" fillId="0" borderId="2" xfId="0" applyNumberFormat="1" applyFont="1" applyFill="1" applyBorder="1" applyAlignment="1">
      <alignment horizontal="center" vertical="center" wrapText="1"/>
    </xf>
    <xf numFmtId="0" fontId="7" fillId="0" borderId="37" xfId="0" applyFont="1" applyBorder="1"/>
    <xf numFmtId="0" fontId="32" fillId="0" borderId="38" xfId="0" applyFont="1" applyBorder="1" applyAlignment="1">
      <alignment horizontal="center" vertical="center" wrapText="1"/>
    </xf>
    <xf numFmtId="0" fontId="0" fillId="0" borderId="10" xfId="0" applyBorder="1"/>
    <xf numFmtId="0" fontId="0" fillId="0" borderId="13" xfId="0" applyBorder="1"/>
    <xf numFmtId="0" fontId="0" fillId="0" borderId="7" xfId="0" applyBorder="1"/>
    <xf numFmtId="0" fontId="0" fillId="0" borderId="8" xfId="0" applyBorder="1"/>
    <xf numFmtId="0" fontId="0" fillId="0" borderId="34" xfId="0" applyBorder="1"/>
    <xf numFmtId="0" fontId="0" fillId="0" borderId="35" xfId="0" applyBorder="1" applyAlignment="1">
      <alignment horizontal="center"/>
    </xf>
    <xf numFmtId="0" fontId="0" fillId="0" borderId="36" xfId="0" applyBorder="1" applyAlignment="1">
      <alignment horizontal="center"/>
    </xf>
    <xf numFmtId="9" fontId="7" fillId="0" borderId="0" xfId="596" applyFont="1"/>
    <xf numFmtId="3" fontId="32" fillId="0" borderId="11" xfId="0" applyNumberFormat="1" applyFont="1" applyFill="1" applyBorder="1" applyAlignment="1">
      <alignment horizontal="center" vertical="center" wrapText="1"/>
    </xf>
    <xf numFmtId="3" fontId="33" fillId="0" borderId="13" xfId="0" applyNumberFormat="1" applyFont="1" applyFill="1" applyBorder="1" applyAlignment="1">
      <alignment horizontal="center" vertical="center" wrapText="1"/>
    </xf>
    <xf numFmtId="3" fontId="32" fillId="0" borderId="13" xfId="0" applyNumberFormat="1" applyFont="1" applyFill="1" applyBorder="1" applyAlignment="1">
      <alignment horizontal="center" vertical="center" wrapText="1"/>
    </xf>
    <xf numFmtId="3" fontId="32" fillId="0" borderId="14" xfId="0" applyNumberFormat="1" applyFont="1" applyFill="1" applyBorder="1" applyAlignment="1">
      <alignment horizontal="center" vertical="center" wrapText="1"/>
    </xf>
    <xf numFmtId="0" fontId="35" fillId="0" borderId="17" xfId="0" applyFont="1" applyFill="1" applyBorder="1" applyAlignment="1">
      <alignment horizontal="left" vertical="center"/>
    </xf>
    <xf numFmtId="0" fontId="32"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3" fontId="32" fillId="0" borderId="20" xfId="0" applyNumberFormat="1" applyFont="1" applyFill="1" applyBorder="1" applyAlignment="1">
      <alignment horizontal="center" vertical="center" wrapText="1"/>
    </xf>
    <xf numFmtId="3" fontId="33" fillId="0" borderId="20" xfId="0" applyNumberFormat="1"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3" fontId="32" fillId="0" borderId="10" xfId="0" applyNumberFormat="1" applyFont="1" applyFill="1" applyBorder="1" applyAlignment="1">
      <alignment horizontal="center" vertical="center" wrapText="1"/>
    </xf>
    <xf numFmtId="3" fontId="33" fillId="0" borderId="10" xfId="0" applyNumberFormat="1" applyFont="1" applyFill="1" applyBorder="1" applyAlignment="1">
      <alignment horizontal="center" vertical="center" wrapText="1"/>
    </xf>
    <xf numFmtId="3" fontId="33" fillId="0" borderId="11" xfId="0" applyNumberFormat="1" applyFont="1" applyFill="1" applyBorder="1" applyAlignment="1">
      <alignment horizontal="center" vertical="center" wrapText="1"/>
    </xf>
    <xf numFmtId="3" fontId="33" fillId="0" borderId="12" xfId="0" applyNumberFormat="1" applyFont="1" applyFill="1" applyBorder="1" applyAlignment="1">
      <alignment horizontal="center" vertical="center" wrapText="1"/>
    </xf>
    <xf numFmtId="3" fontId="33" fillId="0" borderId="14" xfId="0" applyNumberFormat="1" applyFont="1" applyFill="1" applyBorder="1" applyAlignment="1">
      <alignment horizontal="center" vertical="center" wrapText="1"/>
    </xf>
    <xf numFmtId="3" fontId="32" fillId="0" borderId="39" xfId="0" applyNumberFormat="1" applyFont="1" applyFill="1" applyBorder="1" applyAlignment="1">
      <alignment horizontal="center" vertical="center" wrapText="1"/>
    </xf>
    <xf numFmtId="3" fontId="32" fillId="0" borderId="40" xfId="0" applyNumberFormat="1" applyFont="1" applyFill="1" applyBorder="1" applyAlignment="1">
      <alignment horizontal="center" vertical="center" wrapText="1"/>
    </xf>
    <xf numFmtId="0" fontId="7" fillId="0" borderId="13" xfId="0" applyFont="1" applyBorder="1" applyAlignment="1">
      <alignment horizontal="center"/>
    </xf>
    <xf numFmtId="0" fontId="0" fillId="0" borderId="0" xfId="0" applyFill="1" applyBorder="1"/>
    <xf numFmtId="1" fontId="0" fillId="0" borderId="0" xfId="0" applyNumberFormat="1" applyFill="1" applyBorder="1" applyAlignment="1">
      <alignment horizontal="center"/>
    </xf>
    <xf numFmtId="1" fontId="33" fillId="0" borderId="0" xfId="0" applyNumberFormat="1" applyFont="1" applyFill="1" applyBorder="1" applyAlignment="1">
      <alignment horizontal="center"/>
    </xf>
    <xf numFmtId="0" fontId="7" fillId="0" borderId="10" xfId="0" applyFont="1" applyBorder="1"/>
    <xf numFmtId="0" fontId="7" fillId="0" borderId="12" xfId="0" applyFont="1" applyBorder="1"/>
    <xf numFmtId="0" fontId="0" fillId="0" borderId="41" xfId="0" applyBorder="1"/>
    <xf numFmtId="0" fontId="0" fillId="0" borderId="42" xfId="0" applyBorder="1"/>
    <xf numFmtId="0" fontId="7" fillId="0" borderId="7" xfId="0" applyFont="1" applyBorder="1"/>
    <xf numFmtId="171" fontId="33" fillId="0" borderId="11" xfId="379" applyNumberFormat="1" applyFont="1" applyFill="1" applyBorder="1" applyAlignment="1">
      <alignment horizontal="center"/>
    </xf>
    <xf numFmtId="171" fontId="33" fillId="0" borderId="14" xfId="379" applyNumberFormat="1" applyFont="1" applyFill="1" applyBorder="1" applyAlignment="1">
      <alignment horizontal="center"/>
    </xf>
    <xf numFmtId="171" fontId="33" fillId="0" borderId="9" xfId="379" applyNumberFormat="1" applyFont="1" applyFill="1" applyBorder="1" applyAlignment="1">
      <alignment horizontal="center"/>
    </xf>
    <xf numFmtId="10" fontId="7" fillId="0" borderId="7" xfId="596" applyNumberFormat="1" applyFont="1" applyFill="1" applyBorder="1" applyAlignment="1">
      <alignment horizontal="center"/>
    </xf>
    <xf numFmtId="4" fontId="7" fillId="0" borderId="8" xfId="379" applyNumberFormat="1" applyFont="1" applyFill="1" applyBorder="1" applyAlignment="1">
      <alignment horizontal="center"/>
    </xf>
    <xf numFmtId="167" fontId="7" fillId="0" borderId="10" xfId="596" applyNumberFormat="1" applyFont="1" applyFill="1" applyBorder="1" applyAlignment="1">
      <alignment horizontal="center"/>
    </xf>
    <xf numFmtId="4" fontId="7" fillId="0" borderId="2" xfId="596" applyNumberFormat="1" applyFont="1" applyFill="1" applyBorder="1" applyAlignment="1">
      <alignment horizontal="center"/>
    </xf>
    <xf numFmtId="10" fontId="7" fillId="0" borderId="10" xfId="596" applyNumberFormat="1" applyFont="1" applyFill="1" applyBorder="1" applyAlignment="1">
      <alignment horizontal="center"/>
    </xf>
    <xf numFmtId="4" fontId="7" fillId="0" borderId="2" xfId="379" applyNumberFormat="1" applyFont="1" applyFill="1" applyBorder="1" applyAlignment="1">
      <alignment horizontal="center"/>
    </xf>
    <xf numFmtId="10" fontId="7" fillId="0" borderId="12" xfId="596" applyNumberFormat="1" applyFont="1" applyFill="1" applyBorder="1" applyAlignment="1">
      <alignment horizontal="center"/>
    </xf>
    <xf numFmtId="4" fontId="7" fillId="0" borderId="13" xfId="596" applyNumberFormat="1" applyFont="1" applyFill="1" applyBorder="1" applyAlignment="1">
      <alignment horizontal="center"/>
    </xf>
    <xf numFmtId="3" fontId="0" fillId="0" borderId="8" xfId="0" applyNumberFormat="1" applyFill="1" applyBorder="1" applyAlignment="1">
      <alignment horizontal="center"/>
    </xf>
    <xf numFmtId="3" fontId="0" fillId="0" borderId="2" xfId="0" applyNumberFormat="1" applyFill="1" applyBorder="1" applyAlignment="1">
      <alignment horizontal="center"/>
    </xf>
    <xf numFmtId="3" fontId="0" fillId="0" borderId="13" xfId="0" applyNumberFormat="1" applyFill="1" applyBorder="1" applyAlignment="1">
      <alignment horizontal="center"/>
    </xf>
    <xf numFmtId="0" fontId="0" fillId="0" borderId="0" xfId="0" applyFill="1" applyBorder="1" applyAlignment="1">
      <alignment horizontal="center"/>
    </xf>
    <xf numFmtId="3" fontId="0" fillId="0" borderId="0" xfId="0" applyNumberFormat="1" applyFill="1" applyBorder="1" applyAlignment="1">
      <alignment horizontal="center"/>
    </xf>
    <xf numFmtId="3" fontId="33" fillId="0" borderId="0" xfId="0" applyNumberFormat="1" applyFont="1" applyFill="1" applyBorder="1" applyAlignment="1">
      <alignment horizontal="center"/>
    </xf>
    <xf numFmtId="0" fontId="0" fillId="0" borderId="4" xfId="0" applyFill="1" applyBorder="1" applyAlignment="1">
      <alignment horizontal="center"/>
    </xf>
    <xf numFmtId="3" fontId="33" fillId="0" borderId="43" xfId="0" applyNumberFormat="1" applyFont="1" applyFill="1" applyBorder="1" applyAlignment="1">
      <alignment horizontal="center"/>
    </xf>
    <xf numFmtId="3" fontId="33" fillId="0" borderId="24" xfId="0" applyNumberFormat="1" applyFont="1" applyFill="1" applyBorder="1" applyAlignment="1">
      <alignment horizontal="center"/>
    </xf>
    <xf numFmtId="3" fontId="33" fillId="0" borderId="32" xfId="0" applyNumberFormat="1" applyFont="1" applyFill="1" applyBorder="1" applyAlignment="1">
      <alignment horizontal="center"/>
    </xf>
    <xf numFmtId="3" fontId="7" fillId="0" borderId="8" xfId="0" applyNumberFormat="1" applyFont="1" applyFill="1" applyBorder="1" applyAlignment="1">
      <alignment horizontal="center"/>
    </xf>
    <xf numFmtId="3" fontId="7" fillId="0" borderId="9" xfId="0" applyNumberFormat="1" applyFont="1" applyFill="1" applyBorder="1" applyAlignment="1">
      <alignment horizontal="center"/>
    </xf>
    <xf numFmtId="3" fontId="7" fillId="0" borderId="2" xfId="0" applyNumberFormat="1" applyFont="1" applyFill="1" applyBorder="1" applyAlignment="1">
      <alignment horizontal="center"/>
    </xf>
    <xf numFmtId="3" fontId="7" fillId="0" borderId="11" xfId="0" applyNumberFormat="1" applyFont="1" applyFill="1" applyBorder="1" applyAlignment="1">
      <alignment horizontal="center"/>
    </xf>
    <xf numFmtId="3" fontId="0" fillId="0" borderId="42" xfId="0" applyNumberFormat="1" applyFill="1" applyBorder="1" applyAlignment="1">
      <alignment horizontal="center"/>
    </xf>
    <xf numFmtId="3" fontId="7" fillId="0" borderId="42" xfId="0" applyNumberFormat="1" applyFont="1" applyFill="1" applyBorder="1" applyAlignment="1">
      <alignment horizontal="center"/>
    </xf>
    <xf numFmtId="3" fontId="7" fillId="0" borderId="26" xfId="0" applyNumberFormat="1" applyFont="1" applyFill="1" applyBorder="1" applyAlignment="1">
      <alignment horizontal="center"/>
    </xf>
    <xf numFmtId="3" fontId="7" fillId="0" borderId="13" xfId="0" applyNumberFormat="1" applyFont="1" applyFill="1" applyBorder="1" applyAlignment="1">
      <alignment horizontal="center"/>
    </xf>
    <xf numFmtId="3" fontId="7" fillId="0" borderId="14" xfId="0" applyNumberFormat="1" applyFont="1" applyFill="1" applyBorder="1" applyAlignment="1">
      <alignment horizontal="center"/>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5" xfId="0" applyFont="1" applyFill="1" applyBorder="1" applyAlignment="1">
      <alignment horizontal="center" vertical="center" wrapText="1"/>
    </xf>
    <xf numFmtId="0" fontId="32" fillId="0" borderId="46" xfId="0" applyFont="1" applyBorder="1" applyAlignment="1">
      <alignment horizontal="center" vertical="center" wrapText="1"/>
    </xf>
    <xf numFmtId="0" fontId="13" fillId="0" borderId="0" xfId="0" applyFont="1" applyAlignment="1">
      <alignment horizontal="center"/>
    </xf>
    <xf numFmtId="0" fontId="13" fillId="0" borderId="0" xfId="0" quotePrefix="1" applyFont="1" applyAlignment="1">
      <alignment horizontal="center"/>
    </xf>
    <xf numFmtId="3" fontId="33" fillId="0" borderId="2" xfId="0" applyNumberFormat="1" applyFont="1" applyBorder="1" applyAlignment="1">
      <alignment horizontal="center" vertical="center" wrapText="1"/>
    </xf>
    <xf numFmtId="2" fontId="33" fillId="0" borderId="40" xfId="0" applyNumberFormat="1" applyFont="1" applyFill="1" applyBorder="1" applyAlignment="1">
      <alignment horizontal="center"/>
    </xf>
    <xf numFmtId="2" fontId="33" fillId="0" borderId="8" xfId="0" applyNumberFormat="1" applyFont="1" applyFill="1" applyBorder="1" applyAlignment="1">
      <alignment horizontal="center"/>
    </xf>
    <xf numFmtId="2" fontId="7" fillId="0" borderId="13" xfId="0" applyNumberFormat="1" applyFont="1" applyFill="1" applyBorder="1" applyAlignment="1">
      <alignment horizontal="center"/>
    </xf>
    <xf numFmtId="1" fontId="7" fillId="33" borderId="8" xfId="0" applyNumberFormat="1" applyFont="1" applyFill="1" applyBorder="1" applyAlignment="1">
      <alignment horizontal="center"/>
    </xf>
    <xf numFmtId="2" fontId="33" fillId="0" borderId="9" xfId="0" applyNumberFormat="1" applyFont="1" applyFill="1" applyBorder="1" applyAlignment="1">
      <alignment horizontal="center"/>
    </xf>
    <xf numFmtId="1" fontId="33" fillId="33" borderId="40" xfId="0" applyNumberFormat="1" applyFont="1" applyFill="1" applyBorder="1" applyAlignment="1">
      <alignment horizontal="center"/>
    </xf>
    <xf numFmtId="1" fontId="33" fillId="33" borderId="39" xfId="0" applyNumberFormat="1" applyFont="1" applyFill="1" applyBorder="1" applyAlignment="1">
      <alignment horizontal="center"/>
    </xf>
    <xf numFmtId="2" fontId="33" fillId="0" borderId="47" xfId="0" applyNumberFormat="1" applyFont="1" applyFill="1" applyBorder="1" applyAlignment="1">
      <alignment horizontal="center"/>
    </xf>
    <xf numFmtId="2" fontId="33" fillId="0" borderId="7" xfId="0" applyNumberFormat="1" applyFont="1" applyFill="1" applyBorder="1" applyAlignment="1">
      <alignment horizontal="center"/>
    </xf>
    <xf numFmtId="2" fontId="33" fillId="0" borderId="10" xfId="0" applyNumberFormat="1" applyFont="1" applyFill="1" applyBorder="1" applyAlignment="1">
      <alignment horizontal="center"/>
    </xf>
    <xf numFmtId="2" fontId="7" fillId="0" borderId="12" xfId="0" applyNumberFormat="1" applyFont="1" applyFill="1" applyBorder="1" applyAlignment="1">
      <alignment horizontal="center"/>
    </xf>
    <xf numFmtId="2" fontId="33" fillId="0" borderId="39" xfId="0" applyNumberFormat="1" applyFont="1" applyFill="1" applyBorder="1" applyAlignment="1">
      <alignment horizontal="center"/>
    </xf>
    <xf numFmtId="2" fontId="33" fillId="0" borderId="2" xfId="0" applyNumberFormat="1" applyFont="1" applyFill="1" applyBorder="1" applyAlignment="1">
      <alignment horizontal="center"/>
    </xf>
    <xf numFmtId="3" fontId="32" fillId="33" borderId="10" xfId="0" applyNumberFormat="1" applyFont="1" applyFill="1" applyBorder="1" applyAlignment="1">
      <alignment horizontal="center" vertical="center" wrapText="1"/>
    </xf>
    <xf numFmtId="9" fontId="32" fillId="33" borderId="2" xfId="596" applyFont="1" applyFill="1" applyBorder="1" applyAlignment="1">
      <alignment horizontal="center" vertical="center" wrapText="1"/>
    </xf>
    <xf numFmtId="3" fontId="32" fillId="33" borderId="2" xfId="0" applyNumberFormat="1" applyFont="1" applyFill="1" applyBorder="1" applyAlignment="1">
      <alignment horizontal="center" vertical="center" wrapText="1"/>
    </xf>
    <xf numFmtId="3" fontId="32" fillId="33" borderId="11" xfId="0" applyNumberFormat="1" applyFont="1" applyFill="1" applyBorder="1" applyAlignment="1">
      <alignment horizontal="center" vertical="center" wrapText="1"/>
    </xf>
    <xf numFmtId="3" fontId="33" fillId="33" borderId="10" xfId="0" applyNumberFormat="1" applyFont="1" applyFill="1" applyBorder="1" applyAlignment="1">
      <alignment horizontal="center" vertical="center" wrapText="1"/>
    </xf>
    <xf numFmtId="9" fontId="33" fillId="33" borderId="2" xfId="596" applyFont="1" applyFill="1" applyBorder="1" applyAlignment="1">
      <alignment horizontal="center" vertical="center" wrapText="1"/>
    </xf>
    <xf numFmtId="3" fontId="33" fillId="33" borderId="2" xfId="0" applyNumberFormat="1" applyFont="1" applyFill="1" applyBorder="1" applyAlignment="1">
      <alignment horizontal="center" vertical="center" wrapText="1"/>
    </xf>
    <xf numFmtId="3" fontId="33" fillId="33" borderId="11" xfId="0" applyNumberFormat="1" applyFont="1" applyFill="1" applyBorder="1" applyAlignment="1">
      <alignment horizontal="center" vertical="center" wrapText="1"/>
    </xf>
    <xf numFmtId="3" fontId="33" fillId="33" borderId="12" xfId="0" applyNumberFormat="1" applyFont="1" applyFill="1" applyBorder="1" applyAlignment="1">
      <alignment horizontal="center" vertical="center" wrapText="1"/>
    </xf>
    <xf numFmtId="9" fontId="33" fillId="33" borderId="13" xfId="596" applyFont="1" applyFill="1" applyBorder="1" applyAlignment="1">
      <alignment horizontal="center" vertical="center" wrapText="1"/>
    </xf>
    <xf numFmtId="3" fontId="33" fillId="33" borderId="13" xfId="0" applyNumberFormat="1" applyFont="1" applyFill="1" applyBorder="1" applyAlignment="1">
      <alignment horizontal="center" vertical="center" wrapText="1"/>
    </xf>
    <xf numFmtId="3" fontId="33" fillId="33" borderId="14" xfId="0" applyNumberFormat="1" applyFont="1" applyFill="1" applyBorder="1" applyAlignment="1">
      <alignment horizontal="center" vertical="center" wrapText="1"/>
    </xf>
    <xf numFmtId="9" fontId="32" fillId="33" borderId="39" xfId="596" applyFont="1" applyFill="1" applyBorder="1" applyAlignment="1">
      <alignment horizontal="center" vertical="center" wrapText="1"/>
    </xf>
    <xf numFmtId="0" fontId="32" fillId="0" borderId="48" xfId="0" applyFont="1" applyBorder="1" applyAlignment="1">
      <alignment horizontal="center" vertical="center" wrapText="1"/>
    </xf>
    <xf numFmtId="9" fontId="33" fillId="33" borderId="39" xfId="596" applyFont="1" applyFill="1" applyBorder="1" applyAlignment="1">
      <alignment horizontal="center" vertical="center" wrapText="1"/>
    </xf>
    <xf numFmtId="9" fontId="33" fillId="33" borderId="40" xfId="596" applyFont="1" applyFill="1" applyBorder="1" applyAlignment="1">
      <alignment horizontal="center" vertical="center" wrapText="1"/>
    </xf>
    <xf numFmtId="9" fontId="32" fillId="33" borderId="11" xfId="596" applyFont="1" applyFill="1" applyBorder="1" applyAlignment="1">
      <alignment horizontal="center" vertical="center" wrapText="1"/>
    </xf>
    <xf numFmtId="1" fontId="32" fillId="33" borderId="2" xfId="0" applyNumberFormat="1" applyFont="1" applyFill="1" applyBorder="1" applyAlignment="1">
      <alignment horizontal="center" vertical="center" wrapText="1"/>
    </xf>
    <xf numFmtId="1" fontId="33" fillId="33" borderId="2" xfId="0" applyNumberFormat="1" applyFont="1" applyFill="1" applyBorder="1" applyAlignment="1">
      <alignment horizontal="center" vertical="center" wrapText="1"/>
    </xf>
    <xf numFmtId="9" fontId="33" fillId="33" borderId="11" xfId="596" applyFont="1" applyFill="1" applyBorder="1" applyAlignment="1">
      <alignment horizontal="center" vertical="center" wrapText="1"/>
    </xf>
    <xf numFmtId="9" fontId="33" fillId="33" borderId="14" xfId="596" applyFont="1" applyFill="1" applyBorder="1" applyAlignment="1">
      <alignment horizontal="center" vertical="center" wrapText="1"/>
    </xf>
    <xf numFmtId="1" fontId="33" fillId="33" borderId="13" xfId="0" applyNumberFormat="1"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36"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22" xfId="0" applyFont="1" applyFill="1" applyBorder="1" applyAlignment="1">
      <alignment horizontal="center" vertical="center" wrapText="1"/>
    </xf>
    <xf numFmtId="0" fontId="32" fillId="0" borderId="40" xfId="0" applyFont="1" applyFill="1" applyBorder="1" applyAlignment="1">
      <alignment horizontal="center" vertical="center" wrapText="1"/>
    </xf>
    <xf numFmtId="3" fontId="32" fillId="0" borderId="49" xfId="0" applyNumberFormat="1" applyFont="1" applyFill="1" applyBorder="1" applyAlignment="1">
      <alignment horizontal="center" vertical="center" wrapText="1"/>
    </xf>
    <xf numFmtId="3" fontId="32" fillId="0" borderId="50" xfId="0" applyNumberFormat="1" applyFont="1" applyFill="1" applyBorder="1" applyAlignment="1">
      <alignment horizontal="center" vertical="center" wrapText="1"/>
    </xf>
    <xf numFmtId="3" fontId="32" fillId="0" borderId="51" xfId="0" applyNumberFormat="1" applyFont="1" applyFill="1" applyBorder="1" applyAlignment="1">
      <alignment horizontal="center" vertical="center" wrapText="1"/>
    </xf>
    <xf numFmtId="3" fontId="32" fillId="0" borderId="52" xfId="0" applyNumberFormat="1" applyFont="1" applyFill="1" applyBorder="1" applyAlignment="1">
      <alignment horizontal="center" vertical="center" wrapText="1"/>
    </xf>
    <xf numFmtId="3" fontId="32" fillId="0" borderId="23" xfId="0" applyNumberFormat="1" applyFont="1" applyFill="1" applyBorder="1" applyAlignment="1">
      <alignment horizontal="center" vertical="center" wrapText="1"/>
    </xf>
    <xf numFmtId="3" fontId="32" fillId="0" borderId="15" xfId="0" applyNumberFormat="1" applyFont="1" applyFill="1" applyBorder="1" applyAlignment="1">
      <alignment horizontal="center" vertical="center" wrapText="1"/>
    </xf>
    <xf numFmtId="3" fontId="32" fillId="0" borderId="16" xfId="0" applyNumberFormat="1" applyFont="1" applyFill="1" applyBorder="1" applyAlignment="1">
      <alignment horizontal="center" vertical="center" wrapText="1"/>
    </xf>
    <xf numFmtId="3" fontId="32" fillId="0" borderId="12"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3" fontId="32" fillId="0" borderId="8" xfId="0" applyNumberFormat="1" applyFont="1" applyFill="1" applyBorder="1" applyAlignment="1">
      <alignment horizontal="center" vertical="center" wrapText="1"/>
    </xf>
    <xf numFmtId="3" fontId="32" fillId="0" borderId="9" xfId="0" applyNumberFormat="1" applyFont="1" applyFill="1" applyBorder="1" applyAlignment="1">
      <alignment horizontal="center" vertical="center" wrapText="1"/>
    </xf>
    <xf numFmtId="3" fontId="33" fillId="0" borderId="8" xfId="0" applyNumberFormat="1" applyFont="1" applyFill="1" applyBorder="1" applyAlignment="1">
      <alignment horizontal="center" vertical="center" wrapText="1"/>
    </xf>
    <xf numFmtId="3" fontId="33" fillId="0" borderId="28" xfId="0" applyNumberFormat="1" applyFont="1" applyFill="1" applyBorder="1" applyAlignment="1">
      <alignment horizontal="center" vertical="center" wrapText="1"/>
    </xf>
    <xf numFmtId="3" fontId="32" fillId="0" borderId="28" xfId="0" applyNumberFormat="1" applyFont="1" applyFill="1" applyBorder="1" applyAlignment="1">
      <alignment horizontal="center" vertical="center" wrapText="1"/>
    </xf>
    <xf numFmtId="3" fontId="32" fillId="0" borderId="29" xfId="0" applyNumberFormat="1" applyFont="1" applyFill="1" applyBorder="1" applyAlignment="1">
      <alignment horizontal="center" vertical="center" wrapText="1"/>
    </xf>
    <xf numFmtId="3" fontId="32" fillId="0" borderId="31" xfId="0" applyNumberFormat="1" applyFont="1" applyFill="1" applyBorder="1" applyAlignment="1">
      <alignment horizontal="center" vertical="center" wrapText="1"/>
    </xf>
    <xf numFmtId="3" fontId="32" fillId="0" borderId="24" xfId="0" applyNumberFormat="1" applyFont="1" applyFill="1" applyBorder="1" applyAlignment="1">
      <alignment horizontal="center" vertical="center" wrapText="1"/>
    </xf>
    <xf numFmtId="3" fontId="32" fillId="0" borderId="32" xfId="0" applyNumberFormat="1" applyFont="1" applyFill="1" applyBorder="1" applyAlignment="1">
      <alignment horizontal="center" vertical="center" wrapText="1"/>
    </xf>
    <xf numFmtId="3" fontId="32" fillId="0" borderId="47" xfId="0" applyNumberFormat="1" applyFont="1" applyFill="1" applyBorder="1" applyAlignment="1">
      <alignment horizontal="center" vertical="center" wrapText="1"/>
    </xf>
    <xf numFmtId="0" fontId="32" fillId="0" borderId="36" xfId="0" applyFont="1" applyFill="1" applyBorder="1" applyAlignment="1">
      <alignment horizontal="center" vertical="center" wrapText="1"/>
    </xf>
    <xf numFmtId="0" fontId="0" fillId="0" borderId="37" xfId="0" applyFill="1" applyBorder="1"/>
    <xf numFmtId="0" fontId="7" fillId="0" borderId="3" xfId="0" applyFont="1" applyFill="1" applyBorder="1" applyAlignment="1">
      <alignment horizontal="center"/>
    </xf>
    <xf numFmtId="0" fontId="7" fillId="0" borderId="53" xfId="0" applyFont="1" applyFill="1" applyBorder="1" applyAlignment="1">
      <alignment horizontal="center"/>
    </xf>
    <xf numFmtId="0" fontId="0" fillId="0" borderId="3" xfId="0" applyFont="1" applyFill="1" applyBorder="1" applyAlignment="1">
      <alignment horizontal="center"/>
    </xf>
    <xf numFmtId="0" fontId="32" fillId="0" borderId="38"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3" fontId="0" fillId="0" borderId="9" xfId="0" applyNumberFormat="1" applyFill="1" applyBorder="1" applyAlignment="1">
      <alignment horizontal="center"/>
    </xf>
    <xf numFmtId="0" fontId="7" fillId="0" borderId="41" xfId="0" applyFont="1" applyBorder="1"/>
    <xf numFmtId="3" fontId="0" fillId="0" borderId="11" xfId="0" applyNumberFormat="1" applyFill="1" applyBorder="1" applyAlignment="1">
      <alignment horizontal="center"/>
    </xf>
    <xf numFmtId="3" fontId="0" fillId="0" borderId="26" xfId="0" applyNumberFormat="1" applyFill="1" applyBorder="1" applyAlignment="1">
      <alignment horizontal="center"/>
    </xf>
    <xf numFmtId="3" fontId="0" fillId="0" borderId="14" xfId="0" applyNumberFormat="1" applyFill="1" applyBorder="1" applyAlignment="1">
      <alignment horizontal="center"/>
    </xf>
    <xf numFmtId="0" fontId="7" fillId="0" borderId="56" xfId="0" applyFont="1" applyFill="1" applyBorder="1" applyAlignment="1">
      <alignment horizontal="center"/>
    </xf>
    <xf numFmtId="0" fontId="0" fillId="0" borderId="57" xfId="0" applyFill="1" applyBorder="1" applyAlignment="1">
      <alignment horizontal="center"/>
    </xf>
    <xf numFmtId="0" fontId="7" fillId="0" borderId="58" xfId="0" applyFont="1" applyFill="1" applyBorder="1" applyAlignment="1">
      <alignment horizontal="center"/>
    </xf>
    <xf numFmtId="0" fontId="7" fillId="0" borderId="59" xfId="0" applyFont="1" applyFill="1" applyBorder="1" applyAlignment="1">
      <alignment horizontal="center"/>
    </xf>
    <xf numFmtId="0" fontId="7" fillId="0" borderId="57" xfId="0" applyFont="1" applyFill="1" applyBorder="1" applyAlignment="1">
      <alignment horizontal="center"/>
    </xf>
    <xf numFmtId="0" fontId="0" fillId="0" borderId="60"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56" xfId="0" applyFont="1" applyBorder="1"/>
    <xf numFmtId="0" fontId="0" fillId="0" borderId="57" xfId="0" applyBorder="1" applyAlignment="1">
      <alignment horizontal="center"/>
    </xf>
    <xf numFmtId="3" fontId="0" fillId="33" borderId="2" xfId="0" applyNumberFormat="1" applyFill="1" applyBorder="1" applyAlignment="1">
      <alignment horizontal="center"/>
    </xf>
    <xf numFmtId="3" fontId="7" fillId="33" borderId="2" xfId="0" applyNumberFormat="1" applyFont="1" applyFill="1" applyBorder="1" applyAlignment="1">
      <alignment horizontal="center"/>
    </xf>
    <xf numFmtId="3" fontId="0" fillId="33" borderId="11" xfId="0" applyNumberFormat="1" applyFill="1" applyBorder="1" applyAlignment="1">
      <alignment horizontal="center"/>
    </xf>
    <xf numFmtId="3" fontId="7" fillId="33" borderId="11" xfId="0" applyNumberFormat="1" applyFont="1" applyFill="1" applyBorder="1" applyAlignment="1">
      <alignment horizontal="center"/>
    </xf>
    <xf numFmtId="3" fontId="0" fillId="33" borderId="13" xfId="0" applyNumberFormat="1" applyFill="1" applyBorder="1" applyAlignment="1">
      <alignment horizontal="center"/>
    </xf>
    <xf numFmtId="3" fontId="0" fillId="33" borderId="14" xfId="0" applyNumberFormat="1" applyFill="1" applyBorder="1" applyAlignment="1">
      <alignment horizontal="center"/>
    </xf>
    <xf numFmtId="2" fontId="33" fillId="33" borderId="2" xfId="379" applyNumberFormat="1" applyFont="1" applyFill="1" applyBorder="1" applyAlignment="1">
      <alignment horizontal="center"/>
    </xf>
    <xf numFmtId="2" fontId="38" fillId="0" borderId="0" xfId="0" applyNumberFormat="1" applyFont="1" applyBorder="1" applyAlignment="1">
      <alignment horizontal="left" vertical="center"/>
    </xf>
    <xf numFmtId="2" fontId="7" fillId="0" borderId="0" xfId="0" applyNumberFormat="1" applyFont="1" applyAlignment="1">
      <alignment horizontal="center"/>
    </xf>
    <xf numFmtId="2" fontId="7" fillId="0" borderId="0" xfId="0" applyNumberFormat="1" applyFont="1"/>
    <xf numFmtId="2" fontId="11" fillId="0" borderId="2" xfId="0" applyNumberFormat="1" applyFont="1" applyBorder="1" applyAlignment="1">
      <alignment horizontal="center"/>
    </xf>
    <xf numFmtId="2" fontId="11" fillId="0" borderId="2" xfId="0" applyNumberFormat="1" applyFont="1" applyBorder="1" applyAlignment="1">
      <alignment horizontal="center" wrapText="1"/>
    </xf>
    <xf numFmtId="2" fontId="7" fillId="0" borderId="2" xfId="0" applyNumberFormat="1" applyFont="1" applyBorder="1"/>
    <xf numFmtId="1" fontId="7" fillId="0" borderId="0" xfId="0" applyNumberFormat="1" applyFont="1"/>
    <xf numFmtId="1" fontId="0" fillId="0" borderId="0" xfId="0" applyNumberFormat="1"/>
    <xf numFmtId="0" fontId="7" fillId="0" borderId="27" xfId="0" applyFont="1" applyBorder="1"/>
    <xf numFmtId="0" fontId="0" fillId="0" borderId="28" xfId="0" applyBorder="1" applyAlignment="1">
      <alignment horizontal="center"/>
    </xf>
    <xf numFmtId="0" fontId="0" fillId="0" borderId="29" xfId="0"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3" xfId="0" applyFont="1" applyBorder="1"/>
    <xf numFmtId="0" fontId="7" fillId="0" borderId="15" xfId="0" applyFont="1" applyBorder="1"/>
    <xf numFmtId="0" fontId="0" fillId="0" borderId="0" xfId="0" applyBorder="1"/>
    <xf numFmtId="0" fontId="10" fillId="0" borderId="0" xfId="0" applyFont="1" applyFill="1" applyBorder="1" applyAlignment="1">
      <alignment horizontal="centerContinuous"/>
    </xf>
    <xf numFmtId="0" fontId="10" fillId="0" borderId="0" xfId="0" applyFont="1" applyFill="1" applyBorder="1" applyAlignment="1">
      <alignment horizontal="center"/>
    </xf>
    <xf numFmtId="0" fontId="7" fillId="0" borderId="0" xfId="0" applyFont="1" applyFill="1" applyBorder="1" applyAlignment="1"/>
    <xf numFmtId="0" fontId="36" fillId="35" borderId="0" xfId="628" applyFont="1" applyFill="1"/>
    <xf numFmtId="0" fontId="36" fillId="35" borderId="0" xfId="628" applyFont="1" applyFill="1" applyAlignment="1">
      <alignment horizontal="center" wrapText="1"/>
    </xf>
    <xf numFmtId="0" fontId="36" fillId="0" borderId="0" xfId="628" applyFont="1"/>
    <xf numFmtId="0" fontId="36" fillId="35" borderId="0" xfId="628" applyFont="1" applyFill="1" applyAlignment="1">
      <alignment horizontal="left" indent="1"/>
    </xf>
    <xf numFmtId="2" fontId="36" fillId="0" borderId="0" xfId="628" applyNumberFormat="1" applyFont="1"/>
    <xf numFmtId="2" fontId="36" fillId="35" borderId="0" xfId="628" applyNumberFormat="1" applyFont="1" applyFill="1"/>
    <xf numFmtId="0" fontId="36" fillId="0" borderId="0" xfId="628" applyFont="1" applyAlignment="1">
      <alignment horizontal="left" indent="1"/>
    </xf>
    <xf numFmtId="0" fontId="0" fillId="34" borderId="0" xfId="0" applyFill="1" applyBorder="1"/>
    <xf numFmtId="0" fontId="0" fillId="34" borderId="0" xfId="0" applyFill="1"/>
    <xf numFmtId="49" fontId="42" fillId="0" borderId="0" xfId="382" applyNumberFormat="1" applyFont="1" applyFill="1" applyBorder="1" applyAlignment="1" applyProtection="1">
      <alignment vertical="top" wrapText="1"/>
    </xf>
    <xf numFmtId="10" fontId="44" fillId="0" borderId="79" xfId="629" applyNumberFormat="1" applyFont="1" applyFill="1" applyBorder="1" applyAlignment="1" applyProtection="1"/>
    <xf numFmtId="10" fontId="44" fillId="0" borderId="84" xfId="629" applyNumberFormat="1" applyFont="1" applyFill="1" applyBorder="1" applyAlignment="1" applyProtection="1"/>
    <xf numFmtId="173" fontId="44" fillId="0" borderId="79" xfId="382" applyNumberFormat="1" applyFont="1" applyFill="1" applyBorder="1" applyAlignment="1" applyProtection="1"/>
    <xf numFmtId="173" fontId="44" fillId="0" borderId="0" xfId="382" applyNumberFormat="1" applyFont="1" applyFill="1" applyBorder="1" applyAlignment="1" applyProtection="1"/>
    <xf numFmtId="173" fontId="44" fillId="0" borderId="82" xfId="382" applyNumberFormat="1" applyFont="1" applyFill="1" applyBorder="1" applyAlignment="1" applyProtection="1"/>
    <xf numFmtId="173" fontId="44" fillId="0" borderId="84" xfId="382" applyNumberFormat="1" applyFont="1" applyFill="1" applyBorder="1" applyAlignment="1" applyProtection="1"/>
    <xf numFmtId="173" fontId="43" fillId="0" borderId="87" xfId="382" applyNumberFormat="1" applyFont="1" applyFill="1" applyBorder="1" applyAlignment="1" applyProtection="1"/>
    <xf numFmtId="173" fontId="43" fillId="0" borderId="88" xfId="382" applyNumberFormat="1" applyFont="1" applyFill="1" applyBorder="1" applyAlignment="1" applyProtection="1"/>
    <xf numFmtId="173" fontId="43" fillId="0" borderId="89" xfId="382" applyNumberFormat="1" applyFont="1" applyFill="1" applyBorder="1" applyAlignment="1" applyProtection="1"/>
    <xf numFmtId="173" fontId="43" fillId="0" borderId="0" xfId="382" applyNumberFormat="1" applyFont="1" applyFill="1" applyBorder="1" applyAlignment="1" applyProtection="1"/>
    <xf numFmtId="0" fontId="40" fillId="0" borderId="78" xfId="549" applyFont="1" applyFill="1" applyBorder="1" applyAlignment="1">
      <alignment vertical="top"/>
    </xf>
    <xf numFmtId="0" fontId="40" fillId="0" borderId="0" xfId="549" applyFont="1" applyFill="1" applyBorder="1" applyAlignment="1">
      <alignment vertical="top"/>
    </xf>
    <xf numFmtId="0" fontId="43" fillId="0" borderId="0" xfId="549" applyFont="1" applyFill="1" applyBorder="1" applyAlignment="1">
      <alignment vertical="top"/>
    </xf>
    <xf numFmtId="0" fontId="43" fillId="0" borderId="79" xfId="549" applyFont="1" applyFill="1" applyBorder="1" applyAlignment="1">
      <alignment horizontal="center" vertical="top" wrapText="1"/>
    </xf>
    <xf numFmtId="0" fontId="40" fillId="0" borderId="81" xfId="549" applyFont="1" applyFill="1" applyBorder="1" applyAlignment="1">
      <alignment vertical="top"/>
    </xf>
    <xf numFmtId="0" fontId="40" fillId="0" borderId="82" xfId="549" applyFont="1" applyFill="1" applyBorder="1" applyAlignment="1">
      <alignment vertical="top"/>
    </xf>
    <xf numFmtId="0" fontId="40" fillId="0" borderId="87" xfId="549" applyFont="1" applyFill="1" applyBorder="1"/>
    <xf numFmtId="10" fontId="42" fillId="0" borderId="89" xfId="629" applyNumberFormat="1" applyFont="1" applyFill="1" applyBorder="1" applyAlignment="1" applyProtection="1"/>
    <xf numFmtId="0" fontId="40" fillId="0" borderId="0" xfId="549" applyFont="1" applyFill="1" applyBorder="1"/>
    <xf numFmtId="10" fontId="42" fillId="0" borderId="0" xfId="629" applyNumberFormat="1" applyFont="1" applyFill="1" applyBorder="1" applyAlignment="1" applyProtection="1"/>
    <xf numFmtId="0" fontId="43" fillId="0" borderId="0" xfId="549" applyFont="1" applyFill="1" applyBorder="1" applyAlignment="1">
      <alignment vertical="top" wrapText="1"/>
    </xf>
    <xf numFmtId="0" fontId="43" fillId="0" borderId="0" xfId="549" applyFont="1" applyFill="1" applyBorder="1" applyAlignment="1">
      <alignment horizontal="center" vertical="center" wrapText="1"/>
    </xf>
    <xf numFmtId="10" fontId="42" fillId="0" borderId="79" xfId="629" applyNumberFormat="1" applyFont="1" applyFill="1" applyBorder="1" applyAlignment="1" applyProtection="1"/>
    <xf numFmtId="10" fontId="42" fillId="0" borderId="79" xfId="629" applyNumberFormat="1" applyFont="1" applyFill="1" applyBorder="1" applyAlignment="1" applyProtection="1">
      <alignment horizontal="center" vertical="center" wrapText="1"/>
    </xf>
    <xf numFmtId="173" fontId="42" fillId="0" borderId="0" xfId="382" applyNumberFormat="1" applyFont="1" applyFill="1" applyBorder="1" applyAlignment="1" applyProtection="1">
      <alignment horizontal="center" vertical="center"/>
    </xf>
    <xf numFmtId="173" fontId="42" fillId="0" borderId="79" xfId="382" applyNumberFormat="1" applyFont="1" applyFill="1" applyBorder="1" applyAlignment="1" applyProtection="1">
      <alignment horizontal="center" vertical="center"/>
    </xf>
    <xf numFmtId="173" fontId="49" fillId="0" borderId="0" xfId="382" applyNumberFormat="1" applyFont="1" applyFill="1" applyBorder="1" applyAlignment="1" applyProtection="1">
      <alignment horizontal="center" vertical="center"/>
    </xf>
    <xf numFmtId="0" fontId="14" fillId="0" borderId="0" xfId="549" applyFill="1"/>
    <xf numFmtId="0" fontId="40" fillId="0" borderId="0" xfId="549" applyFont="1" applyFill="1"/>
    <xf numFmtId="49" fontId="40" fillId="0" borderId="0" xfId="549" applyNumberFormat="1" applyFont="1" applyFill="1" applyAlignment="1">
      <alignment vertical="top" wrapText="1"/>
    </xf>
    <xf numFmtId="0" fontId="43" fillId="0" borderId="78" xfId="549" applyFont="1" applyFill="1" applyBorder="1" applyAlignment="1">
      <alignment horizontal="right"/>
    </xf>
    <xf numFmtId="0" fontId="43" fillId="0" borderId="0" xfId="549" applyFont="1" applyFill="1" applyBorder="1" applyAlignment="1">
      <alignment horizontal="right"/>
    </xf>
    <xf numFmtId="0" fontId="43" fillId="0" borderId="79" xfId="549" applyFont="1" applyFill="1" applyBorder="1" applyAlignment="1">
      <alignment horizontal="right"/>
    </xf>
    <xf numFmtId="0" fontId="40" fillId="0" borderId="78" xfId="549" applyFont="1" applyFill="1" applyBorder="1"/>
    <xf numFmtId="9" fontId="45" fillId="0" borderId="0" xfId="629" applyFont="1" applyFill="1" applyBorder="1" applyAlignment="1" applyProtection="1"/>
    <xf numFmtId="9" fontId="14" fillId="0" borderId="0" xfId="549" applyNumberFormat="1" applyFill="1"/>
    <xf numFmtId="0" fontId="40" fillId="0" borderId="81" xfId="549" applyFont="1" applyFill="1" applyBorder="1"/>
    <xf numFmtId="0" fontId="40" fillId="0" borderId="82" xfId="549" applyFont="1" applyFill="1" applyBorder="1"/>
    <xf numFmtId="0" fontId="43" fillId="0" borderId="78" xfId="549" applyFont="1" applyFill="1" applyBorder="1"/>
    <xf numFmtId="10" fontId="43" fillId="0" borderId="0" xfId="549" applyNumberFormat="1" applyFont="1" applyFill="1" applyBorder="1"/>
    <xf numFmtId="10" fontId="43" fillId="0" borderId="80" xfId="549" applyNumberFormat="1" applyFont="1" applyFill="1" applyBorder="1"/>
    <xf numFmtId="10" fontId="43" fillId="0" borderId="79" xfId="549" applyNumberFormat="1" applyFont="1" applyFill="1" applyBorder="1"/>
    <xf numFmtId="0" fontId="43" fillId="0" borderId="86" xfId="549" applyFont="1" applyFill="1" applyBorder="1"/>
    <xf numFmtId="0" fontId="43" fillId="0" borderId="0" xfId="549" applyFont="1" applyFill="1" applyBorder="1"/>
    <xf numFmtId="0" fontId="46" fillId="0" borderId="0" xfId="549" applyFont="1" applyFill="1"/>
    <xf numFmtId="174" fontId="46" fillId="0" borderId="0" xfId="549" applyNumberFormat="1" applyFont="1" applyFill="1"/>
    <xf numFmtId="0" fontId="40" fillId="0" borderId="0" xfId="549" applyFont="1" applyFill="1" applyBorder="1" applyAlignment="1">
      <alignment vertical="top" wrapText="1"/>
    </xf>
    <xf numFmtId="0" fontId="40" fillId="0" borderId="0" xfId="549" applyFont="1" applyFill="1" applyAlignment="1">
      <alignment vertical="top" wrapText="1"/>
    </xf>
    <xf numFmtId="0" fontId="43" fillId="0" borderId="78" xfId="549" applyFont="1" applyFill="1" applyBorder="1" applyAlignment="1">
      <alignment horizontal="center"/>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3" fillId="0" borderId="79" xfId="549" applyFont="1" applyFill="1" applyBorder="1" applyAlignment="1">
      <alignment horizontal="center" wrapText="1"/>
    </xf>
    <xf numFmtId="0" fontId="43" fillId="0" borderId="0" xfId="549" applyFont="1" applyFill="1" applyBorder="1" applyAlignment="1">
      <alignment horizontal="center" vertical="center"/>
    </xf>
    <xf numFmtId="0" fontId="43" fillId="0" borderId="79" xfId="549" applyFont="1" applyFill="1" applyBorder="1" applyAlignment="1">
      <alignment horizontal="center" vertical="center" wrapText="1"/>
    </xf>
    <xf numFmtId="0" fontId="43" fillId="0" borderId="78" xfId="549" applyFont="1" applyFill="1" applyBorder="1" applyAlignment="1">
      <alignment vertical="top" wrapText="1"/>
    </xf>
    <xf numFmtId="0" fontId="43" fillId="0" borderId="78" xfId="549" applyFont="1" applyFill="1" applyBorder="1" applyAlignment="1">
      <alignment horizontal="left" vertical="center" wrapText="1"/>
    </xf>
    <xf numFmtId="0" fontId="47" fillId="0" borderId="86" xfId="549" applyFont="1" applyFill="1" applyBorder="1" applyAlignment="1">
      <alignment horizontal="left" vertical="top" wrapText="1"/>
    </xf>
    <xf numFmtId="0" fontId="48" fillId="0" borderId="87" xfId="549" applyFont="1" applyFill="1" applyBorder="1" applyAlignment="1">
      <alignment vertical="top" wrapText="1"/>
    </xf>
    <xf numFmtId="0" fontId="48" fillId="0" borderId="0" xfId="549" applyFont="1" applyFill="1" applyBorder="1" applyAlignment="1">
      <alignment vertical="top" wrapText="1"/>
    </xf>
    <xf numFmtId="0" fontId="47" fillId="0" borderId="0" xfId="549" applyFont="1" applyFill="1" applyBorder="1" applyAlignment="1">
      <alignment vertical="top" wrapText="1"/>
    </xf>
    <xf numFmtId="0" fontId="44" fillId="0" borderId="0" xfId="549" applyFont="1" applyFill="1"/>
    <xf numFmtId="0" fontId="40" fillId="0" borderId="90" xfId="549" applyFont="1" applyFill="1" applyBorder="1"/>
    <xf numFmtId="0" fontId="43" fillId="0" borderId="91" xfId="549" applyFont="1" applyFill="1" applyBorder="1" applyAlignment="1">
      <alignment horizontal="center"/>
    </xf>
    <xf numFmtId="0" fontId="43" fillId="0" borderId="92" xfId="549" applyFont="1" applyFill="1" applyBorder="1" applyAlignment="1">
      <alignment horizontal="center" vertical="center"/>
    </xf>
    <xf numFmtId="0" fontId="40" fillId="0" borderId="78" xfId="549" applyFont="1" applyFill="1" applyBorder="1" applyAlignment="1">
      <alignment wrapText="1"/>
    </xf>
    <xf numFmtId="173" fontId="40" fillId="0" borderId="0" xfId="549" applyNumberFormat="1" applyFont="1" applyFill="1" applyBorder="1" applyAlignment="1">
      <alignment horizontal="center" vertical="center"/>
    </xf>
    <xf numFmtId="173" fontId="40" fillId="0" borderId="79" xfId="549" applyNumberFormat="1" applyFont="1" applyFill="1" applyBorder="1" applyAlignment="1">
      <alignment horizontal="center" vertical="center"/>
    </xf>
    <xf numFmtId="0" fontId="40" fillId="0" borderId="0" xfId="549" applyFont="1" applyFill="1" applyBorder="1" applyAlignment="1">
      <alignment horizontal="center" vertical="center"/>
    </xf>
    <xf numFmtId="0" fontId="40" fillId="0" borderId="79" xfId="549" applyFont="1" applyFill="1" applyBorder="1" applyAlignment="1">
      <alignment horizontal="center" vertical="center"/>
    </xf>
    <xf numFmtId="10" fontId="42" fillId="0" borderId="0" xfId="629" applyNumberFormat="1" applyFont="1" applyFill="1" applyBorder="1" applyAlignment="1" applyProtection="1">
      <alignment horizontal="center" vertical="center"/>
    </xf>
    <xf numFmtId="0" fontId="43" fillId="0" borderId="0" xfId="549" applyFont="1" applyFill="1"/>
    <xf numFmtId="3" fontId="43" fillId="33" borderId="0" xfId="549" applyNumberFormat="1" applyFont="1" applyFill="1" applyBorder="1" applyAlignment="1">
      <alignment vertical="top"/>
    </xf>
    <xf numFmtId="3" fontId="43" fillId="33" borderId="77" xfId="549" applyNumberFormat="1" applyFont="1" applyFill="1" applyBorder="1" applyAlignment="1">
      <alignment vertical="top"/>
    </xf>
    <xf numFmtId="3" fontId="43" fillId="33" borderId="82" xfId="549" applyNumberFormat="1" applyFont="1" applyFill="1" applyBorder="1" applyAlignment="1">
      <alignment vertical="top"/>
    </xf>
    <xf numFmtId="10" fontId="44" fillId="33" borderId="0" xfId="629" applyNumberFormat="1" applyFont="1" applyFill="1" applyBorder="1" applyAlignment="1" applyProtection="1"/>
    <xf numFmtId="10" fontId="44" fillId="33" borderId="80" xfId="629" applyNumberFormat="1" applyFont="1" applyFill="1" applyBorder="1" applyAlignment="1" applyProtection="1"/>
    <xf numFmtId="10" fontId="44" fillId="33" borderId="83" xfId="629" applyNumberFormat="1" applyFont="1" applyFill="1" applyBorder="1" applyAlignment="1" applyProtection="1"/>
    <xf numFmtId="173" fontId="44" fillId="33" borderId="0" xfId="382" applyNumberFormat="1" applyFont="1" applyFill="1" applyBorder="1" applyAlignment="1" applyProtection="1"/>
    <xf numFmtId="173" fontId="44" fillId="33" borderId="80" xfId="382" applyNumberFormat="1" applyFont="1" applyFill="1" applyBorder="1" applyAlignment="1" applyProtection="1"/>
    <xf numFmtId="173" fontId="44" fillId="33" borderId="83" xfId="382" applyNumberFormat="1" applyFont="1" applyFill="1" applyBorder="1" applyAlignment="1" applyProtection="1"/>
    <xf numFmtId="0" fontId="43" fillId="33" borderId="0" xfId="549" applyFont="1" applyFill="1" applyBorder="1" applyAlignment="1">
      <alignment horizontal="center" vertical="center" wrapText="1"/>
    </xf>
    <xf numFmtId="173" fontId="44" fillId="34" borderId="85" xfId="382" applyNumberFormat="1" applyFont="1" applyFill="1" applyBorder="1" applyAlignment="1" applyProtection="1"/>
    <xf numFmtId="173" fontId="44" fillId="34" borderId="80" xfId="382" applyNumberFormat="1" applyFont="1" applyFill="1" applyBorder="1" applyAlignment="1" applyProtection="1"/>
    <xf numFmtId="0" fontId="7" fillId="0" borderId="37" xfId="0" applyFont="1" applyBorder="1" applyAlignment="1">
      <alignment horizontal="center"/>
    </xf>
    <xf numFmtId="0" fontId="7" fillId="0" borderId="61" xfId="0" applyFont="1" applyBorder="1" applyAlignment="1">
      <alignment horizontal="center"/>
    </xf>
    <xf numFmtId="0" fontId="11" fillId="0" borderId="23" xfId="0" applyFont="1" applyFill="1" applyBorder="1" applyAlignment="1">
      <alignment horizontal="center"/>
    </xf>
    <xf numFmtId="0" fontId="11" fillId="0" borderId="16" xfId="0" applyFont="1" applyFill="1" applyBorder="1" applyAlignment="1">
      <alignment horizontal="center"/>
    </xf>
    <xf numFmtId="0" fontId="11" fillId="0" borderId="15" xfId="0" applyFont="1" applyFill="1" applyBorder="1" applyAlignment="1">
      <alignment horizontal="center"/>
    </xf>
    <xf numFmtId="0" fontId="11" fillId="0" borderId="23" xfId="0" applyFont="1" applyFill="1" applyBorder="1" applyAlignment="1">
      <alignment horizontal="center" wrapText="1"/>
    </xf>
    <xf numFmtId="0" fontId="11" fillId="0" borderId="15" xfId="0" applyFont="1" applyFill="1" applyBorder="1" applyAlignment="1">
      <alignment horizontal="center" wrapText="1"/>
    </xf>
    <xf numFmtId="0" fontId="11" fillId="0" borderId="47" xfId="0" applyFont="1" applyFill="1" applyBorder="1" applyAlignment="1">
      <alignment horizontal="center" wrapText="1"/>
    </xf>
    <xf numFmtId="0" fontId="11" fillId="0" borderId="21" xfId="0" applyFont="1" applyFill="1" applyBorder="1" applyAlignment="1">
      <alignment horizontal="center"/>
    </xf>
    <xf numFmtId="0" fontId="11" fillId="0" borderId="16" xfId="0" applyFont="1" applyFill="1" applyBorder="1" applyAlignment="1">
      <alignment horizontal="center" wrapText="1"/>
    </xf>
    <xf numFmtId="2" fontId="7" fillId="0" borderId="39" xfId="0" applyNumberFormat="1" applyFont="1" applyBorder="1" applyAlignment="1">
      <alignment horizontal="center"/>
    </xf>
    <xf numFmtId="2" fontId="7" fillId="0" borderId="20" xfId="0" applyNumberFormat="1" applyFont="1" applyBorder="1" applyAlignment="1">
      <alignment horizontal="center"/>
    </xf>
    <xf numFmtId="0" fontId="32" fillId="0" borderId="1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4" xfId="0" applyFont="1" applyBorder="1" applyAlignment="1">
      <alignment horizontal="center" vertical="center" wrapText="1"/>
    </xf>
    <xf numFmtId="3" fontId="33" fillId="0" borderId="40" xfId="0" applyNumberFormat="1" applyFont="1" applyBorder="1" applyAlignment="1">
      <alignment horizontal="center" vertical="center" wrapText="1"/>
    </xf>
    <xf numFmtId="3" fontId="33" fillId="0" borderId="22" xfId="0" applyNumberFormat="1"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3" fontId="33" fillId="0" borderId="39" xfId="0" applyNumberFormat="1" applyFont="1" applyBorder="1" applyAlignment="1">
      <alignment horizontal="center" vertical="center" wrapText="1"/>
    </xf>
    <xf numFmtId="3" fontId="33" fillId="0" borderId="20" xfId="0" applyNumberFormat="1" applyFont="1" applyBorder="1" applyAlignment="1">
      <alignment horizontal="center" vertical="center" wrapText="1"/>
    </xf>
    <xf numFmtId="0" fontId="32" fillId="0" borderId="2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8" xfId="0" applyFont="1" applyBorder="1" applyAlignment="1">
      <alignment horizontal="center" vertical="center" wrapText="1"/>
    </xf>
    <xf numFmtId="3" fontId="33" fillId="0" borderId="2"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0" fontId="32" fillId="0" borderId="2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7" fillId="0" borderId="34"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7" fillId="0" borderId="38"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67" xfId="0" applyFont="1" applyBorder="1" applyAlignment="1">
      <alignment horizontal="center"/>
    </xf>
    <xf numFmtId="0" fontId="7" fillId="0" borderId="65" xfId="0" applyFont="1" applyBorder="1" applyAlignment="1">
      <alignment horizontal="center"/>
    </xf>
    <xf numFmtId="0" fontId="7" fillId="0" borderId="33" xfId="0" applyFont="1" applyBorder="1" applyAlignment="1">
      <alignment horizontal="center"/>
    </xf>
    <xf numFmtId="0" fontId="7" fillId="0" borderId="66" xfId="0" applyFont="1" applyBorder="1" applyAlignment="1">
      <alignment horizontal="center"/>
    </xf>
    <xf numFmtId="0" fontId="7" fillId="0" borderId="17" xfId="0" applyFont="1" applyFill="1" applyBorder="1" applyAlignment="1">
      <alignment horizontal="center"/>
    </xf>
    <xf numFmtId="0" fontId="7" fillId="0" borderId="1" xfId="0" applyFont="1" applyFill="1" applyBorder="1" applyAlignment="1">
      <alignment horizontal="center"/>
    </xf>
    <xf numFmtId="0" fontId="7" fillId="0" borderId="64" xfId="0" applyFont="1" applyFill="1" applyBorder="1" applyAlignment="1">
      <alignment horizontal="center"/>
    </xf>
    <xf numFmtId="0" fontId="7" fillId="0" borderId="23" xfId="0" applyFont="1" applyFill="1" applyBorder="1" applyAlignment="1">
      <alignment horizontal="center"/>
    </xf>
    <xf numFmtId="0" fontId="7" fillId="0" borderId="15" xfId="0" applyFont="1" applyFill="1" applyBorder="1" applyAlignment="1">
      <alignment horizontal="center"/>
    </xf>
    <xf numFmtId="0" fontId="7" fillId="0" borderId="16" xfId="0" applyFont="1" applyFill="1" applyBorder="1" applyAlignment="1">
      <alignment horizontal="center"/>
    </xf>
    <xf numFmtId="0" fontId="40" fillId="0" borderId="0" xfId="549" applyFont="1" applyFill="1" applyBorder="1" applyAlignment="1">
      <alignment vertical="top" wrapText="1"/>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8" fillId="0" borderId="86" xfId="549" applyFont="1" applyFill="1" applyBorder="1" applyAlignment="1">
      <alignment horizontal="left" vertical="top" wrapText="1"/>
    </xf>
    <xf numFmtId="0" fontId="48" fillId="0" borderId="87" xfId="549" applyFont="1" applyFill="1" applyBorder="1" applyAlignment="1">
      <alignment horizontal="left" vertical="top" wrapText="1"/>
    </xf>
    <xf numFmtId="0" fontId="48" fillId="0" borderId="89" xfId="549" applyFont="1" applyFill="1" applyBorder="1" applyAlignment="1">
      <alignment horizontal="left" vertical="top" wrapText="1"/>
    </xf>
    <xf numFmtId="0" fontId="43" fillId="0" borderId="90" xfId="549" applyFont="1" applyFill="1" applyBorder="1" applyAlignment="1">
      <alignment horizontal="center"/>
    </xf>
    <xf numFmtId="0" fontId="43" fillId="0" borderId="91" xfId="549" applyFont="1" applyFill="1" applyBorder="1" applyAlignment="1">
      <alignment horizontal="center"/>
    </xf>
    <xf numFmtId="0" fontId="43" fillId="0" borderId="92" xfId="549" applyFont="1" applyFill="1" applyBorder="1" applyAlignment="1">
      <alignment horizontal="center"/>
    </xf>
    <xf numFmtId="0" fontId="40" fillId="0" borderId="0" xfId="549" applyFont="1" applyFill="1" applyBorder="1" applyAlignment="1">
      <alignment horizontal="left" vertical="top" wrapText="1"/>
    </xf>
    <xf numFmtId="170" fontId="44" fillId="0" borderId="78" xfId="382" applyNumberFormat="1" applyFont="1" applyFill="1" applyBorder="1" applyAlignment="1" applyProtection="1">
      <alignment horizontal="center"/>
    </xf>
    <xf numFmtId="170" fontId="44" fillId="0" borderId="0" xfId="382" applyNumberFormat="1" applyFont="1" applyFill="1" applyBorder="1" applyAlignment="1" applyProtection="1">
      <alignment horizontal="center"/>
    </xf>
    <xf numFmtId="170" fontId="44" fillId="0" borderId="79" xfId="382" applyNumberFormat="1" applyFont="1" applyFill="1" applyBorder="1" applyAlignment="1" applyProtection="1">
      <alignment horizontal="center"/>
    </xf>
    <xf numFmtId="0" fontId="43" fillId="0" borderId="93" xfId="549" applyFont="1" applyFill="1" applyBorder="1" applyAlignment="1">
      <alignment horizontal="center" vertical="center"/>
    </xf>
    <xf numFmtId="0" fontId="43" fillId="0" borderId="94" xfId="549" applyFont="1" applyFill="1" applyBorder="1" applyAlignment="1">
      <alignment horizontal="center" vertical="center"/>
    </xf>
    <xf numFmtId="0" fontId="43" fillId="0" borderId="95" xfId="549" applyFont="1" applyFill="1" applyBorder="1" applyAlignment="1">
      <alignment horizontal="center" vertical="center"/>
    </xf>
    <xf numFmtId="0" fontId="43" fillId="0" borderId="78" xfId="549" applyFont="1" applyFill="1" applyBorder="1" applyAlignment="1">
      <alignment horizontal="left" vertical="center"/>
    </xf>
    <xf numFmtId="0" fontId="43" fillId="0" borderId="0" xfId="549" applyFont="1" applyFill="1" applyBorder="1" applyAlignment="1">
      <alignment horizontal="left" vertical="center"/>
    </xf>
    <xf numFmtId="0" fontId="40" fillId="0" borderId="78" xfId="549" applyFont="1" applyFill="1" applyBorder="1" applyAlignment="1">
      <alignment vertical="top" wrapText="1"/>
    </xf>
    <xf numFmtId="0" fontId="43" fillId="0" borderId="96" xfId="549" applyFont="1" applyFill="1" applyBorder="1" applyAlignment="1">
      <alignment vertical="top" wrapText="1"/>
    </xf>
    <xf numFmtId="0" fontId="43" fillId="0" borderId="97" xfId="549" applyFont="1" applyFill="1" applyBorder="1" applyAlignment="1">
      <alignment vertical="top" wrapText="1"/>
    </xf>
    <xf numFmtId="0" fontId="43" fillId="0" borderId="90" xfId="549" applyFont="1" applyFill="1" applyBorder="1" applyAlignment="1">
      <alignment horizontal="center" vertical="top" wrapText="1"/>
    </xf>
    <xf numFmtId="0" fontId="43" fillId="0" borderId="91" xfId="549" applyFont="1" applyFill="1" applyBorder="1" applyAlignment="1">
      <alignment horizontal="center" vertical="top" wrapText="1"/>
    </xf>
    <xf numFmtId="0" fontId="43" fillId="0" borderId="92" xfId="549" applyFont="1" applyFill="1" applyBorder="1" applyAlignment="1">
      <alignment horizontal="center" vertical="top" wrapText="1"/>
    </xf>
    <xf numFmtId="0" fontId="7" fillId="0" borderId="23"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38" fillId="0" borderId="42" xfId="0" applyFont="1" applyFill="1" applyBorder="1" applyAlignment="1">
      <alignment horizontal="center" vertical="center"/>
    </xf>
    <xf numFmtId="0" fontId="38" fillId="0" borderId="40"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22" xfId="0" applyFont="1" applyFill="1" applyBorder="1" applyAlignment="1">
      <alignment horizontal="center" vertical="center"/>
    </xf>
    <xf numFmtId="0" fontId="7" fillId="0" borderId="47" xfId="0" applyFont="1" applyBorder="1" applyAlignment="1">
      <alignment horizontal="center"/>
    </xf>
    <xf numFmtId="0" fontId="7" fillId="0" borderId="1" xfId="0" applyFont="1" applyBorder="1" applyAlignment="1">
      <alignment horizontal="center"/>
    </xf>
    <xf numFmtId="0" fontId="7" fillId="0" borderId="21" xfId="0" applyFont="1" applyBorder="1" applyAlignment="1">
      <alignment horizontal="center"/>
    </xf>
    <xf numFmtId="0" fontId="7" fillId="0" borderId="64" xfId="0" applyFont="1" applyBorder="1" applyAlignment="1">
      <alignment horizontal="center"/>
    </xf>
  </cellXfs>
  <cellStyles count="633">
    <cellStyle name="20% - Accent1 10" xfId="1"/>
    <cellStyle name="20% - Accent1 11" xfId="2"/>
    <cellStyle name="20% - Accent1 12" xfId="3"/>
    <cellStyle name="20% - Accent1 13" xfId="4"/>
    <cellStyle name="20% - Accent1 14" xfId="5"/>
    <cellStyle name="20% - Accent1 15" xfId="6"/>
    <cellStyle name="20% - Accent1 2" xfId="7"/>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2" xfId="21"/>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2" xfId="35"/>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2" xfId="49"/>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2" xfId="63"/>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2" xfId="77"/>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2" xfId="91"/>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2" xfId="105"/>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2" xfId="119"/>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2" xfId="133"/>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2" xfId="147"/>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2" xfId="161"/>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2" xfId="175"/>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2" xfId="189"/>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2" xfId="203"/>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2" xfId="217"/>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2" xfId="231"/>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2" xfId="245"/>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2" xfId="259"/>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2" xfId="273"/>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2" xfId="287"/>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2" xfId="301"/>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2" xfId="315"/>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2" xfId="329"/>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2" xfId="343"/>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2" xfId="357"/>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2" xfId="371"/>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380"/>
    <cellStyle name="Comma 2 2" xfId="381"/>
    <cellStyle name="Comma 3" xfId="382"/>
    <cellStyle name="Comma 3 2" xfId="383"/>
    <cellStyle name="Comma 4" xfId="384"/>
    <cellStyle name="Comma 5" xfId="385"/>
    <cellStyle name="Comma 6" xfId="386"/>
    <cellStyle name="Comma 7" xfId="387"/>
    <cellStyle name="Comma 8" xfId="388"/>
    <cellStyle name="Comma 9" xfId="631"/>
    <cellStyle name="Currency" xfId="389" builtinId="4"/>
    <cellStyle name="Currency 2" xfId="390"/>
    <cellStyle name="Currency 2 2" xfId="391"/>
    <cellStyle name="Currency 2 3" xfId="392"/>
    <cellStyle name="Currency 3" xfId="393"/>
    <cellStyle name="Currency 3 2" xfId="394"/>
    <cellStyle name="Currency 3 3" xfId="395"/>
    <cellStyle name="Explanatory Text 10" xfId="396"/>
    <cellStyle name="Explanatory Text 11" xfId="397"/>
    <cellStyle name="Explanatory Text 12" xfId="398"/>
    <cellStyle name="Explanatory Text 13" xfId="399"/>
    <cellStyle name="Explanatory Text 14" xfId="400"/>
    <cellStyle name="Explanatory Text 15" xfId="401"/>
    <cellStyle name="Explanatory Text 2" xfId="402"/>
    <cellStyle name="Explanatory Text 3" xfId="403"/>
    <cellStyle name="Explanatory Text 4" xfId="404"/>
    <cellStyle name="Explanatory Text 5" xfId="405"/>
    <cellStyle name="Explanatory Text 6" xfId="406"/>
    <cellStyle name="Explanatory Text 7" xfId="407"/>
    <cellStyle name="Explanatory Text 8" xfId="408"/>
    <cellStyle name="Explanatory Text 9" xfId="409"/>
    <cellStyle name="Good 10" xfId="410"/>
    <cellStyle name="Good 11" xfId="411"/>
    <cellStyle name="Good 12" xfId="412"/>
    <cellStyle name="Good 13" xfId="413"/>
    <cellStyle name="Good 14" xfId="414"/>
    <cellStyle name="Good 15" xfId="415"/>
    <cellStyle name="Good 2" xfId="416"/>
    <cellStyle name="Good 3" xfId="417"/>
    <cellStyle name="Good 4" xfId="418"/>
    <cellStyle name="Good 5" xfId="419"/>
    <cellStyle name="Good 6" xfId="420"/>
    <cellStyle name="Good 7" xfId="421"/>
    <cellStyle name="Good 8" xfId="422"/>
    <cellStyle name="Good 9" xfId="423"/>
    <cellStyle name="Heading 1 10" xfId="424"/>
    <cellStyle name="Heading 1 11" xfId="425"/>
    <cellStyle name="Heading 1 12" xfId="426"/>
    <cellStyle name="Heading 1 13" xfId="427"/>
    <cellStyle name="Heading 1 14" xfId="428"/>
    <cellStyle name="Heading 1 15" xfId="429"/>
    <cellStyle name="Heading 1 2" xfId="430"/>
    <cellStyle name="Heading 1 3" xfId="431"/>
    <cellStyle name="Heading 1 4" xfId="432"/>
    <cellStyle name="Heading 1 5" xfId="433"/>
    <cellStyle name="Heading 1 6" xfId="434"/>
    <cellStyle name="Heading 1 7" xfId="435"/>
    <cellStyle name="Heading 1 8" xfId="436"/>
    <cellStyle name="Heading 1 9" xfId="437"/>
    <cellStyle name="Heading 2 10" xfId="438"/>
    <cellStyle name="Heading 2 11" xfId="439"/>
    <cellStyle name="Heading 2 12" xfId="440"/>
    <cellStyle name="Heading 2 13" xfId="441"/>
    <cellStyle name="Heading 2 14" xfId="442"/>
    <cellStyle name="Heading 2 15" xfId="443"/>
    <cellStyle name="Heading 2 2" xfId="444"/>
    <cellStyle name="Heading 2 3" xfId="445"/>
    <cellStyle name="Heading 2 4" xfId="446"/>
    <cellStyle name="Heading 2 5" xfId="447"/>
    <cellStyle name="Heading 2 6" xfId="448"/>
    <cellStyle name="Heading 2 7" xfId="449"/>
    <cellStyle name="Heading 2 8" xfId="450"/>
    <cellStyle name="Heading 2 9" xfId="451"/>
    <cellStyle name="Heading 3 10" xfId="452"/>
    <cellStyle name="Heading 3 11" xfId="453"/>
    <cellStyle name="Heading 3 12" xfId="454"/>
    <cellStyle name="Heading 3 13" xfId="455"/>
    <cellStyle name="Heading 3 14" xfId="456"/>
    <cellStyle name="Heading 3 15" xfId="457"/>
    <cellStyle name="Heading 3 2" xfId="458"/>
    <cellStyle name="Heading 3 3" xfId="459"/>
    <cellStyle name="Heading 3 4" xfId="460"/>
    <cellStyle name="Heading 3 5" xfId="461"/>
    <cellStyle name="Heading 3 6" xfId="462"/>
    <cellStyle name="Heading 3 7" xfId="463"/>
    <cellStyle name="Heading 3 8" xfId="464"/>
    <cellStyle name="Heading 3 9" xfId="465"/>
    <cellStyle name="Heading 4 10" xfId="466"/>
    <cellStyle name="Heading 4 11" xfId="467"/>
    <cellStyle name="Heading 4 12" xfId="468"/>
    <cellStyle name="Heading 4 13" xfId="469"/>
    <cellStyle name="Heading 4 14" xfId="470"/>
    <cellStyle name="Heading 4 15" xfId="471"/>
    <cellStyle name="Heading 4 2" xfId="472"/>
    <cellStyle name="Heading 4 3" xfId="473"/>
    <cellStyle name="Heading 4 4" xfId="474"/>
    <cellStyle name="Heading 4 5" xfId="475"/>
    <cellStyle name="Heading 4 6" xfId="476"/>
    <cellStyle name="Heading 4 7" xfId="477"/>
    <cellStyle name="Heading 4 8" xfId="478"/>
    <cellStyle name="Heading 4 9" xfId="479"/>
    <cellStyle name="Input 10" xfId="480"/>
    <cellStyle name="Input 11" xfId="481"/>
    <cellStyle name="Input 12" xfId="482"/>
    <cellStyle name="Input 13" xfId="483"/>
    <cellStyle name="Input 14" xfId="484"/>
    <cellStyle name="Input 15" xfId="485"/>
    <cellStyle name="Input 2" xfId="486"/>
    <cellStyle name="Input 3" xfId="487"/>
    <cellStyle name="Input 4" xfId="488"/>
    <cellStyle name="Input 5" xfId="489"/>
    <cellStyle name="Input 6" xfId="490"/>
    <cellStyle name="Input 7" xfId="491"/>
    <cellStyle name="Input 8" xfId="492"/>
    <cellStyle name="Input 9" xfId="493"/>
    <cellStyle name="Linked Cell 10" xfId="494"/>
    <cellStyle name="Linked Cell 11" xfId="495"/>
    <cellStyle name="Linked Cell 12" xfId="496"/>
    <cellStyle name="Linked Cell 13" xfId="497"/>
    <cellStyle name="Linked Cell 14" xfId="498"/>
    <cellStyle name="Linked Cell 15" xfId="499"/>
    <cellStyle name="Linked Cell 2" xfId="500"/>
    <cellStyle name="Linked Cell 3" xfId="501"/>
    <cellStyle name="Linked Cell 4" xfId="502"/>
    <cellStyle name="Linked Cell 5" xfId="503"/>
    <cellStyle name="Linked Cell 6" xfId="504"/>
    <cellStyle name="Linked Cell 7" xfId="505"/>
    <cellStyle name="Linked Cell 8" xfId="506"/>
    <cellStyle name="Linked Cell 9" xfId="507"/>
    <cellStyle name="Neutral 10" xfId="508"/>
    <cellStyle name="Neutral 11" xfId="509"/>
    <cellStyle name="Neutral 12" xfId="510"/>
    <cellStyle name="Neutral 13" xfId="511"/>
    <cellStyle name="Neutral 14" xfId="512"/>
    <cellStyle name="Neutral 15" xfId="513"/>
    <cellStyle name="Neutral 2" xfId="514"/>
    <cellStyle name="Neutral 3" xfId="515"/>
    <cellStyle name="Neutral 4" xfId="516"/>
    <cellStyle name="Neutral 5" xfId="517"/>
    <cellStyle name="Neutral 6" xfId="518"/>
    <cellStyle name="Neutral 7" xfId="519"/>
    <cellStyle name="Neutral 8" xfId="520"/>
    <cellStyle name="Neutral 9" xfId="521"/>
    <cellStyle name="Normal" xfId="0" builtinId="0"/>
    <cellStyle name="Normal 10" xfId="522"/>
    <cellStyle name="Normal 11" xfId="523"/>
    <cellStyle name="Normal 12" xfId="524"/>
    <cellStyle name="Normal 13" xfId="525"/>
    <cellStyle name="Normal 14" xfId="526"/>
    <cellStyle name="Normal 15" xfId="527"/>
    <cellStyle name="Normal 16" xfId="528"/>
    <cellStyle name="Normal 16 2" xfId="529"/>
    <cellStyle name="Normal 17" xfId="530"/>
    <cellStyle name="Normal 17 2" xfId="531"/>
    <cellStyle name="Normal 18" xfId="532"/>
    <cellStyle name="Normal 19" xfId="533"/>
    <cellStyle name="Normal 19 2" xfId="534"/>
    <cellStyle name="Normal 19 3" xfId="535"/>
    <cellStyle name="Normal 2" xfId="536"/>
    <cellStyle name="Normal 2 2" xfId="537"/>
    <cellStyle name="Normal 2 2 2" xfId="538"/>
    <cellStyle name="Normal 20" xfId="539"/>
    <cellStyle name="Normal 20 2" xfId="540"/>
    <cellStyle name="Normal 21" xfId="541"/>
    <cellStyle name="Normal 21 2" xfId="542"/>
    <cellStyle name="Normal 22" xfId="543"/>
    <cellStyle name="Normal 23" xfId="544"/>
    <cellStyle name="Normal 24" xfId="545"/>
    <cellStyle name="Normal 25" xfId="546"/>
    <cellStyle name="Normal 26" xfId="630"/>
    <cellStyle name="Normal 27" xfId="628"/>
    <cellStyle name="Normal 3" xfId="547"/>
    <cellStyle name="Normal 4" xfId="548"/>
    <cellStyle name="Normal 5" xfId="549"/>
    <cellStyle name="Normal 6" xfId="550"/>
    <cellStyle name="Normal 7" xfId="551"/>
    <cellStyle name="Normal 8" xfId="552"/>
    <cellStyle name="Normal 9" xfId="553"/>
    <cellStyle name="Note 10" xfId="554"/>
    <cellStyle name="Note 10 2" xfId="555"/>
    <cellStyle name="Note 11" xfId="556"/>
    <cellStyle name="Note 11 2" xfId="557"/>
    <cellStyle name="Note 12" xfId="558"/>
    <cellStyle name="Note 12 2" xfId="559"/>
    <cellStyle name="Note 13" xfId="560"/>
    <cellStyle name="Note 13 2" xfId="561"/>
    <cellStyle name="Note 14" xfId="562"/>
    <cellStyle name="Note 14 2" xfId="563"/>
    <cellStyle name="Note 15" xfId="564"/>
    <cellStyle name="Note 15 2" xfId="565"/>
    <cellStyle name="Note 2" xfId="566"/>
    <cellStyle name="Note 2 2" xfId="567"/>
    <cellStyle name="Note 3" xfId="568"/>
    <cellStyle name="Note 3 2" xfId="569"/>
    <cellStyle name="Note 4" xfId="570"/>
    <cellStyle name="Note 4 2" xfId="571"/>
    <cellStyle name="Note 5" xfId="572"/>
    <cellStyle name="Note 5 2" xfId="573"/>
    <cellStyle name="Note 6" xfId="574"/>
    <cellStyle name="Note 6 2" xfId="575"/>
    <cellStyle name="Note 7" xfId="576"/>
    <cellStyle name="Note 7 2" xfId="577"/>
    <cellStyle name="Note 8" xfId="578"/>
    <cellStyle name="Note 8 2" xfId="579"/>
    <cellStyle name="Note 9" xfId="580"/>
    <cellStyle name="Note 9 2" xfId="581"/>
    <cellStyle name="Output 10" xfId="582"/>
    <cellStyle name="Output 11" xfId="583"/>
    <cellStyle name="Output 12" xfId="584"/>
    <cellStyle name="Output 13" xfId="585"/>
    <cellStyle name="Output 14" xfId="586"/>
    <cellStyle name="Output 15" xfId="587"/>
    <cellStyle name="Output 2" xfId="588"/>
    <cellStyle name="Output 3" xfId="589"/>
    <cellStyle name="Output 4" xfId="590"/>
    <cellStyle name="Output 5" xfId="591"/>
    <cellStyle name="Output 6" xfId="592"/>
    <cellStyle name="Output 7" xfId="593"/>
    <cellStyle name="Output 8" xfId="594"/>
    <cellStyle name="Output 9" xfId="595"/>
    <cellStyle name="Percent" xfId="596" builtinId="5"/>
    <cellStyle name="Percent 2" xfId="597"/>
    <cellStyle name="Percent 2 2" xfId="598"/>
    <cellStyle name="Percent 3" xfId="629"/>
    <cellStyle name="Percent 4" xfId="632"/>
    <cellStyle name="Title" xfId="599" builtinId="15" customBuiltin="1"/>
    <cellStyle name="Total 10" xfId="600"/>
    <cellStyle name="Total 11" xfId="601"/>
    <cellStyle name="Total 12" xfId="602"/>
    <cellStyle name="Total 13" xfId="603"/>
    <cellStyle name="Total 14" xfId="604"/>
    <cellStyle name="Total 15" xfId="605"/>
    <cellStyle name="Total 2" xfId="606"/>
    <cellStyle name="Total 3" xfId="607"/>
    <cellStyle name="Total 4" xfId="608"/>
    <cellStyle name="Total 5" xfId="609"/>
    <cellStyle name="Total 6" xfId="610"/>
    <cellStyle name="Total 7" xfId="611"/>
    <cellStyle name="Total 8" xfId="612"/>
    <cellStyle name="Total 9" xfId="613"/>
    <cellStyle name="Warning Text 10" xfId="614"/>
    <cellStyle name="Warning Text 11" xfId="615"/>
    <cellStyle name="Warning Text 12" xfId="616"/>
    <cellStyle name="Warning Text 13" xfId="617"/>
    <cellStyle name="Warning Text 14" xfId="618"/>
    <cellStyle name="Warning Text 15" xfId="619"/>
    <cellStyle name="Warning Text 2" xfId="620"/>
    <cellStyle name="Warning Text 3" xfId="621"/>
    <cellStyle name="Warning Text 4" xfId="622"/>
    <cellStyle name="Warning Text 5" xfId="623"/>
    <cellStyle name="Warning Text 6" xfId="624"/>
    <cellStyle name="Warning Text 7" xfId="625"/>
    <cellStyle name="Warning Text 8" xfId="626"/>
    <cellStyle name="Warning Text 9" xfId="6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200026</xdr:colOff>
      <xdr:row>53</xdr:row>
      <xdr:rowOff>85725</xdr:rowOff>
    </xdr:from>
    <xdr:to>
      <xdr:col>13</xdr:col>
      <xdr:colOff>28576</xdr:colOff>
      <xdr:row>56</xdr:row>
      <xdr:rowOff>114300</xdr:rowOff>
    </xdr:to>
    <xdr:sp macro="" textlink="">
      <xdr:nvSpPr>
        <xdr:cNvPr id="2" name="Left Brace 1"/>
        <xdr:cNvSpPr/>
      </xdr:nvSpPr>
      <xdr:spPr>
        <a:xfrm>
          <a:off x="8858251" y="9296400"/>
          <a:ext cx="152400" cy="5143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309560</xdr:colOff>
      <xdr:row>30</xdr:row>
      <xdr:rowOff>19050</xdr:rowOff>
    </xdr:from>
    <xdr:to>
      <xdr:col>14</xdr:col>
      <xdr:colOff>333374</xdr:colOff>
      <xdr:row>31</xdr:row>
      <xdr:rowOff>133350</xdr:rowOff>
    </xdr:to>
    <xdr:sp macro="" textlink="">
      <xdr:nvSpPr>
        <xdr:cNvPr id="2" name="Right Brace 1"/>
        <xdr:cNvSpPr/>
      </xdr:nvSpPr>
      <xdr:spPr>
        <a:xfrm rot="5400000">
          <a:off x="7184229" y="3802856"/>
          <a:ext cx="276225" cy="46910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TESI%20Client/Burlington%20Hydro%20Inc/Draft%20Application%20September/DRAFT%20APPLICATOIN%20SEPTEMBER%2022/Models%20on%20September%2022/TESI_Rate%20Design%202014%20Sep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CustomerClass"/>
      <sheetName val="CurrentTariff"/>
      <sheetName val="HistoricalBalances"/>
      <sheetName val="Revenues at Curr Rates"/>
      <sheetName val="App.2-AA_Capital Projects"/>
      <sheetName val="App.2-AB_Capital Expenditures"/>
      <sheetName val="App.2-BA1_FA Cont.CGAAP 2009"/>
      <sheetName val="App.2-BA2_Fix Asset Cont.MIFRS"/>
      <sheetName val="App.2-BA1_FA Cont.CGAAP 2010"/>
      <sheetName val="App.2-BA1_FA Cont.CGAAP 2011"/>
      <sheetName val="App.2-BA1_FA Cont.CGAAP 2012"/>
      <sheetName val="App.2-BA1_FA ContOldCGAAP 2013 "/>
      <sheetName val="App.2-BA1_FA Cont.NewCGAAP 2013"/>
      <sheetName val="App.2-BA1 FA Cont.OldCGAAP 2014"/>
      <sheetName val="App.2-BA1_FA Cont.NewCGAAP 2014"/>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09"/>
      <sheetName val="App.2-CR_OldCGAAP_DepExp_2010"/>
      <sheetName val="App.2-CR_OldCGAAP_DepExp_2011"/>
      <sheetName val="App.2-CR_OldCGAAP_DepExp_2012"/>
      <sheetName val="App.2-CS_OldCGAAP_DepExp_2013"/>
      <sheetName val="App.2-CT_NewCGAAP_DepExp_2013"/>
      <sheetName val="App.2-CU_OldCGAAP_DepExp 2014"/>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CDM Adj &amp; LRAM"/>
      <sheetName val="LoadForecast"/>
      <sheetName val="PowerSupplExp"/>
      <sheetName val="Rate Base"/>
      <sheetName val="App.2-OA Capital Structure"/>
      <sheetName val="App.2-OB_Debt Instruments"/>
      <sheetName val="Revenue Requirement"/>
      <sheetName val="App.2-P_Cost_Allocation"/>
      <sheetName val="Cost Allocation &amp; RevAllocation"/>
      <sheetName val="RateDesign"/>
      <sheetName val="App.2-Q_Cost of Serv. Emb. Dx"/>
      <sheetName val="App.2-R_Loss Factors"/>
      <sheetName val="App.2-S_Stranded Meters"/>
      <sheetName val="App.2-TA_1592_Tax_Variance"/>
      <sheetName val="App.2-TB_1592_HST-OVAT"/>
      <sheetName val="App.2-U_IFRS Transition Costs"/>
      <sheetName val="App.2-V_Rev_Reconciliation"/>
      <sheetName val="MDMR"/>
      <sheetName val="SMRR"/>
      <sheetName val="DVA"/>
      <sheetName val="App.2-W_Bill Impacts Res"/>
      <sheetName val="App.2-W_Bill Impacts GS&lt;50"/>
      <sheetName val="App.2-W_Bill Impacts GS&gt;50"/>
      <sheetName val="App.2-W_Bill Impacts USL"/>
      <sheetName val="App.2-W_Bill Impacts StrLights"/>
      <sheetName val="App.2-W_Bill Impacts Res (2)"/>
      <sheetName val="App.2-W_Bill Impacts GS&lt;50 (2)"/>
      <sheetName val="App.2-W_Bill Impacts GS&gt;50 (2)"/>
      <sheetName val="App.2-W_Bill Impacts USL (2)"/>
      <sheetName val="App.2-W_Bill Impacts StrLig (2"/>
      <sheetName val="App.2-YA_MIFRS Summary Impacts"/>
      <sheetName val="App. 2-YB_CGAAP Summary Impacts"/>
      <sheetName val="App. 2-Z_Tariff"/>
      <sheetName val="lists"/>
      <sheetName val="lists2"/>
      <sheetName val="Sheet19"/>
      <sheetName val="Net Income Trend"/>
      <sheetName val="RateBase Trend"/>
      <sheetName val="RRR Variance Analysis"/>
      <sheetName val="Capex VarAnalysis"/>
      <sheetName val="Opex VarAnalysis"/>
      <sheetName val="Sheet2"/>
    </sheetNames>
    <sheetDataSet>
      <sheetData sheetId="0">
        <row r="18">
          <cell r="E18" t="str">
            <v>EB-2014-0115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P24"/>
  <sheetViews>
    <sheetView workbookViewId="0">
      <selection activeCell="H29" sqref="H29"/>
    </sheetView>
  </sheetViews>
  <sheetFormatPr defaultRowHeight="12.75" x14ac:dyDescent="0.2"/>
  <cols>
    <col min="1" max="1" width="9.33203125" style="3"/>
    <col min="2" max="14" width="12.33203125" style="3" customWidth="1"/>
    <col min="15" max="16384" width="9.33203125" style="3"/>
  </cols>
  <sheetData>
    <row r="2" spans="2:14" ht="15.75" x14ac:dyDescent="0.2">
      <c r="B2" s="138" t="s">
        <v>128</v>
      </c>
    </row>
    <row r="3" spans="2:14" ht="13.5" thickBot="1" x14ac:dyDescent="0.25"/>
    <row r="4" spans="2:14" ht="13.5" thickBot="1" x14ac:dyDescent="0.25">
      <c r="B4" s="6"/>
      <c r="C4" s="437" t="s">
        <v>11</v>
      </c>
      <c r="D4" s="438"/>
      <c r="E4" s="437" t="s">
        <v>5</v>
      </c>
      <c r="F4" s="438"/>
      <c r="G4" s="437" t="s">
        <v>6</v>
      </c>
      <c r="H4" s="438"/>
      <c r="I4" s="437" t="s">
        <v>12</v>
      </c>
      <c r="J4" s="438"/>
      <c r="K4" s="437" t="s">
        <v>131</v>
      </c>
      <c r="L4" s="438"/>
      <c r="M4" s="437" t="s">
        <v>7</v>
      </c>
      <c r="N4" s="438"/>
    </row>
    <row r="5" spans="2:14" ht="13.5" thickBot="1" x14ac:dyDescent="0.25">
      <c r="B5" s="7" t="s">
        <v>8</v>
      </c>
      <c r="C5" s="7" t="s">
        <v>1</v>
      </c>
      <c r="D5" s="8" t="s">
        <v>10</v>
      </c>
      <c r="E5" s="7" t="s">
        <v>1</v>
      </c>
      <c r="F5" s="8" t="s">
        <v>10</v>
      </c>
      <c r="G5" s="7" t="s">
        <v>1</v>
      </c>
      <c r="H5" s="8" t="s">
        <v>10</v>
      </c>
      <c r="I5" s="7" t="s">
        <v>1</v>
      </c>
      <c r="J5" s="8" t="s">
        <v>10</v>
      </c>
      <c r="K5" s="7" t="s">
        <v>1</v>
      </c>
      <c r="L5" s="8" t="s">
        <v>10</v>
      </c>
      <c r="M5" s="7" t="s">
        <v>1</v>
      </c>
      <c r="N5" s="9" t="s">
        <v>10</v>
      </c>
    </row>
    <row r="6" spans="2:14" x14ac:dyDescent="0.2">
      <c r="B6" s="10">
        <v>2003</v>
      </c>
      <c r="C6" s="39">
        <v>4553</v>
      </c>
      <c r="D6" s="11"/>
      <c r="E6" s="39">
        <v>583</v>
      </c>
      <c r="F6" s="11"/>
      <c r="G6" s="39">
        <v>77</v>
      </c>
      <c r="H6" s="11"/>
      <c r="I6" s="39">
        <v>1158</v>
      </c>
      <c r="J6" s="11"/>
      <c r="K6" s="39">
        <v>23</v>
      </c>
      <c r="L6" s="11"/>
      <c r="M6" s="235">
        <v>1E-3</v>
      </c>
      <c r="N6" s="12"/>
    </row>
    <row r="7" spans="2:14" x14ac:dyDescent="0.2">
      <c r="B7" s="13" t="s">
        <v>13</v>
      </c>
      <c r="C7" s="31">
        <v>4580</v>
      </c>
      <c r="D7" s="14">
        <f>C7/C6</f>
        <v>1.0059301559411378</v>
      </c>
      <c r="E7" s="31">
        <v>568</v>
      </c>
      <c r="F7" s="14">
        <f>E7/E6</f>
        <v>0.97427101200686106</v>
      </c>
      <c r="G7" s="31">
        <v>78</v>
      </c>
      <c r="H7" s="14">
        <f t="shared" ref="H7:H15" si="0">G7/G6</f>
        <v>1.0129870129870129</v>
      </c>
      <c r="I7" s="31">
        <v>1158</v>
      </c>
      <c r="J7" s="14">
        <f t="shared" ref="J7:J15" si="1">I7/I6</f>
        <v>1</v>
      </c>
      <c r="K7" s="31">
        <v>23</v>
      </c>
      <c r="L7" s="14">
        <f t="shared" ref="L7:L15" si="2">K7/K6</f>
        <v>1</v>
      </c>
      <c r="M7" s="235">
        <v>1E-3</v>
      </c>
      <c r="N7" s="15">
        <f t="shared" ref="N7:N15" si="3">M7/M6</f>
        <v>1</v>
      </c>
    </row>
    <row r="8" spans="2:14" x14ac:dyDescent="0.2">
      <c r="B8" s="13" t="s">
        <v>14</v>
      </c>
      <c r="C8" s="31">
        <v>4611</v>
      </c>
      <c r="D8" s="14">
        <f t="shared" ref="D8:F15" si="4">C8/C7</f>
        <v>1.006768558951965</v>
      </c>
      <c r="E8" s="31">
        <v>564</v>
      </c>
      <c r="F8" s="14">
        <f t="shared" si="4"/>
        <v>0.99295774647887325</v>
      </c>
      <c r="G8" s="31">
        <v>72</v>
      </c>
      <c r="H8" s="14">
        <f t="shared" si="0"/>
        <v>0.92307692307692313</v>
      </c>
      <c r="I8" s="31">
        <v>1158</v>
      </c>
      <c r="J8" s="14">
        <f t="shared" si="1"/>
        <v>1</v>
      </c>
      <c r="K8" s="31">
        <v>24</v>
      </c>
      <c r="L8" s="14">
        <f t="shared" si="2"/>
        <v>1.0434782608695652</v>
      </c>
      <c r="M8" s="235">
        <v>1E-3</v>
      </c>
      <c r="N8" s="15">
        <f t="shared" si="3"/>
        <v>1</v>
      </c>
    </row>
    <row r="9" spans="2:14" x14ac:dyDescent="0.2">
      <c r="B9" s="13" t="s">
        <v>15</v>
      </c>
      <c r="C9" s="31">
        <v>4642</v>
      </c>
      <c r="D9" s="14">
        <f t="shared" si="4"/>
        <v>1.0067230535675558</v>
      </c>
      <c r="E9" s="31">
        <v>566</v>
      </c>
      <c r="F9" s="14">
        <f t="shared" si="4"/>
        <v>1.0035460992907801</v>
      </c>
      <c r="G9" s="31">
        <v>78</v>
      </c>
      <c r="H9" s="14">
        <f t="shared" si="0"/>
        <v>1.0833333333333333</v>
      </c>
      <c r="I9" s="31">
        <v>1158</v>
      </c>
      <c r="J9" s="14">
        <f t="shared" si="1"/>
        <v>1</v>
      </c>
      <c r="K9" s="31">
        <v>22</v>
      </c>
      <c r="L9" s="14">
        <f t="shared" si="2"/>
        <v>0.91666666666666663</v>
      </c>
      <c r="M9" s="235">
        <v>1E-3</v>
      </c>
      <c r="N9" s="15">
        <f t="shared" si="3"/>
        <v>1</v>
      </c>
    </row>
    <row r="10" spans="2:14" x14ac:dyDescent="0.2">
      <c r="B10" s="13" t="s">
        <v>16</v>
      </c>
      <c r="C10" s="31">
        <v>4775</v>
      </c>
      <c r="D10" s="14">
        <f t="shared" si="4"/>
        <v>1.0286514433433864</v>
      </c>
      <c r="E10" s="31">
        <v>573</v>
      </c>
      <c r="F10" s="14">
        <f t="shared" si="4"/>
        <v>1.0123674911660778</v>
      </c>
      <c r="G10" s="31">
        <v>80</v>
      </c>
      <c r="H10" s="14">
        <f t="shared" si="0"/>
        <v>1.0256410256410255</v>
      </c>
      <c r="I10" s="31">
        <v>1158</v>
      </c>
      <c r="J10" s="14">
        <f t="shared" si="1"/>
        <v>1</v>
      </c>
      <c r="K10" s="31">
        <v>21</v>
      </c>
      <c r="L10" s="14">
        <f t="shared" si="2"/>
        <v>0.95454545454545459</v>
      </c>
      <c r="M10" s="235">
        <v>1E-3</v>
      </c>
      <c r="N10" s="15">
        <f t="shared" si="3"/>
        <v>1</v>
      </c>
    </row>
    <row r="11" spans="2:14" x14ac:dyDescent="0.2">
      <c r="B11" s="13" t="s">
        <v>17</v>
      </c>
      <c r="C11" s="31">
        <v>4778</v>
      </c>
      <c r="D11" s="14">
        <f t="shared" si="4"/>
        <v>1.0006282722513089</v>
      </c>
      <c r="E11" s="31">
        <v>579</v>
      </c>
      <c r="F11" s="14">
        <f t="shared" si="4"/>
        <v>1.0104712041884816</v>
      </c>
      <c r="G11" s="31">
        <v>80</v>
      </c>
      <c r="H11" s="14">
        <f t="shared" si="0"/>
        <v>1</v>
      </c>
      <c r="I11" s="31">
        <v>1158</v>
      </c>
      <c r="J11" s="14">
        <f t="shared" si="1"/>
        <v>1</v>
      </c>
      <c r="K11" s="31">
        <v>21</v>
      </c>
      <c r="L11" s="14">
        <f t="shared" si="2"/>
        <v>1</v>
      </c>
      <c r="M11" s="31">
        <v>4</v>
      </c>
      <c r="N11" s="15">
        <f t="shared" si="3"/>
        <v>4000</v>
      </c>
    </row>
    <row r="12" spans="2:14" x14ac:dyDescent="0.2">
      <c r="B12" s="13" t="s">
        <v>18</v>
      </c>
      <c r="C12" s="31">
        <v>4781</v>
      </c>
      <c r="D12" s="14">
        <f t="shared" si="4"/>
        <v>1.0006278777731268</v>
      </c>
      <c r="E12" s="31">
        <v>586</v>
      </c>
      <c r="F12" s="14">
        <f t="shared" si="4"/>
        <v>1.0120898100172711</v>
      </c>
      <c r="G12" s="31">
        <v>82</v>
      </c>
      <c r="H12" s="14">
        <f t="shared" si="0"/>
        <v>1.0249999999999999</v>
      </c>
      <c r="I12" s="31">
        <v>1158</v>
      </c>
      <c r="J12" s="14">
        <f t="shared" si="1"/>
        <v>1</v>
      </c>
      <c r="K12" s="31">
        <v>21</v>
      </c>
      <c r="L12" s="14">
        <f t="shared" si="2"/>
        <v>1</v>
      </c>
      <c r="M12" s="31">
        <v>4</v>
      </c>
      <c r="N12" s="15">
        <f t="shared" si="3"/>
        <v>1</v>
      </c>
    </row>
    <row r="13" spans="2:14" x14ac:dyDescent="0.2">
      <c r="B13" s="13" t="s">
        <v>19</v>
      </c>
      <c r="C13" s="31">
        <v>4817</v>
      </c>
      <c r="D13" s="14">
        <f t="shared" si="4"/>
        <v>1.007529805480025</v>
      </c>
      <c r="E13" s="31">
        <v>593</v>
      </c>
      <c r="F13" s="14">
        <f t="shared" si="4"/>
        <v>1.0119453924914676</v>
      </c>
      <c r="G13" s="31">
        <v>86</v>
      </c>
      <c r="H13" s="14">
        <f t="shared" si="0"/>
        <v>1.0487804878048781</v>
      </c>
      <c r="I13" s="31">
        <v>1180</v>
      </c>
      <c r="J13" s="14">
        <f t="shared" si="1"/>
        <v>1.0189982728842832</v>
      </c>
      <c r="K13" s="31">
        <v>21</v>
      </c>
      <c r="L13" s="14">
        <f t="shared" si="2"/>
        <v>1</v>
      </c>
      <c r="M13" s="31">
        <v>5</v>
      </c>
      <c r="N13" s="15">
        <f t="shared" si="3"/>
        <v>1.25</v>
      </c>
    </row>
    <row r="14" spans="2:14" x14ac:dyDescent="0.2">
      <c r="B14" s="13" t="s">
        <v>20</v>
      </c>
      <c r="C14" s="31">
        <v>4835</v>
      </c>
      <c r="D14" s="14">
        <f t="shared" si="4"/>
        <v>1.0037367656217562</v>
      </c>
      <c r="E14" s="31">
        <v>592</v>
      </c>
      <c r="F14" s="14">
        <f t="shared" si="4"/>
        <v>0.99831365935919059</v>
      </c>
      <c r="G14" s="31">
        <v>94</v>
      </c>
      <c r="H14" s="14">
        <f t="shared" si="0"/>
        <v>1.0930232558139534</v>
      </c>
      <c r="I14" s="31">
        <v>1201</v>
      </c>
      <c r="J14" s="14">
        <f t="shared" si="1"/>
        <v>1.0177966101694915</v>
      </c>
      <c r="K14" s="31">
        <v>21</v>
      </c>
      <c r="L14" s="14">
        <f t="shared" si="2"/>
        <v>1</v>
      </c>
      <c r="M14" s="31">
        <v>5</v>
      </c>
      <c r="N14" s="15">
        <f t="shared" si="3"/>
        <v>1</v>
      </c>
    </row>
    <row r="15" spans="2:14" x14ac:dyDescent="0.2">
      <c r="B15" s="13" t="s">
        <v>21</v>
      </c>
      <c r="C15" s="31">
        <v>4869</v>
      </c>
      <c r="D15" s="14">
        <f t="shared" si="4"/>
        <v>1.0070320579110652</v>
      </c>
      <c r="E15" s="31">
        <v>616</v>
      </c>
      <c r="F15" s="14">
        <f t="shared" si="4"/>
        <v>1.0405405405405406</v>
      </c>
      <c r="G15" s="31">
        <v>94</v>
      </c>
      <c r="H15" s="14">
        <f t="shared" si="0"/>
        <v>1</v>
      </c>
      <c r="I15" s="31">
        <v>1204</v>
      </c>
      <c r="J15" s="14">
        <f t="shared" si="1"/>
        <v>1.0024979184013323</v>
      </c>
      <c r="K15" s="31">
        <v>21</v>
      </c>
      <c r="L15" s="14">
        <f t="shared" si="2"/>
        <v>1</v>
      </c>
      <c r="M15" s="31">
        <v>5</v>
      </c>
      <c r="N15" s="15">
        <f t="shared" si="3"/>
        <v>1</v>
      </c>
    </row>
    <row r="16" spans="2:14" x14ac:dyDescent="0.2">
      <c r="B16" s="16"/>
      <c r="C16" s="4"/>
      <c r="D16" s="14"/>
      <c r="E16" s="4"/>
      <c r="F16" s="14"/>
      <c r="G16" s="4"/>
      <c r="H16" s="14"/>
      <c r="I16" s="4"/>
      <c r="J16" s="14"/>
      <c r="K16" s="4"/>
      <c r="L16" s="14"/>
      <c r="M16" s="4"/>
      <c r="N16" s="15"/>
    </row>
    <row r="17" spans="2:16" x14ac:dyDescent="0.2">
      <c r="B17" s="17" t="s">
        <v>9</v>
      </c>
      <c r="C17" s="4"/>
      <c r="D17" s="18">
        <f>GEOMEAN(D7:D15)</f>
        <v>1.0074836660162252</v>
      </c>
      <c r="E17" s="19"/>
      <c r="F17" s="18">
        <f>GEOMEAN(F7:F15)</f>
        <v>1.0061365046912061</v>
      </c>
      <c r="G17" s="19"/>
      <c r="H17" s="18">
        <f>GEOMEAN(H7:H15)</f>
        <v>1.0224129639603896</v>
      </c>
      <c r="I17" s="19"/>
      <c r="J17" s="18">
        <f>GEOMEAN(J7:J15)</f>
        <v>1.0043377104970719</v>
      </c>
      <c r="K17" s="19"/>
      <c r="L17" s="18">
        <f>GEOMEAN(L7:L15)</f>
        <v>0.98994293853684945</v>
      </c>
      <c r="M17" s="19"/>
      <c r="N17" s="20">
        <f>GEOMEAN(N7:N15)</f>
        <v>2.5763013859408161</v>
      </c>
    </row>
    <row r="18" spans="2:16" x14ac:dyDescent="0.2">
      <c r="B18" s="17"/>
      <c r="C18" s="4"/>
      <c r="D18" s="18"/>
      <c r="E18" s="19"/>
      <c r="F18" s="18"/>
      <c r="G18" s="19"/>
      <c r="H18" s="18"/>
      <c r="I18" s="19"/>
      <c r="J18" s="18"/>
      <c r="K18" s="19"/>
      <c r="L18" s="18"/>
      <c r="M18" s="19"/>
      <c r="N18" s="20"/>
      <c r="P18" s="330"/>
    </row>
    <row r="19" spans="2:16" x14ac:dyDescent="0.2">
      <c r="B19" s="13" t="s">
        <v>22</v>
      </c>
      <c r="C19" s="33">
        <f>C15*D17</f>
        <v>4905.4379698330004</v>
      </c>
      <c r="D19" s="14" t="s">
        <v>49</v>
      </c>
      <c r="E19" s="33">
        <f>E15*F17</f>
        <v>619.78008688978298</v>
      </c>
      <c r="F19" s="34"/>
      <c r="G19" s="33">
        <f>G15*H17</f>
        <v>96.106818612276626</v>
      </c>
      <c r="H19" s="34"/>
      <c r="I19" s="33">
        <f>I15*J17</f>
        <v>1209.2226034384746</v>
      </c>
      <c r="J19" s="34"/>
      <c r="K19" s="33">
        <f>K15*L17</f>
        <v>20.788801709273837</v>
      </c>
      <c r="L19" s="34"/>
      <c r="M19" s="33">
        <f>M15*N17</f>
        <v>12.881506929704081</v>
      </c>
      <c r="N19" s="35"/>
      <c r="P19" s="330"/>
    </row>
    <row r="20" spans="2:16" ht="13.5" thickBot="1" x14ac:dyDescent="0.25">
      <c r="B20" s="21" t="s">
        <v>23</v>
      </c>
      <c r="C20" s="36">
        <f>C19*D17</f>
        <v>4942.1486292625405</v>
      </c>
      <c r="D20" s="150" t="s">
        <v>49</v>
      </c>
      <c r="E20" s="36">
        <f>E19*F17</f>
        <v>623.58337030049825</v>
      </c>
      <c r="F20" s="37"/>
      <c r="G20" s="36">
        <f>G19*H17</f>
        <v>98.260857274181291</v>
      </c>
      <c r="H20" s="37"/>
      <c r="I20" s="36">
        <f>I19*J17</f>
        <v>1214.4678610187063</v>
      </c>
      <c r="J20" s="37"/>
      <c r="K20" s="36">
        <f>K19*L17</f>
        <v>20.579727452738421</v>
      </c>
      <c r="L20" s="37"/>
      <c r="M20" s="36">
        <f>M19*N17</f>
        <v>33.186644156002849</v>
      </c>
      <c r="N20" s="38"/>
    </row>
    <row r="21" spans="2:16" ht="13.5" thickBot="1" x14ac:dyDescent="0.25"/>
    <row r="22" spans="2:16" x14ac:dyDescent="0.2">
      <c r="B22" s="111" t="s">
        <v>129</v>
      </c>
      <c r="C22" s="112"/>
      <c r="D22" s="112"/>
      <c r="E22" s="112"/>
      <c r="F22" s="112"/>
      <c r="G22" s="112"/>
      <c r="H22" s="112"/>
      <c r="I22" s="112"/>
      <c r="J22" s="112"/>
      <c r="K22" s="112"/>
      <c r="L22" s="112"/>
      <c r="M22" s="112"/>
      <c r="N22" s="113"/>
    </row>
    <row r="23" spans="2:16" x14ac:dyDescent="0.2">
      <c r="B23" s="114">
        <v>2013</v>
      </c>
      <c r="C23" s="30">
        <v>4905</v>
      </c>
      <c r="D23" s="14">
        <f>C23/C15</f>
        <v>1.0073937153419594</v>
      </c>
      <c r="E23" s="30">
        <v>630</v>
      </c>
      <c r="F23" s="14">
        <f>E23/E15</f>
        <v>1.0227272727272727</v>
      </c>
      <c r="G23" s="30">
        <v>96</v>
      </c>
      <c r="H23" s="14">
        <f>G23/G15</f>
        <v>1.0212765957446808</v>
      </c>
      <c r="I23" s="30">
        <v>1210</v>
      </c>
      <c r="J23" s="14">
        <f>I23/I15</f>
        <v>1.0049833887043189</v>
      </c>
      <c r="K23" s="30">
        <v>21</v>
      </c>
      <c r="L23" s="14">
        <f>K23/K15</f>
        <v>1</v>
      </c>
      <c r="M23" s="30">
        <v>5</v>
      </c>
      <c r="N23" s="15">
        <f>M23/M15</f>
        <v>1</v>
      </c>
      <c r="P23" s="330"/>
    </row>
    <row r="24" spans="2:16" ht="13.5" thickBot="1" x14ac:dyDescent="0.25">
      <c r="B24" s="115">
        <v>2014</v>
      </c>
      <c r="C24" s="32">
        <v>4950</v>
      </c>
      <c r="D24" s="150">
        <f>C24/C23</f>
        <v>1.0091743119266054</v>
      </c>
      <c r="E24" s="32">
        <v>634</v>
      </c>
      <c r="F24" s="150">
        <f>E24/E23</f>
        <v>1.0063492063492063</v>
      </c>
      <c r="G24" s="32">
        <v>98</v>
      </c>
      <c r="H24" s="150">
        <f>G24/G23</f>
        <v>1.0208333333333333</v>
      </c>
      <c r="I24" s="32">
        <v>1215</v>
      </c>
      <c r="J24" s="150">
        <f>I24/I23</f>
        <v>1.0041322314049588</v>
      </c>
      <c r="K24" s="32">
        <v>21</v>
      </c>
      <c r="L24" s="150">
        <f>K24/K23</f>
        <v>1</v>
      </c>
      <c r="M24" s="32">
        <v>5</v>
      </c>
      <c r="N24" s="151">
        <f>M24/M23</f>
        <v>1</v>
      </c>
      <c r="P24" s="330"/>
    </row>
  </sheetData>
  <mergeCells count="6">
    <mergeCell ref="M4:N4"/>
    <mergeCell ref="C4:D4"/>
    <mergeCell ref="E4:F4"/>
    <mergeCell ref="G4:H4"/>
    <mergeCell ref="I4:J4"/>
    <mergeCell ref="K4:L4"/>
  </mergeCells>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73"/>
  <sheetViews>
    <sheetView showGridLines="0" topLeftCell="A37" workbookViewId="0">
      <selection activeCell="M32" sqref="M32"/>
    </sheetView>
  </sheetViews>
  <sheetFormatPr defaultRowHeight="12.75" x14ac:dyDescent="0.2"/>
  <cols>
    <col min="1" max="1" width="29.6640625" style="381" customWidth="1"/>
    <col min="2" max="2" width="21.1640625" style="381" customWidth="1"/>
    <col min="3" max="6" width="19.5" style="381" customWidth="1"/>
    <col min="7" max="7" width="9.33203125" style="381"/>
    <col min="8" max="12" width="0" style="381" hidden="1" customWidth="1"/>
    <col min="13" max="13" width="29.5" style="381" bestFit="1" customWidth="1"/>
    <col min="14" max="17" width="24.1640625" style="381" customWidth="1"/>
    <col min="18" max="16384" width="9.33203125" style="381"/>
  </cols>
  <sheetData>
    <row r="1" spans="1:12" ht="15.75" thickBot="1" x14ac:dyDescent="0.25">
      <c r="A1" s="353"/>
      <c r="B1" s="383"/>
      <c r="C1" s="383"/>
      <c r="D1" s="383"/>
      <c r="E1" s="383"/>
      <c r="F1" s="383"/>
    </row>
    <row r="2" spans="1:12" ht="15" x14ac:dyDescent="0.25">
      <c r="A2" s="492" t="s">
        <v>108</v>
      </c>
      <c r="B2" s="493"/>
      <c r="C2" s="493"/>
      <c r="D2" s="493"/>
      <c r="E2" s="493"/>
      <c r="F2" s="494"/>
    </row>
    <row r="3" spans="1:12" ht="15" x14ac:dyDescent="0.25">
      <c r="A3" s="496">
        <v>9280000</v>
      </c>
      <c r="B3" s="497"/>
      <c r="C3" s="497"/>
      <c r="D3" s="497"/>
      <c r="E3" s="497"/>
      <c r="F3" s="498"/>
    </row>
    <row r="4" spans="1:12" ht="15" x14ac:dyDescent="0.25">
      <c r="A4" s="384"/>
      <c r="B4" s="385">
        <v>2011</v>
      </c>
      <c r="C4" s="385">
        <v>2012</v>
      </c>
      <c r="D4" s="385">
        <v>2013</v>
      </c>
      <c r="E4" s="385">
        <v>2014</v>
      </c>
      <c r="F4" s="386" t="s">
        <v>34</v>
      </c>
      <c r="I4" s="381">
        <f>B4</f>
        <v>2011</v>
      </c>
      <c r="J4" s="381">
        <f>C4</f>
        <v>2012</v>
      </c>
      <c r="K4" s="381">
        <f>D4</f>
        <v>2013</v>
      </c>
      <c r="L4" s="381">
        <f>E4</f>
        <v>2014</v>
      </c>
    </row>
    <row r="5" spans="1:12" ht="15" x14ac:dyDescent="0.25">
      <c r="A5" s="387" t="s">
        <v>109</v>
      </c>
      <c r="B5" s="428">
        <f>B11/$F$15</f>
        <v>7.734030172413793E-2</v>
      </c>
      <c r="C5" s="428">
        <f t="shared" ref="C5:E8" si="0">C11/$F$15</f>
        <v>7.734030172413793E-2</v>
      </c>
      <c r="D5" s="428">
        <f t="shared" si="0"/>
        <v>7.734030172413793E-2</v>
      </c>
      <c r="E5" s="429">
        <f t="shared" si="0"/>
        <v>7.734030172413793E-2</v>
      </c>
      <c r="F5" s="354">
        <f>SUM(B5:E5)</f>
        <v>0.30936120689655172</v>
      </c>
      <c r="H5" s="381" t="str">
        <f>A5</f>
        <v>2011 CDM Programs</v>
      </c>
      <c r="I5" s="388">
        <f>0.5</f>
        <v>0.5</v>
      </c>
      <c r="J5" s="389">
        <v>1</v>
      </c>
      <c r="K5" s="389">
        <v>1</v>
      </c>
      <c r="L5" s="389">
        <v>1</v>
      </c>
    </row>
    <row r="6" spans="1:12" ht="15" x14ac:dyDescent="0.25">
      <c r="A6" s="387" t="s">
        <v>110</v>
      </c>
      <c r="B6" s="372"/>
      <c r="C6" s="428">
        <f t="shared" si="0"/>
        <v>7.3841271551724139E-2</v>
      </c>
      <c r="D6" s="428">
        <f t="shared" si="0"/>
        <v>7.3841271551724139E-2</v>
      </c>
      <c r="E6" s="429">
        <f t="shared" si="0"/>
        <v>7.3841271551724139E-2</v>
      </c>
      <c r="F6" s="354">
        <f>SUM(B6:E6)</f>
        <v>0.2215238146551724</v>
      </c>
      <c r="H6" s="381" t="str">
        <f>A6</f>
        <v>2012 CDM Programs</v>
      </c>
      <c r="J6" s="389">
        <v>0.5</v>
      </c>
      <c r="K6" s="389">
        <v>1</v>
      </c>
      <c r="L6" s="389">
        <v>1</v>
      </c>
    </row>
    <row r="7" spans="1:12" ht="15" x14ac:dyDescent="0.25">
      <c r="A7" s="387" t="s">
        <v>111</v>
      </c>
      <c r="B7" s="372"/>
      <c r="C7" s="372"/>
      <c r="D7" s="428">
        <f t="shared" si="0"/>
        <v>0.15637165948275861</v>
      </c>
      <c r="E7" s="429">
        <f t="shared" si="0"/>
        <v>0.15637165948275861</v>
      </c>
      <c r="F7" s="354">
        <f>SUM(B7:E7)</f>
        <v>0.31274331896551721</v>
      </c>
      <c r="H7" s="381" t="str">
        <f>A7</f>
        <v>2013 CDM Programs</v>
      </c>
      <c r="K7" s="389">
        <v>0.5</v>
      </c>
      <c r="L7" s="389">
        <v>1</v>
      </c>
    </row>
    <row r="8" spans="1:12" ht="15.75" thickBot="1" x14ac:dyDescent="0.3">
      <c r="A8" s="390" t="s">
        <v>112</v>
      </c>
      <c r="B8" s="391"/>
      <c r="C8" s="391"/>
      <c r="D8" s="391"/>
      <c r="E8" s="430">
        <f t="shared" si="0"/>
        <v>0.15637165948275861</v>
      </c>
      <c r="F8" s="355">
        <f>SUM(B8:E8)</f>
        <v>0.15637165948275861</v>
      </c>
      <c r="H8" s="381" t="str">
        <f>A8</f>
        <v>2014 CDM Programs</v>
      </c>
      <c r="L8" s="389">
        <v>0.5</v>
      </c>
    </row>
    <row r="9" spans="1:12" ht="15.75" thickTop="1" x14ac:dyDescent="0.25">
      <c r="A9" s="392" t="s">
        <v>113</v>
      </c>
      <c r="B9" s="393">
        <f>SUM(B5:B8)</f>
        <v>7.734030172413793E-2</v>
      </c>
      <c r="C9" s="393">
        <f>SUM(C5:C8)</f>
        <v>0.15118157327586207</v>
      </c>
      <c r="D9" s="393">
        <f>SUM(D5:D8)</f>
        <v>0.30755323275862068</v>
      </c>
      <c r="E9" s="394">
        <f>SUM(E5:E8)</f>
        <v>0.46392489224137928</v>
      </c>
      <c r="F9" s="395">
        <f>SUM(B9:E9)</f>
        <v>1</v>
      </c>
    </row>
    <row r="10" spans="1:12" ht="15" x14ac:dyDescent="0.2">
      <c r="A10" s="499" t="s">
        <v>64</v>
      </c>
      <c r="B10" s="500"/>
      <c r="C10" s="500"/>
      <c r="D10" s="500"/>
      <c r="E10" s="500"/>
      <c r="F10" s="501"/>
    </row>
    <row r="11" spans="1:12" ht="15" x14ac:dyDescent="0.25">
      <c r="A11" s="387" t="s">
        <v>109</v>
      </c>
      <c r="B11" s="431">
        <v>717718</v>
      </c>
      <c r="C11" s="431">
        <v>717718</v>
      </c>
      <c r="D11" s="431">
        <v>717718</v>
      </c>
      <c r="E11" s="431">
        <v>717718</v>
      </c>
      <c r="F11" s="356">
        <f>SUM(B11:E11)</f>
        <v>2870872</v>
      </c>
    </row>
    <row r="12" spans="1:12" ht="15" x14ac:dyDescent="0.25">
      <c r="A12" s="387" t="s">
        <v>110</v>
      </c>
      <c r="B12" s="357"/>
      <c r="C12" s="435">
        <v>685247</v>
      </c>
      <c r="D12" s="435">
        <v>685247</v>
      </c>
      <c r="E12" s="436">
        <v>685247</v>
      </c>
      <c r="F12" s="356">
        <f>SUM(B12:E12)</f>
        <v>2055741</v>
      </c>
    </row>
    <row r="13" spans="1:12" ht="15" x14ac:dyDescent="0.25">
      <c r="A13" s="387" t="s">
        <v>111</v>
      </c>
      <c r="B13" s="357"/>
      <c r="C13" s="357"/>
      <c r="D13" s="431">
        <f>(A3-SUM(F11:F12))/3</f>
        <v>1451129</v>
      </c>
      <c r="E13" s="432">
        <f>D13</f>
        <v>1451129</v>
      </c>
      <c r="F13" s="356">
        <f>SUM(B13:E13)</f>
        <v>2902258</v>
      </c>
    </row>
    <row r="14" spans="1:12" ht="15.75" thickBot="1" x14ac:dyDescent="0.3">
      <c r="A14" s="390" t="s">
        <v>112</v>
      </c>
      <c r="B14" s="358"/>
      <c r="C14" s="358"/>
      <c r="D14" s="358"/>
      <c r="E14" s="433">
        <f>D13</f>
        <v>1451129</v>
      </c>
      <c r="F14" s="359">
        <f>SUM(B14:E14)</f>
        <v>1451129</v>
      </c>
    </row>
    <row r="15" spans="1:12" ht="16.5" thickTop="1" thickBot="1" x14ac:dyDescent="0.3">
      <c r="A15" s="396" t="s">
        <v>113</v>
      </c>
      <c r="B15" s="360">
        <f>SUM(B11:B14)</f>
        <v>717718</v>
      </c>
      <c r="C15" s="360">
        <f>SUM(C11:C14)</f>
        <v>1402965</v>
      </c>
      <c r="D15" s="360">
        <f>SUM(D11:D14)</f>
        <v>2854094</v>
      </c>
      <c r="E15" s="361">
        <f>SUM(E11:E14)</f>
        <v>4305223</v>
      </c>
      <c r="F15" s="362">
        <f>A3</f>
        <v>9280000</v>
      </c>
    </row>
    <row r="16" spans="1:12" ht="15" x14ac:dyDescent="0.25">
      <c r="A16" s="397"/>
      <c r="B16" s="363"/>
      <c r="C16" s="363"/>
      <c r="D16" s="363"/>
      <c r="E16" s="363"/>
      <c r="F16" s="363"/>
    </row>
    <row r="17" spans="1:6" ht="15" x14ac:dyDescent="0.25">
      <c r="A17" s="382"/>
      <c r="B17" s="382"/>
      <c r="C17" s="382"/>
      <c r="D17" s="382"/>
      <c r="E17" s="398" t="s">
        <v>114</v>
      </c>
      <c r="F17" s="399">
        <f>SUM(F11:F14)</f>
        <v>9280000</v>
      </c>
    </row>
    <row r="18" spans="1:6" ht="15" x14ac:dyDescent="0.2">
      <c r="A18" s="486" t="s">
        <v>163</v>
      </c>
      <c r="B18" s="486"/>
      <c r="C18" s="486"/>
      <c r="D18" s="486"/>
      <c r="E18" s="486"/>
      <c r="F18" s="486"/>
    </row>
    <row r="19" spans="1:6" ht="15" x14ac:dyDescent="0.2">
      <c r="A19" s="495" t="s">
        <v>164</v>
      </c>
      <c r="B19" s="495"/>
      <c r="C19" s="495"/>
      <c r="D19" s="495"/>
      <c r="E19" s="495"/>
      <c r="F19" s="495"/>
    </row>
    <row r="20" spans="1:6" ht="15.75" thickBot="1" x14ac:dyDescent="0.25">
      <c r="A20" s="400"/>
      <c r="B20" s="401"/>
      <c r="C20" s="401"/>
      <c r="D20" s="401"/>
      <c r="E20" s="401"/>
      <c r="F20" s="401"/>
    </row>
    <row r="21" spans="1:6" ht="15" x14ac:dyDescent="0.25">
      <c r="A21" s="492" t="s">
        <v>165</v>
      </c>
      <c r="B21" s="493"/>
      <c r="C21" s="493"/>
      <c r="D21" s="493"/>
      <c r="E21" s="493"/>
      <c r="F21" s="494"/>
    </row>
    <row r="22" spans="1:6" ht="15" x14ac:dyDescent="0.25">
      <c r="A22" s="402"/>
      <c r="B22" s="403"/>
      <c r="C22" s="403"/>
      <c r="D22" s="403"/>
      <c r="E22" s="403"/>
      <c r="F22" s="404"/>
    </row>
    <row r="23" spans="1:6" ht="15" x14ac:dyDescent="0.25">
      <c r="A23" s="502" t="s">
        <v>166</v>
      </c>
      <c r="B23" s="503"/>
      <c r="C23" s="503"/>
      <c r="D23" s="503"/>
      <c r="E23" s="503"/>
      <c r="F23" s="404" t="s">
        <v>167</v>
      </c>
    </row>
    <row r="24" spans="1:6" ht="15" x14ac:dyDescent="0.25">
      <c r="A24" s="402"/>
      <c r="B24" s="403"/>
      <c r="C24" s="403"/>
      <c r="D24" s="403"/>
      <c r="E24" s="403"/>
      <c r="F24" s="404"/>
    </row>
    <row r="25" spans="1:6" ht="45" x14ac:dyDescent="0.25">
      <c r="A25" s="364"/>
      <c r="B25" s="365"/>
      <c r="C25" s="403" t="s">
        <v>115</v>
      </c>
      <c r="D25" s="403" t="s">
        <v>116</v>
      </c>
      <c r="E25" s="403" t="s">
        <v>117</v>
      </c>
      <c r="F25" s="405" t="s">
        <v>168</v>
      </c>
    </row>
    <row r="26" spans="1:6" ht="15" x14ac:dyDescent="0.2">
      <c r="A26" s="504" t="s">
        <v>169</v>
      </c>
      <c r="B26" s="486"/>
      <c r="C26" s="406" t="s">
        <v>64</v>
      </c>
      <c r="D26" s="406" t="s">
        <v>64</v>
      </c>
      <c r="E26" s="406" t="s">
        <v>64</v>
      </c>
      <c r="F26" s="407" t="s">
        <v>170</v>
      </c>
    </row>
    <row r="27" spans="1:6" ht="15" x14ac:dyDescent="0.2">
      <c r="A27" s="364" t="s">
        <v>171</v>
      </c>
      <c r="B27" s="365"/>
      <c r="C27" s="425"/>
      <c r="D27" s="425"/>
      <c r="E27" s="366"/>
      <c r="F27" s="367"/>
    </row>
    <row r="28" spans="1:6" ht="15" x14ac:dyDescent="0.2">
      <c r="A28" s="364" t="s">
        <v>172</v>
      </c>
      <c r="B28" s="365"/>
      <c r="C28" s="426"/>
      <c r="D28" s="426"/>
      <c r="E28" s="366"/>
      <c r="F28" s="367"/>
    </row>
    <row r="29" spans="1:6" ht="15.75" thickBot="1" x14ac:dyDescent="0.25">
      <c r="A29" s="368" t="s">
        <v>173</v>
      </c>
      <c r="B29" s="369"/>
      <c r="C29" s="427"/>
      <c r="D29" s="427"/>
      <c r="E29" s="366"/>
      <c r="F29" s="367"/>
    </row>
    <row r="30" spans="1:6" ht="16.5" thickTop="1" thickBot="1" x14ac:dyDescent="0.3">
      <c r="A30" s="505" t="s">
        <v>174</v>
      </c>
      <c r="B30" s="506"/>
      <c r="C30" s="370">
        <f>SUM(C27:C29)</f>
        <v>0</v>
      </c>
      <c r="D30" s="370">
        <f>SUM(D27:D29)</f>
        <v>0</v>
      </c>
      <c r="E30" s="370">
        <f>C30-D30</f>
        <v>0</v>
      </c>
      <c r="F30" s="371">
        <f>IF(D30=0,0,IF(F23="net",0,E30/D30))</f>
        <v>0</v>
      </c>
    </row>
    <row r="31" spans="1:6" ht="15" x14ac:dyDescent="0.25">
      <c r="A31" s="374"/>
      <c r="B31" s="374"/>
      <c r="C31" s="372"/>
      <c r="D31" s="372"/>
      <c r="E31" s="372"/>
      <c r="F31" s="373"/>
    </row>
    <row r="32" spans="1:6" ht="15" x14ac:dyDescent="0.2">
      <c r="A32" s="486" t="s">
        <v>175</v>
      </c>
      <c r="B32" s="486"/>
      <c r="C32" s="486"/>
      <c r="D32" s="486"/>
      <c r="E32" s="486"/>
      <c r="F32" s="486"/>
    </row>
    <row r="33" spans="1:6" ht="15" x14ac:dyDescent="0.2">
      <c r="A33" s="486" t="s">
        <v>176</v>
      </c>
      <c r="B33" s="486"/>
      <c r="C33" s="486"/>
      <c r="D33" s="486"/>
      <c r="E33" s="486"/>
      <c r="F33" s="486"/>
    </row>
    <row r="34" spans="1:6" ht="15.75" thickBot="1" x14ac:dyDescent="0.3">
      <c r="A34" s="374"/>
      <c r="B34" s="374"/>
      <c r="C34" s="372"/>
      <c r="D34" s="372"/>
      <c r="E34" s="372"/>
      <c r="F34" s="373"/>
    </row>
    <row r="35" spans="1:6" ht="15" x14ac:dyDescent="0.2">
      <c r="A35" s="507" t="s">
        <v>177</v>
      </c>
      <c r="B35" s="508"/>
      <c r="C35" s="508"/>
      <c r="D35" s="508"/>
      <c r="E35" s="508"/>
      <c r="F35" s="509"/>
    </row>
    <row r="36" spans="1:6" ht="15" x14ac:dyDescent="0.2">
      <c r="A36" s="408"/>
      <c r="B36" s="375">
        <v>2011</v>
      </c>
      <c r="C36" s="375">
        <v>2012</v>
      </c>
      <c r="D36" s="375">
        <v>2013</v>
      </c>
      <c r="E36" s="375">
        <v>2014</v>
      </c>
      <c r="F36" s="376"/>
    </row>
    <row r="37" spans="1:6" ht="60" x14ac:dyDescent="0.2">
      <c r="A37" s="409" t="s">
        <v>178</v>
      </c>
      <c r="B37" s="434">
        <v>0</v>
      </c>
      <c r="C37" s="434">
        <v>0.5</v>
      </c>
      <c r="D37" s="434">
        <v>1</v>
      </c>
      <c r="E37" s="434">
        <v>0.5</v>
      </c>
      <c r="F37" s="377" t="s">
        <v>179</v>
      </c>
    </row>
    <row r="38" spans="1:6" ht="135.75" thickBot="1" x14ac:dyDescent="0.25">
      <c r="A38" s="410" t="s">
        <v>180</v>
      </c>
      <c r="B38" s="411" t="s">
        <v>181</v>
      </c>
      <c r="C38" s="411" t="s">
        <v>182</v>
      </c>
      <c r="D38" s="411" t="s">
        <v>183</v>
      </c>
      <c r="E38" s="411" t="s">
        <v>184</v>
      </c>
      <c r="F38" s="371"/>
    </row>
    <row r="39" spans="1:6" ht="15" x14ac:dyDescent="0.2">
      <c r="A39" s="374"/>
      <c r="B39" s="412"/>
      <c r="C39" s="412"/>
      <c r="D39" s="412"/>
      <c r="E39" s="412"/>
      <c r="F39" s="373"/>
    </row>
    <row r="40" spans="1:6" ht="15" x14ac:dyDescent="0.2">
      <c r="A40" s="413"/>
      <c r="B40" s="412"/>
      <c r="C40" s="412"/>
      <c r="D40" s="412"/>
      <c r="E40" s="412"/>
      <c r="F40" s="373"/>
    </row>
    <row r="41" spans="1:6" ht="15" x14ac:dyDescent="0.2">
      <c r="A41" s="495" t="s">
        <v>185</v>
      </c>
      <c r="B41" s="495"/>
      <c r="C41" s="495"/>
      <c r="D41" s="495"/>
      <c r="E41" s="495"/>
      <c r="F41" s="495"/>
    </row>
    <row r="42" spans="1:6" ht="15" x14ac:dyDescent="0.25">
      <c r="A42" s="382"/>
      <c r="B42" s="382"/>
      <c r="C42" s="382"/>
      <c r="D42" s="382"/>
      <c r="E42" s="382"/>
      <c r="F42" s="382"/>
    </row>
    <row r="43" spans="1:6" ht="15" x14ac:dyDescent="0.25">
      <c r="A43" s="414" t="s">
        <v>186</v>
      </c>
      <c r="B43" s="382"/>
      <c r="C43" s="382"/>
      <c r="D43" s="382"/>
      <c r="E43" s="382"/>
      <c r="F43" s="382"/>
    </row>
    <row r="44" spans="1:6" ht="15" x14ac:dyDescent="0.25">
      <c r="A44" s="382"/>
      <c r="B44" s="382"/>
      <c r="C44" s="382"/>
      <c r="D44" s="382"/>
      <c r="E44" s="382"/>
      <c r="F44" s="382"/>
    </row>
    <row r="45" spans="1:6" ht="15" x14ac:dyDescent="0.2">
      <c r="A45" s="486" t="s">
        <v>187</v>
      </c>
      <c r="B45" s="486"/>
      <c r="C45" s="486"/>
      <c r="D45" s="486"/>
      <c r="E45" s="486"/>
      <c r="F45" s="486"/>
    </row>
    <row r="46" spans="1:6" ht="15" x14ac:dyDescent="0.25">
      <c r="A46" s="382"/>
      <c r="B46" s="382"/>
      <c r="C46" s="382"/>
      <c r="D46" s="382"/>
      <c r="E46" s="382"/>
      <c r="F46" s="382"/>
    </row>
    <row r="47" spans="1:6" ht="15" x14ac:dyDescent="0.2">
      <c r="A47" s="486" t="s">
        <v>188</v>
      </c>
      <c r="B47" s="486"/>
      <c r="C47" s="486"/>
      <c r="D47" s="486"/>
      <c r="E47" s="486"/>
      <c r="F47" s="486"/>
    </row>
    <row r="48" spans="1:6" ht="15" x14ac:dyDescent="0.25">
      <c r="A48" s="382"/>
      <c r="B48" s="382"/>
      <c r="C48" s="382"/>
      <c r="D48" s="382"/>
      <c r="E48" s="382"/>
      <c r="F48" s="382"/>
    </row>
    <row r="49" spans="1:6" ht="15" x14ac:dyDescent="0.2">
      <c r="A49" s="486" t="s">
        <v>189</v>
      </c>
      <c r="B49" s="486"/>
      <c r="C49" s="486"/>
      <c r="D49" s="486"/>
      <c r="E49" s="486"/>
      <c r="F49" s="486"/>
    </row>
    <row r="50" spans="1:6" ht="15.75" thickBot="1" x14ac:dyDescent="0.3">
      <c r="A50" s="374"/>
      <c r="B50" s="374"/>
      <c r="C50" s="372"/>
      <c r="D50" s="372"/>
      <c r="E50" s="372"/>
      <c r="F50" s="373"/>
    </row>
    <row r="51" spans="1:6" ht="15" x14ac:dyDescent="0.25">
      <c r="A51" s="415"/>
      <c r="B51" s="416">
        <v>2011</v>
      </c>
      <c r="C51" s="416">
        <v>2012</v>
      </c>
      <c r="D51" s="416">
        <v>2013</v>
      </c>
      <c r="E51" s="416">
        <v>2014</v>
      </c>
      <c r="F51" s="417" t="s">
        <v>118</v>
      </c>
    </row>
    <row r="52" spans="1:6" ht="15" x14ac:dyDescent="0.25">
      <c r="A52" s="387"/>
      <c r="B52" s="487" t="s">
        <v>64</v>
      </c>
      <c r="C52" s="487"/>
      <c r="D52" s="487"/>
      <c r="E52" s="487"/>
      <c r="F52" s="488"/>
    </row>
    <row r="53" spans="1:6" ht="45" x14ac:dyDescent="0.25">
      <c r="A53" s="418" t="s">
        <v>190</v>
      </c>
      <c r="B53" s="419">
        <f>E11</f>
        <v>717718</v>
      </c>
      <c r="C53" s="419">
        <f>E12</f>
        <v>685247</v>
      </c>
      <c r="D53" s="419">
        <f>E13</f>
        <v>1451129</v>
      </c>
      <c r="E53" s="419">
        <f>E14</f>
        <v>1451129</v>
      </c>
      <c r="F53" s="420">
        <f>SUM(B53:E53)</f>
        <v>4305223</v>
      </c>
    </row>
    <row r="54" spans="1:6" ht="15" x14ac:dyDescent="0.25">
      <c r="A54" s="387"/>
      <c r="B54" s="421"/>
      <c r="C54" s="421"/>
      <c r="D54" s="421"/>
      <c r="E54" s="421"/>
      <c r="F54" s="422"/>
    </row>
    <row r="55" spans="1:6" ht="45" x14ac:dyDescent="0.25">
      <c r="A55" s="418" t="s">
        <v>191</v>
      </c>
      <c r="B55" s="378">
        <f>B53*(1+F30)*B37</f>
        <v>0</v>
      </c>
      <c r="C55" s="378">
        <f>C53*(1+F30)*C37</f>
        <v>342623.5</v>
      </c>
      <c r="D55" s="378">
        <f>D53*(1+F30)*D37</f>
        <v>1451129</v>
      </c>
      <c r="E55" s="378">
        <f>E53*(1+F30)*E37</f>
        <v>725564.5</v>
      </c>
      <c r="F55" s="379">
        <f>SUM(B55:E55)</f>
        <v>2519317</v>
      </c>
    </row>
    <row r="56" spans="1:6" ht="15" x14ac:dyDescent="0.25">
      <c r="A56" s="418"/>
      <c r="B56" s="378"/>
      <c r="C56" s="378"/>
      <c r="D56" s="378"/>
      <c r="E56" s="378"/>
      <c r="F56" s="379"/>
    </row>
    <row r="57" spans="1:6" ht="15" x14ac:dyDescent="0.25">
      <c r="A57" s="418" t="s">
        <v>192</v>
      </c>
      <c r="B57" s="423">
        <v>3.73E-2</v>
      </c>
      <c r="C57" s="378" t="s">
        <v>193</v>
      </c>
      <c r="D57" s="380"/>
      <c r="E57" s="378"/>
      <c r="F57" s="379"/>
    </row>
    <row r="58" spans="1:6" ht="45" x14ac:dyDescent="0.25">
      <c r="A58" s="418" t="s">
        <v>194</v>
      </c>
      <c r="B58" s="378">
        <f>B55*(1+$B57)</f>
        <v>0</v>
      </c>
      <c r="C58" s="378">
        <f>C55*(1+$B57)</f>
        <v>355403.35655000003</v>
      </c>
      <c r="D58" s="378">
        <f>D55*(1+$B57)</f>
        <v>1505256.1117000002</v>
      </c>
      <c r="E58" s="378">
        <f>E55*(1+$B57)</f>
        <v>752628.05585000012</v>
      </c>
      <c r="F58" s="379">
        <f>SUM(B58:E58)</f>
        <v>2613287.5241000005</v>
      </c>
    </row>
    <row r="59" spans="1:6" ht="15.75" thickBot="1" x14ac:dyDescent="0.25">
      <c r="A59" s="489" t="s">
        <v>195</v>
      </c>
      <c r="B59" s="490"/>
      <c r="C59" s="490"/>
      <c r="D59" s="490"/>
      <c r="E59" s="490"/>
      <c r="F59" s="491"/>
    </row>
    <row r="60" spans="1:6" ht="15" x14ac:dyDescent="0.25">
      <c r="A60" s="382"/>
      <c r="B60" s="382"/>
      <c r="C60" s="382"/>
      <c r="D60" s="382"/>
      <c r="E60" s="382"/>
      <c r="F60" s="382"/>
    </row>
    <row r="61" spans="1:6" ht="15" x14ac:dyDescent="0.25">
      <c r="A61" s="424"/>
      <c r="B61" s="382"/>
      <c r="C61" s="382"/>
      <c r="D61" s="382"/>
      <c r="E61" s="382"/>
      <c r="F61" s="382"/>
    </row>
    <row r="62" spans="1:6" ht="15" x14ac:dyDescent="0.25">
      <c r="A62" s="382"/>
      <c r="B62" s="382"/>
      <c r="C62" s="382"/>
      <c r="D62" s="382"/>
      <c r="E62" s="382"/>
      <c r="F62" s="382"/>
    </row>
    <row r="63" spans="1:6" ht="15" x14ac:dyDescent="0.25">
      <c r="A63" s="382"/>
      <c r="B63" s="382"/>
      <c r="C63" s="382"/>
      <c r="D63" s="382"/>
      <c r="E63" s="382"/>
      <c r="F63" s="382"/>
    </row>
    <row r="64" spans="1:6" ht="15" x14ac:dyDescent="0.25">
      <c r="A64" s="382"/>
      <c r="B64" s="382"/>
      <c r="C64" s="382"/>
      <c r="D64" s="382"/>
      <c r="E64" s="382"/>
      <c r="F64" s="382"/>
    </row>
    <row r="65" spans="1:6" ht="15" x14ac:dyDescent="0.25">
      <c r="A65" s="382"/>
      <c r="B65" s="382"/>
      <c r="C65" s="382"/>
      <c r="D65" s="382"/>
      <c r="E65" s="382"/>
      <c r="F65" s="382"/>
    </row>
    <row r="66" spans="1:6" ht="15" x14ac:dyDescent="0.25">
      <c r="A66" s="382"/>
      <c r="B66" s="382"/>
      <c r="C66" s="382"/>
      <c r="D66" s="382"/>
      <c r="E66" s="382"/>
      <c r="F66" s="382"/>
    </row>
    <row r="67" spans="1:6" ht="15" x14ac:dyDescent="0.25">
      <c r="A67" s="382"/>
      <c r="B67" s="382"/>
      <c r="C67" s="382"/>
      <c r="D67" s="382"/>
      <c r="E67" s="382"/>
      <c r="F67" s="382"/>
    </row>
    <row r="68" spans="1:6" ht="15" x14ac:dyDescent="0.25">
      <c r="A68" s="382"/>
      <c r="B68" s="382"/>
      <c r="C68" s="382"/>
      <c r="D68" s="382"/>
      <c r="E68" s="382"/>
      <c r="F68" s="382"/>
    </row>
    <row r="69" spans="1:6" ht="15" x14ac:dyDescent="0.25">
      <c r="A69" s="382"/>
      <c r="B69" s="382"/>
      <c r="C69" s="382"/>
      <c r="D69" s="382"/>
      <c r="E69" s="382"/>
      <c r="F69" s="382"/>
    </row>
    <row r="70" spans="1:6" ht="15" x14ac:dyDescent="0.25">
      <c r="A70" s="382"/>
      <c r="B70" s="382"/>
      <c r="C70" s="382"/>
      <c r="D70" s="382"/>
      <c r="E70" s="382"/>
      <c r="F70" s="382"/>
    </row>
    <row r="71" spans="1:6" ht="15" x14ac:dyDescent="0.25">
      <c r="A71" s="382"/>
      <c r="B71" s="382"/>
      <c r="C71" s="382"/>
      <c r="D71" s="382"/>
      <c r="E71" s="382"/>
      <c r="F71" s="382"/>
    </row>
    <row r="72" spans="1:6" ht="15" x14ac:dyDescent="0.25">
      <c r="A72" s="382"/>
      <c r="B72" s="382"/>
      <c r="C72" s="382"/>
      <c r="D72" s="382"/>
      <c r="E72" s="382"/>
      <c r="F72" s="382"/>
    </row>
    <row r="73" spans="1:6" ht="15" x14ac:dyDescent="0.25">
      <c r="A73" s="382"/>
      <c r="B73" s="382"/>
      <c r="C73" s="382"/>
      <c r="D73" s="382"/>
      <c r="E73" s="382"/>
      <c r="F73" s="382"/>
    </row>
  </sheetData>
  <mergeCells count="18">
    <mergeCell ref="A2:F2"/>
    <mergeCell ref="A41:F41"/>
    <mergeCell ref="A3:F3"/>
    <mergeCell ref="A10:F10"/>
    <mergeCell ref="A18:F18"/>
    <mergeCell ref="A19:F19"/>
    <mergeCell ref="A21:F21"/>
    <mergeCell ref="A23:E23"/>
    <mergeCell ref="A26:B26"/>
    <mergeCell ref="A30:B30"/>
    <mergeCell ref="A32:F32"/>
    <mergeCell ref="A33:F33"/>
    <mergeCell ref="A35:F35"/>
    <mergeCell ref="A45:F45"/>
    <mergeCell ref="A47:F47"/>
    <mergeCell ref="A49:F49"/>
    <mergeCell ref="B52:F52"/>
    <mergeCell ref="A59:F59"/>
  </mergeCells>
  <dataValidations count="2">
    <dataValidation type="list" allowBlank="1" showInputMessage="1" showErrorMessage="1" sqref="F23">
      <formula1>"net,gross"</formula1>
      <formula2>0</formula2>
    </dataValidation>
    <dataValidation type="list" allowBlank="1" showInputMessage="1" showErrorMessage="1" sqref="B37:E37">
      <formula1>"0,0.5,1"</formula1>
      <formula2>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L31"/>
  <sheetViews>
    <sheetView showGridLines="0" zoomScaleNormal="100" workbookViewId="0">
      <selection activeCell="E35" sqref="E35"/>
    </sheetView>
  </sheetViews>
  <sheetFormatPr defaultRowHeight="12.75" x14ac:dyDescent="0.2"/>
  <cols>
    <col min="1" max="1" width="9.33203125" style="3"/>
    <col min="2" max="2" width="44.6640625" style="3" bestFit="1" customWidth="1"/>
    <col min="3" max="7" width="17.6640625" style="3" customWidth="1"/>
    <col min="8" max="8" width="18.5" style="3" customWidth="1"/>
    <col min="9" max="9" width="4.5" style="3" customWidth="1"/>
    <col min="10" max="11" width="18.5" style="3" customWidth="1"/>
    <col min="12" max="12" width="21.83203125" style="3" bestFit="1" customWidth="1"/>
    <col min="13" max="18" width="18.5" style="3" customWidth="1"/>
    <col min="19" max="16384" width="9.33203125" style="3"/>
  </cols>
  <sheetData>
    <row r="2" spans="2:12" ht="15.75" x14ac:dyDescent="0.2">
      <c r="B2" s="153" t="s">
        <v>196</v>
      </c>
    </row>
    <row r="6" spans="2:12" ht="13.5" customHeight="1" thickBot="1" x14ac:dyDescent="0.25">
      <c r="B6" s="514" t="s">
        <v>145</v>
      </c>
      <c r="C6" s="515"/>
      <c r="D6" s="515"/>
      <c r="E6" s="515"/>
      <c r="F6" s="515"/>
      <c r="G6" s="515"/>
      <c r="H6" s="516"/>
      <c r="J6" s="513" t="s">
        <v>120</v>
      </c>
      <c r="K6" s="513"/>
      <c r="L6" s="513"/>
    </row>
    <row r="7" spans="2:12" x14ac:dyDescent="0.2">
      <c r="B7" s="338"/>
      <c r="C7" s="339"/>
      <c r="D7" s="517" t="s">
        <v>104</v>
      </c>
      <c r="E7" s="518"/>
      <c r="F7" s="519"/>
      <c r="G7" s="517" t="s">
        <v>144</v>
      </c>
      <c r="H7" s="520"/>
      <c r="J7" s="510" t="s">
        <v>50</v>
      </c>
      <c r="K7" s="511"/>
      <c r="L7" s="512"/>
    </row>
    <row r="8" spans="2:12" ht="13.5" thickBot="1" x14ac:dyDescent="0.25">
      <c r="B8" s="332" t="s">
        <v>64</v>
      </c>
      <c r="C8" s="333" t="s">
        <v>52</v>
      </c>
      <c r="D8" s="333">
        <v>2010</v>
      </c>
      <c r="E8" s="333">
        <v>2011</v>
      </c>
      <c r="F8" s="333">
        <v>2012</v>
      </c>
      <c r="G8" s="333">
        <v>2013</v>
      </c>
      <c r="H8" s="334">
        <v>2014</v>
      </c>
      <c r="J8" s="335" t="s">
        <v>121</v>
      </c>
      <c r="K8" s="336" t="s">
        <v>122</v>
      </c>
      <c r="L8" s="337">
        <v>2014</v>
      </c>
    </row>
    <row r="9" spans="2:12" x14ac:dyDescent="0.2">
      <c r="B9" s="161" t="s">
        <v>11</v>
      </c>
      <c r="C9" s="162" t="s">
        <v>64</v>
      </c>
      <c r="D9" s="206">
        <f>'Result - AvgPerCust'!D12</f>
        <v>50277839</v>
      </c>
      <c r="E9" s="206">
        <f>'Result - AvgPerCust'!D13</f>
        <v>51273093</v>
      </c>
      <c r="F9" s="206">
        <f>'Result - AvgPerCust'!D14</f>
        <v>51132834</v>
      </c>
      <c r="G9" s="216">
        <f>'Result - AvgPerCust'!E15</f>
        <v>56412953.229867883</v>
      </c>
      <c r="H9" s="217">
        <f>'Result - AvgPerCust'!E16</f>
        <v>56622192.10631045</v>
      </c>
      <c r="J9" s="198">
        <f>H9/$H$21</f>
        <v>0.34546533458313461</v>
      </c>
      <c r="K9" s="199">
        <f>J9*$K$21</f>
        <v>870336.69032597891</v>
      </c>
      <c r="L9" s="197">
        <f>H9-K9</f>
        <v>55751855.415984474</v>
      </c>
    </row>
    <row r="10" spans="2:12" x14ac:dyDescent="0.2">
      <c r="B10" s="159"/>
      <c r="C10" s="152"/>
      <c r="D10" s="207"/>
      <c r="E10" s="207"/>
      <c r="F10" s="207"/>
      <c r="G10" s="218"/>
      <c r="H10" s="219"/>
      <c r="J10" s="200"/>
      <c r="K10" s="201"/>
      <c r="L10" s="195"/>
    </row>
    <row r="11" spans="2:12" x14ac:dyDescent="0.2">
      <c r="B11" s="190" t="s">
        <v>5</v>
      </c>
      <c r="C11" s="152" t="s">
        <v>64</v>
      </c>
      <c r="D11" s="207">
        <f>'Result - AvgPerCust'!H12</f>
        <v>19562613</v>
      </c>
      <c r="E11" s="207">
        <f>'Result - AvgPerCust'!H13</f>
        <v>18457375</v>
      </c>
      <c r="F11" s="207">
        <f>'Result - AvgPerCust'!H14</f>
        <v>18531354</v>
      </c>
      <c r="G11" s="218">
        <f>'Result - AvgPerCust'!I15</f>
        <v>20754464.663283795</v>
      </c>
      <c r="H11" s="219">
        <f>'Result - AvgPerCust'!I16</f>
        <v>20362039.962310683</v>
      </c>
      <c r="J11" s="202">
        <f>H11/$H$21</f>
        <v>0.12423360323400209</v>
      </c>
      <c r="K11" s="203">
        <f>J11*$K$21</f>
        <v>312983.82859867642</v>
      </c>
      <c r="L11" s="195">
        <f>H11-K11</f>
        <v>20049056.133712005</v>
      </c>
    </row>
    <row r="12" spans="2:12" x14ac:dyDescent="0.2">
      <c r="B12" s="159"/>
      <c r="C12" s="152"/>
      <c r="D12" s="207"/>
      <c r="E12" s="207"/>
      <c r="F12" s="207"/>
      <c r="G12" s="218"/>
      <c r="H12" s="219"/>
      <c r="J12" s="202"/>
      <c r="K12" s="201"/>
      <c r="L12" s="195"/>
    </row>
    <row r="13" spans="2:12" x14ac:dyDescent="0.2">
      <c r="B13" s="190" t="s">
        <v>6</v>
      </c>
      <c r="C13" s="152" t="s">
        <v>64</v>
      </c>
      <c r="D13" s="207">
        <f>'Result - AvgPerCust'!L12</f>
        <v>80745583</v>
      </c>
      <c r="E13" s="207">
        <f>'Result - AvgPerCust'!L13</f>
        <v>82739387</v>
      </c>
      <c r="F13" s="207">
        <f>'Result - AvgPerCust'!L14</f>
        <v>77875019</v>
      </c>
      <c r="G13" s="218">
        <f>'Result - AvgPerCust'!N15</f>
        <v>85290680.17802614</v>
      </c>
      <c r="H13" s="219">
        <f>'Result - AvgPerCust'!N16</f>
        <v>85431180.353043929</v>
      </c>
      <c r="J13" s="202">
        <f>H13/$H$21</f>
        <v>0.52123575945423706</v>
      </c>
      <c r="K13" s="203">
        <f>J13*$K$21</f>
        <v>1313158.1098009702</v>
      </c>
      <c r="L13" s="195">
        <f>H13-K13</f>
        <v>84118022.243242964</v>
      </c>
    </row>
    <row r="14" spans="2:12" x14ac:dyDescent="0.2">
      <c r="B14" s="159"/>
      <c r="C14" s="152"/>
      <c r="D14" s="207"/>
      <c r="E14" s="207"/>
      <c r="F14" s="207"/>
      <c r="G14" s="218"/>
      <c r="H14" s="219"/>
      <c r="J14" s="202"/>
      <c r="K14" s="201"/>
      <c r="L14" s="195"/>
    </row>
    <row r="15" spans="2:12" x14ac:dyDescent="0.2">
      <c r="B15" s="159" t="s">
        <v>73</v>
      </c>
      <c r="C15" s="152" t="s">
        <v>64</v>
      </c>
      <c r="D15" s="207">
        <f>'Result - AvgPerCust'!D27</f>
        <v>1156978</v>
      </c>
      <c r="E15" s="207">
        <f>'Result - AvgPerCust'!D28</f>
        <v>1343667</v>
      </c>
      <c r="F15" s="207">
        <f>'Result - AvgPerCust'!F29</f>
        <v>1355855</v>
      </c>
      <c r="G15" s="207">
        <f>'Result - AvgPerCust'!F30</f>
        <v>1150473.3263576643</v>
      </c>
      <c r="H15" s="304">
        <f>'Result - AvgPerCust'!F31</f>
        <v>1155227.3483674068</v>
      </c>
      <c r="J15" s="202">
        <f>H15/$H$21</f>
        <v>7.0483142311767817E-3</v>
      </c>
      <c r="K15" s="203">
        <f>J15*$K$21</f>
        <v>17756.937863945597</v>
      </c>
      <c r="L15" s="195">
        <f>H15-K15</f>
        <v>1137470.4105034613</v>
      </c>
    </row>
    <row r="16" spans="2:12" x14ac:dyDescent="0.2">
      <c r="B16" s="159"/>
      <c r="C16" s="152"/>
      <c r="D16" s="207"/>
      <c r="E16" s="207"/>
      <c r="F16" s="207"/>
      <c r="G16" s="218"/>
      <c r="H16" s="219"/>
      <c r="J16" s="202"/>
      <c r="K16" s="201"/>
      <c r="L16" s="195"/>
    </row>
    <row r="17" spans="2:12" x14ac:dyDescent="0.2">
      <c r="B17" s="190" t="s">
        <v>131</v>
      </c>
      <c r="C17" s="152" t="s">
        <v>64</v>
      </c>
      <c r="D17" s="207">
        <f>'Result - AvgPerCust'!M27</f>
        <v>105383</v>
      </c>
      <c r="E17" s="207">
        <f>'Result - AvgPerCust'!M28</f>
        <v>102889</v>
      </c>
      <c r="F17" s="207">
        <f>'Result - AvgPerCust'!M29</f>
        <v>102354</v>
      </c>
      <c r="G17" s="207">
        <f>'Result - AvgPerCust'!M30</f>
        <v>106348.88888888889</v>
      </c>
      <c r="H17" s="304">
        <f>'Result - AvgPerCust'!M31</f>
        <v>106348.88888888889</v>
      </c>
      <c r="J17" s="202">
        <f>H17/$H$21</f>
        <v>6.4885962757436249E-4</v>
      </c>
      <c r="K17" s="203">
        <f>J17*$K$21</f>
        <v>1634.6830903617602</v>
      </c>
      <c r="L17" s="195">
        <f>H17-K17</f>
        <v>104714.20579852712</v>
      </c>
    </row>
    <row r="18" spans="2:12" x14ac:dyDescent="0.2">
      <c r="B18" s="192"/>
      <c r="C18" s="193"/>
      <c r="D18" s="220"/>
      <c r="E18" s="220"/>
      <c r="F18" s="220"/>
      <c r="G18" s="221"/>
      <c r="H18" s="222"/>
      <c r="J18" s="202"/>
      <c r="K18" s="203"/>
      <c r="L18" s="195"/>
    </row>
    <row r="19" spans="2:12" x14ac:dyDescent="0.2">
      <c r="B19" s="303" t="s">
        <v>7</v>
      </c>
      <c r="C19" s="152" t="s">
        <v>64</v>
      </c>
      <c r="D19" s="220">
        <f>'Result - AvgPerCust'!R27</f>
        <v>242514</v>
      </c>
      <c r="E19" s="220">
        <f>'Result - AvgPerCust'!R28</f>
        <v>215299</v>
      </c>
      <c r="F19" s="220">
        <f>'Result - AvgPerCust'!R29</f>
        <v>214901</v>
      </c>
      <c r="G19" s="220">
        <f>'Result - AvgPerCust'!R30</f>
        <v>224238</v>
      </c>
      <c r="H19" s="305">
        <f>'Result - AvgPerCust'!R31</f>
        <v>224238</v>
      </c>
      <c r="J19" s="202">
        <f>H19/$H$21</f>
        <v>1.3681288698750226E-3</v>
      </c>
      <c r="K19" s="203">
        <f>J19*$K$21</f>
        <v>3446.7503200669325</v>
      </c>
      <c r="L19" s="195">
        <f>H19-K19</f>
        <v>220791.24967993307</v>
      </c>
    </row>
    <row r="20" spans="2:12" x14ac:dyDescent="0.2">
      <c r="B20" s="192"/>
      <c r="C20" s="193"/>
      <c r="D20" s="220"/>
      <c r="E20" s="220"/>
      <c r="F20" s="220"/>
      <c r="G20" s="221"/>
      <c r="H20" s="222"/>
      <c r="J20" s="202"/>
      <c r="K20" s="201"/>
      <c r="L20" s="195"/>
    </row>
    <row r="21" spans="2:12" ht="13.5" thickBot="1" x14ac:dyDescent="0.25">
      <c r="B21" s="191" t="s">
        <v>34</v>
      </c>
      <c r="C21" s="160"/>
      <c r="D21" s="208">
        <f>SUM(D9:D19)</f>
        <v>152090910</v>
      </c>
      <c r="E21" s="208">
        <f>SUM(E9:E19)</f>
        <v>154131710</v>
      </c>
      <c r="F21" s="208">
        <f>SUM(F9:F19)</f>
        <v>149212317</v>
      </c>
      <c r="G21" s="208">
        <f>SUM(G9:G19)</f>
        <v>163939158.28642437</v>
      </c>
      <c r="H21" s="306">
        <f>SUM(H9:H19)</f>
        <v>163901226.65892136</v>
      </c>
      <c r="J21" s="204">
        <f>SUM(J9:J20)</f>
        <v>0.99999999999999989</v>
      </c>
      <c r="K21" s="205">
        <f>'CDM Calculations'!F55</f>
        <v>2519317</v>
      </c>
      <c r="L21" s="196">
        <f>H21-K21</f>
        <v>161381909.65892136</v>
      </c>
    </row>
    <row r="22" spans="2:12" s="140" customFormat="1" x14ac:dyDescent="0.2">
      <c r="B22" s="187"/>
      <c r="C22" s="187"/>
      <c r="D22" s="188"/>
      <c r="E22" s="188"/>
      <c r="F22" s="188"/>
      <c r="G22" s="189"/>
      <c r="H22" s="189"/>
    </row>
    <row r="23" spans="2:12" ht="13.5" thickBot="1" x14ac:dyDescent="0.25">
      <c r="L23" s="140"/>
    </row>
    <row r="24" spans="2:12" ht="13.5" thickBot="1" x14ac:dyDescent="0.25">
      <c r="B24" s="163"/>
      <c r="C24" s="164" t="s">
        <v>52</v>
      </c>
      <c r="D24" s="164">
        <v>2010</v>
      </c>
      <c r="E24" s="164">
        <v>2011</v>
      </c>
      <c r="F24" s="164">
        <v>2012</v>
      </c>
      <c r="G24" s="164">
        <v>2013</v>
      </c>
      <c r="H24" s="165">
        <v>2014</v>
      </c>
      <c r="J24" s="209"/>
      <c r="K24" s="209"/>
      <c r="L24" s="212"/>
    </row>
    <row r="25" spans="2:12" x14ac:dyDescent="0.2">
      <c r="B25" s="194" t="s">
        <v>6</v>
      </c>
      <c r="C25" s="162" t="s">
        <v>65</v>
      </c>
      <c r="D25" s="206">
        <f>'Result - AvgPerCust'!O12</f>
        <v>209711</v>
      </c>
      <c r="E25" s="206">
        <f>'Result - AvgPerCust'!O13</f>
        <v>211681</v>
      </c>
      <c r="F25" s="206">
        <f>'Result - AvgPerCust'!O14</f>
        <v>206655</v>
      </c>
      <c r="G25" s="206">
        <f>'Result - AvgPerCust'!O15</f>
        <v>212553.6404277299</v>
      </c>
      <c r="H25" s="302">
        <f>'Result - AvgPerCust'!O16</f>
        <v>212903.7821268983</v>
      </c>
      <c r="J25" s="210"/>
      <c r="K25" s="211"/>
      <c r="L25" s="213">
        <f>L13/H13*H25</f>
        <v>209631.24946432843</v>
      </c>
    </row>
    <row r="26" spans="2:12" x14ac:dyDescent="0.2">
      <c r="B26" s="159"/>
      <c r="C26" s="152"/>
      <c r="D26" s="207"/>
      <c r="E26" s="207"/>
      <c r="F26" s="207"/>
      <c r="G26" s="218"/>
      <c r="H26" s="219"/>
      <c r="J26" s="210"/>
      <c r="K26" s="211"/>
      <c r="L26" s="214"/>
    </row>
    <row r="27" spans="2:12" x14ac:dyDescent="0.2">
      <c r="B27" s="159" t="s">
        <v>73</v>
      </c>
      <c r="C27" s="152" t="s">
        <v>65</v>
      </c>
      <c r="D27" s="206">
        <f>'Result - AvgPerCust'!G27</f>
        <v>3194</v>
      </c>
      <c r="E27" s="206">
        <f>'Result - AvgPerCust'!G28</f>
        <v>3724</v>
      </c>
      <c r="F27" s="206">
        <f>'Result - AvgPerCust'!G29</f>
        <v>3748</v>
      </c>
      <c r="G27" s="206">
        <f>'Result - AvgPerCust'!G30</f>
        <v>3249.8777930661745</v>
      </c>
      <c r="H27" s="302">
        <f>'Result - AvgPerCust'!G31</f>
        <v>3263.30704014496</v>
      </c>
      <c r="J27" s="210"/>
      <c r="K27" s="211"/>
      <c r="L27" s="213">
        <f>L15/H15*H27</f>
        <v>3213.1469219442256</v>
      </c>
    </row>
    <row r="28" spans="2:12" x14ac:dyDescent="0.2">
      <c r="B28" s="159"/>
      <c r="C28" s="152"/>
      <c r="D28" s="207"/>
      <c r="E28" s="207"/>
      <c r="F28" s="207"/>
      <c r="G28" s="218"/>
      <c r="H28" s="219"/>
      <c r="J28" s="210"/>
      <c r="K28" s="211"/>
      <c r="L28" s="213"/>
    </row>
    <row r="29" spans="2:12" x14ac:dyDescent="0.2">
      <c r="B29" s="190" t="s">
        <v>131</v>
      </c>
      <c r="C29" s="57" t="s">
        <v>65</v>
      </c>
      <c r="D29" s="206">
        <f>'Result - AvgPerCust'!N27</f>
        <v>297</v>
      </c>
      <c r="E29" s="206">
        <f>'Result - AvgPerCust'!N28</f>
        <v>280</v>
      </c>
      <c r="F29" s="206">
        <f>'Result - AvgPerCust'!N29</f>
        <v>284</v>
      </c>
      <c r="G29" s="206">
        <f>'Result - AvgPerCust'!N30</f>
        <v>297</v>
      </c>
      <c r="H29" s="302">
        <f>'Result - AvgPerCust'!N31</f>
        <v>297</v>
      </c>
      <c r="J29" s="210"/>
      <c r="K29" s="211"/>
      <c r="L29" s="213">
        <f>L17/H17*H29</f>
        <v>292.43482886459975</v>
      </c>
    </row>
    <row r="30" spans="2:12" x14ac:dyDescent="0.2">
      <c r="B30" s="159"/>
      <c r="C30" s="152"/>
      <c r="D30" s="207"/>
      <c r="E30" s="207"/>
      <c r="F30" s="207"/>
      <c r="G30" s="218"/>
      <c r="H30" s="219"/>
      <c r="J30" s="210"/>
      <c r="K30" s="211"/>
      <c r="L30" s="214"/>
    </row>
    <row r="31" spans="2:12" ht="13.5" thickBot="1" x14ac:dyDescent="0.25">
      <c r="B31" s="191" t="s">
        <v>34</v>
      </c>
      <c r="C31" s="160"/>
      <c r="D31" s="208"/>
      <c r="E31" s="208"/>
      <c r="F31" s="208"/>
      <c r="G31" s="223"/>
      <c r="H31" s="224">
        <f>SUM(H25:H30)</f>
        <v>216464.08916704325</v>
      </c>
      <c r="J31" s="210"/>
      <c r="K31" s="211"/>
      <c r="L31" s="215">
        <f>SUM(L25:L30)</f>
        <v>213136.83121513727</v>
      </c>
    </row>
  </sheetData>
  <mergeCells count="5">
    <mergeCell ref="J7:L7"/>
    <mergeCell ref="J6:L6"/>
    <mergeCell ref="B6:H6"/>
    <mergeCell ref="D7:F7"/>
    <mergeCell ref="G7:H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3:K31"/>
  <sheetViews>
    <sheetView tabSelected="1" workbookViewId="0">
      <selection activeCell="L27" sqref="L27"/>
    </sheetView>
  </sheetViews>
  <sheetFormatPr defaultRowHeight="12.75" x14ac:dyDescent="0.2"/>
  <cols>
    <col min="2" max="2" width="25.6640625" bestFit="1" customWidth="1"/>
    <col min="3" max="3" width="5.5" style="313" bestFit="1" customWidth="1"/>
    <col min="4" max="8" width="11.1640625" bestFit="1" customWidth="1"/>
    <col min="9" max="9" width="15" bestFit="1" customWidth="1"/>
    <col min="10" max="10" width="13" bestFit="1" customWidth="1"/>
    <col min="11" max="11" width="15.1640625" bestFit="1" customWidth="1"/>
  </cols>
  <sheetData>
    <row r="3" spans="2:11" ht="15.75" x14ac:dyDescent="0.2">
      <c r="B3" s="138" t="s">
        <v>127</v>
      </c>
    </row>
    <row r="5" spans="2:11" ht="13.5" thickBot="1" x14ac:dyDescent="0.25"/>
    <row r="6" spans="2:11" x14ac:dyDescent="0.2">
      <c r="B6" s="315" t="str">
        <f>'CDM Adjustments'!B8</f>
        <v>kWh</v>
      </c>
      <c r="C6" s="312" t="str">
        <f>'CDM Adjustments'!C8</f>
        <v>Year</v>
      </c>
      <c r="D6" s="312">
        <f>'CDM Adjustments'!D8</f>
        <v>2010</v>
      </c>
      <c r="E6" s="312">
        <f>'CDM Adjustments'!E8</f>
        <v>2011</v>
      </c>
      <c r="F6" s="312">
        <f>'CDM Adjustments'!F8</f>
        <v>2012</v>
      </c>
      <c r="G6" s="312">
        <f>'CDM Adjustments'!G8</f>
        <v>2013</v>
      </c>
      <c r="H6" s="316">
        <f>'CDM Adjustments'!H8</f>
        <v>2014</v>
      </c>
    </row>
    <row r="7" spans="2:11" x14ac:dyDescent="0.2">
      <c r="B7" s="190"/>
      <c r="C7" s="4"/>
      <c r="D7" s="317"/>
      <c r="E7" s="317"/>
      <c r="F7" s="317"/>
      <c r="G7" s="317"/>
      <c r="H7" s="319"/>
    </row>
    <row r="8" spans="2:11" x14ac:dyDescent="0.2">
      <c r="B8" s="190" t="s">
        <v>11</v>
      </c>
      <c r="C8" s="4" t="s">
        <v>107</v>
      </c>
      <c r="D8" s="317">
        <f>'Result - AvgPerCust'!C12</f>
        <v>4817</v>
      </c>
      <c r="E8" s="317">
        <f>'Result - AvgPerCust'!C13</f>
        <v>4835</v>
      </c>
      <c r="F8" s="317">
        <f>'Result - AvgPerCust'!C14</f>
        <v>4869</v>
      </c>
      <c r="G8" s="317">
        <f>'Result - AvgPerCust'!C15</f>
        <v>4905</v>
      </c>
      <c r="H8" s="319">
        <f>'Result - AvgPerCust'!C16</f>
        <v>4950</v>
      </c>
      <c r="K8" t="s">
        <v>49</v>
      </c>
    </row>
    <row r="9" spans="2:11" x14ac:dyDescent="0.2">
      <c r="B9" s="190" t="s">
        <v>49</v>
      </c>
      <c r="C9" s="314" t="str">
        <f>'CDM Adjustments'!C9</f>
        <v>kWh</v>
      </c>
      <c r="D9" s="317">
        <f>'CDM Adjustments'!D9</f>
        <v>50277839</v>
      </c>
      <c r="E9" s="317">
        <f>'CDM Adjustments'!E9</f>
        <v>51273093</v>
      </c>
      <c r="F9" s="317">
        <f>'CDM Adjustments'!F9</f>
        <v>51132834</v>
      </c>
      <c r="G9" s="318">
        <f>'CDM Adjustments'!G9</f>
        <v>56412953.229867883</v>
      </c>
      <c r="H9" s="320">
        <f>'CDM Adjustments'!L9</f>
        <v>55751855.415984474</v>
      </c>
      <c r="K9" s="331"/>
    </row>
    <row r="10" spans="2:11" x14ac:dyDescent="0.2">
      <c r="B10" s="159"/>
      <c r="C10" s="314"/>
      <c r="D10" s="317"/>
      <c r="E10" s="317"/>
      <c r="F10" s="317"/>
      <c r="G10" s="318"/>
      <c r="H10" s="320"/>
      <c r="K10" s="331"/>
    </row>
    <row r="11" spans="2:11" x14ac:dyDescent="0.2">
      <c r="B11" s="190" t="s">
        <v>5</v>
      </c>
      <c r="C11" s="4" t="s">
        <v>107</v>
      </c>
      <c r="D11" s="317">
        <f>'Result - AvgPerCust'!$G12</f>
        <v>593</v>
      </c>
      <c r="E11" s="317">
        <f>'Result - AvgPerCust'!$G13</f>
        <v>592</v>
      </c>
      <c r="F11" s="317">
        <f>'Result - AvgPerCust'!$G14</f>
        <v>616</v>
      </c>
      <c r="G11" s="317">
        <f>'Result - AvgPerCust'!$G15</f>
        <v>630</v>
      </c>
      <c r="H11" s="319">
        <f>'Result - AvgPerCust'!$G16</f>
        <v>634</v>
      </c>
      <c r="K11" s="331"/>
    </row>
    <row r="12" spans="2:11" x14ac:dyDescent="0.2">
      <c r="B12" s="190"/>
      <c r="C12" s="314" t="str">
        <f>'CDM Adjustments'!C11</f>
        <v>kWh</v>
      </c>
      <c r="D12" s="317">
        <f>'CDM Adjustments'!D11</f>
        <v>19562613</v>
      </c>
      <c r="E12" s="317">
        <f>'CDM Adjustments'!E11</f>
        <v>18457375</v>
      </c>
      <c r="F12" s="317">
        <f>'CDM Adjustments'!F11</f>
        <v>18531354</v>
      </c>
      <c r="G12" s="318">
        <f>'CDM Adjustments'!G11</f>
        <v>20754464.663283795</v>
      </c>
      <c r="H12" s="320">
        <f>'CDM Adjustments'!L11</f>
        <v>20049056.133712005</v>
      </c>
      <c r="K12" s="331"/>
    </row>
    <row r="13" spans="2:11" x14ac:dyDescent="0.2">
      <c r="B13" s="190"/>
      <c r="C13" s="314"/>
      <c r="D13" s="317"/>
      <c r="E13" s="317"/>
      <c r="F13" s="317"/>
      <c r="G13" s="318"/>
      <c r="H13" s="320"/>
      <c r="K13" s="331"/>
    </row>
    <row r="14" spans="2:11" x14ac:dyDescent="0.2">
      <c r="B14" s="190" t="s">
        <v>6</v>
      </c>
      <c r="C14" s="4" t="s">
        <v>107</v>
      </c>
      <c r="D14" s="317">
        <f>'Result - AvgPerCust'!$K12</f>
        <v>86</v>
      </c>
      <c r="E14" s="317">
        <f>'Result - AvgPerCust'!$K13</f>
        <v>94</v>
      </c>
      <c r="F14" s="317">
        <f>'Result - AvgPerCust'!$K14</f>
        <v>94</v>
      </c>
      <c r="G14" s="317">
        <f>'Result - AvgPerCust'!$K15</f>
        <v>96</v>
      </c>
      <c r="H14" s="319">
        <f>'Result - AvgPerCust'!$K16</f>
        <v>98</v>
      </c>
      <c r="K14" s="331"/>
    </row>
    <row r="15" spans="2:11" x14ac:dyDescent="0.2">
      <c r="B15" s="190"/>
      <c r="C15" s="314" t="str">
        <f>'CDM Adjustments'!C13</f>
        <v>kWh</v>
      </c>
      <c r="D15" s="317">
        <f>'CDM Adjustments'!D13</f>
        <v>80745583</v>
      </c>
      <c r="E15" s="317">
        <f>'CDM Adjustments'!E13</f>
        <v>82739387</v>
      </c>
      <c r="F15" s="317">
        <f>'CDM Adjustments'!F13</f>
        <v>77875019</v>
      </c>
      <c r="G15" s="318">
        <f>'CDM Adjustments'!G13</f>
        <v>85290680.17802614</v>
      </c>
      <c r="H15" s="320">
        <f>'CDM Adjustments'!L13</f>
        <v>84118022.243242964</v>
      </c>
      <c r="K15" s="331"/>
    </row>
    <row r="16" spans="2:11" x14ac:dyDescent="0.2">
      <c r="B16" s="190"/>
      <c r="C16" s="314" t="str">
        <f>'CDM Adjustments'!C25</f>
        <v>kW</v>
      </c>
      <c r="D16" s="317">
        <f>'CDM Adjustments'!D25</f>
        <v>209711</v>
      </c>
      <c r="E16" s="317">
        <f>'CDM Adjustments'!E25</f>
        <v>211681</v>
      </c>
      <c r="F16" s="317">
        <f>'CDM Adjustments'!F25</f>
        <v>206655</v>
      </c>
      <c r="G16" s="318">
        <f>'CDM Adjustments'!G25</f>
        <v>212553.6404277299</v>
      </c>
      <c r="H16" s="320">
        <f>'CDM Adjustments'!L25</f>
        <v>209631.24946432843</v>
      </c>
      <c r="K16" t="s">
        <v>49</v>
      </c>
    </row>
    <row r="17" spans="2:11" x14ac:dyDescent="0.2">
      <c r="B17" s="190"/>
      <c r="C17" s="314"/>
      <c r="D17" s="317"/>
      <c r="E17" s="317"/>
      <c r="F17" s="317"/>
      <c r="G17" s="318"/>
      <c r="H17" s="320"/>
    </row>
    <row r="18" spans="2:11" x14ac:dyDescent="0.2">
      <c r="B18" s="159" t="s">
        <v>73</v>
      </c>
      <c r="C18" s="4" t="s">
        <v>107</v>
      </c>
      <c r="D18" s="317">
        <f>'Result - AvgPerCust'!$C27</f>
        <v>1180</v>
      </c>
      <c r="E18" s="317">
        <f>'Result - AvgPerCust'!$C28</f>
        <v>1201</v>
      </c>
      <c r="F18" s="317">
        <f>'Result - AvgPerCust'!$C29</f>
        <v>1204</v>
      </c>
      <c r="G18" s="317">
        <f>'Result - AvgPerCust'!$C30</f>
        <v>1210</v>
      </c>
      <c r="H18" s="319">
        <f>'Result - AvgPerCust'!$C31</f>
        <v>1215</v>
      </c>
      <c r="K18" t="s">
        <v>49</v>
      </c>
    </row>
    <row r="19" spans="2:11" x14ac:dyDescent="0.2">
      <c r="B19" s="159"/>
      <c r="C19" s="314" t="str">
        <f>'CDM Adjustments'!C15</f>
        <v>kWh</v>
      </c>
      <c r="D19" s="317">
        <f>'CDM Adjustments'!D15</f>
        <v>1156978</v>
      </c>
      <c r="E19" s="317">
        <f>'CDM Adjustments'!E15</f>
        <v>1343667</v>
      </c>
      <c r="F19" s="317">
        <f>'CDM Adjustments'!F15</f>
        <v>1355855</v>
      </c>
      <c r="G19" s="317">
        <f>'CDM Adjustments'!G15</f>
        <v>1150473.3263576643</v>
      </c>
      <c r="H19" s="319">
        <f>'CDM Adjustments'!L15</f>
        <v>1137470.4105034613</v>
      </c>
    </row>
    <row r="20" spans="2:11" x14ac:dyDescent="0.2">
      <c r="B20" s="159"/>
      <c r="C20" s="314" t="str">
        <f>'CDM Adjustments'!C27</f>
        <v>kW</v>
      </c>
      <c r="D20" s="317">
        <f>'CDM Adjustments'!D27</f>
        <v>3194</v>
      </c>
      <c r="E20" s="317">
        <f>'CDM Adjustments'!E27</f>
        <v>3724</v>
      </c>
      <c r="F20" s="317">
        <f>'CDM Adjustments'!F27</f>
        <v>3748</v>
      </c>
      <c r="G20" s="317">
        <f>'CDM Adjustments'!G27</f>
        <v>3249.8777930661745</v>
      </c>
      <c r="H20" s="319">
        <f>'CDM Adjustments'!L27</f>
        <v>3213.1469219442256</v>
      </c>
      <c r="K20" t="s">
        <v>49</v>
      </c>
    </row>
    <row r="21" spans="2:11" x14ac:dyDescent="0.2">
      <c r="B21" s="159"/>
      <c r="C21" s="314"/>
      <c r="D21" s="317"/>
      <c r="E21" s="317"/>
      <c r="F21" s="317"/>
      <c r="G21" s="317"/>
      <c r="H21" s="319"/>
    </row>
    <row r="22" spans="2:11" x14ac:dyDescent="0.2">
      <c r="B22" s="190" t="s">
        <v>131</v>
      </c>
      <c r="C22" s="4" t="s">
        <v>107</v>
      </c>
      <c r="D22" s="317">
        <f>'Result - AvgPerCust'!$J27</f>
        <v>21</v>
      </c>
      <c r="E22" s="317">
        <f>'Result - AvgPerCust'!$J28</f>
        <v>21</v>
      </c>
      <c r="F22" s="317">
        <f>'Result - AvgPerCust'!$J29</f>
        <v>21</v>
      </c>
      <c r="G22" s="317">
        <f>'Result - AvgPerCust'!$J30</f>
        <v>21</v>
      </c>
      <c r="H22" s="319">
        <f>'Result - AvgPerCust'!$J31</f>
        <v>21</v>
      </c>
      <c r="K22" t="s">
        <v>49</v>
      </c>
    </row>
    <row r="23" spans="2:11" x14ac:dyDescent="0.2">
      <c r="B23" s="190"/>
      <c r="C23" s="314" t="str">
        <f>'CDM Adjustments'!C17</f>
        <v>kWh</v>
      </c>
      <c r="D23" s="317">
        <f>'CDM Adjustments'!D17</f>
        <v>105383</v>
      </c>
      <c r="E23" s="317">
        <f>'CDM Adjustments'!E17</f>
        <v>102889</v>
      </c>
      <c r="F23" s="317">
        <f>'CDM Adjustments'!F17</f>
        <v>102354</v>
      </c>
      <c r="G23" s="317">
        <f>'CDM Adjustments'!G17</f>
        <v>106348.88888888889</v>
      </c>
      <c r="H23" s="319">
        <f>'CDM Adjustments'!L17</f>
        <v>104714.20579852712</v>
      </c>
    </row>
    <row r="24" spans="2:11" x14ac:dyDescent="0.2">
      <c r="B24" s="190"/>
      <c r="C24" s="314" t="str">
        <f>'CDM Adjustments'!C29</f>
        <v>kW</v>
      </c>
      <c r="D24" s="317">
        <f>'CDM Adjustments'!D29</f>
        <v>297</v>
      </c>
      <c r="E24" s="317">
        <f>'CDM Adjustments'!E29</f>
        <v>280</v>
      </c>
      <c r="F24" s="317">
        <f>'CDM Adjustments'!F29</f>
        <v>284</v>
      </c>
      <c r="G24" s="317">
        <f>'CDM Adjustments'!G29</f>
        <v>297</v>
      </c>
      <c r="H24" s="319">
        <f>'CDM Adjustments'!L29</f>
        <v>292.43482886459975</v>
      </c>
      <c r="K24" t="s">
        <v>49</v>
      </c>
    </row>
    <row r="25" spans="2:11" x14ac:dyDescent="0.2">
      <c r="B25" s="190"/>
      <c r="C25" s="314"/>
      <c r="D25" s="317"/>
      <c r="E25" s="317"/>
      <c r="F25" s="317"/>
      <c r="G25" s="317"/>
      <c r="H25" s="319"/>
    </row>
    <row r="26" spans="2:11" x14ac:dyDescent="0.2">
      <c r="B26" s="190" t="s">
        <v>7</v>
      </c>
      <c r="C26" s="4" t="s">
        <v>107</v>
      </c>
      <c r="D26" s="317">
        <f>'Result - AvgPerCust'!$Q27</f>
        <v>5</v>
      </c>
      <c r="E26" s="317">
        <f>'Result - AvgPerCust'!$Q28</f>
        <v>5</v>
      </c>
      <c r="F26" s="317">
        <f>'Result - AvgPerCust'!$Q29</f>
        <v>5</v>
      </c>
      <c r="G26" s="317">
        <f>'Result - AvgPerCust'!$Q30</f>
        <v>5</v>
      </c>
      <c r="H26" s="319">
        <f>'Result - AvgPerCust'!$Q31</f>
        <v>5</v>
      </c>
      <c r="K26" t="s">
        <v>49</v>
      </c>
    </row>
    <row r="27" spans="2:11" x14ac:dyDescent="0.2">
      <c r="B27" s="190" t="s">
        <v>49</v>
      </c>
      <c r="C27" s="314" t="str">
        <f>'CDM Adjustments'!C19</f>
        <v>kWh</v>
      </c>
      <c r="D27" s="317">
        <f>'CDM Adjustments'!D19</f>
        <v>242514</v>
      </c>
      <c r="E27" s="317">
        <f>'CDM Adjustments'!E19</f>
        <v>215299</v>
      </c>
      <c r="F27" s="317">
        <f>'CDM Adjustments'!F19</f>
        <v>214901</v>
      </c>
      <c r="G27" s="317">
        <f>'CDM Adjustments'!G19</f>
        <v>224238</v>
      </c>
      <c r="H27" s="319">
        <f>'CDM Adjustments'!L19</f>
        <v>220791.24967993307</v>
      </c>
    </row>
    <row r="28" spans="2:11" x14ac:dyDescent="0.2">
      <c r="B28" s="190"/>
      <c r="C28" s="314"/>
      <c r="D28" s="317"/>
      <c r="E28" s="317"/>
      <c r="F28" s="317"/>
      <c r="G28" s="317"/>
      <c r="H28" s="319"/>
    </row>
    <row r="29" spans="2:11" x14ac:dyDescent="0.2">
      <c r="B29" s="190" t="s">
        <v>138</v>
      </c>
      <c r="C29" s="314"/>
      <c r="D29" s="317">
        <f>SUM(D8+D11+D14+D18+D22+D26)</f>
        <v>6702</v>
      </c>
      <c r="E29" s="317">
        <f>SUM(E8+E11+E14+E18+E22+E26)</f>
        <v>6748</v>
      </c>
      <c r="F29" s="317">
        <f>SUM(F8+F11+F14+F18+F22+F26)</f>
        <v>6809</v>
      </c>
      <c r="G29" s="317">
        <f>SUM(G8+G11+G14+G18+G22+G26)</f>
        <v>6867</v>
      </c>
      <c r="H29" s="317">
        <f>SUM(H8+H11+H14+H18+H22+H26)</f>
        <v>6923</v>
      </c>
      <c r="K29" t="s">
        <v>49</v>
      </c>
    </row>
    <row r="30" spans="2:11" x14ac:dyDescent="0.2">
      <c r="B30" s="190" t="s">
        <v>139</v>
      </c>
      <c r="C30" s="314"/>
      <c r="D30" s="317">
        <f>SUM(D16+D20+D24)</f>
        <v>213202</v>
      </c>
      <c r="E30" s="317">
        <f>SUM(E16+E20+E24)</f>
        <v>215685</v>
      </c>
      <c r="F30" s="317">
        <f>SUM(F16+F20+F24)</f>
        <v>210687</v>
      </c>
      <c r="G30" s="317">
        <f>SUM(G16+G20+G24)</f>
        <v>216100.51822079608</v>
      </c>
      <c r="H30" s="319">
        <f>SUM(H16+H20+H24)</f>
        <v>213136.83121513727</v>
      </c>
      <c r="K30" t="s">
        <v>49</v>
      </c>
    </row>
    <row r="31" spans="2:11" ht="13.5" thickBot="1" x14ac:dyDescent="0.25">
      <c r="B31" s="191" t="s">
        <v>140</v>
      </c>
      <c r="C31" s="186" t="s">
        <v>49</v>
      </c>
      <c r="D31" s="321">
        <f>SUM(D9+D12+D15+D19+D23+D27)</f>
        <v>152090910</v>
      </c>
      <c r="E31" s="321">
        <f>SUM(E9+E12+E15+E19+E23+E27)</f>
        <v>154131710</v>
      </c>
      <c r="F31" s="321">
        <f>SUM(F9+F12+F15+F19+F23+F27)</f>
        <v>149212317</v>
      </c>
      <c r="G31" s="321">
        <f>SUM(G9+G12+G15+G19+G23+G27)</f>
        <v>163939158.28642437</v>
      </c>
      <c r="H31" s="322">
        <f>SUM(H9+H12+H15+H19+H23+H27)</f>
        <v>161381909.65892133</v>
      </c>
      <c r="K31"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T129"/>
  <sheetViews>
    <sheetView topLeftCell="B2" zoomScaleNormal="100" workbookViewId="0">
      <selection activeCell="B2" sqref="B2"/>
    </sheetView>
  </sheetViews>
  <sheetFormatPr defaultRowHeight="12.75" x14ac:dyDescent="0.2"/>
  <cols>
    <col min="1" max="1" width="9.33203125" style="44"/>
    <col min="2" max="2" width="16.83203125" style="43" customWidth="1"/>
    <col min="3" max="3" width="14.1640625" style="43" customWidth="1"/>
    <col min="4" max="4" width="14.1640625" style="47" customWidth="1"/>
    <col min="5" max="5" width="14.1640625" style="43" customWidth="1"/>
    <col min="6" max="6" width="14.1640625" style="47" customWidth="1"/>
    <col min="7" max="8" width="14.1640625" style="43" customWidth="1"/>
    <col min="9" max="9" width="14.1640625" style="47" customWidth="1"/>
    <col min="10" max="11" width="14.1640625" style="43" customWidth="1"/>
    <col min="12" max="15" width="14.1640625" style="47" customWidth="1"/>
    <col min="16" max="16" width="14.1640625" style="43" customWidth="1"/>
    <col min="17" max="17" width="14.1640625" style="47" customWidth="1"/>
    <col min="18" max="18" width="9.33203125" style="44"/>
    <col min="19" max="19" width="15.6640625" style="44" customWidth="1"/>
    <col min="20" max="20" width="11.1640625" style="44" bestFit="1" customWidth="1"/>
    <col min="21" max="16384" width="9.33203125" style="44"/>
  </cols>
  <sheetData>
    <row r="2" spans="2:17" ht="15.75" x14ac:dyDescent="0.2">
      <c r="B2" s="138" t="s">
        <v>126</v>
      </c>
      <c r="C2" s="44"/>
    </row>
    <row r="3" spans="2:17" ht="13.5" thickBot="1" x14ac:dyDescent="0.25"/>
    <row r="4" spans="2:17" ht="12.75" customHeight="1" x14ac:dyDescent="0.2">
      <c r="B4" s="69"/>
      <c r="C4" s="439" t="s">
        <v>58</v>
      </c>
      <c r="D4" s="440"/>
      <c r="E4" s="439" t="s">
        <v>59</v>
      </c>
      <c r="F4" s="440"/>
      <c r="G4" s="439" t="s">
        <v>60</v>
      </c>
      <c r="H4" s="441"/>
      <c r="I4" s="440"/>
      <c r="J4" s="442" t="s">
        <v>61</v>
      </c>
      <c r="K4" s="443"/>
      <c r="L4" s="444"/>
      <c r="M4" s="442" t="s">
        <v>130</v>
      </c>
      <c r="N4" s="443"/>
      <c r="O4" s="446"/>
      <c r="P4" s="445" t="s">
        <v>62</v>
      </c>
      <c r="Q4" s="440"/>
    </row>
    <row r="5" spans="2:17" x14ac:dyDescent="0.2">
      <c r="B5" s="70"/>
      <c r="C5" s="60"/>
      <c r="D5" s="61" t="s">
        <v>63</v>
      </c>
      <c r="E5" s="60"/>
      <c r="F5" s="61" t="s">
        <v>63</v>
      </c>
      <c r="G5" s="60"/>
      <c r="H5" s="34"/>
      <c r="I5" s="61" t="s">
        <v>63</v>
      </c>
      <c r="J5" s="60"/>
      <c r="K5" s="34"/>
      <c r="L5" s="243" t="s">
        <v>63</v>
      </c>
      <c r="M5" s="241"/>
      <c r="N5" s="244"/>
      <c r="O5" s="61" t="s">
        <v>63</v>
      </c>
      <c r="P5" s="74" t="s">
        <v>49</v>
      </c>
      <c r="Q5" s="61" t="s">
        <v>63</v>
      </c>
    </row>
    <row r="6" spans="2:17" ht="13.5" thickBot="1" x14ac:dyDescent="0.25">
      <c r="B6" s="71"/>
      <c r="C6" s="62" t="s">
        <v>64</v>
      </c>
      <c r="D6" s="63" t="s">
        <v>1</v>
      </c>
      <c r="E6" s="62" t="s">
        <v>64</v>
      </c>
      <c r="F6" s="63" t="s">
        <v>1</v>
      </c>
      <c r="G6" s="62" t="s">
        <v>64</v>
      </c>
      <c r="H6" s="37" t="s">
        <v>65</v>
      </c>
      <c r="I6" s="63" t="s">
        <v>1</v>
      </c>
      <c r="J6" s="62" t="s">
        <v>64</v>
      </c>
      <c r="K6" s="37" t="s">
        <v>65</v>
      </c>
      <c r="L6" s="232" t="s">
        <v>1</v>
      </c>
      <c r="M6" s="242" t="s">
        <v>64</v>
      </c>
      <c r="N6" s="234" t="s">
        <v>65</v>
      </c>
      <c r="O6" s="63" t="s">
        <v>1</v>
      </c>
      <c r="P6" s="121" t="s">
        <v>64</v>
      </c>
      <c r="Q6" s="122" t="s">
        <v>1</v>
      </c>
    </row>
    <row r="7" spans="2:17" x14ac:dyDescent="0.2">
      <c r="B7" s="69"/>
      <c r="C7" s="79"/>
      <c r="D7" s="65"/>
      <c r="E7" s="79"/>
      <c r="F7" s="65"/>
      <c r="G7" s="79"/>
      <c r="H7" s="64"/>
      <c r="I7" s="65"/>
      <c r="J7" s="79"/>
      <c r="K7" s="64"/>
      <c r="L7" s="239"/>
      <c r="M7" s="240"/>
      <c r="N7" s="233"/>
      <c r="O7" s="236"/>
      <c r="P7" s="75"/>
      <c r="Q7" s="65"/>
    </row>
    <row r="8" spans="2:17" x14ac:dyDescent="0.2">
      <c r="B8" s="72">
        <v>37622</v>
      </c>
      <c r="C8" s="80">
        <v>5319379</v>
      </c>
      <c r="D8" s="66">
        <v>4550</v>
      </c>
      <c r="E8" s="80">
        <v>2152166</v>
      </c>
      <c r="F8" s="66">
        <v>555</v>
      </c>
      <c r="G8" s="80">
        <v>12930400</v>
      </c>
      <c r="H8" s="30">
        <v>28632</v>
      </c>
      <c r="I8" s="66">
        <v>78</v>
      </c>
      <c r="J8" s="81">
        <v>97114</v>
      </c>
      <c r="K8" s="30">
        <v>270</v>
      </c>
      <c r="L8" s="238">
        <v>1158</v>
      </c>
      <c r="M8" s="80">
        <v>10476</v>
      </c>
      <c r="N8" s="30">
        <v>30</v>
      </c>
      <c r="O8" s="66">
        <v>24</v>
      </c>
      <c r="P8" s="76"/>
      <c r="Q8" s="66">
        <v>0</v>
      </c>
    </row>
    <row r="9" spans="2:17" x14ac:dyDescent="0.2">
      <c r="B9" s="72">
        <v>37653</v>
      </c>
      <c r="C9" s="80">
        <v>4963125</v>
      </c>
      <c r="D9" s="66">
        <v>4550</v>
      </c>
      <c r="E9" s="80">
        <v>2008030</v>
      </c>
      <c r="F9" s="66">
        <v>555</v>
      </c>
      <c r="G9" s="80">
        <v>12064415</v>
      </c>
      <c r="H9" s="30">
        <v>26715</v>
      </c>
      <c r="I9" s="66">
        <v>78</v>
      </c>
      <c r="J9" s="81">
        <v>90610</v>
      </c>
      <c r="K9" s="30">
        <v>252</v>
      </c>
      <c r="L9" s="238">
        <v>1158</v>
      </c>
      <c r="M9" s="80">
        <v>9775</v>
      </c>
      <c r="N9" s="30">
        <v>28</v>
      </c>
      <c r="O9" s="66">
        <v>24</v>
      </c>
      <c r="P9" s="76"/>
      <c r="Q9" s="66">
        <v>0</v>
      </c>
    </row>
    <row r="10" spans="2:17" x14ac:dyDescent="0.2">
      <c r="B10" s="72">
        <v>37681</v>
      </c>
      <c r="C10" s="80">
        <v>5013423</v>
      </c>
      <c r="D10" s="66">
        <v>4551</v>
      </c>
      <c r="E10" s="80">
        <v>2028380</v>
      </c>
      <c r="F10" s="66">
        <v>555</v>
      </c>
      <c r="G10" s="80">
        <v>12186678</v>
      </c>
      <c r="H10" s="30">
        <v>26986</v>
      </c>
      <c r="I10" s="66">
        <v>78</v>
      </c>
      <c r="J10" s="81">
        <v>91529</v>
      </c>
      <c r="K10" s="30">
        <v>254</v>
      </c>
      <c r="L10" s="238">
        <v>1158</v>
      </c>
      <c r="M10" s="80">
        <v>9874</v>
      </c>
      <c r="N10" s="30">
        <v>28</v>
      </c>
      <c r="O10" s="66">
        <v>24</v>
      </c>
      <c r="P10" s="76"/>
      <c r="Q10" s="66">
        <v>0</v>
      </c>
    </row>
    <row r="11" spans="2:17" x14ac:dyDescent="0.2">
      <c r="B11" s="72">
        <v>37712</v>
      </c>
      <c r="C11" s="80">
        <v>4453349</v>
      </c>
      <c r="D11" s="66">
        <v>4551</v>
      </c>
      <c r="E11" s="80">
        <v>1801780</v>
      </c>
      <c r="F11" s="66">
        <v>561</v>
      </c>
      <c r="G11" s="80">
        <v>10825247</v>
      </c>
      <c r="H11" s="30">
        <v>23971</v>
      </c>
      <c r="I11" s="66">
        <v>78</v>
      </c>
      <c r="J11" s="81">
        <v>81303</v>
      </c>
      <c r="K11" s="30">
        <v>226</v>
      </c>
      <c r="L11" s="238">
        <v>1158</v>
      </c>
      <c r="M11" s="80">
        <v>8771</v>
      </c>
      <c r="N11" s="30">
        <v>25</v>
      </c>
      <c r="O11" s="66">
        <v>24</v>
      </c>
      <c r="P11" s="76"/>
      <c r="Q11" s="66">
        <v>0</v>
      </c>
    </row>
    <row r="12" spans="2:17" x14ac:dyDescent="0.2">
      <c r="B12" s="72">
        <v>37742</v>
      </c>
      <c r="C12" s="80">
        <v>4189283</v>
      </c>
      <c r="D12" s="66">
        <v>4551</v>
      </c>
      <c r="E12" s="80">
        <v>1694941</v>
      </c>
      <c r="F12" s="66">
        <v>566</v>
      </c>
      <c r="G12" s="80">
        <v>10183352</v>
      </c>
      <c r="H12" s="30">
        <v>22549</v>
      </c>
      <c r="I12" s="66">
        <v>78</v>
      </c>
      <c r="J12" s="81">
        <v>76482</v>
      </c>
      <c r="K12" s="30">
        <v>212</v>
      </c>
      <c r="L12" s="238">
        <v>1158</v>
      </c>
      <c r="M12" s="80">
        <v>8251</v>
      </c>
      <c r="N12" s="30">
        <v>23</v>
      </c>
      <c r="O12" s="66">
        <v>24</v>
      </c>
      <c r="P12" s="76"/>
      <c r="Q12" s="66">
        <v>0</v>
      </c>
    </row>
    <row r="13" spans="2:17" x14ac:dyDescent="0.2">
      <c r="B13" s="72">
        <v>37773</v>
      </c>
      <c r="C13" s="80">
        <v>4225403</v>
      </c>
      <c r="D13" s="66">
        <v>4553</v>
      </c>
      <c r="E13" s="80">
        <v>1709555</v>
      </c>
      <c r="F13" s="66">
        <v>574</v>
      </c>
      <c r="G13" s="80">
        <v>10271152</v>
      </c>
      <c r="H13" s="30">
        <v>22744</v>
      </c>
      <c r="I13" s="66">
        <v>78</v>
      </c>
      <c r="J13" s="81">
        <v>77142</v>
      </c>
      <c r="K13" s="30">
        <v>214</v>
      </c>
      <c r="L13" s="238">
        <v>1158</v>
      </c>
      <c r="M13" s="80">
        <v>8322</v>
      </c>
      <c r="N13" s="30">
        <v>24</v>
      </c>
      <c r="O13" s="66">
        <v>24</v>
      </c>
      <c r="P13" s="76"/>
      <c r="Q13" s="66">
        <v>0</v>
      </c>
    </row>
    <row r="14" spans="2:17" x14ac:dyDescent="0.2">
      <c r="B14" s="72">
        <v>37803</v>
      </c>
      <c r="C14" s="80">
        <v>3735249</v>
      </c>
      <c r="D14" s="66">
        <v>4553</v>
      </c>
      <c r="E14" s="80">
        <v>1511244</v>
      </c>
      <c r="F14" s="66">
        <v>579</v>
      </c>
      <c r="G14" s="80">
        <v>9079680</v>
      </c>
      <c r="H14" s="30">
        <v>20106</v>
      </c>
      <c r="I14" s="66">
        <v>78</v>
      </c>
      <c r="J14" s="81">
        <v>68193</v>
      </c>
      <c r="K14" s="30">
        <v>189</v>
      </c>
      <c r="L14" s="238">
        <v>1158</v>
      </c>
      <c r="M14" s="80">
        <v>7357</v>
      </c>
      <c r="N14" s="30">
        <v>21</v>
      </c>
      <c r="O14" s="66">
        <v>24</v>
      </c>
      <c r="P14" s="76"/>
      <c r="Q14" s="66">
        <v>0</v>
      </c>
    </row>
    <row r="15" spans="2:17" x14ac:dyDescent="0.2">
      <c r="B15" s="72">
        <v>37834</v>
      </c>
      <c r="C15" s="80">
        <v>4327582</v>
      </c>
      <c r="D15" s="66">
        <v>4553</v>
      </c>
      <c r="E15" s="80">
        <v>1750895</v>
      </c>
      <c r="F15" s="66">
        <v>579</v>
      </c>
      <c r="G15" s="80">
        <v>10519529</v>
      </c>
      <c r="H15" s="30">
        <v>23294</v>
      </c>
      <c r="I15" s="66">
        <v>78</v>
      </c>
      <c r="J15" s="81">
        <v>79007</v>
      </c>
      <c r="K15" s="30">
        <v>219</v>
      </c>
      <c r="L15" s="238">
        <v>1158</v>
      </c>
      <c r="M15" s="80">
        <v>8523</v>
      </c>
      <c r="N15" s="30">
        <v>24</v>
      </c>
      <c r="O15" s="66">
        <v>24</v>
      </c>
      <c r="P15" s="76"/>
      <c r="Q15" s="66">
        <v>0</v>
      </c>
    </row>
    <row r="16" spans="2:17" x14ac:dyDescent="0.2">
      <c r="B16" s="72">
        <v>37865</v>
      </c>
      <c r="C16" s="80">
        <v>4033675</v>
      </c>
      <c r="D16" s="66">
        <v>4553</v>
      </c>
      <c r="E16" s="80">
        <v>1631984</v>
      </c>
      <c r="F16" s="66">
        <v>580</v>
      </c>
      <c r="G16" s="80">
        <v>9805098</v>
      </c>
      <c r="H16" s="30">
        <v>21712</v>
      </c>
      <c r="I16" s="66">
        <v>78</v>
      </c>
      <c r="J16" s="81">
        <v>73642</v>
      </c>
      <c r="K16" s="30">
        <v>204</v>
      </c>
      <c r="L16" s="238">
        <v>1158</v>
      </c>
      <c r="M16" s="80">
        <v>7944</v>
      </c>
      <c r="N16" s="30">
        <v>23</v>
      </c>
      <c r="O16" s="66">
        <v>24</v>
      </c>
      <c r="P16" s="76"/>
      <c r="Q16" s="66">
        <v>0</v>
      </c>
    </row>
    <row r="17" spans="2:20" x14ac:dyDescent="0.2">
      <c r="B17" s="72">
        <v>37895</v>
      </c>
      <c r="C17" s="80">
        <v>4282971</v>
      </c>
      <c r="D17" s="66">
        <v>4553</v>
      </c>
      <c r="E17" s="80">
        <v>1732846</v>
      </c>
      <c r="F17" s="66">
        <v>583</v>
      </c>
      <c r="G17" s="80">
        <v>10411089</v>
      </c>
      <c r="H17" s="30">
        <v>23054</v>
      </c>
      <c r="I17" s="66">
        <v>78</v>
      </c>
      <c r="J17" s="81">
        <v>78193</v>
      </c>
      <c r="K17" s="30">
        <v>217</v>
      </c>
      <c r="L17" s="238">
        <v>1158</v>
      </c>
      <c r="M17" s="80">
        <v>8435</v>
      </c>
      <c r="N17" s="30">
        <v>24</v>
      </c>
      <c r="O17" s="66">
        <v>24</v>
      </c>
      <c r="P17" s="76"/>
      <c r="Q17" s="66">
        <v>0</v>
      </c>
    </row>
    <row r="18" spans="2:20" x14ac:dyDescent="0.2">
      <c r="B18" s="72">
        <v>37926</v>
      </c>
      <c r="C18" s="80">
        <v>4295096</v>
      </c>
      <c r="D18" s="66">
        <v>4553</v>
      </c>
      <c r="E18" s="80">
        <v>1737752</v>
      </c>
      <c r="F18" s="66">
        <v>583</v>
      </c>
      <c r="G18" s="80">
        <v>10440562</v>
      </c>
      <c r="H18" s="30">
        <v>23119</v>
      </c>
      <c r="I18" s="66">
        <v>78</v>
      </c>
      <c r="J18" s="81">
        <v>78414</v>
      </c>
      <c r="K18" s="30">
        <v>218</v>
      </c>
      <c r="L18" s="238">
        <v>1158</v>
      </c>
      <c r="M18" s="80">
        <v>8459</v>
      </c>
      <c r="N18" s="30">
        <v>24</v>
      </c>
      <c r="O18" s="66">
        <v>24</v>
      </c>
      <c r="P18" s="76"/>
      <c r="Q18" s="66">
        <v>0</v>
      </c>
    </row>
    <row r="19" spans="2:20" x14ac:dyDescent="0.2">
      <c r="B19" s="72">
        <v>37956</v>
      </c>
      <c r="C19" s="80">
        <v>4679511</v>
      </c>
      <c r="D19" s="66">
        <v>4553</v>
      </c>
      <c r="E19" s="80">
        <v>1893283</v>
      </c>
      <c r="F19" s="66">
        <v>583</v>
      </c>
      <c r="G19" s="80">
        <v>11375003</v>
      </c>
      <c r="H19" s="30">
        <v>25188</v>
      </c>
      <c r="I19" s="66">
        <v>77</v>
      </c>
      <c r="J19" s="81">
        <v>85432</v>
      </c>
      <c r="K19" s="30">
        <v>237</v>
      </c>
      <c r="L19" s="238">
        <v>1158</v>
      </c>
      <c r="M19" s="80">
        <v>9216</v>
      </c>
      <c r="N19" s="30">
        <v>26</v>
      </c>
      <c r="O19" s="66">
        <v>23</v>
      </c>
      <c r="P19" s="76"/>
      <c r="Q19" s="66">
        <v>0</v>
      </c>
    </row>
    <row r="20" spans="2:20" x14ac:dyDescent="0.2">
      <c r="B20" s="72">
        <v>37987</v>
      </c>
      <c r="C20" s="80">
        <v>6337769</v>
      </c>
      <c r="D20" s="66">
        <v>4554</v>
      </c>
      <c r="E20" s="81">
        <v>2675312</v>
      </c>
      <c r="F20" s="66">
        <v>583</v>
      </c>
      <c r="G20" s="80">
        <v>13500486</v>
      </c>
      <c r="H20" s="30">
        <v>30040</v>
      </c>
      <c r="I20" s="66">
        <v>78</v>
      </c>
      <c r="J20" s="81">
        <v>107264</v>
      </c>
      <c r="K20" s="30">
        <v>297</v>
      </c>
      <c r="L20" s="238">
        <v>1158</v>
      </c>
      <c r="M20" s="80">
        <v>8391</v>
      </c>
      <c r="N20" s="30">
        <v>30</v>
      </c>
      <c r="O20" s="66">
        <v>23</v>
      </c>
      <c r="P20" s="76"/>
      <c r="Q20" s="66">
        <v>0</v>
      </c>
    </row>
    <row r="21" spans="2:20" x14ac:dyDescent="0.2">
      <c r="B21" s="72">
        <v>38018</v>
      </c>
      <c r="C21" s="80">
        <v>5256969</v>
      </c>
      <c r="D21" s="66">
        <v>4555</v>
      </c>
      <c r="E21" s="81">
        <v>2219082</v>
      </c>
      <c r="F21" s="66">
        <v>583</v>
      </c>
      <c r="G21" s="80">
        <v>12005341</v>
      </c>
      <c r="H21" s="30">
        <v>25991</v>
      </c>
      <c r="I21" s="66">
        <v>78</v>
      </c>
      <c r="J21" s="81">
        <v>88836</v>
      </c>
      <c r="K21" s="30">
        <v>257</v>
      </c>
      <c r="L21" s="238">
        <v>1158</v>
      </c>
      <c r="M21" s="80">
        <v>8044</v>
      </c>
      <c r="N21" s="30">
        <v>28</v>
      </c>
      <c r="O21" s="66">
        <v>23</v>
      </c>
      <c r="P21" s="76"/>
      <c r="Q21" s="66">
        <v>0</v>
      </c>
    </row>
    <row r="22" spans="2:20" x14ac:dyDescent="0.2">
      <c r="B22" s="72">
        <v>38047</v>
      </c>
      <c r="C22" s="80">
        <v>5016213</v>
      </c>
      <c r="D22" s="66">
        <v>4555</v>
      </c>
      <c r="E22" s="81">
        <v>2117454</v>
      </c>
      <c r="F22" s="66">
        <v>580</v>
      </c>
      <c r="G22" s="80">
        <v>12064271</v>
      </c>
      <c r="H22" s="30">
        <v>25606</v>
      </c>
      <c r="I22" s="66">
        <v>78</v>
      </c>
      <c r="J22" s="81">
        <v>80728</v>
      </c>
      <c r="K22" s="30">
        <v>253</v>
      </c>
      <c r="L22" s="238">
        <v>1158</v>
      </c>
      <c r="M22" s="80">
        <v>8849</v>
      </c>
      <c r="N22" s="30">
        <v>29</v>
      </c>
      <c r="O22" s="66">
        <v>23</v>
      </c>
      <c r="P22" s="76"/>
      <c r="Q22" s="66">
        <v>0</v>
      </c>
    </row>
    <row r="23" spans="2:20" x14ac:dyDescent="0.2">
      <c r="B23" s="72">
        <v>38078</v>
      </c>
      <c r="C23" s="80">
        <v>4247773</v>
      </c>
      <c r="D23" s="66">
        <v>4560</v>
      </c>
      <c r="E23" s="81">
        <v>1792330</v>
      </c>
      <c r="F23" s="66">
        <v>580</v>
      </c>
      <c r="G23" s="80">
        <v>10786557</v>
      </c>
      <c r="H23" s="30">
        <v>22435</v>
      </c>
      <c r="I23" s="66">
        <v>78</v>
      </c>
      <c r="J23" s="81">
        <v>60695</v>
      </c>
      <c r="K23" s="30">
        <v>222</v>
      </c>
      <c r="L23" s="238">
        <v>1158</v>
      </c>
      <c r="M23" s="80">
        <v>10469</v>
      </c>
      <c r="N23" s="30">
        <v>25</v>
      </c>
      <c r="O23" s="66">
        <v>23</v>
      </c>
      <c r="P23" s="76"/>
      <c r="Q23" s="66">
        <v>0</v>
      </c>
    </row>
    <row r="24" spans="2:20" x14ac:dyDescent="0.2">
      <c r="B24" s="72">
        <v>38108</v>
      </c>
      <c r="C24" s="80">
        <v>3835186</v>
      </c>
      <c r="D24" s="66">
        <v>4572</v>
      </c>
      <c r="E24" s="81">
        <v>1618917</v>
      </c>
      <c r="F24" s="66">
        <v>568</v>
      </c>
      <c r="G24" s="80">
        <v>10498000</v>
      </c>
      <c r="H24" s="30">
        <v>21261</v>
      </c>
      <c r="I24" s="66">
        <v>78</v>
      </c>
      <c r="J24" s="81">
        <v>53469</v>
      </c>
      <c r="K24" s="30">
        <v>210</v>
      </c>
      <c r="L24" s="238">
        <v>1158</v>
      </c>
      <c r="M24" s="80">
        <v>8148</v>
      </c>
      <c r="N24" s="30">
        <v>24</v>
      </c>
      <c r="O24" s="66">
        <v>23</v>
      </c>
      <c r="P24" s="76"/>
      <c r="Q24" s="66">
        <v>0</v>
      </c>
    </row>
    <row r="25" spans="2:20" x14ac:dyDescent="0.2">
      <c r="B25" s="72">
        <v>38139</v>
      </c>
      <c r="C25" s="80">
        <v>3903173</v>
      </c>
      <c r="D25" s="66">
        <v>4576</v>
      </c>
      <c r="E25" s="81">
        <v>1647615</v>
      </c>
      <c r="F25" s="66">
        <v>568</v>
      </c>
      <c r="G25" s="80">
        <v>10605302</v>
      </c>
      <c r="H25" s="30">
        <v>21525</v>
      </c>
      <c r="I25" s="66">
        <v>78</v>
      </c>
      <c r="J25" s="81">
        <v>48308</v>
      </c>
      <c r="K25" s="30">
        <v>213</v>
      </c>
      <c r="L25" s="238">
        <v>1158</v>
      </c>
      <c r="M25" s="80">
        <v>8191</v>
      </c>
      <c r="N25" s="30">
        <v>24</v>
      </c>
      <c r="O25" s="66">
        <v>23</v>
      </c>
      <c r="P25" s="76"/>
      <c r="Q25" s="66">
        <v>0</v>
      </c>
    </row>
    <row r="26" spans="2:20" x14ac:dyDescent="0.2">
      <c r="B26" s="72">
        <v>38169</v>
      </c>
      <c r="C26" s="80">
        <v>3687629</v>
      </c>
      <c r="D26" s="66">
        <v>4578</v>
      </c>
      <c r="E26" s="81">
        <v>1556629</v>
      </c>
      <c r="F26" s="66">
        <v>568</v>
      </c>
      <c r="G26" s="80">
        <v>9031173</v>
      </c>
      <c r="H26" s="30">
        <v>19040</v>
      </c>
      <c r="I26" s="66">
        <v>78</v>
      </c>
      <c r="J26" s="81">
        <v>55105</v>
      </c>
      <c r="K26" s="30">
        <v>188</v>
      </c>
      <c r="L26" s="238">
        <v>1158</v>
      </c>
      <c r="M26" s="80">
        <v>8829</v>
      </c>
      <c r="N26" s="30">
        <v>21</v>
      </c>
      <c r="O26" s="66">
        <v>23</v>
      </c>
      <c r="P26" s="76"/>
      <c r="Q26" s="66">
        <v>0</v>
      </c>
    </row>
    <row r="27" spans="2:20" x14ac:dyDescent="0.2">
      <c r="B27" s="72">
        <v>38200</v>
      </c>
      <c r="C27" s="80">
        <v>4032743</v>
      </c>
      <c r="D27" s="66">
        <v>4579</v>
      </c>
      <c r="E27" s="81">
        <v>1702309</v>
      </c>
      <c r="F27" s="66">
        <v>568</v>
      </c>
      <c r="G27" s="80">
        <v>10945036</v>
      </c>
      <c r="H27" s="30">
        <v>22233</v>
      </c>
      <c r="I27" s="66">
        <v>78</v>
      </c>
      <c r="J27" s="81">
        <v>58192</v>
      </c>
      <c r="K27" s="30">
        <v>220</v>
      </c>
      <c r="L27" s="238">
        <v>1158</v>
      </c>
      <c r="M27" s="80">
        <v>8268</v>
      </c>
      <c r="N27" s="30">
        <v>25</v>
      </c>
      <c r="O27" s="66">
        <v>23</v>
      </c>
      <c r="P27" s="76"/>
      <c r="Q27" s="66">
        <v>0</v>
      </c>
    </row>
    <row r="28" spans="2:20" x14ac:dyDescent="0.2">
      <c r="B28" s="72">
        <v>38231</v>
      </c>
      <c r="C28" s="80">
        <v>3758485</v>
      </c>
      <c r="D28" s="66">
        <v>4580</v>
      </c>
      <c r="E28" s="81">
        <v>1586539</v>
      </c>
      <c r="F28" s="66">
        <v>568</v>
      </c>
      <c r="G28" s="80">
        <v>10402799</v>
      </c>
      <c r="H28" s="30">
        <v>21006</v>
      </c>
      <c r="I28" s="66">
        <v>78</v>
      </c>
      <c r="J28" s="81">
        <v>65993</v>
      </c>
      <c r="K28" s="30">
        <v>207</v>
      </c>
      <c r="L28" s="238">
        <v>1158</v>
      </c>
      <c r="M28" s="80">
        <v>8156</v>
      </c>
      <c r="N28" s="30">
        <v>23</v>
      </c>
      <c r="O28" s="66">
        <v>23</v>
      </c>
      <c r="P28" s="76"/>
      <c r="Q28" s="66">
        <v>0</v>
      </c>
    </row>
    <row r="29" spans="2:20" x14ac:dyDescent="0.2">
      <c r="B29" s="72">
        <v>38261</v>
      </c>
      <c r="C29" s="80">
        <v>3923279</v>
      </c>
      <c r="D29" s="66">
        <v>4580</v>
      </c>
      <c r="E29" s="81">
        <v>1656102</v>
      </c>
      <c r="F29" s="66">
        <v>568</v>
      </c>
      <c r="G29" s="80">
        <v>10557856</v>
      </c>
      <c r="H29" s="30">
        <v>22389</v>
      </c>
      <c r="I29" s="66">
        <v>78</v>
      </c>
      <c r="J29" s="81">
        <v>81986</v>
      </c>
      <c r="K29" s="30">
        <v>221</v>
      </c>
      <c r="L29" s="238">
        <v>1158</v>
      </c>
      <c r="M29" s="80">
        <v>8301</v>
      </c>
      <c r="N29" s="30">
        <v>24</v>
      </c>
      <c r="O29" s="66">
        <v>23</v>
      </c>
      <c r="P29" s="76"/>
      <c r="Q29" s="66">
        <v>0</v>
      </c>
    </row>
    <row r="30" spans="2:20" x14ac:dyDescent="0.2">
      <c r="B30" s="72">
        <v>38292</v>
      </c>
      <c r="C30" s="80">
        <v>4681018</v>
      </c>
      <c r="D30" s="66">
        <v>4580</v>
      </c>
      <c r="E30" s="81">
        <v>1975961</v>
      </c>
      <c r="F30" s="66">
        <v>568</v>
      </c>
      <c r="G30" s="80">
        <v>11611196</v>
      </c>
      <c r="H30" s="30">
        <v>24387</v>
      </c>
      <c r="I30" s="66">
        <v>78</v>
      </c>
      <c r="J30" s="81">
        <v>91667</v>
      </c>
      <c r="K30" s="30">
        <v>241</v>
      </c>
      <c r="L30" s="238">
        <v>1158</v>
      </c>
      <c r="M30" s="80">
        <v>8750</v>
      </c>
      <c r="N30" s="30">
        <v>24</v>
      </c>
      <c r="O30" s="66">
        <v>23</v>
      </c>
      <c r="P30" s="76"/>
      <c r="Q30" s="66">
        <v>0</v>
      </c>
    </row>
    <row r="31" spans="2:20" x14ac:dyDescent="0.2">
      <c r="B31" s="72">
        <v>38322</v>
      </c>
      <c r="C31" s="80">
        <v>5476340</v>
      </c>
      <c r="D31" s="66">
        <v>4580</v>
      </c>
      <c r="E31" s="81">
        <v>2311684</v>
      </c>
      <c r="F31" s="66">
        <v>568</v>
      </c>
      <c r="G31" s="80">
        <v>11008908</v>
      </c>
      <c r="H31" s="30">
        <v>25118</v>
      </c>
      <c r="I31" s="66">
        <v>78</v>
      </c>
      <c r="J31" s="80">
        <v>111767</v>
      </c>
      <c r="K31" s="30">
        <v>248</v>
      </c>
      <c r="L31" s="238">
        <v>1158</v>
      </c>
      <c r="M31" s="80">
        <v>9938</v>
      </c>
      <c r="N31" s="30">
        <v>27</v>
      </c>
      <c r="O31" s="66">
        <v>23</v>
      </c>
      <c r="P31" s="76"/>
      <c r="Q31" s="66">
        <v>0</v>
      </c>
    </row>
    <row r="32" spans="2:20" x14ac:dyDescent="0.2">
      <c r="B32" s="72">
        <v>38353</v>
      </c>
      <c r="C32" s="80">
        <v>5624125</v>
      </c>
      <c r="D32" s="66">
        <v>4581</v>
      </c>
      <c r="E32" s="81">
        <v>2322069</v>
      </c>
      <c r="F32" s="66">
        <v>568</v>
      </c>
      <c r="G32" s="80">
        <v>12504417</v>
      </c>
      <c r="H32" s="30">
        <v>29253</v>
      </c>
      <c r="I32" s="66">
        <v>79</v>
      </c>
      <c r="J32" s="81">
        <v>97064</v>
      </c>
      <c r="K32" s="30">
        <v>302</v>
      </c>
      <c r="L32" s="238">
        <v>1158</v>
      </c>
      <c r="M32" s="80">
        <v>11639</v>
      </c>
      <c r="N32" s="30">
        <v>32</v>
      </c>
      <c r="O32" s="66">
        <v>23</v>
      </c>
      <c r="P32" s="76"/>
      <c r="Q32" s="66">
        <v>0</v>
      </c>
      <c r="S32" s="46"/>
      <c r="T32" s="46"/>
    </row>
    <row r="33" spans="2:20" x14ac:dyDescent="0.2">
      <c r="B33" s="72">
        <v>38384</v>
      </c>
      <c r="C33" s="80">
        <v>4856762</v>
      </c>
      <c r="D33" s="66">
        <v>4582</v>
      </c>
      <c r="E33" s="81">
        <v>2005243</v>
      </c>
      <c r="F33" s="66">
        <v>568</v>
      </c>
      <c r="G33" s="80">
        <v>10798299</v>
      </c>
      <c r="H33" s="30">
        <v>25262</v>
      </c>
      <c r="I33" s="66">
        <v>79</v>
      </c>
      <c r="J33" s="81">
        <v>83820</v>
      </c>
      <c r="K33" s="30">
        <v>261</v>
      </c>
      <c r="L33" s="238">
        <v>1158</v>
      </c>
      <c r="M33" s="80">
        <v>10051</v>
      </c>
      <c r="N33" s="30">
        <v>28</v>
      </c>
      <c r="O33" s="66">
        <v>23</v>
      </c>
      <c r="P33" s="76"/>
      <c r="Q33" s="66">
        <v>0</v>
      </c>
      <c r="S33" s="46"/>
      <c r="T33" s="46"/>
    </row>
    <row r="34" spans="2:20" x14ac:dyDescent="0.2">
      <c r="B34" s="72">
        <v>38412</v>
      </c>
      <c r="C34" s="80">
        <v>5060749</v>
      </c>
      <c r="D34" s="66">
        <v>4585</v>
      </c>
      <c r="E34" s="81">
        <v>2089464</v>
      </c>
      <c r="F34" s="66">
        <v>568</v>
      </c>
      <c r="G34" s="80">
        <v>11251833</v>
      </c>
      <c r="H34" s="30">
        <v>26323</v>
      </c>
      <c r="I34" s="66">
        <v>79</v>
      </c>
      <c r="J34" s="81">
        <v>87341</v>
      </c>
      <c r="K34" s="30">
        <v>272</v>
      </c>
      <c r="L34" s="238">
        <v>1158</v>
      </c>
      <c r="M34" s="80">
        <v>10473</v>
      </c>
      <c r="N34" s="30">
        <v>29</v>
      </c>
      <c r="O34" s="66">
        <v>23</v>
      </c>
      <c r="P34" s="76"/>
      <c r="Q34" s="66">
        <v>0</v>
      </c>
      <c r="S34" s="46"/>
      <c r="T34" s="46"/>
    </row>
    <row r="35" spans="2:20" x14ac:dyDescent="0.2">
      <c r="B35" s="72">
        <v>38443</v>
      </c>
      <c r="C35" s="80">
        <v>4141593</v>
      </c>
      <c r="D35" s="66">
        <v>4586</v>
      </c>
      <c r="E35" s="81">
        <v>1709966</v>
      </c>
      <c r="F35" s="66">
        <v>568</v>
      </c>
      <c r="G35" s="80">
        <v>9208224</v>
      </c>
      <c r="H35" s="30">
        <v>21542</v>
      </c>
      <c r="I35" s="66">
        <v>77</v>
      </c>
      <c r="J35" s="81">
        <v>71477</v>
      </c>
      <c r="K35" s="30">
        <v>223</v>
      </c>
      <c r="L35" s="238">
        <v>1158</v>
      </c>
      <c r="M35" s="80">
        <v>8571</v>
      </c>
      <c r="N35" s="30">
        <v>23</v>
      </c>
      <c r="O35" s="66">
        <v>23</v>
      </c>
      <c r="P35" s="76"/>
      <c r="Q35" s="66">
        <v>0</v>
      </c>
      <c r="S35" s="46"/>
      <c r="T35" s="46"/>
    </row>
    <row r="36" spans="2:20" x14ac:dyDescent="0.2">
      <c r="B36" s="72">
        <v>38473</v>
      </c>
      <c r="C36" s="80">
        <v>2998300</v>
      </c>
      <c r="D36" s="66">
        <v>4590</v>
      </c>
      <c r="E36" s="81">
        <v>1237927</v>
      </c>
      <c r="F36" s="66">
        <v>568</v>
      </c>
      <c r="G36" s="80">
        <v>6666280</v>
      </c>
      <c r="H36" s="30">
        <v>15595</v>
      </c>
      <c r="I36" s="66">
        <v>77</v>
      </c>
      <c r="J36" s="81">
        <v>51746</v>
      </c>
      <c r="K36" s="30">
        <v>161</v>
      </c>
      <c r="L36" s="238">
        <v>1158</v>
      </c>
      <c r="M36" s="80">
        <v>6205</v>
      </c>
      <c r="N36" s="30">
        <v>17</v>
      </c>
      <c r="O36" s="66">
        <v>23</v>
      </c>
      <c r="P36" s="76"/>
      <c r="Q36" s="66">
        <v>0</v>
      </c>
      <c r="T36" s="46"/>
    </row>
    <row r="37" spans="2:20" x14ac:dyDescent="0.2">
      <c r="B37" s="72">
        <v>38504</v>
      </c>
      <c r="C37" s="80">
        <v>4380375</v>
      </c>
      <c r="D37" s="66">
        <v>4604</v>
      </c>
      <c r="E37" s="81">
        <v>1808554</v>
      </c>
      <c r="F37" s="66">
        <v>565</v>
      </c>
      <c r="G37" s="80">
        <v>9739122</v>
      </c>
      <c r="H37" s="30">
        <v>22784</v>
      </c>
      <c r="I37" s="66">
        <v>77</v>
      </c>
      <c r="J37" s="81">
        <v>75598</v>
      </c>
      <c r="K37" s="30">
        <v>235</v>
      </c>
      <c r="L37" s="238">
        <v>1158</v>
      </c>
      <c r="M37" s="80">
        <v>9065</v>
      </c>
      <c r="N37" s="30">
        <v>25</v>
      </c>
      <c r="O37" s="66">
        <v>24</v>
      </c>
      <c r="P37" s="76"/>
      <c r="Q37" s="66">
        <v>0</v>
      </c>
      <c r="T37" s="46"/>
    </row>
    <row r="38" spans="2:20" x14ac:dyDescent="0.2">
      <c r="B38" s="72">
        <v>38534</v>
      </c>
      <c r="C38" s="80">
        <v>3775626</v>
      </c>
      <c r="D38" s="66">
        <v>4605</v>
      </c>
      <c r="E38" s="81">
        <v>1558867</v>
      </c>
      <c r="F38" s="66">
        <v>565</v>
      </c>
      <c r="G38" s="80">
        <v>8394551</v>
      </c>
      <c r="H38" s="30">
        <v>19639</v>
      </c>
      <c r="I38" s="66">
        <v>77</v>
      </c>
      <c r="J38" s="81">
        <v>65161</v>
      </c>
      <c r="K38" s="30">
        <v>203</v>
      </c>
      <c r="L38" s="238">
        <v>1158</v>
      </c>
      <c r="M38" s="80">
        <v>7814</v>
      </c>
      <c r="N38" s="30">
        <v>21</v>
      </c>
      <c r="O38" s="66">
        <v>24</v>
      </c>
      <c r="P38" s="76"/>
      <c r="Q38" s="66">
        <v>0</v>
      </c>
      <c r="T38" s="46"/>
    </row>
    <row r="39" spans="2:20" x14ac:dyDescent="0.2">
      <c r="B39" s="72">
        <v>38565</v>
      </c>
      <c r="C39" s="80">
        <v>4341670</v>
      </c>
      <c r="D39" s="66">
        <v>4611</v>
      </c>
      <c r="E39" s="81">
        <v>1792574</v>
      </c>
      <c r="F39" s="66">
        <v>565</v>
      </c>
      <c r="G39" s="80">
        <v>9653067</v>
      </c>
      <c r="H39" s="30">
        <v>22583</v>
      </c>
      <c r="I39" s="66">
        <v>77</v>
      </c>
      <c r="J39" s="81">
        <v>74930</v>
      </c>
      <c r="K39" s="30">
        <v>233</v>
      </c>
      <c r="L39" s="238">
        <v>1158</v>
      </c>
      <c r="M39" s="80">
        <v>8985</v>
      </c>
      <c r="N39" s="30">
        <v>25</v>
      </c>
      <c r="O39" s="66">
        <v>24</v>
      </c>
      <c r="P39" s="76"/>
      <c r="Q39" s="66">
        <v>0</v>
      </c>
      <c r="T39" s="46"/>
    </row>
    <row r="40" spans="2:20" x14ac:dyDescent="0.2">
      <c r="B40" s="72">
        <v>38596</v>
      </c>
      <c r="C40" s="80">
        <v>4005848</v>
      </c>
      <c r="D40" s="66">
        <v>4611</v>
      </c>
      <c r="E40" s="81">
        <v>1653920</v>
      </c>
      <c r="F40" s="66">
        <v>564</v>
      </c>
      <c r="G40" s="80">
        <v>8906416</v>
      </c>
      <c r="H40" s="30">
        <v>20836</v>
      </c>
      <c r="I40" s="66">
        <v>74</v>
      </c>
      <c r="J40" s="81">
        <v>69135</v>
      </c>
      <c r="K40" s="30">
        <v>215</v>
      </c>
      <c r="L40" s="238">
        <v>1158</v>
      </c>
      <c r="M40" s="80">
        <v>8290</v>
      </c>
      <c r="N40" s="30">
        <v>23</v>
      </c>
      <c r="O40" s="66">
        <v>24</v>
      </c>
      <c r="P40" s="76"/>
      <c r="Q40" s="66">
        <v>0</v>
      </c>
      <c r="T40" s="46"/>
    </row>
    <row r="41" spans="2:20" x14ac:dyDescent="0.2">
      <c r="B41" s="72">
        <v>38626</v>
      </c>
      <c r="C41" s="80">
        <v>4126461</v>
      </c>
      <c r="D41" s="66">
        <v>4611</v>
      </c>
      <c r="E41" s="81">
        <v>1703719</v>
      </c>
      <c r="F41" s="66">
        <v>564</v>
      </c>
      <c r="G41" s="80">
        <v>9174581</v>
      </c>
      <c r="H41" s="30">
        <v>21463</v>
      </c>
      <c r="I41" s="66">
        <v>74</v>
      </c>
      <c r="J41" s="81">
        <v>71216</v>
      </c>
      <c r="K41" s="30">
        <v>222</v>
      </c>
      <c r="L41" s="238">
        <v>1158</v>
      </c>
      <c r="M41" s="80">
        <v>8540</v>
      </c>
      <c r="N41" s="30">
        <v>23</v>
      </c>
      <c r="O41" s="66">
        <v>24</v>
      </c>
      <c r="P41" s="76"/>
      <c r="Q41" s="66">
        <v>0</v>
      </c>
      <c r="T41" s="46"/>
    </row>
    <row r="42" spans="2:20" x14ac:dyDescent="0.2">
      <c r="B42" s="72">
        <v>38657</v>
      </c>
      <c r="C42" s="80">
        <v>4605718</v>
      </c>
      <c r="D42" s="66">
        <v>4611</v>
      </c>
      <c r="E42" s="81">
        <v>1901593</v>
      </c>
      <c r="F42" s="66">
        <v>564</v>
      </c>
      <c r="G42" s="80">
        <v>10240138</v>
      </c>
      <c r="H42" s="30">
        <v>23956</v>
      </c>
      <c r="I42" s="66">
        <v>73</v>
      </c>
      <c r="J42" s="81">
        <v>79487</v>
      </c>
      <c r="K42" s="30">
        <v>248</v>
      </c>
      <c r="L42" s="238">
        <v>1158</v>
      </c>
      <c r="M42" s="80">
        <v>9531</v>
      </c>
      <c r="N42" s="30">
        <v>26</v>
      </c>
      <c r="O42" s="66">
        <v>24</v>
      </c>
      <c r="P42" s="76"/>
      <c r="Q42" s="66">
        <v>0</v>
      </c>
      <c r="T42" s="46"/>
    </row>
    <row r="43" spans="2:20" x14ac:dyDescent="0.2">
      <c r="B43" s="72">
        <v>38687</v>
      </c>
      <c r="C43" s="80">
        <v>4981729</v>
      </c>
      <c r="D43" s="66">
        <v>4611</v>
      </c>
      <c r="E43" s="81">
        <v>2056839</v>
      </c>
      <c r="F43" s="66">
        <v>564</v>
      </c>
      <c r="G43" s="80">
        <v>11076143</v>
      </c>
      <c r="H43" s="30">
        <v>25912</v>
      </c>
      <c r="I43" s="66">
        <v>72</v>
      </c>
      <c r="J43" s="81">
        <v>85977</v>
      </c>
      <c r="K43" s="30">
        <v>268</v>
      </c>
      <c r="L43" s="238">
        <v>1158</v>
      </c>
      <c r="M43" s="80">
        <v>10310</v>
      </c>
      <c r="N43" s="30">
        <v>28</v>
      </c>
      <c r="O43" s="66">
        <v>24</v>
      </c>
      <c r="P43" s="76"/>
      <c r="Q43" s="66">
        <v>0</v>
      </c>
      <c r="T43" s="46"/>
    </row>
    <row r="44" spans="2:20" x14ac:dyDescent="0.2">
      <c r="B44" s="72">
        <v>38718</v>
      </c>
      <c r="C44" s="80">
        <v>5002267</v>
      </c>
      <c r="D44" s="66">
        <v>4616</v>
      </c>
      <c r="E44" s="80">
        <v>2026723</v>
      </c>
      <c r="F44" s="66">
        <v>564</v>
      </c>
      <c r="G44" s="80">
        <v>11288723</v>
      </c>
      <c r="H44" s="48">
        <v>26617</v>
      </c>
      <c r="I44" s="66">
        <v>72</v>
      </c>
      <c r="J44" s="81">
        <v>99521</v>
      </c>
      <c r="K44" s="30">
        <v>279</v>
      </c>
      <c r="L44" s="238">
        <v>1158</v>
      </c>
      <c r="M44" s="80">
        <v>10356</v>
      </c>
      <c r="N44" s="30">
        <v>29</v>
      </c>
      <c r="O44" s="66">
        <v>24</v>
      </c>
      <c r="P44" s="76"/>
      <c r="Q44" s="66">
        <v>0</v>
      </c>
      <c r="T44" s="46"/>
    </row>
    <row r="45" spans="2:20" x14ac:dyDescent="0.2">
      <c r="B45" s="72">
        <v>38749</v>
      </c>
      <c r="C45" s="80">
        <v>4557494</v>
      </c>
      <c r="D45" s="66">
        <v>4615</v>
      </c>
      <c r="E45" s="80">
        <v>1846518</v>
      </c>
      <c r="F45" s="66">
        <v>564</v>
      </c>
      <c r="G45" s="80">
        <v>10284996</v>
      </c>
      <c r="H45" s="48">
        <v>24251</v>
      </c>
      <c r="I45" s="66">
        <v>75</v>
      </c>
      <c r="J45" s="81">
        <v>90673</v>
      </c>
      <c r="K45" s="30">
        <v>254</v>
      </c>
      <c r="L45" s="238">
        <v>1158</v>
      </c>
      <c r="M45" s="80">
        <v>9435</v>
      </c>
      <c r="N45" s="30">
        <v>27</v>
      </c>
      <c r="O45" s="66">
        <v>24</v>
      </c>
      <c r="P45" s="76"/>
      <c r="Q45" s="66">
        <v>0</v>
      </c>
    </row>
    <row r="46" spans="2:20" x14ac:dyDescent="0.2">
      <c r="B46" s="72">
        <v>38777</v>
      </c>
      <c r="C46" s="80">
        <v>4911616</v>
      </c>
      <c r="D46" s="66">
        <v>4618</v>
      </c>
      <c r="E46" s="80">
        <v>1989995</v>
      </c>
      <c r="F46" s="66">
        <v>564</v>
      </c>
      <c r="G46" s="80">
        <v>11084151</v>
      </c>
      <c r="H46" s="48">
        <v>26135</v>
      </c>
      <c r="I46" s="66">
        <v>75</v>
      </c>
      <c r="J46" s="81">
        <v>97718</v>
      </c>
      <c r="K46" s="30">
        <v>274</v>
      </c>
      <c r="L46" s="238">
        <v>1158</v>
      </c>
      <c r="M46" s="80">
        <v>10168</v>
      </c>
      <c r="N46" s="30">
        <v>29</v>
      </c>
      <c r="O46" s="66">
        <v>24</v>
      </c>
      <c r="P46" s="76"/>
      <c r="Q46" s="66">
        <v>0</v>
      </c>
      <c r="S46" s="46"/>
    </row>
    <row r="47" spans="2:20" x14ac:dyDescent="0.2">
      <c r="B47" s="72">
        <v>38808</v>
      </c>
      <c r="C47" s="80">
        <v>4083216</v>
      </c>
      <c r="D47" s="66">
        <v>4620</v>
      </c>
      <c r="E47" s="80">
        <v>1654360</v>
      </c>
      <c r="F47" s="66">
        <v>564</v>
      </c>
      <c r="G47" s="80">
        <v>9214682</v>
      </c>
      <c r="H47" s="48">
        <v>21727</v>
      </c>
      <c r="I47" s="66">
        <v>75</v>
      </c>
      <c r="J47" s="81">
        <v>81237</v>
      </c>
      <c r="K47" s="30">
        <v>227</v>
      </c>
      <c r="L47" s="238">
        <v>1158</v>
      </c>
      <c r="M47" s="80">
        <v>8453</v>
      </c>
      <c r="N47" s="30">
        <v>24</v>
      </c>
      <c r="O47" s="66">
        <v>24</v>
      </c>
      <c r="P47" s="76"/>
      <c r="Q47" s="66">
        <v>0</v>
      </c>
      <c r="S47" s="46"/>
    </row>
    <row r="48" spans="2:20" x14ac:dyDescent="0.2">
      <c r="B48" s="72">
        <v>38838</v>
      </c>
      <c r="C48" s="80">
        <v>4050422</v>
      </c>
      <c r="D48" s="66">
        <v>4628</v>
      </c>
      <c r="E48" s="80">
        <v>1641073</v>
      </c>
      <c r="F48" s="66">
        <v>565</v>
      </c>
      <c r="G48" s="80">
        <v>9140675</v>
      </c>
      <c r="H48" s="48">
        <v>21553</v>
      </c>
      <c r="I48" s="66">
        <v>75</v>
      </c>
      <c r="J48" s="81">
        <v>80584</v>
      </c>
      <c r="K48" s="30">
        <v>226</v>
      </c>
      <c r="L48" s="238">
        <v>1158</v>
      </c>
      <c r="M48" s="80">
        <v>8385</v>
      </c>
      <c r="N48" s="30">
        <v>24</v>
      </c>
      <c r="O48" s="66">
        <v>24</v>
      </c>
      <c r="P48" s="76"/>
      <c r="Q48" s="66">
        <v>0</v>
      </c>
      <c r="S48" s="46"/>
    </row>
    <row r="49" spans="2:19" x14ac:dyDescent="0.2">
      <c r="B49" s="72">
        <v>38869</v>
      </c>
      <c r="C49" s="80">
        <v>4159595</v>
      </c>
      <c r="D49" s="66">
        <v>4635</v>
      </c>
      <c r="E49" s="80">
        <v>1685305</v>
      </c>
      <c r="F49" s="66">
        <v>565</v>
      </c>
      <c r="G49" s="80">
        <v>9387048</v>
      </c>
      <c r="H49" s="48">
        <v>22134</v>
      </c>
      <c r="I49" s="66">
        <v>77</v>
      </c>
      <c r="J49" s="81">
        <v>82756</v>
      </c>
      <c r="K49" s="30">
        <v>232</v>
      </c>
      <c r="L49" s="238">
        <v>1158</v>
      </c>
      <c r="M49" s="80">
        <v>8611</v>
      </c>
      <c r="N49" s="30">
        <v>24</v>
      </c>
      <c r="O49" s="66">
        <v>23</v>
      </c>
      <c r="P49" s="76"/>
      <c r="Q49" s="66">
        <v>0</v>
      </c>
      <c r="S49" s="46"/>
    </row>
    <row r="50" spans="2:19" x14ac:dyDescent="0.2">
      <c r="B50" s="72">
        <v>38899</v>
      </c>
      <c r="C50" s="80">
        <v>4017231</v>
      </c>
      <c r="D50" s="66">
        <v>4637</v>
      </c>
      <c r="E50" s="80">
        <v>1627625</v>
      </c>
      <c r="F50" s="66">
        <v>566</v>
      </c>
      <c r="G50" s="80">
        <v>9065772</v>
      </c>
      <c r="H50" s="48">
        <v>21376</v>
      </c>
      <c r="I50" s="66">
        <v>77</v>
      </c>
      <c r="J50" s="81">
        <v>79924</v>
      </c>
      <c r="K50" s="30">
        <v>224</v>
      </c>
      <c r="L50" s="238">
        <v>1158</v>
      </c>
      <c r="M50" s="80">
        <v>8317</v>
      </c>
      <c r="N50" s="30">
        <v>23</v>
      </c>
      <c r="O50" s="66">
        <v>23</v>
      </c>
      <c r="P50" s="76"/>
      <c r="Q50" s="66">
        <v>0</v>
      </c>
      <c r="S50" s="46"/>
    </row>
    <row r="51" spans="2:19" x14ac:dyDescent="0.2">
      <c r="B51" s="72">
        <v>38930</v>
      </c>
      <c r="C51" s="80">
        <v>4298906</v>
      </c>
      <c r="D51" s="66">
        <v>4642</v>
      </c>
      <c r="E51" s="80">
        <v>1741748</v>
      </c>
      <c r="F51" s="66">
        <v>566</v>
      </c>
      <c r="G51" s="80">
        <v>9701433</v>
      </c>
      <c r="H51" s="48">
        <v>22875</v>
      </c>
      <c r="I51" s="66">
        <v>77</v>
      </c>
      <c r="J51" s="81">
        <v>85528</v>
      </c>
      <c r="K51" s="30">
        <v>239</v>
      </c>
      <c r="L51" s="238">
        <v>1158</v>
      </c>
      <c r="M51" s="80">
        <v>8900</v>
      </c>
      <c r="N51" s="30">
        <v>25</v>
      </c>
      <c r="O51" s="66">
        <v>23</v>
      </c>
      <c r="P51" s="76"/>
      <c r="Q51" s="66">
        <v>0</v>
      </c>
      <c r="S51" s="46"/>
    </row>
    <row r="52" spans="2:19" x14ac:dyDescent="0.2">
      <c r="B52" s="72">
        <v>38961</v>
      </c>
      <c r="C52" s="80">
        <v>3875454</v>
      </c>
      <c r="D52" s="66">
        <v>4642</v>
      </c>
      <c r="E52" s="80">
        <v>1570182</v>
      </c>
      <c r="F52" s="66">
        <v>566</v>
      </c>
      <c r="G52" s="80">
        <v>8745821</v>
      </c>
      <c r="H52" s="48">
        <v>20622</v>
      </c>
      <c r="I52" s="66">
        <v>77</v>
      </c>
      <c r="J52" s="81">
        <v>77103</v>
      </c>
      <c r="K52" s="30">
        <v>216</v>
      </c>
      <c r="L52" s="238">
        <v>1158</v>
      </c>
      <c r="M52" s="80">
        <v>8023</v>
      </c>
      <c r="N52" s="30">
        <v>23</v>
      </c>
      <c r="O52" s="66">
        <v>23</v>
      </c>
      <c r="P52" s="76"/>
      <c r="Q52" s="66">
        <v>0</v>
      </c>
      <c r="S52" s="46"/>
    </row>
    <row r="53" spans="2:19" x14ac:dyDescent="0.2">
      <c r="B53" s="72">
        <v>38991</v>
      </c>
      <c r="C53" s="80">
        <v>4086068</v>
      </c>
      <c r="D53" s="66">
        <v>4641</v>
      </c>
      <c r="E53" s="80">
        <v>1655515</v>
      </c>
      <c r="F53" s="66">
        <v>566</v>
      </c>
      <c r="G53" s="80">
        <v>9221119</v>
      </c>
      <c r="H53" s="48">
        <v>21742</v>
      </c>
      <c r="I53" s="66">
        <v>77</v>
      </c>
      <c r="J53" s="81">
        <v>81293</v>
      </c>
      <c r="K53" s="30">
        <v>228</v>
      </c>
      <c r="L53" s="238">
        <v>1158</v>
      </c>
      <c r="M53" s="80">
        <v>8459</v>
      </c>
      <c r="N53" s="30">
        <v>24</v>
      </c>
      <c r="O53" s="66">
        <v>23</v>
      </c>
      <c r="P53" s="76"/>
      <c r="Q53" s="66">
        <v>0</v>
      </c>
      <c r="S53" s="46"/>
    </row>
    <row r="54" spans="2:19" x14ac:dyDescent="0.2">
      <c r="B54" s="72">
        <v>39022</v>
      </c>
      <c r="C54" s="80">
        <v>4218833</v>
      </c>
      <c r="D54" s="66">
        <v>4642</v>
      </c>
      <c r="E54" s="80">
        <v>1709306</v>
      </c>
      <c r="F54" s="66">
        <v>566</v>
      </c>
      <c r="G54" s="80">
        <v>9520731</v>
      </c>
      <c r="H54" s="48">
        <v>22449</v>
      </c>
      <c r="I54" s="66">
        <v>78</v>
      </c>
      <c r="J54" s="81">
        <v>83935</v>
      </c>
      <c r="K54" s="30">
        <v>235</v>
      </c>
      <c r="L54" s="238">
        <v>1158</v>
      </c>
      <c r="M54" s="80">
        <v>8734</v>
      </c>
      <c r="N54" s="30">
        <v>25</v>
      </c>
      <c r="O54" s="66">
        <v>22</v>
      </c>
      <c r="P54" s="76"/>
      <c r="Q54" s="66">
        <v>0</v>
      </c>
      <c r="S54" s="46"/>
    </row>
    <row r="55" spans="2:19" x14ac:dyDescent="0.2">
      <c r="B55" s="72">
        <v>39052</v>
      </c>
      <c r="C55" s="80">
        <v>4269620</v>
      </c>
      <c r="D55" s="66">
        <v>4642</v>
      </c>
      <c r="E55" s="80">
        <v>1729883</v>
      </c>
      <c r="F55" s="66">
        <v>566</v>
      </c>
      <c r="G55" s="80">
        <v>9635344</v>
      </c>
      <c r="H55" s="48">
        <v>22719</v>
      </c>
      <c r="I55" s="66">
        <v>78</v>
      </c>
      <c r="J55" s="81">
        <v>84945</v>
      </c>
      <c r="K55" s="30">
        <v>238</v>
      </c>
      <c r="L55" s="238">
        <v>1158</v>
      </c>
      <c r="M55" s="80">
        <v>8839</v>
      </c>
      <c r="N55" s="30">
        <v>25</v>
      </c>
      <c r="O55" s="66">
        <v>22</v>
      </c>
      <c r="P55" s="76"/>
      <c r="Q55" s="66">
        <v>0</v>
      </c>
      <c r="S55" s="46"/>
    </row>
    <row r="56" spans="2:19" x14ac:dyDescent="0.2">
      <c r="B56" s="72">
        <v>39083</v>
      </c>
      <c r="C56" s="80">
        <v>5268691</v>
      </c>
      <c r="D56" s="66">
        <v>4648</v>
      </c>
      <c r="E56" s="80">
        <v>2082733</v>
      </c>
      <c r="F56" s="66">
        <v>566</v>
      </c>
      <c r="G56" s="80">
        <v>11657450</v>
      </c>
      <c r="H56" s="30">
        <v>28838</v>
      </c>
      <c r="I56" s="66">
        <v>78</v>
      </c>
      <c r="J56" s="81">
        <v>96602</v>
      </c>
      <c r="K56" s="30">
        <v>286</v>
      </c>
      <c r="L56" s="238">
        <v>1158</v>
      </c>
      <c r="M56" s="80">
        <v>10798</v>
      </c>
      <c r="N56" s="30">
        <v>30</v>
      </c>
      <c r="O56" s="66">
        <v>22</v>
      </c>
      <c r="P56" s="77"/>
      <c r="Q56" s="66">
        <v>0</v>
      </c>
      <c r="S56" s="46"/>
    </row>
    <row r="57" spans="2:19" x14ac:dyDescent="0.2">
      <c r="B57" s="72">
        <v>39114</v>
      </c>
      <c r="C57" s="80">
        <v>5061440</v>
      </c>
      <c r="D57" s="66">
        <v>4652</v>
      </c>
      <c r="E57" s="80">
        <v>2000805</v>
      </c>
      <c r="F57" s="66">
        <v>566</v>
      </c>
      <c r="G57" s="80">
        <v>11198888</v>
      </c>
      <c r="H57" s="30">
        <v>27704</v>
      </c>
      <c r="I57" s="66">
        <v>78</v>
      </c>
      <c r="J57" s="81">
        <v>92802</v>
      </c>
      <c r="K57" s="30">
        <v>274</v>
      </c>
      <c r="L57" s="238">
        <v>1158</v>
      </c>
      <c r="M57" s="80">
        <v>10374</v>
      </c>
      <c r="N57" s="30">
        <v>29</v>
      </c>
      <c r="O57" s="66">
        <v>22</v>
      </c>
      <c r="P57" s="77"/>
      <c r="Q57" s="66">
        <v>0</v>
      </c>
      <c r="S57" s="46"/>
    </row>
    <row r="58" spans="2:19" x14ac:dyDescent="0.2">
      <c r="B58" s="72">
        <v>39142</v>
      </c>
      <c r="C58" s="80">
        <v>4992181</v>
      </c>
      <c r="D58" s="66">
        <v>4652</v>
      </c>
      <c r="E58" s="80">
        <v>1973427</v>
      </c>
      <c r="F58" s="66">
        <v>575</v>
      </c>
      <c r="G58" s="80">
        <v>11045648</v>
      </c>
      <c r="H58" s="30">
        <v>27325</v>
      </c>
      <c r="I58" s="66">
        <v>78</v>
      </c>
      <c r="J58" s="81">
        <v>91532</v>
      </c>
      <c r="K58" s="30">
        <v>271</v>
      </c>
      <c r="L58" s="238">
        <v>1158</v>
      </c>
      <c r="M58" s="80">
        <v>10232</v>
      </c>
      <c r="N58" s="30">
        <v>28</v>
      </c>
      <c r="O58" s="66">
        <v>22</v>
      </c>
      <c r="P58" s="77"/>
      <c r="Q58" s="66">
        <v>0</v>
      </c>
      <c r="S58" s="46"/>
    </row>
    <row r="59" spans="2:19" x14ac:dyDescent="0.2">
      <c r="B59" s="72">
        <v>39173</v>
      </c>
      <c r="C59" s="80">
        <v>4289719</v>
      </c>
      <c r="D59" s="66">
        <v>4682</v>
      </c>
      <c r="E59" s="80">
        <v>1695741</v>
      </c>
      <c r="F59" s="66">
        <v>575</v>
      </c>
      <c r="G59" s="80">
        <v>9491387</v>
      </c>
      <c r="H59" s="30">
        <v>23480</v>
      </c>
      <c r="I59" s="66">
        <v>78</v>
      </c>
      <c r="J59" s="81">
        <v>78653</v>
      </c>
      <c r="K59" s="30">
        <v>232</v>
      </c>
      <c r="L59" s="238">
        <v>1158</v>
      </c>
      <c r="M59" s="80">
        <v>8792</v>
      </c>
      <c r="N59" s="30">
        <v>24</v>
      </c>
      <c r="O59" s="66">
        <v>22</v>
      </c>
      <c r="P59" s="77"/>
      <c r="Q59" s="66">
        <v>0</v>
      </c>
      <c r="S59" s="46"/>
    </row>
    <row r="60" spans="2:19" x14ac:dyDescent="0.2">
      <c r="B60" s="72">
        <v>39203</v>
      </c>
      <c r="C60" s="80">
        <v>4001364</v>
      </c>
      <c r="D60" s="66">
        <v>4701</v>
      </c>
      <c r="E60" s="80">
        <v>1581754</v>
      </c>
      <c r="F60" s="66">
        <v>575</v>
      </c>
      <c r="G60" s="80">
        <v>8853375</v>
      </c>
      <c r="H60" s="30">
        <v>21901</v>
      </c>
      <c r="I60" s="66">
        <v>78</v>
      </c>
      <c r="J60" s="81">
        <v>73366</v>
      </c>
      <c r="K60" s="30">
        <v>217</v>
      </c>
      <c r="L60" s="238">
        <v>1158</v>
      </c>
      <c r="M60" s="80">
        <v>8201</v>
      </c>
      <c r="N60" s="30">
        <v>23</v>
      </c>
      <c r="O60" s="66">
        <v>21</v>
      </c>
      <c r="P60" s="77"/>
      <c r="Q60" s="66">
        <v>0</v>
      </c>
      <c r="S60" s="46"/>
    </row>
    <row r="61" spans="2:19" x14ac:dyDescent="0.2">
      <c r="B61" s="72">
        <v>39234</v>
      </c>
      <c r="C61" s="80">
        <v>4099727</v>
      </c>
      <c r="D61" s="66">
        <v>4727</v>
      </c>
      <c r="E61" s="80">
        <v>1620637</v>
      </c>
      <c r="F61" s="66">
        <v>575</v>
      </c>
      <c r="G61" s="80">
        <v>9071012</v>
      </c>
      <c r="H61" s="30">
        <v>22440</v>
      </c>
      <c r="I61" s="66">
        <v>79</v>
      </c>
      <c r="J61" s="81">
        <v>75169</v>
      </c>
      <c r="K61" s="30">
        <v>222</v>
      </c>
      <c r="L61" s="238">
        <v>1158</v>
      </c>
      <c r="M61" s="80">
        <v>8403</v>
      </c>
      <c r="N61" s="30">
        <v>23</v>
      </c>
      <c r="O61" s="66">
        <v>21</v>
      </c>
      <c r="P61" s="77"/>
      <c r="Q61" s="66">
        <v>0</v>
      </c>
      <c r="S61" s="46"/>
    </row>
    <row r="62" spans="2:19" x14ac:dyDescent="0.2">
      <c r="B62" s="72">
        <v>39264</v>
      </c>
      <c r="C62" s="80">
        <v>3738250</v>
      </c>
      <c r="D62" s="66">
        <v>4755</v>
      </c>
      <c r="E62" s="80">
        <v>1477744</v>
      </c>
      <c r="F62" s="66">
        <v>575</v>
      </c>
      <c r="G62" s="80">
        <v>8271212</v>
      </c>
      <c r="H62" s="30">
        <v>20461</v>
      </c>
      <c r="I62" s="66">
        <v>79</v>
      </c>
      <c r="J62" s="81">
        <v>68541</v>
      </c>
      <c r="K62" s="30">
        <v>203</v>
      </c>
      <c r="L62" s="238">
        <v>1158</v>
      </c>
      <c r="M62" s="80">
        <v>7662</v>
      </c>
      <c r="N62" s="30">
        <v>21</v>
      </c>
      <c r="O62" s="66">
        <v>21</v>
      </c>
      <c r="P62" s="77"/>
      <c r="Q62" s="66">
        <v>0</v>
      </c>
      <c r="S62" s="46"/>
    </row>
    <row r="63" spans="2:19" x14ac:dyDescent="0.2">
      <c r="B63" s="72">
        <v>39295</v>
      </c>
      <c r="C63" s="80">
        <v>4246837</v>
      </c>
      <c r="D63" s="66">
        <v>4768</v>
      </c>
      <c r="E63" s="80">
        <v>1678790</v>
      </c>
      <c r="F63" s="66">
        <v>573</v>
      </c>
      <c r="G63" s="80">
        <v>9396506</v>
      </c>
      <c r="H63" s="30">
        <v>23245</v>
      </c>
      <c r="I63" s="66">
        <v>80</v>
      </c>
      <c r="J63" s="81">
        <v>77866</v>
      </c>
      <c r="K63" s="30">
        <v>230</v>
      </c>
      <c r="L63" s="238">
        <v>1158</v>
      </c>
      <c r="M63" s="80">
        <v>8704</v>
      </c>
      <c r="N63" s="30">
        <v>24</v>
      </c>
      <c r="O63" s="66">
        <v>21</v>
      </c>
      <c r="P63" s="77"/>
      <c r="Q63" s="66">
        <v>0</v>
      </c>
      <c r="S63" s="46"/>
    </row>
    <row r="64" spans="2:19" x14ac:dyDescent="0.2">
      <c r="B64" s="72">
        <v>39326</v>
      </c>
      <c r="C64" s="80">
        <v>4012570</v>
      </c>
      <c r="D64" s="66">
        <v>4770</v>
      </c>
      <c r="E64" s="80">
        <v>1586184</v>
      </c>
      <c r="F64" s="66">
        <v>573</v>
      </c>
      <c r="G64" s="80">
        <v>8878170</v>
      </c>
      <c r="H64" s="30">
        <v>21963</v>
      </c>
      <c r="I64" s="66">
        <v>80</v>
      </c>
      <c r="J64" s="81">
        <v>73571</v>
      </c>
      <c r="K64" s="30">
        <v>217</v>
      </c>
      <c r="L64" s="238">
        <v>1158</v>
      </c>
      <c r="M64" s="80">
        <v>8224</v>
      </c>
      <c r="N64" s="30">
        <v>23</v>
      </c>
      <c r="O64" s="66">
        <v>21</v>
      </c>
      <c r="P64" s="77"/>
      <c r="Q64" s="66">
        <v>0</v>
      </c>
      <c r="S64" s="46"/>
    </row>
    <row r="65" spans="2:19" x14ac:dyDescent="0.2">
      <c r="B65" s="72">
        <v>39356</v>
      </c>
      <c r="C65" s="80">
        <v>4238652</v>
      </c>
      <c r="D65" s="66">
        <v>4775</v>
      </c>
      <c r="E65" s="80">
        <v>1675554</v>
      </c>
      <c r="F65" s="66">
        <v>573</v>
      </c>
      <c r="G65" s="80">
        <v>9378396</v>
      </c>
      <c r="H65" s="30">
        <v>23200</v>
      </c>
      <c r="I65" s="66">
        <v>80</v>
      </c>
      <c r="J65" s="81">
        <v>77716</v>
      </c>
      <c r="K65" s="30">
        <v>230</v>
      </c>
      <c r="L65" s="238">
        <v>1158</v>
      </c>
      <c r="M65" s="80">
        <v>8687</v>
      </c>
      <c r="N65" s="30">
        <v>24</v>
      </c>
      <c r="O65" s="66">
        <v>21</v>
      </c>
      <c r="P65" s="77"/>
      <c r="Q65" s="66">
        <v>0</v>
      </c>
    </row>
    <row r="66" spans="2:19" x14ac:dyDescent="0.2">
      <c r="B66" s="72">
        <v>39387</v>
      </c>
      <c r="C66" s="80">
        <v>4427822</v>
      </c>
      <c r="D66" s="66">
        <v>4775</v>
      </c>
      <c r="E66" s="80">
        <v>1750334</v>
      </c>
      <c r="F66" s="66">
        <v>573</v>
      </c>
      <c r="G66" s="80">
        <v>9796952</v>
      </c>
      <c r="H66" s="30">
        <v>24236</v>
      </c>
      <c r="I66" s="66">
        <v>80</v>
      </c>
      <c r="J66" s="81">
        <v>81185</v>
      </c>
      <c r="K66" s="30">
        <v>240</v>
      </c>
      <c r="L66" s="238">
        <v>1158</v>
      </c>
      <c r="M66" s="80">
        <v>9075</v>
      </c>
      <c r="N66" s="30">
        <v>25</v>
      </c>
      <c r="O66" s="66">
        <v>21</v>
      </c>
      <c r="P66" s="77"/>
      <c r="Q66" s="66">
        <v>0</v>
      </c>
    </row>
    <row r="67" spans="2:19" x14ac:dyDescent="0.2">
      <c r="B67" s="72">
        <v>39417</v>
      </c>
      <c r="C67" s="80">
        <v>4658303</v>
      </c>
      <c r="D67" s="66">
        <v>4775</v>
      </c>
      <c r="E67" s="80">
        <v>1841444</v>
      </c>
      <c r="F67" s="66">
        <v>573</v>
      </c>
      <c r="G67" s="80">
        <v>10306912</v>
      </c>
      <c r="H67" s="30">
        <v>25497</v>
      </c>
      <c r="I67" s="66">
        <v>80</v>
      </c>
      <c r="J67" s="81">
        <v>85411</v>
      </c>
      <c r="K67" s="30">
        <v>252</v>
      </c>
      <c r="L67" s="238">
        <v>1158</v>
      </c>
      <c r="M67" s="80">
        <v>9547</v>
      </c>
      <c r="N67" s="30">
        <v>26</v>
      </c>
      <c r="O67" s="66">
        <v>21</v>
      </c>
      <c r="P67" s="77"/>
      <c r="Q67" s="66">
        <v>0</v>
      </c>
    </row>
    <row r="68" spans="2:19" x14ac:dyDescent="0.2">
      <c r="B68" s="72">
        <v>39448</v>
      </c>
      <c r="C68" s="81">
        <v>8779377</v>
      </c>
      <c r="D68" s="66">
        <v>4775</v>
      </c>
      <c r="E68" s="81">
        <v>1926044</v>
      </c>
      <c r="F68" s="66">
        <v>573</v>
      </c>
      <c r="G68" s="80">
        <v>10635836</v>
      </c>
      <c r="H68" s="30">
        <v>32159</v>
      </c>
      <c r="I68" s="66">
        <v>80</v>
      </c>
      <c r="J68" s="81">
        <v>130114</v>
      </c>
      <c r="K68" s="30">
        <v>274</v>
      </c>
      <c r="L68" s="238">
        <v>1158</v>
      </c>
      <c r="M68" s="80">
        <v>7639</v>
      </c>
      <c r="N68" s="30">
        <v>30</v>
      </c>
      <c r="O68" s="66">
        <v>21</v>
      </c>
      <c r="P68" s="77"/>
      <c r="Q68" s="66">
        <v>0</v>
      </c>
    </row>
    <row r="69" spans="2:19" x14ac:dyDescent="0.2">
      <c r="B69" s="72">
        <v>39479</v>
      </c>
      <c r="C69" s="81">
        <v>337479</v>
      </c>
      <c r="D69" s="66">
        <v>4774</v>
      </c>
      <c r="E69" s="81">
        <v>1849418</v>
      </c>
      <c r="F69" s="66">
        <v>573</v>
      </c>
      <c r="G69" s="80">
        <v>10212698</v>
      </c>
      <c r="H69" s="30">
        <v>30880</v>
      </c>
      <c r="I69" s="66">
        <v>80</v>
      </c>
      <c r="J69" s="81">
        <v>124938</v>
      </c>
      <c r="K69" s="30">
        <v>263</v>
      </c>
      <c r="L69" s="238">
        <v>1158</v>
      </c>
      <c r="M69" s="80">
        <v>7335</v>
      </c>
      <c r="N69" s="30">
        <v>29</v>
      </c>
      <c r="O69" s="66">
        <v>21</v>
      </c>
      <c r="P69" s="77"/>
      <c r="Q69" s="66">
        <v>0</v>
      </c>
    </row>
    <row r="70" spans="2:19" x14ac:dyDescent="0.2">
      <c r="B70" s="72">
        <v>39508</v>
      </c>
      <c r="C70" s="81">
        <v>7882872</v>
      </c>
      <c r="D70" s="66">
        <v>4775</v>
      </c>
      <c r="E70" s="81">
        <v>1798992</v>
      </c>
      <c r="F70" s="66">
        <v>573</v>
      </c>
      <c r="G70" s="80">
        <v>9934239</v>
      </c>
      <c r="H70" s="30">
        <v>30038</v>
      </c>
      <c r="I70" s="66">
        <v>80</v>
      </c>
      <c r="J70" s="81">
        <v>121531</v>
      </c>
      <c r="K70" s="30">
        <v>256</v>
      </c>
      <c r="L70" s="238">
        <v>1158</v>
      </c>
      <c r="M70" s="80">
        <v>7135</v>
      </c>
      <c r="N70" s="30">
        <v>28</v>
      </c>
      <c r="O70" s="66">
        <v>21</v>
      </c>
      <c r="P70" s="77">
        <v>5774</v>
      </c>
      <c r="Q70" s="66">
        <v>4</v>
      </c>
    </row>
    <row r="71" spans="2:19" x14ac:dyDescent="0.2">
      <c r="B71" s="72">
        <v>39539</v>
      </c>
      <c r="C71" s="81">
        <v>288597</v>
      </c>
      <c r="D71" s="66">
        <v>4776</v>
      </c>
      <c r="E71" s="81">
        <v>1553051</v>
      </c>
      <c r="F71" s="66">
        <v>575</v>
      </c>
      <c r="G71" s="80">
        <v>8576124</v>
      </c>
      <c r="H71" s="30">
        <v>25931</v>
      </c>
      <c r="I71" s="66">
        <v>80</v>
      </c>
      <c r="J71" s="81">
        <v>104917</v>
      </c>
      <c r="K71" s="30">
        <v>221</v>
      </c>
      <c r="L71" s="238">
        <v>1158</v>
      </c>
      <c r="M71" s="80">
        <v>6159</v>
      </c>
      <c r="N71" s="30">
        <v>24</v>
      </c>
      <c r="O71" s="66">
        <v>21</v>
      </c>
      <c r="P71" s="77">
        <v>5544</v>
      </c>
      <c r="Q71" s="66">
        <v>4</v>
      </c>
    </row>
    <row r="72" spans="2:19" x14ac:dyDescent="0.2">
      <c r="B72" s="72">
        <v>39569</v>
      </c>
      <c r="C72" s="81">
        <v>7125868</v>
      </c>
      <c r="D72" s="66">
        <v>4777</v>
      </c>
      <c r="E72" s="81">
        <v>1795217</v>
      </c>
      <c r="F72" s="66">
        <v>575</v>
      </c>
      <c r="G72" s="80">
        <v>8985080</v>
      </c>
      <c r="H72" s="30">
        <v>23171</v>
      </c>
      <c r="I72" s="66">
        <v>80</v>
      </c>
      <c r="J72" s="81">
        <v>73553</v>
      </c>
      <c r="K72" s="30">
        <v>259</v>
      </c>
      <c r="L72" s="238">
        <v>1158</v>
      </c>
      <c r="M72" s="80">
        <v>12621</v>
      </c>
      <c r="N72" s="30">
        <v>23</v>
      </c>
      <c r="O72" s="66">
        <v>21</v>
      </c>
      <c r="P72" s="77">
        <v>5393</v>
      </c>
      <c r="Q72" s="66">
        <v>4</v>
      </c>
    </row>
    <row r="73" spans="2:19" x14ac:dyDescent="0.2">
      <c r="B73" s="72">
        <v>39600</v>
      </c>
      <c r="C73" s="81">
        <v>273918</v>
      </c>
      <c r="D73" s="66">
        <v>4778</v>
      </c>
      <c r="E73" s="80">
        <v>1357391</v>
      </c>
      <c r="F73" s="66">
        <v>576</v>
      </c>
      <c r="G73" s="80">
        <v>9684699</v>
      </c>
      <c r="H73" s="30">
        <v>24320</v>
      </c>
      <c r="I73" s="66">
        <v>80</v>
      </c>
      <c r="J73" s="81">
        <v>67925</v>
      </c>
      <c r="K73" s="30">
        <v>259</v>
      </c>
      <c r="L73" s="238">
        <v>1158</v>
      </c>
      <c r="M73" s="80"/>
      <c r="N73" s="30">
        <v>23</v>
      </c>
      <c r="O73" s="66">
        <v>21</v>
      </c>
      <c r="P73" s="77">
        <v>4656</v>
      </c>
      <c r="Q73" s="66">
        <v>4</v>
      </c>
    </row>
    <row r="74" spans="2:19" x14ac:dyDescent="0.2">
      <c r="B74" s="72">
        <v>39630</v>
      </c>
      <c r="C74" s="81">
        <v>6398211</v>
      </c>
      <c r="D74" s="66">
        <v>4778</v>
      </c>
      <c r="E74" s="80">
        <v>2083573</v>
      </c>
      <c r="F74" s="66">
        <v>577</v>
      </c>
      <c r="G74" s="80">
        <v>8951088</v>
      </c>
      <c r="H74" s="30">
        <v>24177</v>
      </c>
      <c r="I74" s="66">
        <v>80</v>
      </c>
      <c r="J74" s="81">
        <v>71224</v>
      </c>
      <c r="K74" s="30">
        <v>259</v>
      </c>
      <c r="L74" s="238">
        <v>1158</v>
      </c>
      <c r="M74" s="80">
        <v>23432</v>
      </c>
      <c r="N74" s="30">
        <v>21</v>
      </c>
      <c r="O74" s="66">
        <v>21</v>
      </c>
      <c r="P74" s="77">
        <v>11025</v>
      </c>
      <c r="Q74" s="66">
        <v>4</v>
      </c>
    </row>
    <row r="75" spans="2:19" x14ac:dyDescent="0.2">
      <c r="B75" s="72">
        <v>39661</v>
      </c>
      <c r="C75" s="81">
        <v>234243</v>
      </c>
      <c r="D75" s="66">
        <v>4778</v>
      </c>
      <c r="E75" s="80">
        <v>1287019</v>
      </c>
      <c r="F75" s="66">
        <v>579</v>
      </c>
      <c r="G75" s="80">
        <v>9685778</v>
      </c>
      <c r="H75" s="30">
        <v>24360</v>
      </c>
      <c r="I75" s="66">
        <v>80</v>
      </c>
      <c r="J75" s="81">
        <v>78986</v>
      </c>
      <c r="K75" s="30">
        <v>259</v>
      </c>
      <c r="L75" s="238">
        <v>1158</v>
      </c>
      <c r="M75" s="80"/>
      <c r="N75" s="30">
        <v>24</v>
      </c>
      <c r="O75" s="66">
        <v>21</v>
      </c>
      <c r="P75" s="77">
        <v>10570</v>
      </c>
      <c r="Q75" s="66">
        <v>4</v>
      </c>
    </row>
    <row r="76" spans="2:19" x14ac:dyDescent="0.2">
      <c r="B76" s="72">
        <v>39692</v>
      </c>
      <c r="C76" s="81">
        <v>6030360</v>
      </c>
      <c r="D76" s="66">
        <v>4777</v>
      </c>
      <c r="E76" s="81">
        <v>1930056</v>
      </c>
      <c r="F76" s="66">
        <v>579</v>
      </c>
      <c r="G76" s="80">
        <v>9944994</v>
      </c>
      <c r="H76" s="30">
        <v>23892</v>
      </c>
      <c r="I76" s="66">
        <v>80</v>
      </c>
      <c r="J76" s="81">
        <v>89272</v>
      </c>
      <c r="K76" s="30">
        <v>259</v>
      </c>
      <c r="L76" s="238">
        <v>1158</v>
      </c>
      <c r="M76" s="80">
        <v>18021</v>
      </c>
      <c r="N76" s="30">
        <v>23</v>
      </c>
      <c r="O76" s="66">
        <v>21</v>
      </c>
      <c r="P76" s="77">
        <v>11025</v>
      </c>
      <c r="Q76" s="66">
        <v>4</v>
      </c>
      <c r="S76" s="46"/>
    </row>
    <row r="77" spans="2:19" x14ac:dyDescent="0.2">
      <c r="B77" s="72">
        <v>39722</v>
      </c>
      <c r="C77" s="81">
        <v>336402</v>
      </c>
      <c r="D77" s="66">
        <v>4778</v>
      </c>
      <c r="E77" s="81">
        <v>1121426</v>
      </c>
      <c r="F77" s="66">
        <v>579</v>
      </c>
      <c r="G77" s="80">
        <v>9482372</v>
      </c>
      <c r="H77" s="30">
        <v>23534</v>
      </c>
      <c r="I77" s="66">
        <v>80</v>
      </c>
      <c r="J77" s="81">
        <v>106933</v>
      </c>
      <c r="K77" s="30">
        <v>259</v>
      </c>
      <c r="L77" s="238">
        <v>1158</v>
      </c>
      <c r="M77" s="80"/>
      <c r="N77" s="30">
        <v>24</v>
      </c>
      <c r="O77" s="66">
        <v>21</v>
      </c>
      <c r="P77" s="77">
        <v>10978</v>
      </c>
      <c r="Q77" s="66">
        <v>4</v>
      </c>
      <c r="S77" s="46"/>
    </row>
    <row r="78" spans="2:19" x14ac:dyDescent="0.2">
      <c r="B78" s="72">
        <v>39753</v>
      </c>
      <c r="C78" s="82">
        <v>7190441</v>
      </c>
      <c r="D78" s="66">
        <v>4778</v>
      </c>
      <c r="E78" s="81">
        <v>1900776</v>
      </c>
      <c r="F78" s="66">
        <v>579</v>
      </c>
      <c r="G78" s="80">
        <v>8783110</v>
      </c>
      <c r="H78" s="30">
        <v>22143</v>
      </c>
      <c r="I78" s="66">
        <v>80</v>
      </c>
      <c r="J78" s="81">
        <v>112690</v>
      </c>
      <c r="K78" s="30">
        <v>259</v>
      </c>
      <c r="L78" s="238">
        <v>1158</v>
      </c>
      <c r="M78" s="80">
        <v>18021</v>
      </c>
      <c r="N78" s="30">
        <v>25</v>
      </c>
      <c r="O78" s="66">
        <v>21</v>
      </c>
      <c r="P78" s="77">
        <v>11433</v>
      </c>
      <c r="Q78" s="66">
        <v>4</v>
      </c>
      <c r="S78" s="46"/>
    </row>
    <row r="79" spans="2:19" x14ac:dyDescent="0.2">
      <c r="B79" s="72">
        <v>39783</v>
      </c>
      <c r="C79" s="82">
        <v>8593642</v>
      </c>
      <c r="D79" s="66">
        <v>4778</v>
      </c>
      <c r="E79" s="81">
        <v>2046655</v>
      </c>
      <c r="F79" s="66">
        <v>579</v>
      </c>
      <c r="G79" s="80">
        <v>7968993</v>
      </c>
      <c r="H79" s="30">
        <v>19542</v>
      </c>
      <c r="I79" s="66">
        <v>80</v>
      </c>
      <c r="J79" s="81">
        <v>126283</v>
      </c>
      <c r="K79" s="30">
        <v>271</v>
      </c>
      <c r="L79" s="238">
        <v>1158</v>
      </c>
      <c r="M79" s="80">
        <v>8109</v>
      </c>
      <c r="N79" s="30">
        <v>26</v>
      </c>
      <c r="O79" s="66">
        <v>21</v>
      </c>
      <c r="P79" s="77">
        <v>10451</v>
      </c>
      <c r="Q79" s="66">
        <v>4</v>
      </c>
      <c r="S79" s="46"/>
    </row>
    <row r="80" spans="2:19" x14ac:dyDescent="0.2">
      <c r="B80" s="72">
        <v>39814</v>
      </c>
      <c r="C80" s="81">
        <v>5015424</v>
      </c>
      <c r="D80" s="66">
        <v>4778</v>
      </c>
      <c r="E80" s="81">
        <v>1985964</v>
      </c>
      <c r="F80" s="66">
        <v>579</v>
      </c>
      <c r="G80" s="80">
        <v>8528116</v>
      </c>
      <c r="H80" s="30">
        <v>23602</v>
      </c>
      <c r="I80" s="66">
        <v>80</v>
      </c>
      <c r="J80" s="81">
        <v>123349</v>
      </c>
      <c r="K80" s="30">
        <v>271</v>
      </c>
      <c r="L80" s="238">
        <v>1158</v>
      </c>
      <c r="M80" s="80">
        <v>9912</v>
      </c>
      <c r="N80" s="30">
        <v>59</v>
      </c>
      <c r="O80" s="66">
        <v>21</v>
      </c>
      <c r="P80" s="76">
        <v>11960</v>
      </c>
      <c r="Q80" s="66">
        <v>4</v>
      </c>
      <c r="S80" s="46"/>
    </row>
    <row r="81" spans="2:19" x14ac:dyDescent="0.2">
      <c r="B81" s="72">
        <v>39845</v>
      </c>
      <c r="C81" s="81">
        <v>608230</v>
      </c>
      <c r="D81" s="66">
        <v>4778</v>
      </c>
      <c r="E81" s="81">
        <v>1250099</v>
      </c>
      <c r="F81" s="66">
        <v>580</v>
      </c>
      <c r="G81" s="80">
        <v>8312346</v>
      </c>
      <c r="H81" s="30">
        <v>21474</v>
      </c>
      <c r="I81" s="66">
        <v>80</v>
      </c>
      <c r="J81" s="81">
        <v>104403</v>
      </c>
      <c r="K81" s="30">
        <v>271</v>
      </c>
      <c r="L81" s="238">
        <v>1158</v>
      </c>
      <c r="M81" s="80"/>
      <c r="N81" s="30"/>
      <c r="O81" s="66">
        <v>21</v>
      </c>
      <c r="P81" s="76">
        <v>10978</v>
      </c>
      <c r="Q81" s="66">
        <v>4</v>
      </c>
      <c r="S81" s="46"/>
    </row>
    <row r="82" spans="2:19" x14ac:dyDescent="0.2">
      <c r="B82" s="72">
        <v>39873</v>
      </c>
      <c r="C82" s="81">
        <v>11004795</v>
      </c>
      <c r="D82" s="66">
        <v>4778</v>
      </c>
      <c r="E82" s="81">
        <v>2194957</v>
      </c>
      <c r="F82" s="66">
        <v>582</v>
      </c>
      <c r="G82" s="80">
        <v>9030310</v>
      </c>
      <c r="H82" s="30">
        <v>21337</v>
      </c>
      <c r="I82" s="66">
        <v>80</v>
      </c>
      <c r="J82" s="81">
        <v>102982</v>
      </c>
      <c r="K82" s="30">
        <v>271</v>
      </c>
      <c r="L82" s="238">
        <v>1158</v>
      </c>
      <c r="M82" s="80">
        <v>18021</v>
      </c>
      <c r="N82" s="30">
        <v>52</v>
      </c>
      <c r="O82" s="66">
        <v>21</v>
      </c>
      <c r="P82" s="76">
        <v>11433</v>
      </c>
      <c r="Q82" s="66">
        <v>4</v>
      </c>
      <c r="S82" s="46"/>
    </row>
    <row r="83" spans="2:19" x14ac:dyDescent="0.2">
      <c r="B83" s="72">
        <v>39904</v>
      </c>
      <c r="C83" s="81">
        <v>365880</v>
      </c>
      <c r="D83" s="66">
        <v>4778</v>
      </c>
      <c r="E83" s="81">
        <v>1143500</v>
      </c>
      <c r="F83" s="66">
        <v>582</v>
      </c>
      <c r="G83" s="80">
        <v>7324605</v>
      </c>
      <c r="H83" s="30">
        <v>21122</v>
      </c>
      <c r="I83" s="66">
        <v>81</v>
      </c>
      <c r="J83" s="81">
        <v>84714</v>
      </c>
      <c r="K83" s="30">
        <v>271</v>
      </c>
      <c r="L83" s="238">
        <v>1158</v>
      </c>
      <c r="M83" s="80"/>
      <c r="N83" s="30"/>
      <c r="O83" s="66">
        <v>21</v>
      </c>
      <c r="P83" s="76">
        <v>10978</v>
      </c>
      <c r="Q83" s="66">
        <v>4</v>
      </c>
      <c r="S83" s="46"/>
    </row>
    <row r="84" spans="2:19" x14ac:dyDescent="0.2">
      <c r="B84" s="72">
        <v>39934</v>
      </c>
      <c r="C84" s="81">
        <v>7172672</v>
      </c>
      <c r="D84" s="66">
        <v>4779</v>
      </c>
      <c r="E84" s="81">
        <v>1731074</v>
      </c>
      <c r="F84" s="66">
        <v>582</v>
      </c>
      <c r="G84" s="80">
        <v>6577297</v>
      </c>
      <c r="H84" s="30">
        <v>20363</v>
      </c>
      <c r="I84" s="66">
        <v>81</v>
      </c>
      <c r="J84" s="81">
        <v>76932</v>
      </c>
      <c r="K84" s="30">
        <v>271</v>
      </c>
      <c r="L84" s="238">
        <v>1158</v>
      </c>
      <c r="M84" s="80">
        <v>18021</v>
      </c>
      <c r="N84" s="30">
        <v>46</v>
      </c>
      <c r="O84" s="66">
        <v>21</v>
      </c>
      <c r="P84" s="76">
        <v>11433</v>
      </c>
      <c r="Q84" s="66">
        <v>4</v>
      </c>
      <c r="S84" s="46"/>
    </row>
    <row r="85" spans="2:19" x14ac:dyDescent="0.2">
      <c r="B85" s="72">
        <v>39965</v>
      </c>
      <c r="C85" s="81">
        <v>224689</v>
      </c>
      <c r="D85" s="66">
        <v>4781</v>
      </c>
      <c r="E85" s="81">
        <v>1224901</v>
      </c>
      <c r="F85" s="66">
        <v>585</v>
      </c>
      <c r="G85" s="80">
        <v>7285789</v>
      </c>
      <c r="H85" s="30">
        <v>21392</v>
      </c>
      <c r="I85" s="66">
        <v>81</v>
      </c>
      <c r="J85" s="81">
        <v>71046</v>
      </c>
      <c r="K85" s="30">
        <v>271</v>
      </c>
      <c r="L85" s="238">
        <v>1158</v>
      </c>
      <c r="M85" s="80"/>
      <c r="N85" s="30"/>
      <c r="O85" s="66">
        <v>21</v>
      </c>
      <c r="P85" s="76">
        <v>10978</v>
      </c>
      <c r="Q85" s="66">
        <v>4</v>
      </c>
      <c r="S85" s="46"/>
    </row>
    <row r="86" spans="2:19" x14ac:dyDescent="0.2">
      <c r="B86" s="72">
        <v>39995</v>
      </c>
      <c r="C86" s="81">
        <v>6050442</v>
      </c>
      <c r="D86" s="66">
        <v>4781</v>
      </c>
      <c r="E86" s="81">
        <v>1972981</v>
      </c>
      <c r="F86" s="66">
        <v>585</v>
      </c>
      <c r="G86" s="80">
        <v>7301229</v>
      </c>
      <c r="H86" s="30">
        <v>21186</v>
      </c>
      <c r="I86" s="66">
        <v>82</v>
      </c>
      <c r="J86" s="81">
        <v>72190</v>
      </c>
      <c r="K86" s="30">
        <v>262</v>
      </c>
      <c r="L86" s="238">
        <v>1158</v>
      </c>
      <c r="M86" s="80">
        <v>18021</v>
      </c>
      <c r="N86" s="30">
        <v>45</v>
      </c>
      <c r="O86" s="66">
        <v>21</v>
      </c>
      <c r="P86" s="76">
        <v>18866</v>
      </c>
      <c r="Q86" s="66">
        <v>4</v>
      </c>
      <c r="S86" s="46"/>
    </row>
    <row r="87" spans="2:19" x14ac:dyDescent="0.2">
      <c r="B87" s="72">
        <v>40026</v>
      </c>
      <c r="C87" s="81">
        <v>232997</v>
      </c>
      <c r="D87" s="66">
        <v>4781</v>
      </c>
      <c r="E87" s="81">
        <v>1210607</v>
      </c>
      <c r="F87" s="66">
        <v>585</v>
      </c>
      <c r="G87" s="80">
        <v>8770180</v>
      </c>
      <c r="H87" s="30">
        <v>21782</v>
      </c>
      <c r="I87" s="66">
        <v>82</v>
      </c>
      <c r="J87" s="81">
        <v>80058</v>
      </c>
      <c r="K87" s="30">
        <v>262</v>
      </c>
      <c r="L87" s="238">
        <v>1158</v>
      </c>
      <c r="M87" s="80"/>
      <c r="N87" s="30"/>
      <c r="O87" s="66">
        <v>21</v>
      </c>
      <c r="P87" s="76">
        <v>17346</v>
      </c>
      <c r="Q87" s="66">
        <v>4</v>
      </c>
      <c r="S87" s="46"/>
    </row>
    <row r="88" spans="2:19" x14ac:dyDescent="0.2">
      <c r="B88" s="72">
        <v>40057</v>
      </c>
      <c r="C88" s="81">
        <v>6135200</v>
      </c>
      <c r="D88" s="66">
        <v>4780</v>
      </c>
      <c r="E88" s="81">
        <v>1824957</v>
      </c>
      <c r="F88" s="66">
        <v>585</v>
      </c>
      <c r="G88" s="80">
        <v>8559112</v>
      </c>
      <c r="H88" s="30">
        <v>21620</v>
      </c>
      <c r="I88" s="66">
        <v>82</v>
      </c>
      <c r="J88" s="81">
        <v>90483</v>
      </c>
      <c r="K88" s="30">
        <v>262</v>
      </c>
      <c r="L88" s="238">
        <v>1158</v>
      </c>
      <c r="M88" s="80">
        <v>18021</v>
      </c>
      <c r="N88" s="30">
        <v>47</v>
      </c>
      <c r="O88" s="66">
        <v>21</v>
      </c>
      <c r="P88" s="76">
        <v>18866</v>
      </c>
      <c r="Q88" s="66">
        <v>4</v>
      </c>
      <c r="S88" s="46"/>
    </row>
    <row r="89" spans="2:19" x14ac:dyDescent="0.2">
      <c r="B89" s="72">
        <v>40087</v>
      </c>
      <c r="C89" s="81">
        <v>386237</v>
      </c>
      <c r="D89" s="66">
        <v>4781</v>
      </c>
      <c r="E89" s="81">
        <v>1125526</v>
      </c>
      <c r="F89" s="66">
        <v>586</v>
      </c>
      <c r="G89" s="80">
        <v>8708972</v>
      </c>
      <c r="H89" s="30">
        <v>20970</v>
      </c>
      <c r="I89" s="66">
        <v>82</v>
      </c>
      <c r="J89" s="81">
        <v>108383</v>
      </c>
      <c r="K89" s="30">
        <v>262</v>
      </c>
      <c r="L89" s="238">
        <v>1158</v>
      </c>
      <c r="M89" s="80"/>
      <c r="N89" s="30"/>
      <c r="O89" s="66">
        <v>21</v>
      </c>
      <c r="P89" s="76">
        <v>17346</v>
      </c>
      <c r="Q89" s="66">
        <v>4</v>
      </c>
      <c r="S89" s="46"/>
    </row>
    <row r="90" spans="2:19" x14ac:dyDescent="0.2">
      <c r="B90" s="72">
        <v>40118</v>
      </c>
      <c r="C90" s="81">
        <v>6994006</v>
      </c>
      <c r="D90" s="66">
        <v>4781</v>
      </c>
      <c r="E90" s="81">
        <v>1825811</v>
      </c>
      <c r="F90" s="66">
        <v>586</v>
      </c>
      <c r="G90" s="80">
        <v>7642887</v>
      </c>
      <c r="H90" s="30">
        <v>21036</v>
      </c>
      <c r="I90" s="66">
        <v>82</v>
      </c>
      <c r="J90" s="81">
        <v>114219</v>
      </c>
      <c r="K90" s="30">
        <v>262</v>
      </c>
      <c r="L90" s="238">
        <v>1158</v>
      </c>
      <c r="M90" s="80">
        <v>17907</v>
      </c>
      <c r="N90" s="30">
        <v>25</v>
      </c>
      <c r="O90" s="66">
        <v>21</v>
      </c>
      <c r="P90" s="76">
        <v>20898</v>
      </c>
      <c r="Q90" s="66">
        <v>4</v>
      </c>
      <c r="S90" s="46"/>
    </row>
    <row r="91" spans="2:19" x14ac:dyDescent="0.2">
      <c r="B91" s="72">
        <v>40148</v>
      </c>
      <c r="C91" s="81">
        <v>8368382</v>
      </c>
      <c r="D91" s="66">
        <v>4781</v>
      </c>
      <c r="E91" s="81">
        <v>2126371</v>
      </c>
      <c r="F91" s="66">
        <v>586</v>
      </c>
      <c r="G91" s="80">
        <v>7966681</v>
      </c>
      <c r="H91" s="30">
        <v>17632</v>
      </c>
      <c r="I91" s="66">
        <v>82</v>
      </c>
      <c r="J91" s="81">
        <v>122546</v>
      </c>
      <c r="K91" s="30">
        <v>262</v>
      </c>
      <c r="L91" s="238">
        <v>1158</v>
      </c>
      <c r="M91" s="80">
        <v>8952</v>
      </c>
      <c r="N91" s="30">
        <v>26</v>
      </c>
      <c r="O91" s="66">
        <v>21</v>
      </c>
      <c r="P91" s="76">
        <v>20139</v>
      </c>
      <c r="Q91" s="66">
        <v>4</v>
      </c>
      <c r="S91" s="46"/>
    </row>
    <row r="92" spans="2:19" x14ac:dyDescent="0.2">
      <c r="B92" s="72">
        <v>40179</v>
      </c>
      <c r="C92" s="81">
        <v>4038926</v>
      </c>
      <c r="D92" s="66">
        <v>4781</v>
      </c>
      <c r="E92" s="81">
        <v>1741533</v>
      </c>
      <c r="F92" s="66">
        <v>587</v>
      </c>
      <c r="G92" s="80">
        <v>7822458</v>
      </c>
      <c r="H92" s="30">
        <v>20314</v>
      </c>
      <c r="I92" s="66">
        <v>82</v>
      </c>
      <c r="J92" s="81">
        <v>119530</v>
      </c>
      <c r="K92" s="30">
        <v>262</v>
      </c>
      <c r="L92" s="238">
        <v>1158</v>
      </c>
      <c r="M92" s="80">
        <v>8955</v>
      </c>
      <c r="N92" s="30">
        <v>57</v>
      </c>
      <c r="O92" s="66">
        <v>21</v>
      </c>
      <c r="P92" s="76">
        <v>20137</v>
      </c>
      <c r="Q92" s="66">
        <v>4</v>
      </c>
      <c r="S92" s="46"/>
    </row>
    <row r="93" spans="2:19" x14ac:dyDescent="0.2">
      <c r="B93" s="72">
        <v>40210</v>
      </c>
      <c r="C93" s="81">
        <v>587085</v>
      </c>
      <c r="D93" s="66">
        <v>4781</v>
      </c>
      <c r="E93" s="81">
        <v>1296756</v>
      </c>
      <c r="F93" s="66">
        <v>587</v>
      </c>
      <c r="G93" s="80">
        <v>7260912</v>
      </c>
      <c r="H93" s="30">
        <v>17858</v>
      </c>
      <c r="I93" s="66">
        <v>82</v>
      </c>
      <c r="J93" s="81">
        <v>101171</v>
      </c>
      <c r="K93" s="30">
        <v>262</v>
      </c>
      <c r="L93" s="238">
        <v>1158</v>
      </c>
      <c r="M93" s="80"/>
      <c r="N93" s="30"/>
      <c r="O93" s="66">
        <v>21</v>
      </c>
      <c r="P93" s="76">
        <v>19378</v>
      </c>
      <c r="Q93" s="66">
        <v>4</v>
      </c>
    </row>
    <row r="94" spans="2:19" x14ac:dyDescent="0.2">
      <c r="B94" s="72">
        <v>40238</v>
      </c>
      <c r="C94" s="81">
        <v>9701125</v>
      </c>
      <c r="D94" s="66">
        <v>4786</v>
      </c>
      <c r="E94" s="81">
        <v>2153814</v>
      </c>
      <c r="F94" s="66">
        <v>589</v>
      </c>
      <c r="G94" s="80">
        <v>7357574</v>
      </c>
      <c r="H94" s="30">
        <v>16946</v>
      </c>
      <c r="I94" s="66">
        <v>80</v>
      </c>
      <c r="J94" s="81">
        <v>99794</v>
      </c>
      <c r="K94" s="30">
        <v>262</v>
      </c>
      <c r="L94" s="238">
        <v>1158</v>
      </c>
      <c r="M94" s="80">
        <v>17914</v>
      </c>
      <c r="N94" s="30">
        <v>51</v>
      </c>
      <c r="O94" s="66">
        <v>21</v>
      </c>
      <c r="P94" s="76">
        <v>20950</v>
      </c>
      <c r="Q94" s="66">
        <v>4</v>
      </c>
    </row>
    <row r="95" spans="2:19" x14ac:dyDescent="0.2">
      <c r="B95" s="72">
        <v>40269</v>
      </c>
      <c r="C95" s="81">
        <v>324557</v>
      </c>
      <c r="D95" s="66">
        <v>4788</v>
      </c>
      <c r="E95" s="81">
        <v>1045124</v>
      </c>
      <c r="F95" s="66">
        <v>589</v>
      </c>
      <c r="G95" s="80">
        <v>6432026</v>
      </c>
      <c r="H95" s="30">
        <v>16613</v>
      </c>
      <c r="I95" s="66">
        <v>83</v>
      </c>
      <c r="J95" s="81">
        <v>82091</v>
      </c>
      <c r="K95" s="30">
        <v>262</v>
      </c>
      <c r="L95" s="238">
        <v>1158</v>
      </c>
      <c r="M95" s="80"/>
      <c r="N95" s="30"/>
      <c r="O95" s="66">
        <v>21</v>
      </c>
      <c r="P95" s="76">
        <v>19430</v>
      </c>
      <c r="Q95" s="66">
        <v>4</v>
      </c>
    </row>
    <row r="96" spans="2:19" x14ac:dyDescent="0.2">
      <c r="B96" s="72">
        <v>40299</v>
      </c>
      <c r="C96" s="81">
        <v>6990384</v>
      </c>
      <c r="D96" s="66">
        <v>4793</v>
      </c>
      <c r="E96" s="81">
        <v>1829716</v>
      </c>
      <c r="F96" s="66">
        <v>589</v>
      </c>
      <c r="G96" s="80">
        <v>6458830</v>
      </c>
      <c r="H96" s="30">
        <v>17648</v>
      </c>
      <c r="I96" s="66">
        <v>83</v>
      </c>
      <c r="J96" s="81">
        <v>74550</v>
      </c>
      <c r="K96" s="30">
        <v>262</v>
      </c>
      <c r="L96" s="238">
        <v>1158</v>
      </c>
      <c r="M96" s="80">
        <v>17907</v>
      </c>
      <c r="N96" s="30">
        <v>46</v>
      </c>
      <c r="O96" s="66">
        <v>21</v>
      </c>
      <c r="P96" s="76">
        <v>20950</v>
      </c>
      <c r="Q96" s="66">
        <v>5</v>
      </c>
    </row>
    <row r="97" spans="2:19" x14ac:dyDescent="0.2">
      <c r="B97" s="72">
        <v>40330</v>
      </c>
      <c r="C97" s="81">
        <v>184916</v>
      </c>
      <c r="D97" s="66">
        <v>4814</v>
      </c>
      <c r="E97" s="81">
        <v>1295913</v>
      </c>
      <c r="F97" s="66">
        <v>590</v>
      </c>
      <c r="G97" s="80">
        <v>7044330</v>
      </c>
      <c r="H97" s="30">
        <v>17663</v>
      </c>
      <c r="I97" s="66">
        <v>83</v>
      </c>
      <c r="J97" s="81">
        <v>68846</v>
      </c>
      <c r="K97" s="30">
        <v>262</v>
      </c>
      <c r="L97" s="238">
        <v>1158</v>
      </c>
      <c r="M97" s="80"/>
      <c r="N97" s="30"/>
      <c r="O97" s="66">
        <v>21</v>
      </c>
      <c r="P97" s="76">
        <v>19482</v>
      </c>
      <c r="Q97" s="66">
        <v>5</v>
      </c>
    </row>
    <row r="98" spans="2:19" x14ac:dyDescent="0.2">
      <c r="B98" s="72">
        <v>40360</v>
      </c>
      <c r="C98" s="81">
        <v>6682785</v>
      </c>
      <c r="D98" s="66">
        <v>4817</v>
      </c>
      <c r="E98" s="81">
        <v>2026905</v>
      </c>
      <c r="F98" s="66">
        <v>592</v>
      </c>
      <c r="G98" s="80">
        <v>6220656</v>
      </c>
      <c r="H98" s="30">
        <v>17962</v>
      </c>
      <c r="I98" s="66">
        <v>84</v>
      </c>
      <c r="J98" s="81">
        <v>72190</v>
      </c>
      <c r="K98" s="30">
        <v>262</v>
      </c>
      <c r="L98" s="238">
        <v>1158</v>
      </c>
      <c r="M98" s="80">
        <v>17433</v>
      </c>
      <c r="N98" s="30">
        <v>45</v>
      </c>
      <c r="O98" s="66">
        <v>21</v>
      </c>
      <c r="P98" s="76">
        <v>21002</v>
      </c>
      <c r="Q98" s="66">
        <v>5</v>
      </c>
    </row>
    <row r="99" spans="2:19" x14ac:dyDescent="0.2">
      <c r="B99" s="72">
        <v>40391</v>
      </c>
      <c r="C99" s="81">
        <v>264480</v>
      </c>
      <c r="D99" s="66">
        <v>4816</v>
      </c>
      <c r="E99" s="81">
        <v>1239686</v>
      </c>
      <c r="F99" s="66">
        <v>592</v>
      </c>
      <c r="G99" s="80">
        <v>6324204</v>
      </c>
      <c r="H99" s="30">
        <v>17775</v>
      </c>
      <c r="I99" s="66">
        <v>84</v>
      </c>
      <c r="J99" s="81">
        <v>80058</v>
      </c>
      <c r="K99" s="30">
        <v>262</v>
      </c>
      <c r="L99" s="238">
        <v>1180</v>
      </c>
      <c r="M99" s="80"/>
      <c r="N99" s="30"/>
      <c r="O99" s="66">
        <v>21</v>
      </c>
      <c r="P99" s="76">
        <v>19482</v>
      </c>
      <c r="Q99" s="66">
        <v>5</v>
      </c>
    </row>
    <row r="100" spans="2:19" x14ac:dyDescent="0.2">
      <c r="B100" s="72">
        <v>40422</v>
      </c>
      <c r="C100" s="81">
        <v>6351497</v>
      </c>
      <c r="D100" s="66">
        <v>4817</v>
      </c>
      <c r="E100" s="81">
        <v>1861434</v>
      </c>
      <c r="F100" s="66">
        <v>593</v>
      </c>
      <c r="G100" s="80">
        <v>6578248</v>
      </c>
      <c r="H100" s="30">
        <v>17517</v>
      </c>
      <c r="I100" s="66">
        <v>84</v>
      </c>
      <c r="J100" s="81">
        <v>90483</v>
      </c>
      <c r="K100" s="30">
        <v>262</v>
      </c>
      <c r="L100" s="238">
        <v>1180</v>
      </c>
      <c r="M100" s="80">
        <v>17425</v>
      </c>
      <c r="N100" s="30">
        <v>47</v>
      </c>
      <c r="O100" s="66">
        <v>21</v>
      </c>
      <c r="P100" s="76">
        <v>21002</v>
      </c>
      <c r="Q100" s="66">
        <v>5</v>
      </c>
    </row>
    <row r="101" spans="2:19" x14ac:dyDescent="0.2">
      <c r="B101" s="72">
        <v>40452</v>
      </c>
      <c r="C101" s="81">
        <v>342422</v>
      </c>
      <c r="D101" s="66">
        <v>4817</v>
      </c>
      <c r="E101" s="81">
        <v>1067832</v>
      </c>
      <c r="F101" s="66">
        <v>593</v>
      </c>
      <c r="G101" s="80">
        <v>6029696</v>
      </c>
      <c r="H101" s="30">
        <v>16536</v>
      </c>
      <c r="I101" s="66">
        <v>84</v>
      </c>
      <c r="J101" s="81">
        <v>108780</v>
      </c>
      <c r="K101" s="30">
        <v>263</v>
      </c>
      <c r="L101" s="238">
        <v>1180</v>
      </c>
      <c r="M101" s="80"/>
      <c r="N101" s="30"/>
      <c r="O101" s="66">
        <v>21</v>
      </c>
      <c r="P101" s="76">
        <v>19482</v>
      </c>
      <c r="Q101" s="66">
        <v>5</v>
      </c>
    </row>
    <row r="102" spans="2:19" x14ac:dyDescent="0.2">
      <c r="B102" s="72">
        <v>40483</v>
      </c>
      <c r="C102" s="81">
        <v>7090089</v>
      </c>
      <c r="D102" s="66">
        <v>4817</v>
      </c>
      <c r="E102" s="81">
        <v>1875369</v>
      </c>
      <c r="F102" s="66">
        <v>593</v>
      </c>
      <c r="G102" s="80">
        <v>6329738</v>
      </c>
      <c r="H102" s="30">
        <v>16860</v>
      </c>
      <c r="I102" s="66">
        <v>86</v>
      </c>
      <c r="J102" s="81">
        <v>114637</v>
      </c>
      <c r="K102" s="30">
        <v>263</v>
      </c>
      <c r="L102" s="238">
        <v>1180</v>
      </c>
      <c r="M102" s="80">
        <v>17425</v>
      </c>
      <c r="N102" s="30">
        <v>25</v>
      </c>
      <c r="O102" s="66">
        <v>21</v>
      </c>
      <c r="P102" s="76">
        <v>21002</v>
      </c>
      <c r="Q102" s="66">
        <v>5</v>
      </c>
    </row>
    <row r="103" spans="2:19" x14ac:dyDescent="0.2">
      <c r="B103" s="72">
        <v>40513</v>
      </c>
      <c r="C103" s="81">
        <v>7719573</v>
      </c>
      <c r="D103" s="66">
        <v>4817</v>
      </c>
      <c r="E103" s="81">
        <v>2128531</v>
      </c>
      <c r="F103" s="66">
        <v>593</v>
      </c>
      <c r="G103" s="80">
        <v>6886911</v>
      </c>
      <c r="H103" s="30">
        <v>16019</v>
      </c>
      <c r="I103" s="66">
        <v>86</v>
      </c>
      <c r="J103" s="81">
        <v>144848</v>
      </c>
      <c r="K103" s="30">
        <v>310</v>
      </c>
      <c r="L103" s="238">
        <v>1180</v>
      </c>
      <c r="M103" s="80">
        <v>8324</v>
      </c>
      <c r="N103" s="30">
        <v>26</v>
      </c>
      <c r="O103" s="66">
        <v>21</v>
      </c>
      <c r="P103" s="76">
        <v>20217</v>
      </c>
      <c r="Q103" s="66">
        <v>5</v>
      </c>
    </row>
    <row r="104" spans="2:19" x14ac:dyDescent="0.2">
      <c r="B104" s="72">
        <v>40544</v>
      </c>
      <c r="C104" s="81">
        <v>4592948</v>
      </c>
      <c r="D104" s="66">
        <v>4817</v>
      </c>
      <c r="E104" s="81">
        <v>1911127</v>
      </c>
      <c r="F104" s="66">
        <v>593</v>
      </c>
      <c r="G104" s="80">
        <v>7428471</v>
      </c>
      <c r="H104" s="48">
        <v>18892</v>
      </c>
      <c r="I104" s="66">
        <v>87</v>
      </c>
      <c r="J104" s="81">
        <v>141456</v>
      </c>
      <c r="K104" s="30">
        <v>310</v>
      </c>
      <c r="L104" s="238">
        <v>1180</v>
      </c>
      <c r="M104" s="80">
        <v>9115</v>
      </c>
      <c r="N104" s="30">
        <v>24</v>
      </c>
      <c r="O104" s="66">
        <v>21</v>
      </c>
      <c r="P104" s="76">
        <v>17970</v>
      </c>
      <c r="Q104" s="66">
        <v>5</v>
      </c>
      <c r="S104" s="46"/>
    </row>
    <row r="105" spans="2:19" x14ac:dyDescent="0.2">
      <c r="B105" s="72">
        <v>40575</v>
      </c>
      <c r="C105" s="81">
        <v>590207</v>
      </c>
      <c r="D105" s="66">
        <v>4817</v>
      </c>
      <c r="E105" s="81">
        <v>1153118</v>
      </c>
      <c r="F105" s="66">
        <v>593</v>
      </c>
      <c r="G105" s="80">
        <v>6957265</v>
      </c>
      <c r="H105" s="48">
        <v>17626</v>
      </c>
      <c r="I105" s="66">
        <v>87</v>
      </c>
      <c r="J105" s="81">
        <v>119729</v>
      </c>
      <c r="K105" s="30">
        <v>310</v>
      </c>
      <c r="L105" s="238">
        <v>1180</v>
      </c>
      <c r="M105" s="80"/>
      <c r="N105" s="30"/>
      <c r="O105" s="66">
        <v>21</v>
      </c>
      <c r="P105" s="76">
        <v>17185</v>
      </c>
      <c r="Q105" s="66">
        <v>5</v>
      </c>
      <c r="S105" s="46"/>
    </row>
    <row r="106" spans="2:19" x14ac:dyDescent="0.2">
      <c r="B106" s="72">
        <v>40603</v>
      </c>
      <c r="C106" s="81">
        <v>12309926</v>
      </c>
      <c r="D106" s="66">
        <v>4820</v>
      </c>
      <c r="E106" s="81">
        <v>2106489</v>
      </c>
      <c r="F106" s="66">
        <v>593</v>
      </c>
      <c r="G106" s="80">
        <v>7154055</v>
      </c>
      <c r="H106" s="48">
        <v>17460</v>
      </c>
      <c r="I106" s="66">
        <v>87</v>
      </c>
      <c r="J106" s="81">
        <v>118100</v>
      </c>
      <c r="K106" s="30">
        <v>310</v>
      </c>
      <c r="L106" s="238">
        <v>1180</v>
      </c>
      <c r="M106" s="80">
        <v>16956</v>
      </c>
      <c r="N106" s="30">
        <v>52</v>
      </c>
      <c r="O106" s="66">
        <v>21</v>
      </c>
      <c r="P106" s="76">
        <v>18705</v>
      </c>
      <c r="Q106" s="66">
        <v>5</v>
      </c>
      <c r="S106" s="46"/>
    </row>
    <row r="107" spans="2:19" x14ac:dyDescent="0.2">
      <c r="B107" s="72">
        <v>40634</v>
      </c>
      <c r="C107" s="81">
        <v>410057</v>
      </c>
      <c r="D107" s="66">
        <v>4823</v>
      </c>
      <c r="E107" s="81">
        <v>1052005</v>
      </c>
      <c r="F107" s="66">
        <v>592</v>
      </c>
      <c r="G107" s="80">
        <v>6390490</v>
      </c>
      <c r="H107" s="48">
        <v>16648</v>
      </c>
      <c r="I107" s="66">
        <v>89</v>
      </c>
      <c r="J107" s="81">
        <v>97149</v>
      </c>
      <c r="K107" s="30">
        <v>310</v>
      </c>
      <c r="L107" s="238">
        <v>1180</v>
      </c>
      <c r="M107" s="80"/>
      <c r="N107" s="30"/>
      <c r="O107" s="66">
        <v>21</v>
      </c>
      <c r="P107" s="76">
        <v>17185</v>
      </c>
      <c r="Q107" s="66">
        <v>5</v>
      </c>
      <c r="S107" s="46"/>
    </row>
    <row r="108" spans="2:19" x14ac:dyDescent="0.2">
      <c r="B108" s="72">
        <v>40664</v>
      </c>
      <c r="C108" s="81">
        <v>6935901</v>
      </c>
      <c r="D108" s="66">
        <v>4827</v>
      </c>
      <c r="E108" s="81">
        <v>1749523</v>
      </c>
      <c r="F108" s="66">
        <v>592</v>
      </c>
      <c r="G108" s="80">
        <v>6786610</v>
      </c>
      <c r="H108" s="48">
        <v>16993</v>
      </c>
      <c r="I108" s="66">
        <v>89</v>
      </c>
      <c r="J108" s="81">
        <v>88226</v>
      </c>
      <c r="K108" s="30">
        <v>310</v>
      </c>
      <c r="L108" s="238">
        <v>1180</v>
      </c>
      <c r="M108" s="80">
        <v>17212</v>
      </c>
      <c r="N108" s="30">
        <v>46</v>
      </c>
      <c r="O108" s="66">
        <v>21</v>
      </c>
      <c r="P108" s="76">
        <v>18250</v>
      </c>
      <c r="Q108" s="66">
        <v>5</v>
      </c>
      <c r="S108" s="46"/>
    </row>
    <row r="109" spans="2:19" x14ac:dyDescent="0.2">
      <c r="B109" s="72">
        <v>40695</v>
      </c>
      <c r="C109" s="81">
        <v>260191</v>
      </c>
      <c r="D109" s="66">
        <v>4835</v>
      </c>
      <c r="E109" s="81">
        <v>1157746</v>
      </c>
      <c r="F109" s="66">
        <v>592</v>
      </c>
      <c r="G109" s="80">
        <v>6778901</v>
      </c>
      <c r="H109" s="48">
        <v>17899</v>
      </c>
      <c r="I109" s="66">
        <v>90</v>
      </c>
      <c r="J109" s="81">
        <v>81475</v>
      </c>
      <c r="K109" s="30">
        <v>310</v>
      </c>
      <c r="L109" s="238">
        <v>1180</v>
      </c>
      <c r="M109" s="80"/>
      <c r="N109" s="30"/>
      <c r="O109" s="66">
        <v>21</v>
      </c>
      <c r="P109" s="76">
        <v>17640</v>
      </c>
      <c r="Q109" s="66">
        <v>5</v>
      </c>
      <c r="S109" s="46"/>
    </row>
    <row r="110" spans="2:19" x14ac:dyDescent="0.2">
      <c r="B110" s="72">
        <v>40725</v>
      </c>
      <c r="C110" s="81">
        <v>6638237</v>
      </c>
      <c r="D110" s="66">
        <v>4835</v>
      </c>
      <c r="E110" s="81">
        <v>1937160</v>
      </c>
      <c r="F110" s="66">
        <v>592</v>
      </c>
      <c r="G110" s="80">
        <v>6396920</v>
      </c>
      <c r="H110" s="48">
        <v>18323</v>
      </c>
      <c r="I110" s="66">
        <v>91</v>
      </c>
      <c r="J110" s="81">
        <v>85432</v>
      </c>
      <c r="K110" s="30">
        <v>310</v>
      </c>
      <c r="L110" s="238">
        <v>1180</v>
      </c>
      <c r="M110" s="80">
        <v>17212</v>
      </c>
      <c r="N110" s="30">
        <v>45</v>
      </c>
      <c r="O110" s="66">
        <v>21</v>
      </c>
      <c r="P110" s="76">
        <v>18705</v>
      </c>
      <c r="Q110" s="66">
        <v>5</v>
      </c>
      <c r="S110" s="46"/>
    </row>
    <row r="111" spans="2:19" x14ac:dyDescent="0.2">
      <c r="B111" s="72">
        <v>40756</v>
      </c>
      <c r="C111" s="81">
        <v>4080700</v>
      </c>
      <c r="D111" s="66">
        <v>4835</v>
      </c>
      <c r="E111" s="81">
        <v>1178190</v>
      </c>
      <c r="F111" s="66">
        <v>592</v>
      </c>
      <c r="G111" s="80">
        <v>7660248</v>
      </c>
      <c r="H111" s="48">
        <v>18068</v>
      </c>
      <c r="I111" s="66">
        <v>91</v>
      </c>
      <c r="J111" s="81">
        <v>94744</v>
      </c>
      <c r="K111" s="30">
        <v>310</v>
      </c>
      <c r="L111" s="238">
        <v>1180</v>
      </c>
      <c r="M111" s="80"/>
      <c r="N111" s="30"/>
      <c r="O111" s="66">
        <v>21</v>
      </c>
      <c r="P111" s="76">
        <v>17185</v>
      </c>
      <c r="Q111" s="66">
        <v>5</v>
      </c>
      <c r="S111" s="46"/>
    </row>
    <row r="112" spans="2:19" x14ac:dyDescent="0.2">
      <c r="B112" s="72">
        <v>40787</v>
      </c>
      <c r="C112" s="81">
        <v>3389667</v>
      </c>
      <c r="D112" s="66">
        <v>4835</v>
      </c>
      <c r="E112" s="81">
        <v>1748402</v>
      </c>
      <c r="F112" s="66">
        <v>592</v>
      </c>
      <c r="G112" s="80">
        <v>6810370</v>
      </c>
      <c r="H112" s="48">
        <v>17838</v>
      </c>
      <c r="I112" s="66">
        <v>93</v>
      </c>
      <c r="J112" s="81">
        <v>107081</v>
      </c>
      <c r="K112" s="30">
        <v>310</v>
      </c>
      <c r="L112" s="238">
        <v>1180</v>
      </c>
      <c r="M112" s="80">
        <v>17083</v>
      </c>
      <c r="N112" s="30">
        <v>47</v>
      </c>
      <c r="O112" s="66">
        <v>21</v>
      </c>
      <c r="P112" s="76">
        <v>18705</v>
      </c>
      <c r="Q112" s="66">
        <v>5</v>
      </c>
      <c r="S112" s="46"/>
    </row>
    <row r="113" spans="2:19" x14ac:dyDescent="0.2">
      <c r="B113" s="72">
        <v>40817</v>
      </c>
      <c r="C113" s="81">
        <v>5966463</v>
      </c>
      <c r="D113" s="66">
        <v>4835</v>
      </c>
      <c r="E113" s="86">
        <v>1360679</v>
      </c>
      <c r="F113" s="66">
        <v>592</v>
      </c>
      <c r="G113" s="80">
        <v>6968896</v>
      </c>
      <c r="H113" s="48">
        <v>17358</v>
      </c>
      <c r="I113" s="66">
        <v>94</v>
      </c>
      <c r="J113" s="81">
        <v>128265</v>
      </c>
      <c r="K113" s="30">
        <v>310</v>
      </c>
      <c r="L113" s="238">
        <v>1201</v>
      </c>
      <c r="M113" s="80">
        <v>8437</v>
      </c>
      <c r="N113" s="30">
        <v>22</v>
      </c>
      <c r="O113" s="66">
        <v>21</v>
      </c>
      <c r="P113" s="76">
        <v>17923</v>
      </c>
      <c r="Q113" s="66">
        <v>5</v>
      </c>
      <c r="S113" s="46"/>
    </row>
    <row r="114" spans="2:19" x14ac:dyDescent="0.2">
      <c r="B114" s="72">
        <v>40848</v>
      </c>
      <c r="C114" s="81">
        <v>266050</v>
      </c>
      <c r="D114" s="66">
        <v>4835</v>
      </c>
      <c r="E114" s="81">
        <v>1424054</v>
      </c>
      <c r="F114" s="66">
        <v>592</v>
      </c>
      <c r="G114" s="80">
        <v>6828640</v>
      </c>
      <c r="H114" s="48">
        <v>16954</v>
      </c>
      <c r="I114" s="66">
        <v>94</v>
      </c>
      <c r="J114" s="81">
        <v>136046</v>
      </c>
      <c r="K114" s="30">
        <v>312</v>
      </c>
      <c r="L114" s="238">
        <v>1201</v>
      </c>
      <c r="M114" s="80">
        <v>8437</v>
      </c>
      <c r="N114" s="30">
        <v>22</v>
      </c>
      <c r="O114" s="66">
        <v>21</v>
      </c>
      <c r="P114" s="76">
        <v>17923</v>
      </c>
      <c r="Q114" s="66">
        <v>5</v>
      </c>
      <c r="S114" s="46"/>
    </row>
    <row r="115" spans="2:19" x14ac:dyDescent="0.2">
      <c r="B115" s="72">
        <v>40878</v>
      </c>
      <c r="C115" s="81">
        <v>5832746</v>
      </c>
      <c r="D115" s="66">
        <v>4835</v>
      </c>
      <c r="E115" s="81">
        <v>1678882</v>
      </c>
      <c r="F115" s="66">
        <v>592</v>
      </c>
      <c r="G115" s="80">
        <v>6578521</v>
      </c>
      <c r="H115" s="48">
        <v>17622</v>
      </c>
      <c r="I115" s="66">
        <v>94</v>
      </c>
      <c r="J115" s="81">
        <v>145964</v>
      </c>
      <c r="K115" s="30">
        <v>312</v>
      </c>
      <c r="L115" s="238">
        <v>1201</v>
      </c>
      <c r="M115" s="80">
        <v>8437</v>
      </c>
      <c r="N115" s="30">
        <v>22</v>
      </c>
      <c r="O115" s="66">
        <v>21</v>
      </c>
      <c r="P115" s="76">
        <v>17923</v>
      </c>
      <c r="Q115" s="66">
        <v>5</v>
      </c>
      <c r="S115" s="46"/>
    </row>
    <row r="116" spans="2:19" x14ac:dyDescent="0.2">
      <c r="B116" s="72">
        <v>40909</v>
      </c>
      <c r="C116" s="80">
        <v>6545876</v>
      </c>
      <c r="D116" s="66">
        <v>4835</v>
      </c>
      <c r="E116" s="80">
        <v>1821610</v>
      </c>
      <c r="F116" s="66">
        <v>592</v>
      </c>
      <c r="G116" s="80">
        <v>7628830</v>
      </c>
      <c r="H116" s="48">
        <v>17777</v>
      </c>
      <c r="I116" s="66">
        <v>94</v>
      </c>
      <c r="J116" s="80">
        <v>142372</v>
      </c>
      <c r="K116" s="30">
        <v>312</v>
      </c>
      <c r="L116" s="238">
        <v>1201</v>
      </c>
      <c r="M116" s="80">
        <v>8437</v>
      </c>
      <c r="N116" s="30">
        <v>22</v>
      </c>
      <c r="O116" s="66">
        <v>21</v>
      </c>
      <c r="P116" s="76">
        <v>17923</v>
      </c>
      <c r="Q116" s="66">
        <v>5</v>
      </c>
      <c r="S116" s="46"/>
    </row>
    <row r="117" spans="2:19" x14ac:dyDescent="0.2">
      <c r="B117" s="72">
        <v>40940</v>
      </c>
      <c r="C117" s="80">
        <v>5482355</v>
      </c>
      <c r="D117" s="66">
        <v>4837</v>
      </c>
      <c r="E117" s="80">
        <v>1645673</v>
      </c>
      <c r="F117" s="66">
        <v>592</v>
      </c>
      <c r="G117" s="80">
        <v>7073668</v>
      </c>
      <c r="H117" s="48">
        <v>16851</v>
      </c>
      <c r="I117" s="66">
        <v>94</v>
      </c>
      <c r="J117" s="80">
        <v>124644</v>
      </c>
      <c r="K117" s="30">
        <v>312</v>
      </c>
      <c r="L117" s="238">
        <v>1201</v>
      </c>
      <c r="M117" s="80">
        <v>8437</v>
      </c>
      <c r="N117" s="30">
        <v>22</v>
      </c>
      <c r="O117" s="66">
        <v>21</v>
      </c>
      <c r="P117" s="76">
        <v>17923</v>
      </c>
      <c r="Q117" s="66">
        <v>5</v>
      </c>
      <c r="S117" s="46"/>
    </row>
    <row r="118" spans="2:19" x14ac:dyDescent="0.2">
      <c r="B118" s="72">
        <v>40969</v>
      </c>
      <c r="C118" s="83">
        <v>3954693</v>
      </c>
      <c r="D118" s="66">
        <v>4837</v>
      </c>
      <c r="E118" s="83">
        <v>1399718</v>
      </c>
      <c r="F118" s="66">
        <v>592</v>
      </c>
      <c r="G118" s="80">
        <v>6658526</v>
      </c>
      <c r="H118" s="48">
        <v>17240</v>
      </c>
      <c r="I118" s="66">
        <v>94</v>
      </c>
      <c r="J118" s="83">
        <v>118864</v>
      </c>
      <c r="K118" s="30">
        <v>312</v>
      </c>
      <c r="L118" s="238">
        <v>1201</v>
      </c>
      <c r="M118" s="80">
        <v>8574</v>
      </c>
      <c r="N118" s="30">
        <v>23</v>
      </c>
      <c r="O118" s="66">
        <v>21</v>
      </c>
      <c r="P118" s="76">
        <v>17923</v>
      </c>
      <c r="Q118" s="66">
        <v>5</v>
      </c>
      <c r="S118" s="46"/>
    </row>
    <row r="119" spans="2:19" x14ac:dyDescent="0.2">
      <c r="B119" s="72">
        <v>41000</v>
      </c>
      <c r="C119" s="80">
        <v>4355438</v>
      </c>
      <c r="D119" s="66">
        <v>4844</v>
      </c>
      <c r="E119" s="80">
        <v>1157804</v>
      </c>
      <c r="F119" s="66">
        <v>592</v>
      </c>
      <c r="G119" s="80">
        <v>6178289</v>
      </c>
      <c r="H119" s="48">
        <v>16734</v>
      </c>
      <c r="I119" s="66">
        <v>94</v>
      </c>
      <c r="J119" s="80">
        <v>97778</v>
      </c>
      <c r="K119" s="30">
        <v>312</v>
      </c>
      <c r="L119" s="238">
        <v>1201</v>
      </c>
      <c r="M119" s="80">
        <v>8574</v>
      </c>
      <c r="N119" s="30">
        <v>23</v>
      </c>
      <c r="O119" s="66">
        <v>21</v>
      </c>
      <c r="P119" s="76">
        <v>17923</v>
      </c>
      <c r="Q119" s="66">
        <v>5</v>
      </c>
      <c r="S119" s="46"/>
    </row>
    <row r="120" spans="2:19" x14ac:dyDescent="0.2">
      <c r="B120" s="72">
        <v>41030</v>
      </c>
      <c r="C120" s="80">
        <v>3474733</v>
      </c>
      <c r="D120" s="66">
        <v>4845</v>
      </c>
      <c r="E120" s="80">
        <v>1664890</v>
      </c>
      <c r="F120" s="66">
        <v>592</v>
      </c>
      <c r="G120" s="80">
        <v>6602802</v>
      </c>
      <c r="H120" s="48">
        <v>17351</v>
      </c>
      <c r="I120" s="66">
        <v>94</v>
      </c>
      <c r="J120" s="80">
        <v>88797</v>
      </c>
      <c r="K120" s="30">
        <v>312</v>
      </c>
      <c r="L120" s="238">
        <v>1201</v>
      </c>
      <c r="M120" s="80">
        <v>8574</v>
      </c>
      <c r="N120" s="30">
        <v>23</v>
      </c>
      <c r="O120" s="66">
        <v>21</v>
      </c>
      <c r="P120" s="76">
        <v>17923</v>
      </c>
      <c r="Q120" s="66">
        <v>5</v>
      </c>
      <c r="S120" s="46"/>
    </row>
    <row r="121" spans="2:19" x14ac:dyDescent="0.2">
      <c r="B121" s="72">
        <v>41061</v>
      </c>
      <c r="C121" s="80">
        <v>3276146</v>
      </c>
      <c r="D121" s="66">
        <v>4852</v>
      </c>
      <c r="E121" s="80">
        <v>1633472</v>
      </c>
      <c r="F121" s="66">
        <v>593</v>
      </c>
      <c r="G121" s="80">
        <v>6423523</v>
      </c>
      <c r="H121" s="48">
        <v>17673</v>
      </c>
      <c r="I121" s="66">
        <v>94</v>
      </c>
      <c r="J121" s="80">
        <v>82003</v>
      </c>
      <c r="K121" s="30">
        <v>312</v>
      </c>
      <c r="L121" s="238">
        <v>1201</v>
      </c>
      <c r="M121" s="80">
        <v>8574</v>
      </c>
      <c r="N121" s="30">
        <v>23</v>
      </c>
      <c r="O121" s="66">
        <v>21</v>
      </c>
      <c r="P121" s="76">
        <v>17898</v>
      </c>
      <c r="Q121" s="66">
        <v>5</v>
      </c>
      <c r="S121" s="46"/>
    </row>
    <row r="122" spans="2:19" x14ac:dyDescent="0.2">
      <c r="B122" s="72">
        <v>41091</v>
      </c>
      <c r="C122" s="80">
        <v>3742695</v>
      </c>
      <c r="D122" s="66">
        <v>4852</v>
      </c>
      <c r="E122" s="80">
        <v>1574643</v>
      </c>
      <c r="F122" s="66">
        <v>593</v>
      </c>
      <c r="G122" s="80">
        <v>6145181</v>
      </c>
      <c r="H122" s="48">
        <v>17321</v>
      </c>
      <c r="I122" s="66">
        <v>94</v>
      </c>
      <c r="J122" s="80">
        <v>85986</v>
      </c>
      <c r="K122" s="30">
        <v>312</v>
      </c>
      <c r="L122" s="238">
        <v>1201</v>
      </c>
      <c r="M122" s="80">
        <v>8574</v>
      </c>
      <c r="N122" s="30">
        <v>23</v>
      </c>
      <c r="O122" s="66">
        <v>21</v>
      </c>
      <c r="P122" s="76">
        <v>17898</v>
      </c>
      <c r="Q122" s="66">
        <v>5</v>
      </c>
      <c r="S122" s="46"/>
    </row>
    <row r="123" spans="2:19" x14ac:dyDescent="0.2">
      <c r="B123" s="72">
        <v>41122</v>
      </c>
      <c r="C123" s="80">
        <v>3507920</v>
      </c>
      <c r="D123" s="66">
        <v>4859</v>
      </c>
      <c r="E123" s="80">
        <v>1625293</v>
      </c>
      <c r="F123" s="66">
        <v>593</v>
      </c>
      <c r="G123" s="80">
        <v>6187486</v>
      </c>
      <c r="H123" s="48">
        <v>17239</v>
      </c>
      <c r="I123" s="66">
        <v>95</v>
      </c>
      <c r="J123" s="80">
        <v>95357</v>
      </c>
      <c r="K123" s="30">
        <v>312</v>
      </c>
      <c r="L123" s="238">
        <v>1204</v>
      </c>
      <c r="M123" s="80">
        <v>8590</v>
      </c>
      <c r="N123" s="30">
        <v>25</v>
      </c>
      <c r="O123" s="66">
        <v>21</v>
      </c>
      <c r="P123" s="76">
        <v>17898</v>
      </c>
      <c r="Q123" s="66">
        <v>5</v>
      </c>
      <c r="S123" s="46"/>
    </row>
    <row r="124" spans="2:19" x14ac:dyDescent="0.2">
      <c r="B124" s="72">
        <v>41153</v>
      </c>
      <c r="C124" s="84">
        <v>2905042</v>
      </c>
      <c r="D124" s="66">
        <v>4859</v>
      </c>
      <c r="E124" s="84">
        <v>1413904</v>
      </c>
      <c r="F124" s="66">
        <v>593</v>
      </c>
      <c r="G124" s="80">
        <v>5780751</v>
      </c>
      <c r="H124" s="48">
        <v>17322</v>
      </c>
      <c r="I124" s="66">
        <v>95</v>
      </c>
      <c r="J124" s="84">
        <v>107775</v>
      </c>
      <c r="K124" s="30">
        <v>312</v>
      </c>
      <c r="L124" s="238">
        <v>1204</v>
      </c>
      <c r="M124" s="80">
        <v>8505</v>
      </c>
      <c r="N124" s="30">
        <v>25</v>
      </c>
      <c r="O124" s="66">
        <v>21</v>
      </c>
      <c r="P124" s="76">
        <v>17898</v>
      </c>
      <c r="Q124" s="66">
        <v>5</v>
      </c>
      <c r="S124" s="46"/>
    </row>
    <row r="125" spans="2:19" x14ac:dyDescent="0.2">
      <c r="B125" s="72">
        <v>41183</v>
      </c>
      <c r="C125" s="80">
        <v>3348313</v>
      </c>
      <c r="D125" s="66">
        <v>4860</v>
      </c>
      <c r="E125" s="80">
        <v>1383659</v>
      </c>
      <c r="F125" s="66">
        <v>608</v>
      </c>
      <c r="G125" s="80">
        <v>6159752</v>
      </c>
      <c r="H125" s="48">
        <v>16567</v>
      </c>
      <c r="I125" s="66">
        <v>94</v>
      </c>
      <c r="J125" s="80">
        <v>129095</v>
      </c>
      <c r="K125" s="30">
        <v>312</v>
      </c>
      <c r="L125" s="238">
        <v>1204</v>
      </c>
      <c r="M125" s="80">
        <v>8505</v>
      </c>
      <c r="N125" s="30">
        <v>25</v>
      </c>
      <c r="O125" s="66">
        <v>21</v>
      </c>
      <c r="P125" s="76">
        <v>17898</v>
      </c>
      <c r="Q125" s="66">
        <v>5</v>
      </c>
      <c r="S125" s="46"/>
    </row>
    <row r="126" spans="2:19" x14ac:dyDescent="0.2">
      <c r="B126" s="72">
        <v>41214</v>
      </c>
      <c r="C126" s="80">
        <v>4571800</v>
      </c>
      <c r="D126" s="66">
        <v>4867</v>
      </c>
      <c r="E126" s="80">
        <v>1534071</v>
      </c>
      <c r="F126" s="66">
        <v>609</v>
      </c>
      <c r="G126" s="80">
        <v>6257644</v>
      </c>
      <c r="H126" s="48">
        <v>16372</v>
      </c>
      <c r="I126" s="66">
        <v>93</v>
      </c>
      <c r="J126" s="80">
        <v>136612</v>
      </c>
      <c r="K126" s="30">
        <v>314</v>
      </c>
      <c r="L126" s="238">
        <v>1204</v>
      </c>
      <c r="M126" s="80">
        <v>8505</v>
      </c>
      <c r="N126" s="30">
        <v>25</v>
      </c>
      <c r="O126" s="66">
        <v>21</v>
      </c>
      <c r="P126" s="76">
        <v>17898</v>
      </c>
      <c r="Q126" s="66">
        <v>5</v>
      </c>
      <c r="S126" s="46"/>
    </row>
    <row r="127" spans="2:19" ht="13.5" thickBot="1" x14ac:dyDescent="0.25">
      <c r="B127" s="73">
        <v>41244</v>
      </c>
      <c r="C127" s="85">
        <v>5967823</v>
      </c>
      <c r="D127" s="68">
        <v>4869</v>
      </c>
      <c r="E127" s="85">
        <v>1676617</v>
      </c>
      <c r="F127" s="68">
        <v>616</v>
      </c>
      <c r="G127" s="85">
        <v>6778567</v>
      </c>
      <c r="H127" s="67">
        <v>18208</v>
      </c>
      <c r="I127" s="68">
        <v>94</v>
      </c>
      <c r="J127" s="85">
        <v>146572</v>
      </c>
      <c r="K127" s="32">
        <v>314</v>
      </c>
      <c r="L127" s="237">
        <v>1204</v>
      </c>
      <c r="M127" s="85">
        <v>8505</v>
      </c>
      <c r="N127" s="32">
        <v>25</v>
      </c>
      <c r="O127" s="68">
        <v>21</v>
      </c>
      <c r="P127" s="78">
        <v>17898</v>
      </c>
      <c r="Q127" s="68">
        <v>5</v>
      </c>
      <c r="S127" s="46"/>
    </row>
    <row r="128" spans="2:19" x14ac:dyDescent="0.2">
      <c r="J128" s="45"/>
      <c r="K128" s="45"/>
    </row>
    <row r="129" spans="3:3" x14ac:dyDescent="0.2">
      <c r="C129" s="45"/>
    </row>
  </sheetData>
  <mergeCells count="6">
    <mergeCell ref="C4:D4"/>
    <mergeCell ref="E4:F4"/>
    <mergeCell ref="G4:I4"/>
    <mergeCell ref="J4:L4"/>
    <mergeCell ref="P4:Q4"/>
    <mergeCell ref="M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33"/>
  <sheetViews>
    <sheetView workbookViewId="0">
      <selection activeCell="I29" sqref="I29"/>
    </sheetView>
  </sheetViews>
  <sheetFormatPr defaultRowHeight="12.75" x14ac:dyDescent="0.2"/>
  <cols>
    <col min="1" max="22" width="9.33203125" style="3"/>
    <col min="23" max="23" width="10.83203125" style="3" customWidth="1"/>
    <col min="24" max="24" width="10.5" style="3" customWidth="1"/>
    <col min="25" max="16384" width="9.33203125" style="3"/>
  </cols>
  <sheetData>
    <row r="1" spans="1:24" ht="15.75" x14ac:dyDescent="0.2">
      <c r="A1" s="138" t="s">
        <v>126</v>
      </c>
    </row>
    <row r="2" spans="1:24" ht="15.75" x14ac:dyDescent="0.2">
      <c r="A2" s="138"/>
    </row>
    <row r="3" spans="1:24" ht="25.5" x14ac:dyDescent="0.2">
      <c r="B3" s="344">
        <v>1993</v>
      </c>
      <c r="C3" s="344">
        <v>1994</v>
      </c>
      <c r="D3" s="344">
        <v>1995</v>
      </c>
      <c r="E3" s="344">
        <v>1996</v>
      </c>
      <c r="F3" s="344">
        <v>1997</v>
      </c>
      <c r="G3" s="344">
        <v>1998</v>
      </c>
      <c r="H3" s="344">
        <v>1999</v>
      </c>
      <c r="I3" s="344">
        <v>2000</v>
      </c>
      <c r="J3" s="344">
        <v>2001</v>
      </c>
      <c r="K3" s="344">
        <v>2002</v>
      </c>
      <c r="L3" s="344">
        <v>2003</v>
      </c>
      <c r="M3" s="344">
        <v>2004</v>
      </c>
      <c r="N3" s="344">
        <v>2005</v>
      </c>
      <c r="O3" s="344">
        <v>2006</v>
      </c>
      <c r="P3" s="344">
        <v>2007</v>
      </c>
      <c r="Q3" s="344">
        <v>2008</v>
      </c>
      <c r="R3" s="344">
        <v>2009</v>
      </c>
      <c r="S3" s="344">
        <v>2010</v>
      </c>
      <c r="T3" s="344">
        <v>2011</v>
      </c>
      <c r="U3" s="344">
        <v>2012</v>
      </c>
      <c r="V3" s="345" t="s">
        <v>148</v>
      </c>
      <c r="W3" s="345" t="s">
        <v>149</v>
      </c>
      <c r="X3" s="345" t="s">
        <v>150</v>
      </c>
    </row>
    <row r="4" spans="1:24" x14ac:dyDescent="0.2">
      <c r="A4" s="344"/>
      <c r="B4" s="346"/>
      <c r="C4" s="346"/>
      <c r="D4" s="346"/>
      <c r="E4" s="346"/>
      <c r="F4" s="346"/>
      <c r="G4" s="346"/>
      <c r="H4" s="346"/>
      <c r="I4" s="346"/>
      <c r="J4" s="346"/>
      <c r="K4" s="346"/>
      <c r="L4" s="346"/>
      <c r="M4" s="346"/>
      <c r="N4" s="346"/>
      <c r="O4" s="346"/>
      <c r="P4" s="346"/>
      <c r="Q4" s="346"/>
      <c r="R4" s="346"/>
      <c r="S4" s="346"/>
      <c r="T4" s="346"/>
      <c r="U4" s="346"/>
      <c r="V4" s="344"/>
      <c r="W4" s="344"/>
      <c r="X4" s="344"/>
    </row>
    <row r="5" spans="1:24" x14ac:dyDescent="0.2">
      <c r="A5" s="344" t="s">
        <v>2</v>
      </c>
      <c r="B5" s="348">
        <v>629.79999999999995</v>
      </c>
      <c r="C5" s="348">
        <v>1115.8999999999999</v>
      </c>
      <c r="D5" s="348">
        <v>773.9</v>
      </c>
      <c r="E5" s="348">
        <v>920.10000000000014</v>
      </c>
      <c r="F5" s="348">
        <v>923</v>
      </c>
      <c r="G5" s="348">
        <v>801.59999999999991</v>
      </c>
      <c r="H5" s="348">
        <v>875.4</v>
      </c>
      <c r="I5" s="348">
        <v>875.3</v>
      </c>
      <c r="J5" s="348">
        <v>848.19999999999993</v>
      </c>
      <c r="K5" s="348">
        <v>709.39999999999986</v>
      </c>
      <c r="L5" s="348">
        <v>977.30000000000018</v>
      </c>
      <c r="M5" s="348">
        <v>1045.3</v>
      </c>
      <c r="N5" s="348">
        <v>920.7</v>
      </c>
      <c r="O5" s="348">
        <v>733.5</v>
      </c>
      <c r="P5" s="348">
        <v>797.1</v>
      </c>
      <c r="Q5" s="348">
        <v>754.2</v>
      </c>
      <c r="R5" s="348">
        <v>979.5</v>
      </c>
      <c r="S5" s="348">
        <v>789.2</v>
      </c>
      <c r="T5" s="348">
        <v>893.2</v>
      </c>
      <c r="U5" s="348">
        <v>831</v>
      </c>
      <c r="V5" s="349">
        <v>872.1</v>
      </c>
      <c r="W5" s="349">
        <v>859.68</v>
      </c>
      <c r="X5" s="349">
        <v>860.41111111111104</v>
      </c>
    </row>
    <row r="6" spans="1:24" x14ac:dyDescent="0.2">
      <c r="A6" s="347" t="s">
        <v>151</v>
      </c>
      <c r="B6" s="348">
        <v>791.3</v>
      </c>
      <c r="C6" s="348">
        <v>833.4</v>
      </c>
      <c r="D6" s="348">
        <v>796.2</v>
      </c>
      <c r="E6" s="348">
        <v>783.29999999999984</v>
      </c>
      <c r="F6" s="348">
        <v>736.40000000000009</v>
      </c>
      <c r="G6" s="348">
        <v>609.79999999999995</v>
      </c>
      <c r="H6" s="348">
        <v>670.89999999999986</v>
      </c>
      <c r="I6" s="348">
        <v>728.2</v>
      </c>
      <c r="J6" s="348">
        <v>746.80000000000007</v>
      </c>
      <c r="K6" s="348">
        <v>668.8</v>
      </c>
      <c r="L6" s="348">
        <v>841.5</v>
      </c>
      <c r="M6" s="348">
        <v>750</v>
      </c>
      <c r="N6" s="348">
        <v>700.6</v>
      </c>
      <c r="O6" s="348">
        <v>720.9</v>
      </c>
      <c r="P6" s="348">
        <v>820</v>
      </c>
      <c r="Q6" s="348">
        <v>774.3</v>
      </c>
      <c r="R6" s="348">
        <v>711.5</v>
      </c>
      <c r="S6" s="348">
        <v>655.8</v>
      </c>
      <c r="T6" s="348">
        <v>729</v>
      </c>
      <c r="U6" s="348">
        <v>671.4</v>
      </c>
      <c r="V6" s="349">
        <v>737.5</v>
      </c>
      <c r="W6" s="349">
        <v>737.00499999999988</v>
      </c>
      <c r="X6" s="349">
        <v>725.94444444444446</v>
      </c>
    </row>
    <row r="7" spans="1:24" x14ac:dyDescent="0.2">
      <c r="A7" s="347" t="s">
        <v>152</v>
      </c>
      <c r="B7" s="348">
        <v>604.39999999999986</v>
      </c>
      <c r="C7" s="348">
        <v>637.5</v>
      </c>
      <c r="D7" s="348">
        <v>537.00000000000011</v>
      </c>
      <c r="E7" s="348">
        <v>656.2</v>
      </c>
      <c r="F7" s="348">
        <v>678.30000000000007</v>
      </c>
      <c r="G7" s="348">
        <v>575.79999999999995</v>
      </c>
      <c r="H7" s="348">
        <v>645.69999999999993</v>
      </c>
      <c r="I7" s="348">
        <v>502.29999999999984</v>
      </c>
      <c r="J7" s="348">
        <v>652.29999999999995</v>
      </c>
      <c r="K7" s="348">
        <v>651.69999999999993</v>
      </c>
      <c r="L7" s="348">
        <v>675.00000000000011</v>
      </c>
      <c r="M7" s="348">
        <v>559.20000000000005</v>
      </c>
      <c r="N7" s="348">
        <v>668.8</v>
      </c>
      <c r="O7" s="348">
        <v>600.4</v>
      </c>
      <c r="P7" s="348">
        <v>643</v>
      </c>
      <c r="Q7" s="348">
        <v>721.1</v>
      </c>
      <c r="R7" s="348">
        <v>598.29999999999995</v>
      </c>
      <c r="S7" s="348">
        <v>460.7</v>
      </c>
      <c r="T7" s="348">
        <v>636</v>
      </c>
      <c r="U7" s="348">
        <v>460.3</v>
      </c>
      <c r="V7" s="349">
        <v>602.28</v>
      </c>
      <c r="W7" s="349">
        <v>608.20000000000005</v>
      </c>
      <c r="X7" s="349">
        <v>594.20000000000005</v>
      </c>
    </row>
    <row r="8" spans="1:24" x14ac:dyDescent="0.2">
      <c r="A8" s="347" t="s">
        <v>153</v>
      </c>
      <c r="B8" s="348">
        <v>320.29999999999995</v>
      </c>
      <c r="C8" s="348">
        <v>375.7</v>
      </c>
      <c r="D8" s="348">
        <v>434.90000000000003</v>
      </c>
      <c r="E8" s="348">
        <v>418.40000000000015</v>
      </c>
      <c r="F8" s="348">
        <v>378.59999999999991</v>
      </c>
      <c r="G8" s="348">
        <v>285.89999999999992</v>
      </c>
      <c r="H8" s="348">
        <v>336.79999999999995</v>
      </c>
      <c r="I8" s="348">
        <v>390.99999999999994</v>
      </c>
      <c r="J8" s="348">
        <v>338.1</v>
      </c>
      <c r="K8" s="348">
        <v>358.79999999999995</v>
      </c>
      <c r="L8" s="348">
        <v>424.6</v>
      </c>
      <c r="M8" s="348">
        <v>377.8</v>
      </c>
      <c r="N8" s="348">
        <v>324.8</v>
      </c>
      <c r="O8" s="348">
        <v>321.60000000000002</v>
      </c>
      <c r="P8" s="348">
        <v>361.1</v>
      </c>
      <c r="Q8" s="348">
        <v>299.60000000000002</v>
      </c>
      <c r="R8" s="348">
        <v>334.3</v>
      </c>
      <c r="S8" s="348">
        <v>258.10000000000002</v>
      </c>
      <c r="T8" s="348">
        <v>347.4</v>
      </c>
      <c r="U8" s="348">
        <v>363.3</v>
      </c>
      <c r="V8" s="349">
        <v>341.26000000000005</v>
      </c>
      <c r="W8" s="349">
        <v>352.55500000000006</v>
      </c>
      <c r="X8" s="349">
        <v>332.00000000000006</v>
      </c>
    </row>
    <row r="9" spans="1:24" x14ac:dyDescent="0.2">
      <c r="A9" s="347" t="s">
        <v>154</v>
      </c>
      <c r="B9" s="348">
        <v>136.09999999999997</v>
      </c>
      <c r="C9" s="348">
        <v>188.4</v>
      </c>
      <c r="D9" s="348">
        <v>148.00000000000006</v>
      </c>
      <c r="E9" s="348">
        <v>187.9</v>
      </c>
      <c r="F9" s="348">
        <v>240.5</v>
      </c>
      <c r="G9" s="348">
        <v>43.6</v>
      </c>
      <c r="H9" s="348">
        <v>83.3</v>
      </c>
      <c r="I9" s="348">
        <v>152</v>
      </c>
      <c r="J9" s="348">
        <v>109.6</v>
      </c>
      <c r="K9" s="348">
        <v>227.6</v>
      </c>
      <c r="L9" s="348">
        <v>154.10000000000002</v>
      </c>
      <c r="M9" s="348">
        <v>166.2</v>
      </c>
      <c r="N9" s="348">
        <v>205</v>
      </c>
      <c r="O9" s="348">
        <v>128.19999999999999</v>
      </c>
      <c r="P9" s="348">
        <v>157.30000000000001</v>
      </c>
      <c r="Q9" s="348">
        <v>185.4</v>
      </c>
      <c r="R9" s="348">
        <v>181.6</v>
      </c>
      <c r="S9" s="348">
        <v>112.3</v>
      </c>
      <c r="T9" s="348">
        <v>142.80000000000001</v>
      </c>
      <c r="U9" s="348">
        <v>96</v>
      </c>
      <c r="V9" s="349">
        <v>152.88999999999999</v>
      </c>
      <c r="W9" s="349">
        <v>152.29500000000002</v>
      </c>
      <c r="X9" s="349">
        <v>152.75555555555556</v>
      </c>
    </row>
    <row r="10" spans="1:24" x14ac:dyDescent="0.2">
      <c r="A10" s="347" t="s">
        <v>155</v>
      </c>
      <c r="B10" s="348">
        <v>48.699999999999996</v>
      </c>
      <c r="C10" s="348">
        <v>35.4</v>
      </c>
      <c r="D10" s="348">
        <v>19</v>
      </c>
      <c r="E10" s="348">
        <v>20.900000000000002</v>
      </c>
      <c r="F10" s="348">
        <v>11.700000000000001</v>
      </c>
      <c r="G10" s="348">
        <v>43.4</v>
      </c>
      <c r="H10" s="348">
        <v>20.3</v>
      </c>
      <c r="I10" s="348">
        <v>63.2</v>
      </c>
      <c r="J10" s="348">
        <v>25.5</v>
      </c>
      <c r="K10" s="348">
        <v>61.699999999999996</v>
      </c>
      <c r="L10" s="348">
        <v>38.900000000000006</v>
      </c>
      <c r="M10" s="348">
        <v>54</v>
      </c>
      <c r="N10" s="348">
        <v>16.100000000000001</v>
      </c>
      <c r="O10" s="348">
        <v>27.6</v>
      </c>
      <c r="P10" s="348">
        <v>34.200000000000003</v>
      </c>
      <c r="Q10" s="348">
        <v>22.4</v>
      </c>
      <c r="R10" s="348">
        <v>50.4</v>
      </c>
      <c r="S10" s="348">
        <v>37.6</v>
      </c>
      <c r="T10" s="348">
        <v>18.5</v>
      </c>
      <c r="U10" s="348">
        <v>0</v>
      </c>
      <c r="V10" s="349">
        <v>29.970000000000006</v>
      </c>
      <c r="W10" s="349">
        <v>32.475000000000009</v>
      </c>
      <c r="X10" s="349">
        <v>28.977777777777774</v>
      </c>
    </row>
    <row r="11" spans="1:24" x14ac:dyDescent="0.2">
      <c r="A11" s="347" t="s">
        <v>156</v>
      </c>
      <c r="B11" s="348">
        <v>0</v>
      </c>
      <c r="C11" s="348">
        <v>0.8</v>
      </c>
      <c r="D11" s="348">
        <v>6.8</v>
      </c>
      <c r="E11" s="348">
        <v>1.6</v>
      </c>
      <c r="F11" s="348">
        <v>10.499999999999998</v>
      </c>
      <c r="G11" s="348">
        <v>3.4</v>
      </c>
      <c r="H11" s="348">
        <v>3.8</v>
      </c>
      <c r="I11" s="348">
        <v>12.200000000000001</v>
      </c>
      <c r="J11" s="348">
        <v>21.599999999999998</v>
      </c>
      <c r="K11" s="348">
        <v>5.3</v>
      </c>
      <c r="L11" s="348">
        <v>2</v>
      </c>
      <c r="M11" s="348">
        <v>1.8</v>
      </c>
      <c r="N11" s="348">
        <v>2.9</v>
      </c>
      <c r="O11" s="348">
        <v>0.3</v>
      </c>
      <c r="P11" s="348">
        <v>11.8</v>
      </c>
      <c r="Q11" s="348">
        <v>0.3</v>
      </c>
      <c r="R11" s="348">
        <v>13.1</v>
      </c>
      <c r="S11" s="348">
        <v>4.5</v>
      </c>
      <c r="T11" s="348">
        <v>0</v>
      </c>
      <c r="U11" s="348">
        <v>0</v>
      </c>
      <c r="V11" s="349">
        <v>3.6700000000000004</v>
      </c>
      <c r="W11" s="349">
        <v>5.1349999999999989</v>
      </c>
      <c r="X11" s="349">
        <v>3.8555555555555561</v>
      </c>
    </row>
    <row r="12" spans="1:24" x14ac:dyDescent="0.2">
      <c r="A12" s="347" t="s">
        <v>157</v>
      </c>
      <c r="B12" s="348">
        <v>6.4</v>
      </c>
      <c r="C12" s="348">
        <v>33.6</v>
      </c>
      <c r="D12" s="348">
        <v>9.3000000000000007</v>
      </c>
      <c r="E12" s="348">
        <v>13.7</v>
      </c>
      <c r="F12" s="348">
        <v>14.299999999999999</v>
      </c>
      <c r="G12" s="348">
        <v>7.6999999999999993</v>
      </c>
      <c r="H12" s="348">
        <v>14.8</v>
      </c>
      <c r="I12" s="348">
        <v>18.3</v>
      </c>
      <c r="J12" s="348">
        <v>4.7</v>
      </c>
      <c r="K12" s="348">
        <v>6.8</v>
      </c>
      <c r="L12" s="348">
        <v>13.299999999999999</v>
      </c>
      <c r="M12" s="348">
        <v>29.8</v>
      </c>
      <c r="N12" s="348">
        <v>8.4</v>
      </c>
      <c r="O12" s="348">
        <v>18.2</v>
      </c>
      <c r="P12" s="348">
        <v>20.100000000000001</v>
      </c>
      <c r="Q12" s="348">
        <v>14.4</v>
      </c>
      <c r="R12" s="348">
        <v>26.1</v>
      </c>
      <c r="S12" s="348">
        <v>14.7</v>
      </c>
      <c r="T12" s="348">
        <v>2.2999999999999998</v>
      </c>
      <c r="U12" s="348">
        <v>8.4</v>
      </c>
      <c r="V12" s="349">
        <v>15.570000000000002</v>
      </c>
      <c r="W12" s="349">
        <v>14.265000000000001</v>
      </c>
      <c r="X12" s="349">
        <v>15.822222222222223</v>
      </c>
    </row>
    <row r="13" spans="1:24" x14ac:dyDescent="0.2">
      <c r="A13" s="347" t="s">
        <v>158</v>
      </c>
      <c r="B13" s="348">
        <v>151.49999999999997</v>
      </c>
      <c r="C13" s="348">
        <v>100.1</v>
      </c>
      <c r="D13" s="348">
        <v>159.30000000000007</v>
      </c>
      <c r="E13" s="348">
        <v>83.8</v>
      </c>
      <c r="F13" s="348">
        <v>120.60000000000001</v>
      </c>
      <c r="G13" s="348">
        <v>81.900000000000006</v>
      </c>
      <c r="H13" s="348">
        <v>65.8</v>
      </c>
      <c r="I13" s="348">
        <v>138.10000000000002</v>
      </c>
      <c r="J13" s="348">
        <v>89.899999999999991</v>
      </c>
      <c r="K13" s="348">
        <v>56.9</v>
      </c>
      <c r="L13" s="348">
        <v>60.400000000000006</v>
      </c>
      <c r="M13" s="348">
        <v>66.8</v>
      </c>
      <c r="N13" s="348">
        <v>59.2</v>
      </c>
      <c r="O13" s="348">
        <v>121</v>
      </c>
      <c r="P13" s="348">
        <v>76</v>
      </c>
      <c r="Q13" s="348">
        <v>95.4</v>
      </c>
      <c r="R13" s="348">
        <v>106.5</v>
      </c>
      <c r="S13" s="348">
        <v>112</v>
      </c>
      <c r="T13" s="348">
        <v>55.4</v>
      </c>
      <c r="U13" s="348">
        <v>127.3</v>
      </c>
      <c r="V13" s="349">
        <v>87.999999999999986</v>
      </c>
      <c r="W13" s="349">
        <v>96.39500000000001</v>
      </c>
      <c r="X13" s="349">
        <v>91.066666666666663</v>
      </c>
    </row>
    <row r="14" spans="1:24" x14ac:dyDescent="0.2">
      <c r="A14" s="347" t="s">
        <v>159</v>
      </c>
      <c r="B14" s="348">
        <v>342.2</v>
      </c>
      <c r="C14" s="348">
        <v>277.5</v>
      </c>
      <c r="D14" s="348">
        <v>237.50000000000003</v>
      </c>
      <c r="E14" s="348">
        <v>314.2</v>
      </c>
      <c r="F14" s="348">
        <v>334.19999999999993</v>
      </c>
      <c r="G14" s="348">
        <v>270.7</v>
      </c>
      <c r="H14" s="348">
        <v>321.50000000000011</v>
      </c>
      <c r="I14" s="348">
        <v>290.79999999999995</v>
      </c>
      <c r="J14" s="348">
        <v>265.99999999999994</v>
      </c>
      <c r="K14" s="348">
        <v>370.00000000000011</v>
      </c>
      <c r="L14" s="348">
        <v>336.59999999999997</v>
      </c>
      <c r="M14" s="348">
        <v>287</v>
      </c>
      <c r="N14" s="348">
        <v>269.7</v>
      </c>
      <c r="O14" s="348">
        <v>335.7</v>
      </c>
      <c r="P14" s="348">
        <v>227.5</v>
      </c>
      <c r="Q14" s="348">
        <v>321.8</v>
      </c>
      <c r="R14" s="348">
        <v>355.5</v>
      </c>
      <c r="S14" s="348">
        <v>311</v>
      </c>
      <c r="T14" s="348">
        <v>259.10000000000002</v>
      </c>
      <c r="U14" s="348">
        <v>243.1</v>
      </c>
      <c r="V14" s="349">
        <v>294.7</v>
      </c>
      <c r="W14" s="349">
        <v>298.58000000000004</v>
      </c>
      <c r="X14" s="349">
        <v>290.04444444444442</v>
      </c>
    </row>
    <row r="15" spans="1:24" x14ac:dyDescent="0.2">
      <c r="A15" s="347" t="s">
        <v>160</v>
      </c>
      <c r="B15" s="348">
        <v>417.80000000000007</v>
      </c>
      <c r="C15" s="348">
        <v>432.6</v>
      </c>
      <c r="D15" s="348">
        <v>611.79999999999995</v>
      </c>
      <c r="E15" s="348">
        <v>575.19999999999993</v>
      </c>
      <c r="F15" s="348">
        <v>552.69999999999993</v>
      </c>
      <c r="G15" s="348">
        <v>452.7</v>
      </c>
      <c r="H15" s="348">
        <v>406.7000000000001</v>
      </c>
      <c r="I15" s="348">
        <v>489.40000000000003</v>
      </c>
      <c r="J15" s="348">
        <v>410.09999999999991</v>
      </c>
      <c r="K15" s="348">
        <v>535.19999999999993</v>
      </c>
      <c r="L15" s="348">
        <v>468.80000000000007</v>
      </c>
      <c r="M15" s="348">
        <v>484.3</v>
      </c>
      <c r="N15" s="348">
        <v>484.2</v>
      </c>
      <c r="O15" s="348">
        <v>417.3</v>
      </c>
      <c r="P15" s="348">
        <v>517</v>
      </c>
      <c r="Q15" s="348">
        <v>502.8</v>
      </c>
      <c r="R15" s="348">
        <v>417.4</v>
      </c>
      <c r="S15" s="348">
        <v>491.6</v>
      </c>
      <c r="T15" s="348">
        <v>392.9</v>
      </c>
      <c r="U15" s="348">
        <v>541.70000000000005</v>
      </c>
      <c r="V15" s="349">
        <v>471.8</v>
      </c>
      <c r="W15" s="349">
        <v>480.11</v>
      </c>
      <c r="X15" s="349">
        <v>472.13333333333333</v>
      </c>
    </row>
    <row r="16" spans="1:24" x14ac:dyDescent="0.2">
      <c r="A16" s="347" t="s">
        <v>161</v>
      </c>
      <c r="B16" s="348">
        <v>573.89999999999986</v>
      </c>
      <c r="C16" s="348">
        <v>696.40000000000009</v>
      </c>
      <c r="D16" s="348">
        <v>850.90000000000009</v>
      </c>
      <c r="E16" s="348">
        <v>634.70000000000005</v>
      </c>
      <c r="F16" s="348">
        <v>754.89999999999986</v>
      </c>
      <c r="G16" s="348">
        <v>648.4</v>
      </c>
      <c r="H16" s="348">
        <v>691.8</v>
      </c>
      <c r="I16" s="348">
        <v>882.60000000000014</v>
      </c>
      <c r="J16" s="348">
        <v>602.20000000000005</v>
      </c>
      <c r="K16" s="348">
        <v>728.3</v>
      </c>
      <c r="L16" s="348">
        <v>722.19999999999993</v>
      </c>
      <c r="M16" s="348">
        <v>814.9</v>
      </c>
      <c r="N16" s="348">
        <v>762</v>
      </c>
      <c r="O16" s="348">
        <v>610</v>
      </c>
      <c r="P16" s="348">
        <v>787.7</v>
      </c>
      <c r="Q16" s="348">
        <v>796.7</v>
      </c>
      <c r="R16" s="348">
        <v>759.4</v>
      </c>
      <c r="S16" s="348">
        <v>731.4</v>
      </c>
      <c r="T16" s="348">
        <v>415</v>
      </c>
      <c r="U16" s="348">
        <v>680.6</v>
      </c>
      <c r="V16" s="349">
        <v>707.99</v>
      </c>
      <c r="W16" s="349">
        <v>707.2</v>
      </c>
      <c r="X16" s="349">
        <v>706.41111111111104</v>
      </c>
    </row>
    <row r="17" spans="1:24" x14ac:dyDescent="0.2">
      <c r="A17" s="347" t="s">
        <v>162</v>
      </c>
      <c r="B17" s="346"/>
      <c r="C17" s="346"/>
      <c r="D17" s="346"/>
      <c r="E17" s="346"/>
      <c r="F17" s="346"/>
      <c r="G17" s="346"/>
      <c r="H17" s="346"/>
      <c r="I17" s="346"/>
      <c r="J17" s="346"/>
      <c r="K17" s="346"/>
      <c r="L17" s="346"/>
      <c r="M17" s="346"/>
      <c r="N17" s="346"/>
      <c r="O17" s="346"/>
      <c r="P17" s="346"/>
      <c r="Q17" s="346"/>
      <c r="R17" s="346"/>
      <c r="S17" s="346"/>
      <c r="T17" s="346"/>
      <c r="U17" s="346"/>
      <c r="V17" s="346"/>
      <c r="W17" s="346"/>
    </row>
    <row r="18" spans="1:24" x14ac:dyDescent="0.2">
      <c r="A18" s="350"/>
      <c r="B18" s="346"/>
      <c r="C18" s="346"/>
      <c r="D18" s="346"/>
      <c r="E18" s="346"/>
      <c r="F18" s="346"/>
      <c r="G18" s="346"/>
      <c r="H18" s="346"/>
      <c r="I18" s="346"/>
      <c r="J18" s="346"/>
      <c r="K18" s="346"/>
      <c r="L18" s="346"/>
      <c r="M18" s="346"/>
      <c r="N18" s="346"/>
      <c r="O18" s="346"/>
      <c r="P18" s="346"/>
      <c r="Q18" s="346"/>
      <c r="R18" s="346"/>
      <c r="S18" s="346"/>
      <c r="T18" s="346"/>
      <c r="U18" s="346"/>
      <c r="V18" s="346"/>
      <c r="W18" s="346"/>
    </row>
    <row r="19" spans="1:24" ht="25.5" x14ac:dyDescent="0.2">
      <c r="A19" s="350"/>
      <c r="B19" s="344">
        <v>1993</v>
      </c>
      <c r="C19" s="344">
        <v>1994</v>
      </c>
      <c r="D19" s="344">
        <v>1995</v>
      </c>
      <c r="E19" s="344">
        <v>1996</v>
      </c>
      <c r="F19" s="344">
        <v>1997</v>
      </c>
      <c r="G19" s="344">
        <v>1998</v>
      </c>
      <c r="H19" s="344">
        <v>1999</v>
      </c>
      <c r="I19" s="344">
        <v>2000</v>
      </c>
      <c r="J19" s="344">
        <v>2001</v>
      </c>
      <c r="K19" s="344">
        <v>2002</v>
      </c>
      <c r="L19" s="344">
        <v>2003</v>
      </c>
      <c r="M19" s="344">
        <v>2004</v>
      </c>
      <c r="N19" s="344">
        <v>2005</v>
      </c>
      <c r="O19" s="344">
        <v>2006</v>
      </c>
      <c r="P19" s="344">
        <v>2007</v>
      </c>
      <c r="Q19" s="344">
        <v>2008</v>
      </c>
      <c r="R19" s="344">
        <v>2009</v>
      </c>
      <c r="S19" s="344">
        <v>2010</v>
      </c>
      <c r="T19" s="344">
        <v>2011</v>
      </c>
      <c r="U19" s="344">
        <v>2012</v>
      </c>
      <c r="V19" s="345" t="s">
        <v>148</v>
      </c>
      <c r="W19" s="345" t="s">
        <v>149</v>
      </c>
      <c r="X19" s="345" t="s">
        <v>150</v>
      </c>
    </row>
    <row r="20" spans="1:24" x14ac:dyDescent="0.2">
      <c r="A20" s="344"/>
      <c r="B20" s="346"/>
      <c r="C20" s="346"/>
      <c r="D20" s="346"/>
      <c r="E20" s="346"/>
      <c r="F20" s="346"/>
      <c r="G20" s="346"/>
      <c r="H20" s="346"/>
      <c r="I20" s="346"/>
      <c r="J20" s="346"/>
      <c r="K20" s="346"/>
      <c r="L20" s="346"/>
      <c r="M20" s="346"/>
      <c r="N20" s="346"/>
      <c r="O20" s="346"/>
      <c r="P20" s="346"/>
      <c r="Q20" s="346"/>
      <c r="R20" s="346"/>
      <c r="S20" s="346"/>
      <c r="T20" s="346"/>
      <c r="U20" s="346"/>
      <c r="V20" s="344"/>
      <c r="W20" s="344"/>
      <c r="X20" s="344"/>
    </row>
    <row r="21" spans="1:24" x14ac:dyDescent="0.2">
      <c r="A21" s="344" t="s">
        <v>3</v>
      </c>
      <c r="B21" s="348">
        <v>0</v>
      </c>
      <c r="C21" s="348">
        <v>0</v>
      </c>
      <c r="D21" s="348">
        <v>0</v>
      </c>
      <c r="E21" s="348">
        <v>0</v>
      </c>
      <c r="F21" s="348">
        <v>0</v>
      </c>
      <c r="G21" s="348">
        <v>0</v>
      </c>
      <c r="H21" s="348">
        <v>0</v>
      </c>
      <c r="I21" s="348">
        <v>0</v>
      </c>
      <c r="J21" s="348">
        <v>0</v>
      </c>
      <c r="K21" s="348">
        <v>0</v>
      </c>
      <c r="L21" s="348">
        <v>0</v>
      </c>
      <c r="M21" s="348">
        <v>0</v>
      </c>
      <c r="N21" s="348">
        <v>0</v>
      </c>
      <c r="O21" s="348">
        <v>0</v>
      </c>
      <c r="P21" s="348">
        <v>0</v>
      </c>
      <c r="Q21" s="348">
        <v>0</v>
      </c>
      <c r="R21" s="348">
        <v>0</v>
      </c>
      <c r="S21" s="348">
        <v>0</v>
      </c>
      <c r="T21" s="348">
        <v>0</v>
      </c>
      <c r="U21" s="348">
        <v>0</v>
      </c>
      <c r="V21" s="349">
        <v>0</v>
      </c>
      <c r="W21" s="349">
        <v>0</v>
      </c>
      <c r="X21" s="349">
        <v>0</v>
      </c>
    </row>
    <row r="22" spans="1:24" x14ac:dyDescent="0.2">
      <c r="A22" s="347" t="s">
        <v>151</v>
      </c>
      <c r="B22" s="348">
        <v>0</v>
      </c>
      <c r="C22" s="348">
        <v>0</v>
      </c>
      <c r="D22" s="348">
        <v>0</v>
      </c>
      <c r="E22" s="348">
        <v>0</v>
      </c>
      <c r="F22" s="348">
        <v>0</v>
      </c>
      <c r="G22" s="348">
        <v>0</v>
      </c>
      <c r="H22" s="348">
        <v>0</v>
      </c>
      <c r="I22" s="348">
        <v>0</v>
      </c>
      <c r="J22" s="348">
        <v>0</v>
      </c>
      <c r="K22" s="348">
        <v>0</v>
      </c>
      <c r="L22" s="348">
        <v>0</v>
      </c>
      <c r="M22" s="348">
        <v>0</v>
      </c>
      <c r="N22" s="348">
        <v>0</v>
      </c>
      <c r="O22" s="348">
        <v>0</v>
      </c>
      <c r="P22" s="348">
        <v>0</v>
      </c>
      <c r="Q22" s="348">
        <v>0</v>
      </c>
      <c r="R22" s="348">
        <v>0</v>
      </c>
      <c r="S22" s="348">
        <v>0</v>
      </c>
      <c r="T22" s="348">
        <v>0</v>
      </c>
      <c r="U22" s="348">
        <v>0</v>
      </c>
      <c r="V22" s="349">
        <v>0</v>
      </c>
      <c r="W22" s="349">
        <v>0</v>
      </c>
      <c r="X22" s="349">
        <v>0</v>
      </c>
    </row>
    <row r="23" spans="1:24" x14ac:dyDescent="0.2">
      <c r="A23" s="347" t="s">
        <v>152</v>
      </c>
      <c r="B23" s="348">
        <v>0</v>
      </c>
      <c r="C23" s="348">
        <v>0</v>
      </c>
      <c r="D23" s="348">
        <v>0</v>
      </c>
      <c r="E23" s="348">
        <v>0</v>
      </c>
      <c r="F23" s="348">
        <v>0</v>
      </c>
      <c r="G23" s="348">
        <v>0</v>
      </c>
      <c r="H23" s="348">
        <v>0</v>
      </c>
      <c r="I23" s="348">
        <v>0</v>
      </c>
      <c r="J23" s="348">
        <v>0</v>
      </c>
      <c r="K23" s="348">
        <v>0</v>
      </c>
      <c r="L23" s="348">
        <v>0</v>
      </c>
      <c r="M23" s="348">
        <v>0</v>
      </c>
      <c r="N23" s="348">
        <v>0</v>
      </c>
      <c r="O23" s="348">
        <v>0</v>
      </c>
      <c r="P23" s="348">
        <v>0</v>
      </c>
      <c r="Q23" s="348">
        <v>0</v>
      </c>
      <c r="R23" s="348">
        <v>0</v>
      </c>
      <c r="S23" s="348">
        <v>0</v>
      </c>
      <c r="T23" s="348">
        <v>0</v>
      </c>
      <c r="U23" s="348">
        <v>0</v>
      </c>
      <c r="V23" s="349">
        <v>0</v>
      </c>
      <c r="W23" s="349">
        <v>0</v>
      </c>
      <c r="X23" s="349">
        <v>0</v>
      </c>
    </row>
    <row r="24" spans="1:24" x14ac:dyDescent="0.2">
      <c r="A24" s="347" t="s">
        <v>153</v>
      </c>
      <c r="B24" s="348">
        <v>0</v>
      </c>
      <c r="C24" s="348">
        <v>0</v>
      </c>
      <c r="D24" s="348">
        <v>0</v>
      </c>
      <c r="E24" s="348">
        <v>0</v>
      </c>
      <c r="F24" s="348">
        <v>0</v>
      </c>
      <c r="G24" s="348">
        <v>0</v>
      </c>
      <c r="H24" s="348">
        <v>0</v>
      </c>
      <c r="I24" s="348">
        <v>0</v>
      </c>
      <c r="J24" s="348">
        <v>0</v>
      </c>
      <c r="K24" s="348">
        <v>10.3</v>
      </c>
      <c r="L24" s="348">
        <v>0</v>
      </c>
      <c r="M24" s="348">
        <v>1.9</v>
      </c>
      <c r="N24" s="348">
        <v>0</v>
      </c>
      <c r="O24" s="348">
        <v>0</v>
      </c>
      <c r="P24" s="348">
        <v>0</v>
      </c>
      <c r="Q24" s="348">
        <v>0</v>
      </c>
      <c r="R24" s="348">
        <v>0</v>
      </c>
      <c r="S24" s="348">
        <v>0</v>
      </c>
      <c r="T24" s="348">
        <v>0</v>
      </c>
      <c r="U24" s="348">
        <v>3.2</v>
      </c>
      <c r="V24" s="349">
        <v>0.51</v>
      </c>
      <c r="W24" s="349">
        <v>0.77000000000000013</v>
      </c>
      <c r="X24" s="349">
        <v>0.56666666666666665</v>
      </c>
    </row>
    <row r="25" spans="1:24" x14ac:dyDescent="0.2">
      <c r="A25" s="347" t="s">
        <v>154</v>
      </c>
      <c r="B25" s="348">
        <v>6.9</v>
      </c>
      <c r="C25" s="348">
        <v>8.8000000000000007</v>
      </c>
      <c r="D25" s="348">
        <v>5.6999999999999993</v>
      </c>
      <c r="E25" s="348">
        <v>8</v>
      </c>
      <c r="F25" s="348">
        <v>0</v>
      </c>
      <c r="G25" s="348">
        <v>28.6</v>
      </c>
      <c r="H25" s="348">
        <v>31.3</v>
      </c>
      <c r="I25" s="348">
        <v>2.8000000000000003</v>
      </c>
      <c r="J25" s="348">
        <v>13.700000000000001</v>
      </c>
      <c r="K25" s="348">
        <v>6.5</v>
      </c>
      <c r="L25" s="348">
        <v>0.1</v>
      </c>
      <c r="M25" s="348">
        <v>4</v>
      </c>
      <c r="N25" s="348">
        <v>1.9</v>
      </c>
      <c r="O25" s="348">
        <v>16.899999999999999</v>
      </c>
      <c r="P25" s="348">
        <v>0</v>
      </c>
      <c r="Q25" s="348">
        <v>0</v>
      </c>
      <c r="R25" s="348">
        <v>2.5</v>
      </c>
      <c r="S25" s="348">
        <v>1.6</v>
      </c>
      <c r="T25" s="348">
        <v>16.7</v>
      </c>
      <c r="U25" s="348">
        <v>21</v>
      </c>
      <c r="V25" s="349">
        <v>6.4700000000000006</v>
      </c>
      <c r="W25" s="349">
        <v>8.8499999999999979</v>
      </c>
      <c r="X25" s="349">
        <v>7.1777777777777771</v>
      </c>
    </row>
    <row r="26" spans="1:24" x14ac:dyDescent="0.2">
      <c r="A26" s="347" t="s">
        <v>155</v>
      </c>
      <c r="B26" s="348">
        <v>29.899999999999995</v>
      </c>
      <c r="C26" s="348">
        <v>71.699999999999989</v>
      </c>
      <c r="D26" s="348">
        <v>86.299999999999983</v>
      </c>
      <c r="E26" s="348">
        <v>51.9</v>
      </c>
      <c r="F26" s="348">
        <v>78.7</v>
      </c>
      <c r="G26" s="348">
        <v>77.899999999999991</v>
      </c>
      <c r="H26" s="348">
        <v>99.6</v>
      </c>
      <c r="I26" s="348">
        <v>30.700000000000003</v>
      </c>
      <c r="J26" s="348">
        <v>75.900000000000006</v>
      </c>
      <c r="K26" s="348">
        <v>39.5</v>
      </c>
      <c r="L26" s="348">
        <v>54.800000000000004</v>
      </c>
      <c r="M26" s="348">
        <v>27.1</v>
      </c>
      <c r="N26" s="348">
        <v>111.6</v>
      </c>
      <c r="O26" s="348">
        <v>48.2</v>
      </c>
      <c r="P26" s="348">
        <v>17.3</v>
      </c>
      <c r="Q26" s="348">
        <v>0</v>
      </c>
      <c r="R26" s="348">
        <v>3.2</v>
      </c>
      <c r="S26" s="348">
        <v>38.200000000000003</v>
      </c>
      <c r="T26" s="348">
        <v>59.1</v>
      </c>
      <c r="U26" s="348">
        <v>70.400000000000006</v>
      </c>
      <c r="V26" s="349">
        <v>42.989999999999995</v>
      </c>
      <c r="W26" s="349">
        <v>53.600000000000009</v>
      </c>
      <c r="X26" s="349">
        <v>41.677777777777777</v>
      </c>
    </row>
    <row r="27" spans="1:24" x14ac:dyDescent="0.2">
      <c r="A27" s="347" t="s">
        <v>156</v>
      </c>
      <c r="B27" s="348">
        <v>112.6</v>
      </c>
      <c r="C27" s="348">
        <v>106</v>
      </c>
      <c r="D27" s="348">
        <v>125.9</v>
      </c>
      <c r="E27" s="348">
        <v>67.699999999999989</v>
      </c>
      <c r="F27" s="348">
        <v>95.8</v>
      </c>
      <c r="G27" s="348">
        <v>89.2</v>
      </c>
      <c r="H27" s="348">
        <v>141.70000000000002</v>
      </c>
      <c r="I27" s="348">
        <v>58.6</v>
      </c>
      <c r="J27" s="348">
        <v>78.399999999999991</v>
      </c>
      <c r="K27" s="348">
        <v>121</v>
      </c>
      <c r="L27" s="348">
        <v>90.1</v>
      </c>
      <c r="M27" s="348">
        <v>86.5</v>
      </c>
      <c r="N27" s="348">
        <v>128.6</v>
      </c>
      <c r="O27" s="348">
        <v>130.6</v>
      </c>
      <c r="P27" s="348">
        <v>66.900000000000006</v>
      </c>
      <c r="Q27" s="348">
        <v>60.5</v>
      </c>
      <c r="R27" s="348">
        <v>44.9</v>
      </c>
      <c r="S27" s="348">
        <v>33.4</v>
      </c>
      <c r="T27" s="348">
        <v>137.5</v>
      </c>
      <c r="U27" s="348">
        <v>142.19999999999999</v>
      </c>
      <c r="V27" s="349">
        <v>92.119999999999976</v>
      </c>
      <c r="W27" s="349">
        <v>95.905000000000001</v>
      </c>
      <c r="X27" s="349">
        <v>92.344444444444434</v>
      </c>
    </row>
    <row r="28" spans="1:24" x14ac:dyDescent="0.2">
      <c r="A28" s="347" t="s">
        <v>157</v>
      </c>
      <c r="B28" s="348">
        <v>98.399999999999991</v>
      </c>
      <c r="C28" s="348">
        <v>39.9</v>
      </c>
      <c r="D28" s="348">
        <v>78.90000000000002</v>
      </c>
      <c r="E28" s="348">
        <v>78.699999999999989</v>
      </c>
      <c r="F28" s="348">
        <v>41.29999999999999</v>
      </c>
      <c r="G28" s="348">
        <v>86.09999999999998</v>
      </c>
      <c r="H28" s="348">
        <v>57.599999999999994</v>
      </c>
      <c r="I28" s="348">
        <v>60.099999999999994</v>
      </c>
      <c r="J28" s="348">
        <v>127.49999999999999</v>
      </c>
      <c r="K28" s="348">
        <v>106.50000000000003</v>
      </c>
      <c r="L28" s="348">
        <v>106.19999999999997</v>
      </c>
      <c r="M28" s="348">
        <v>47.5</v>
      </c>
      <c r="N28" s="348">
        <v>115.4</v>
      </c>
      <c r="O28" s="348">
        <v>68.099999999999994</v>
      </c>
      <c r="P28" s="348">
        <v>65.099999999999994</v>
      </c>
      <c r="Q28" s="348">
        <v>78.900000000000006</v>
      </c>
      <c r="R28" s="348">
        <v>42.9</v>
      </c>
      <c r="S28" s="348">
        <v>150.80000000000001</v>
      </c>
      <c r="T28" s="348">
        <v>82.3</v>
      </c>
      <c r="U28" s="348">
        <v>97.6</v>
      </c>
      <c r="V28" s="349">
        <v>85.48</v>
      </c>
      <c r="W28" s="349">
        <v>81.489999999999981</v>
      </c>
      <c r="X28" s="349">
        <v>83.177777777777777</v>
      </c>
    </row>
    <row r="29" spans="1:24" x14ac:dyDescent="0.2">
      <c r="A29" s="347" t="s">
        <v>158</v>
      </c>
      <c r="B29" s="348">
        <v>10.7</v>
      </c>
      <c r="C29" s="348">
        <v>2.3000000000000003</v>
      </c>
      <c r="D29" s="348">
        <v>5.0999999999999996</v>
      </c>
      <c r="E29" s="348">
        <v>33.799999999999997</v>
      </c>
      <c r="F29" s="348">
        <v>4.4000000000000004</v>
      </c>
      <c r="G29" s="348">
        <v>12.2</v>
      </c>
      <c r="H29" s="348">
        <v>49.600000000000009</v>
      </c>
      <c r="I29" s="348">
        <v>13.7</v>
      </c>
      <c r="J29" s="348">
        <v>25.9</v>
      </c>
      <c r="K29" s="348">
        <v>51.4</v>
      </c>
      <c r="L29" s="348">
        <v>23.7</v>
      </c>
      <c r="M29" s="348">
        <v>11.1</v>
      </c>
      <c r="N29" s="348">
        <v>33.1</v>
      </c>
      <c r="O29" s="348">
        <v>5.3</v>
      </c>
      <c r="P29" s="348">
        <v>79.3</v>
      </c>
      <c r="Q29" s="348">
        <v>49.5</v>
      </c>
      <c r="R29" s="348">
        <v>82.1</v>
      </c>
      <c r="S29" s="348">
        <v>93</v>
      </c>
      <c r="T29" s="348">
        <v>32.9</v>
      </c>
      <c r="U29" s="348">
        <v>20.6</v>
      </c>
      <c r="V29" s="349">
        <v>43.06</v>
      </c>
      <c r="W29" s="349">
        <v>31.985000000000003</v>
      </c>
      <c r="X29" s="349">
        <v>45.211111111111109</v>
      </c>
    </row>
    <row r="30" spans="1:24" x14ac:dyDescent="0.2">
      <c r="A30" s="347" t="s">
        <v>159</v>
      </c>
      <c r="B30" s="348">
        <v>0</v>
      </c>
      <c r="C30" s="348">
        <v>0</v>
      </c>
      <c r="D30" s="348">
        <v>1.3</v>
      </c>
      <c r="E30" s="348">
        <v>0</v>
      </c>
      <c r="F30" s="348">
        <v>0</v>
      </c>
      <c r="G30" s="348">
        <v>0</v>
      </c>
      <c r="H30" s="348">
        <v>0</v>
      </c>
      <c r="I30" s="348">
        <v>0</v>
      </c>
      <c r="J30" s="348">
        <v>0</v>
      </c>
      <c r="K30" s="348">
        <v>4.0999999999999996</v>
      </c>
      <c r="L30" s="348">
        <v>0</v>
      </c>
      <c r="M30" s="348">
        <v>0</v>
      </c>
      <c r="N30" s="348">
        <v>6.4</v>
      </c>
      <c r="O30" s="348">
        <v>0</v>
      </c>
      <c r="P30" s="348">
        <v>25.7</v>
      </c>
      <c r="Q30" s="348">
        <v>25</v>
      </c>
      <c r="R30" s="348">
        <v>5</v>
      </c>
      <c r="S30" s="348">
        <v>26.2</v>
      </c>
      <c r="T30" s="348">
        <v>1.4</v>
      </c>
      <c r="U30" s="348">
        <v>0</v>
      </c>
      <c r="V30" s="349">
        <v>8.9700000000000006</v>
      </c>
      <c r="W30" s="349">
        <v>4.7550000000000008</v>
      </c>
      <c r="X30" s="349">
        <v>9.9666666666666668</v>
      </c>
    </row>
    <row r="31" spans="1:24" x14ac:dyDescent="0.2">
      <c r="A31" s="347" t="s">
        <v>160</v>
      </c>
      <c r="B31" s="348">
        <v>0</v>
      </c>
      <c r="C31" s="348">
        <v>0</v>
      </c>
      <c r="D31" s="348">
        <v>0</v>
      </c>
      <c r="E31" s="348">
        <v>0</v>
      </c>
      <c r="F31" s="348">
        <v>0</v>
      </c>
      <c r="G31" s="348">
        <v>0</v>
      </c>
      <c r="H31" s="348">
        <v>0</v>
      </c>
      <c r="I31" s="348">
        <v>0</v>
      </c>
      <c r="J31" s="348">
        <v>0</v>
      </c>
      <c r="K31" s="348">
        <v>0</v>
      </c>
      <c r="L31" s="348">
        <v>0</v>
      </c>
      <c r="M31" s="348">
        <v>0</v>
      </c>
      <c r="N31" s="348">
        <v>0</v>
      </c>
      <c r="O31" s="348">
        <v>0</v>
      </c>
      <c r="P31" s="348">
        <v>1.9</v>
      </c>
      <c r="Q31" s="348">
        <v>0</v>
      </c>
      <c r="R31" s="348">
        <v>0</v>
      </c>
      <c r="S31" s="348">
        <v>0</v>
      </c>
      <c r="T31" s="348">
        <v>0</v>
      </c>
      <c r="U31" s="348">
        <v>0</v>
      </c>
      <c r="V31" s="349">
        <v>0.19</v>
      </c>
      <c r="W31" s="349">
        <v>9.5000000000000001E-2</v>
      </c>
      <c r="X31" s="349">
        <v>0.21111111111111111</v>
      </c>
    </row>
    <row r="32" spans="1:24" x14ac:dyDescent="0.2">
      <c r="A32" s="347" t="s">
        <v>161</v>
      </c>
      <c r="B32" s="348">
        <v>0</v>
      </c>
      <c r="C32" s="348">
        <v>0</v>
      </c>
      <c r="D32" s="348">
        <v>0</v>
      </c>
      <c r="E32" s="348">
        <v>0</v>
      </c>
      <c r="F32" s="348">
        <v>0</v>
      </c>
      <c r="G32" s="348">
        <v>0</v>
      </c>
      <c r="H32" s="348">
        <v>0</v>
      </c>
      <c r="I32" s="348">
        <v>0</v>
      </c>
      <c r="J32" s="348">
        <v>0</v>
      </c>
      <c r="K32" s="348">
        <v>0</v>
      </c>
      <c r="L32" s="348">
        <v>0</v>
      </c>
      <c r="M32" s="348">
        <v>0</v>
      </c>
      <c r="N32" s="348">
        <v>0</v>
      </c>
      <c r="O32" s="348">
        <v>0</v>
      </c>
      <c r="P32" s="348">
        <v>0</v>
      </c>
      <c r="Q32" s="348">
        <v>0</v>
      </c>
      <c r="R32" s="348">
        <v>0</v>
      </c>
      <c r="S32" s="348">
        <v>0</v>
      </c>
      <c r="T32" s="348">
        <v>0</v>
      </c>
      <c r="U32" s="348">
        <v>0</v>
      </c>
      <c r="V32" s="349">
        <v>0</v>
      </c>
      <c r="W32" s="349">
        <v>0</v>
      </c>
      <c r="X32" s="349">
        <v>0</v>
      </c>
    </row>
    <row r="33" spans="1:1" x14ac:dyDescent="0.2">
      <c r="A33" s="347"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4"/>
  <sheetViews>
    <sheetView workbookViewId="0">
      <selection activeCell="I33" sqref="I33"/>
    </sheetView>
  </sheetViews>
  <sheetFormatPr defaultRowHeight="12.75" x14ac:dyDescent="0.2"/>
  <cols>
    <col min="1" max="1" width="11.5" style="340" customWidth="1"/>
    <col min="2" max="2" width="12.83203125" style="340" bestFit="1" customWidth="1"/>
    <col min="3" max="3" width="21.33203125" bestFit="1" customWidth="1"/>
  </cols>
  <sheetData>
    <row r="1" spans="1:9" x14ac:dyDescent="0.2">
      <c r="A1" s="351" t="s">
        <v>146</v>
      </c>
      <c r="B1" s="351"/>
      <c r="C1" s="352"/>
      <c r="D1" s="352"/>
    </row>
    <row r="3" spans="1:9" x14ac:dyDescent="0.2">
      <c r="A3" s="341"/>
      <c r="B3" s="341"/>
      <c r="C3" t="s">
        <v>137</v>
      </c>
    </row>
    <row r="4" spans="1:9" x14ac:dyDescent="0.2">
      <c r="A4" s="103"/>
      <c r="B4" s="103"/>
    </row>
    <row r="5" spans="1:9" x14ac:dyDescent="0.2">
      <c r="A5" s="103"/>
      <c r="B5" s="103"/>
      <c r="C5" t="s">
        <v>25</v>
      </c>
    </row>
    <row r="6" spans="1:9" x14ac:dyDescent="0.2">
      <c r="A6" s="103"/>
      <c r="B6" s="103"/>
      <c r="C6" t="s">
        <v>26</v>
      </c>
      <c r="D6">
        <v>0.92355781768922252</v>
      </c>
    </row>
    <row r="7" spans="1:9" x14ac:dyDescent="0.2">
      <c r="A7" s="103"/>
      <c r="B7" s="103"/>
      <c r="C7" t="s">
        <v>27</v>
      </c>
      <c r="D7">
        <v>0.85295904261487909</v>
      </c>
    </row>
    <row r="8" spans="1:9" x14ac:dyDescent="0.2">
      <c r="A8" s="103"/>
      <c r="B8" s="103"/>
      <c r="C8" t="s">
        <v>28</v>
      </c>
      <c r="D8">
        <v>0.84871747653646223</v>
      </c>
    </row>
    <row r="9" spans="1:9" x14ac:dyDescent="0.2">
      <c r="C9" t="s">
        <v>29</v>
      </c>
      <c r="D9">
        <v>749207.90795965446</v>
      </c>
    </row>
    <row r="10" spans="1:9" ht="13.5" thickBot="1" x14ac:dyDescent="0.25">
      <c r="C10" t="s">
        <v>30</v>
      </c>
      <c r="D10">
        <v>108</v>
      </c>
    </row>
    <row r="11" spans="1:9" x14ac:dyDescent="0.2">
      <c r="A11" s="342"/>
      <c r="B11" s="342"/>
      <c r="C11" s="1"/>
      <c r="D11" s="1"/>
      <c r="E11" s="1"/>
      <c r="F11" s="1"/>
    </row>
    <row r="12" spans="1:9" x14ac:dyDescent="0.2">
      <c r="A12" s="103"/>
      <c r="B12" s="103"/>
      <c r="C12" s="103" t="s">
        <v>31</v>
      </c>
      <c r="D12" s="103"/>
      <c r="E12" s="103"/>
      <c r="F12" s="103"/>
    </row>
    <row r="13" spans="1:9" x14ac:dyDescent="0.2">
      <c r="A13" s="103"/>
      <c r="B13" s="103"/>
      <c r="C13" s="103"/>
      <c r="D13" s="103" t="s">
        <v>36</v>
      </c>
      <c r="E13" s="103" t="s">
        <v>37</v>
      </c>
      <c r="F13" s="103" t="s">
        <v>38</v>
      </c>
      <c r="G13" t="s">
        <v>39</v>
      </c>
      <c r="H13" t="s">
        <v>40</v>
      </c>
    </row>
    <row r="14" spans="1:9" ht="13.5" thickBot="1" x14ac:dyDescent="0.25">
      <c r="A14" s="103"/>
      <c r="B14" s="103"/>
      <c r="C14" s="139" t="s">
        <v>32</v>
      </c>
      <c r="D14" s="139">
        <v>3</v>
      </c>
      <c r="E14" s="139">
        <v>338631926042157.75</v>
      </c>
      <c r="F14" s="139">
        <v>112877308680719.25</v>
      </c>
      <c r="G14">
        <v>201.09530933754132</v>
      </c>
      <c r="H14">
        <v>3.8594920843140499E-43</v>
      </c>
    </row>
    <row r="15" spans="1:9" ht="13.5" thickBot="1" x14ac:dyDescent="0.25">
      <c r="C15" t="s">
        <v>33</v>
      </c>
      <c r="D15">
        <v>104</v>
      </c>
      <c r="E15">
        <v>58376498892325.344</v>
      </c>
      <c r="F15">
        <v>561312489349.2821</v>
      </c>
    </row>
    <row r="16" spans="1:9" x14ac:dyDescent="0.2">
      <c r="A16" s="342"/>
      <c r="B16" s="342"/>
      <c r="C16" s="1" t="s">
        <v>34</v>
      </c>
      <c r="D16" s="1">
        <v>107</v>
      </c>
      <c r="E16" s="1">
        <v>397008424934483.12</v>
      </c>
      <c r="F16" s="1"/>
      <c r="G16" s="1"/>
      <c r="H16" s="1"/>
      <c r="I16" s="1"/>
    </row>
    <row r="17" spans="1:11" x14ac:dyDescent="0.2">
      <c r="A17" s="103"/>
      <c r="B17" s="103"/>
      <c r="C17" s="103"/>
      <c r="D17" s="103"/>
      <c r="E17" s="103"/>
      <c r="F17" s="103"/>
      <c r="G17" s="103"/>
      <c r="H17" s="103"/>
      <c r="I17" s="103"/>
    </row>
    <row r="18" spans="1:11" x14ac:dyDescent="0.2">
      <c r="A18" s="103"/>
      <c r="B18" s="103"/>
      <c r="C18" s="103"/>
      <c r="D18" s="103" t="s">
        <v>41</v>
      </c>
      <c r="E18" s="103" t="s">
        <v>29</v>
      </c>
      <c r="F18" s="103" t="s">
        <v>42</v>
      </c>
      <c r="G18" s="103" t="s">
        <v>43</v>
      </c>
      <c r="H18" s="103" t="s">
        <v>44</v>
      </c>
      <c r="I18" s="103" t="s">
        <v>45</v>
      </c>
      <c r="J18" t="s">
        <v>46</v>
      </c>
      <c r="K18" t="s">
        <v>47</v>
      </c>
    </row>
    <row r="19" spans="1:11" x14ac:dyDescent="0.2">
      <c r="A19" s="103"/>
      <c r="B19" s="103"/>
      <c r="C19" s="103" t="s">
        <v>35</v>
      </c>
      <c r="D19" s="103">
        <v>11607122.45544217</v>
      </c>
      <c r="E19" s="103">
        <v>246628.6841007375</v>
      </c>
      <c r="F19" s="103">
        <v>47.063148788894097</v>
      </c>
      <c r="G19" s="103">
        <v>6.2062649929499584E-72</v>
      </c>
      <c r="H19" s="103">
        <v>11118048.519763106</v>
      </c>
      <c r="I19" s="103">
        <v>12096196.391121233</v>
      </c>
      <c r="J19">
        <v>11118048.519763106</v>
      </c>
      <c r="K19">
        <v>12096196.391121233</v>
      </c>
    </row>
    <row r="20" spans="1:11" x14ac:dyDescent="0.2">
      <c r="A20" s="103"/>
      <c r="B20" s="103"/>
      <c r="C20" s="103" t="s">
        <v>2</v>
      </c>
      <c r="D20" s="103">
        <v>6148.7843895745737</v>
      </c>
      <c r="E20" s="103">
        <v>350.37512862269438</v>
      </c>
      <c r="F20" s="103">
        <v>17.549146292846501</v>
      </c>
      <c r="G20" s="103">
        <v>7.3581478126403887E-33</v>
      </c>
      <c r="H20" s="103">
        <v>5453.9773611692071</v>
      </c>
      <c r="I20" s="103">
        <v>6843.5914179799402</v>
      </c>
      <c r="J20">
        <v>5453.9773611692071</v>
      </c>
      <c r="K20">
        <v>6843.5914179799402</v>
      </c>
    </row>
    <row r="21" spans="1:11" x14ac:dyDescent="0.2">
      <c r="A21" s="343"/>
      <c r="B21" s="103"/>
      <c r="C21" s="103" t="s">
        <v>3</v>
      </c>
      <c r="D21" s="103">
        <v>8055.1195535583374</v>
      </c>
      <c r="E21" s="103">
        <v>2891.3795204366575</v>
      </c>
      <c r="F21" s="103">
        <v>2.7859087666021267</v>
      </c>
      <c r="G21" s="103">
        <v>6.3448903575102711E-3</v>
      </c>
      <c r="H21" s="103">
        <v>2321.405461225917</v>
      </c>
      <c r="I21" s="103">
        <v>13788.833645890758</v>
      </c>
      <c r="J21">
        <v>2321.405461225917</v>
      </c>
      <c r="K21">
        <v>13788.833645890758</v>
      </c>
    </row>
    <row r="22" spans="1:11" x14ac:dyDescent="0.2">
      <c r="C22" t="s">
        <v>24</v>
      </c>
      <c r="D22">
        <v>-708790.69888209028</v>
      </c>
      <c r="E22">
        <v>171606.73528575941</v>
      </c>
      <c r="F22">
        <v>-4.1303198135073922</v>
      </c>
      <c r="G22">
        <v>7.336876588584363E-5</v>
      </c>
      <c r="H22">
        <v>-1049093.2947511107</v>
      </c>
      <c r="I22">
        <v>-368488.10301306983</v>
      </c>
      <c r="J22">
        <v>-1049093.2947511107</v>
      </c>
      <c r="K22">
        <v>-368488.10301306983</v>
      </c>
    </row>
    <row r="24" spans="1:11" x14ac:dyDescent="0.2">
      <c r="A24" s="351" t="s">
        <v>147</v>
      </c>
      <c r="B24" s="351"/>
      <c r="C24" s="352"/>
      <c r="D24" s="352"/>
      <c r="E24" s="352"/>
      <c r="F24" s="352"/>
    </row>
    <row r="26" spans="1:11" x14ac:dyDescent="0.2">
      <c r="C26" t="s">
        <v>137</v>
      </c>
    </row>
    <row r="28" spans="1:11" x14ac:dyDescent="0.2">
      <c r="C28" t="s">
        <v>25</v>
      </c>
    </row>
    <row r="29" spans="1:11" x14ac:dyDescent="0.2">
      <c r="C29" t="s">
        <v>26</v>
      </c>
      <c r="D29">
        <v>0.91040612809050392</v>
      </c>
    </row>
    <row r="30" spans="1:11" x14ac:dyDescent="0.2">
      <c r="C30" t="s">
        <v>27</v>
      </c>
      <c r="D30">
        <v>0.82883931806474298</v>
      </c>
    </row>
    <row r="31" spans="1:11" x14ac:dyDescent="0.2">
      <c r="C31" t="s">
        <v>28</v>
      </c>
      <c r="D31">
        <v>0.82557911459930955</v>
      </c>
    </row>
    <row r="32" spans="1:11" x14ac:dyDescent="0.2">
      <c r="C32" t="s">
        <v>29</v>
      </c>
      <c r="D32">
        <v>804465.11508507445</v>
      </c>
    </row>
    <row r="33" spans="3:11" x14ac:dyDescent="0.2">
      <c r="C33" t="s">
        <v>30</v>
      </c>
      <c r="D33">
        <v>108</v>
      </c>
    </row>
    <row r="35" spans="3:11" x14ac:dyDescent="0.2">
      <c r="C35" t="s">
        <v>31</v>
      </c>
    </row>
    <row r="36" spans="3:11" x14ac:dyDescent="0.2">
      <c r="D36" t="s">
        <v>36</v>
      </c>
      <c r="E36" t="s">
        <v>37</v>
      </c>
      <c r="F36" t="s">
        <v>38</v>
      </c>
      <c r="G36" t="s">
        <v>39</v>
      </c>
      <c r="H36" t="s">
        <v>40</v>
      </c>
    </row>
    <row r="37" spans="3:11" x14ac:dyDescent="0.2">
      <c r="C37" t="s">
        <v>32</v>
      </c>
      <c r="D37">
        <v>2</v>
      </c>
      <c r="E37">
        <v>329056192188654.62</v>
      </c>
      <c r="F37">
        <v>164528096094327.31</v>
      </c>
      <c r="G37">
        <v>254.22932244952477</v>
      </c>
      <c r="H37">
        <v>5.6716631114815959E-41</v>
      </c>
    </row>
    <row r="38" spans="3:11" x14ac:dyDescent="0.2">
      <c r="C38" t="s">
        <v>33</v>
      </c>
      <c r="D38">
        <v>105</v>
      </c>
      <c r="E38">
        <v>67952232745828.414</v>
      </c>
      <c r="F38">
        <v>647164121388.84204</v>
      </c>
    </row>
    <row r="39" spans="3:11" x14ac:dyDescent="0.2">
      <c r="C39" t="s">
        <v>34</v>
      </c>
      <c r="D39">
        <v>107</v>
      </c>
      <c r="E39">
        <v>397008424934483.06</v>
      </c>
    </row>
    <row r="41" spans="3:11" x14ac:dyDescent="0.2">
      <c r="D41" t="s">
        <v>41</v>
      </c>
      <c r="E41" t="s">
        <v>29</v>
      </c>
      <c r="F41" t="s">
        <v>42</v>
      </c>
      <c r="G41" t="s">
        <v>43</v>
      </c>
      <c r="H41" t="s">
        <v>44</v>
      </c>
      <c r="I41" t="s">
        <v>45</v>
      </c>
      <c r="J41" t="s">
        <v>46</v>
      </c>
      <c r="K41" t="s">
        <v>47</v>
      </c>
    </row>
    <row r="42" spans="3:11" x14ac:dyDescent="0.2">
      <c r="C42" t="s">
        <v>35</v>
      </c>
      <c r="D42">
        <v>10870162.344857663</v>
      </c>
      <c r="E42">
        <v>182820.80895586571</v>
      </c>
      <c r="F42">
        <v>59.458014691761925</v>
      </c>
      <c r="G42">
        <v>1.1208863585761433E-82</v>
      </c>
      <c r="H42">
        <v>10507662.452492407</v>
      </c>
      <c r="I42">
        <v>11232662.237222919</v>
      </c>
      <c r="J42">
        <v>10507662.452492407</v>
      </c>
      <c r="K42">
        <v>11232662.237222919</v>
      </c>
    </row>
    <row r="43" spans="3:11" x14ac:dyDescent="0.2">
      <c r="C43" t="s">
        <v>2</v>
      </c>
      <c r="D43">
        <v>6804.8769838496019</v>
      </c>
      <c r="E43">
        <v>335.33134373110477</v>
      </c>
      <c r="F43">
        <v>20.292994111836713</v>
      </c>
      <c r="G43">
        <v>3.9935499660243803E-38</v>
      </c>
      <c r="H43">
        <v>6139.9768737173508</v>
      </c>
      <c r="I43">
        <v>7469.7770939818529</v>
      </c>
      <c r="J43">
        <v>6139.9768737173508</v>
      </c>
      <c r="K43">
        <v>7469.7770939818529</v>
      </c>
    </row>
    <row r="44" spans="3:11" x14ac:dyDescent="0.2">
      <c r="C44" t="s">
        <v>3</v>
      </c>
      <c r="D44">
        <v>14429.264296693867</v>
      </c>
      <c r="E44">
        <v>2625.4186485511063</v>
      </c>
      <c r="F44">
        <v>5.4959860609876321</v>
      </c>
      <c r="G44">
        <v>2.7403480608171474E-7</v>
      </c>
      <c r="H44">
        <v>9223.5441002403859</v>
      </c>
      <c r="I44">
        <v>19634.984493147349</v>
      </c>
      <c r="J44">
        <v>9223.5441002403859</v>
      </c>
      <c r="K44">
        <v>19634.984493147349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V137"/>
  <sheetViews>
    <sheetView topLeftCell="C25" zoomScaleNormal="100" workbookViewId="0">
      <selection activeCell="K5" sqref="K5"/>
    </sheetView>
  </sheetViews>
  <sheetFormatPr defaultRowHeight="12.75" x14ac:dyDescent="0.2"/>
  <cols>
    <col min="1" max="1" width="16.83203125" style="23" customWidth="1"/>
    <col min="2" max="2" width="19" style="325" bestFit="1" customWidth="1"/>
    <col min="3" max="3" width="9.83203125" style="325" bestFit="1" customWidth="1"/>
    <col min="4" max="4" width="8.5" style="325" bestFit="1" customWidth="1"/>
    <col min="5" max="5" width="14" style="325" bestFit="1" customWidth="1"/>
    <col min="6" max="6" width="17" style="325" customWidth="1"/>
    <col min="7" max="7" width="4.1640625" style="326" customWidth="1"/>
    <col min="8" max="8" width="16.6640625" style="325" customWidth="1"/>
    <col min="9" max="9" width="14.6640625" style="325" customWidth="1"/>
    <col min="10" max="10" width="4.1640625" style="3" customWidth="1"/>
    <col min="11" max="11" width="14" style="23" customWidth="1"/>
    <col min="12" max="12" width="12.6640625" style="3" bestFit="1" customWidth="1"/>
    <col min="13" max="13" width="5.6640625" style="3" customWidth="1"/>
    <col min="14" max="14" width="31" style="3" customWidth="1"/>
    <col min="15" max="15" width="17" style="3" customWidth="1"/>
    <col min="16" max="16" width="16" style="3" bestFit="1" customWidth="1"/>
    <col min="17" max="17" width="17" style="3" customWidth="1"/>
    <col min="18" max="18" width="14.6640625" style="3" bestFit="1" customWidth="1"/>
    <col min="19" max="19" width="14.33203125" style="3" bestFit="1" customWidth="1"/>
    <col min="20" max="20" width="15.6640625" style="3" bestFit="1" customWidth="1"/>
    <col min="21" max="16384" width="9.33203125" style="3"/>
  </cols>
  <sheetData>
    <row r="2" spans="1:22" ht="15.75" x14ac:dyDescent="0.2">
      <c r="B2" s="324" t="s">
        <v>133</v>
      </c>
    </row>
    <row r="3" spans="1:22" x14ac:dyDescent="0.2">
      <c r="H3" s="447" t="s">
        <v>84</v>
      </c>
      <c r="I3" s="448"/>
    </row>
    <row r="4" spans="1:22" ht="51" x14ac:dyDescent="0.2">
      <c r="A4" s="4"/>
      <c r="B4" s="327" t="s">
        <v>0</v>
      </c>
      <c r="C4" s="327" t="s">
        <v>2</v>
      </c>
      <c r="D4" s="327" t="s">
        <v>3</v>
      </c>
      <c r="E4" s="327" t="s">
        <v>24</v>
      </c>
      <c r="F4" s="327" t="s">
        <v>197</v>
      </c>
      <c r="G4" s="329"/>
      <c r="H4" s="328" t="s">
        <v>48</v>
      </c>
      <c r="I4" s="328" t="s">
        <v>4</v>
      </c>
      <c r="J4" s="57"/>
      <c r="K4" s="29" t="s">
        <v>50</v>
      </c>
      <c r="L4" s="29" t="s">
        <v>51</v>
      </c>
    </row>
    <row r="5" spans="1:22" ht="15.75" x14ac:dyDescent="0.25">
      <c r="A5" s="22">
        <v>37987</v>
      </c>
      <c r="B5" s="25">
        <v>18637678</v>
      </c>
      <c r="C5" s="25">
        <v>1045.3</v>
      </c>
      <c r="D5" s="25">
        <v>0</v>
      </c>
      <c r="E5" s="25">
        <v>0</v>
      </c>
      <c r="F5" s="25">
        <v>4580</v>
      </c>
      <c r="H5" s="25">
        <v>149.5</v>
      </c>
      <c r="I5" s="25">
        <v>31</v>
      </c>
      <c r="K5" s="27">
        <f>$O$21+(C5*$O$22)+(D5*$O$23)+(E5*$O$24)+(F5*$O$25)</f>
        <v>18195499.174416412</v>
      </c>
      <c r="L5" s="24"/>
      <c r="N5" s="59" t="s">
        <v>141</v>
      </c>
      <c r="O5" s="5"/>
      <c r="P5" s="5"/>
      <c r="Q5" s="5"/>
      <c r="R5" s="5"/>
    </row>
    <row r="6" spans="1:22" ht="13.5" thickBot="1" x14ac:dyDescent="0.25">
      <c r="A6" s="22">
        <v>38018</v>
      </c>
      <c r="B6" s="25">
        <v>15824597</v>
      </c>
      <c r="C6" s="25">
        <v>750</v>
      </c>
      <c r="D6" s="25">
        <v>0</v>
      </c>
      <c r="E6" s="25">
        <v>0</v>
      </c>
      <c r="F6" s="25">
        <v>4580</v>
      </c>
      <c r="H6" s="25">
        <v>149.80000000000001</v>
      </c>
      <c r="I6" s="25">
        <v>29</v>
      </c>
      <c r="K6" s="27">
        <f t="shared" ref="K6:K69" si="0">$O$21+(C6*$O$22)+(D6*$O$23)+(E6*$O$24)+(F6*$O$25)</f>
        <v>16380075.809978589</v>
      </c>
      <c r="L6" s="24"/>
    </row>
    <row r="7" spans="1:22" x14ac:dyDescent="0.2">
      <c r="A7" s="22">
        <v>38047</v>
      </c>
      <c r="B7" s="25">
        <v>15151388</v>
      </c>
      <c r="C7" s="25">
        <v>559.20000000000005</v>
      </c>
      <c r="D7" s="25">
        <v>0</v>
      </c>
      <c r="E7" s="25">
        <v>1</v>
      </c>
      <c r="F7" s="25">
        <v>4580</v>
      </c>
      <c r="H7" s="25">
        <v>148.19999999999999</v>
      </c>
      <c r="I7" s="25">
        <v>31</v>
      </c>
      <c r="K7" s="27">
        <f t="shared" si="0"/>
        <v>14502932.983974341</v>
      </c>
      <c r="L7" s="24"/>
      <c r="N7" s="2" t="s">
        <v>25</v>
      </c>
      <c r="O7" s="2"/>
      <c r="P7"/>
      <c r="Q7"/>
      <c r="R7"/>
      <c r="S7"/>
      <c r="T7"/>
      <c r="U7"/>
      <c r="V7"/>
    </row>
    <row r="8" spans="1:22" x14ac:dyDescent="0.2">
      <c r="A8" s="22">
        <v>38078</v>
      </c>
      <c r="B8" s="25">
        <v>13105910</v>
      </c>
      <c r="C8" s="25">
        <v>377.8</v>
      </c>
      <c r="D8" s="25">
        <v>1.9</v>
      </c>
      <c r="E8" s="25">
        <v>1</v>
      </c>
      <c r="F8" s="25">
        <v>4580</v>
      </c>
      <c r="H8" s="25">
        <v>148.4</v>
      </c>
      <c r="I8" s="25">
        <v>30</v>
      </c>
      <c r="K8" s="27">
        <f t="shared" si="0"/>
        <v>13403388.515509512</v>
      </c>
      <c r="L8" s="24"/>
      <c r="N8" s="103" t="s">
        <v>26</v>
      </c>
      <c r="O8" s="103">
        <v>0.92528955050784256</v>
      </c>
      <c r="P8"/>
      <c r="Q8"/>
      <c r="R8"/>
      <c r="S8"/>
      <c r="T8"/>
      <c r="U8"/>
      <c r="V8"/>
    </row>
    <row r="9" spans="1:22" x14ac:dyDescent="0.2">
      <c r="A9" s="22">
        <v>38108</v>
      </c>
      <c r="B9" s="25">
        <v>12030458</v>
      </c>
      <c r="C9" s="25">
        <v>166.2</v>
      </c>
      <c r="D9" s="25">
        <v>4</v>
      </c>
      <c r="E9" s="25">
        <v>1</v>
      </c>
      <c r="F9" s="25">
        <v>4580</v>
      </c>
      <c r="H9" s="25">
        <v>154.1</v>
      </c>
      <c r="I9" s="25">
        <v>31</v>
      </c>
      <c r="K9" s="27">
        <f t="shared" si="0"/>
        <v>12119830.413635004</v>
      </c>
      <c r="L9" s="24"/>
      <c r="N9" s="103" t="s">
        <v>27</v>
      </c>
      <c r="O9" s="103">
        <v>0.85616075227900523</v>
      </c>
      <c r="P9"/>
      <c r="Q9"/>
      <c r="R9"/>
      <c r="S9"/>
      <c r="T9"/>
      <c r="U9"/>
      <c r="V9"/>
    </row>
    <row r="10" spans="1:22" x14ac:dyDescent="0.2">
      <c r="A10" s="22">
        <v>38139</v>
      </c>
      <c r="B10" s="25">
        <v>12072109</v>
      </c>
      <c r="C10" s="25">
        <v>54</v>
      </c>
      <c r="D10" s="25">
        <v>27.1</v>
      </c>
      <c r="E10" s="25">
        <v>0</v>
      </c>
      <c r="F10" s="25">
        <v>4580</v>
      </c>
      <c r="H10" s="25">
        <v>160</v>
      </c>
      <c r="I10" s="25">
        <v>30</v>
      </c>
      <c r="K10" s="27">
        <f t="shared" si="0"/>
        <v>12324519.332838882</v>
      </c>
      <c r="L10" s="24"/>
      <c r="N10" s="103" t="s">
        <v>28</v>
      </c>
      <c r="O10" s="103">
        <v>0.85057476207624816</v>
      </c>
      <c r="P10"/>
      <c r="Q10"/>
      <c r="R10"/>
      <c r="S10"/>
      <c r="T10"/>
      <c r="U10"/>
      <c r="V10"/>
    </row>
    <row r="11" spans="1:22" x14ac:dyDescent="0.2">
      <c r="A11" s="22">
        <v>38169</v>
      </c>
      <c r="B11" s="25">
        <v>12162321</v>
      </c>
      <c r="C11" s="25">
        <v>1.8</v>
      </c>
      <c r="D11" s="25">
        <v>86.5</v>
      </c>
      <c r="E11" s="25">
        <v>0</v>
      </c>
      <c r="F11" s="25">
        <v>4580</v>
      </c>
      <c r="H11" s="25">
        <v>166.8</v>
      </c>
      <c r="I11" s="25">
        <v>31</v>
      </c>
      <c r="K11" s="27">
        <f t="shared" si="0"/>
        <v>12492968.772184651</v>
      </c>
      <c r="L11" s="24"/>
      <c r="N11" s="103" t="s">
        <v>29</v>
      </c>
      <c r="O11" s="103">
        <v>744594.71729526122</v>
      </c>
      <c r="P11"/>
      <c r="Q11"/>
      <c r="R11"/>
      <c r="S11"/>
      <c r="T11"/>
      <c r="U11"/>
      <c r="V11"/>
    </row>
    <row r="12" spans="1:22" ht="13.5" thickBot="1" x14ac:dyDescent="0.25">
      <c r="A12" s="22">
        <v>38200</v>
      </c>
      <c r="B12" s="25">
        <v>12534002</v>
      </c>
      <c r="C12" s="25">
        <v>29.8</v>
      </c>
      <c r="D12" s="25">
        <v>47.5</v>
      </c>
      <c r="E12" s="25">
        <v>0</v>
      </c>
      <c r="F12" s="25">
        <v>4580</v>
      </c>
      <c r="H12" s="25">
        <v>168.8</v>
      </c>
      <c r="I12" s="25">
        <v>31</v>
      </c>
      <c r="K12" s="27">
        <f t="shared" si="0"/>
        <v>12343807.649517469</v>
      </c>
      <c r="L12" s="24"/>
      <c r="N12" s="139" t="s">
        <v>30</v>
      </c>
      <c r="O12" s="139">
        <v>108</v>
      </c>
      <c r="P12"/>
      <c r="Q12"/>
      <c r="R12"/>
      <c r="S12"/>
      <c r="T12"/>
      <c r="U12"/>
      <c r="V12"/>
    </row>
    <row r="13" spans="1:22" x14ac:dyDescent="0.2">
      <c r="A13" s="22">
        <v>38231</v>
      </c>
      <c r="B13" s="25">
        <v>11886209</v>
      </c>
      <c r="C13" s="25">
        <v>66.8</v>
      </c>
      <c r="D13" s="25">
        <v>11.1</v>
      </c>
      <c r="E13" s="25">
        <v>1</v>
      </c>
      <c r="F13" s="25">
        <v>4580</v>
      </c>
      <c r="H13" s="25">
        <v>170.1</v>
      </c>
      <c r="I13" s="25">
        <v>30</v>
      </c>
      <c r="K13" s="27">
        <f t="shared" si="0"/>
        <v>11567239.101443861</v>
      </c>
      <c r="L13" s="24"/>
      <c r="N13"/>
      <c r="O13"/>
      <c r="P13"/>
      <c r="Q13"/>
      <c r="R13"/>
      <c r="S13"/>
      <c r="T13"/>
      <c r="U13"/>
      <c r="V13"/>
    </row>
    <row r="14" spans="1:22" ht="13.5" thickBot="1" x14ac:dyDescent="0.25">
      <c r="A14" s="22">
        <v>38261</v>
      </c>
      <c r="B14" s="25">
        <v>12630027</v>
      </c>
      <c r="C14" s="25">
        <v>287</v>
      </c>
      <c r="D14" s="25">
        <v>0</v>
      </c>
      <c r="E14" s="25">
        <v>1</v>
      </c>
      <c r="F14" s="25">
        <v>4580</v>
      </c>
      <c r="H14" s="25">
        <v>171.8</v>
      </c>
      <c r="I14" s="25">
        <v>31</v>
      </c>
      <c r="K14" s="27">
        <f t="shared" si="0"/>
        <v>12829522.080486443</v>
      </c>
      <c r="L14" s="24"/>
      <c r="N14" t="s">
        <v>31</v>
      </c>
      <c r="O14"/>
      <c r="P14"/>
      <c r="Q14"/>
      <c r="R14"/>
      <c r="S14"/>
      <c r="T14"/>
      <c r="U14"/>
      <c r="V14"/>
    </row>
    <row r="15" spans="1:22" x14ac:dyDescent="0.2">
      <c r="A15" s="22">
        <v>38292</v>
      </c>
      <c r="B15" s="25">
        <v>14372743</v>
      </c>
      <c r="C15" s="25">
        <v>484.3</v>
      </c>
      <c r="D15" s="25">
        <v>0</v>
      </c>
      <c r="E15" s="25">
        <v>1</v>
      </c>
      <c r="F15" s="25">
        <v>4580</v>
      </c>
      <c r="H15" s="25">
        <v>170</v>
      </c>
      <c r="I15" s="25">
        <v>30</v>
      </c>
      <c r="K15" s="27">
        <f t="shared" si="0"/>
        <v>14042468.337863967</v>
      </c>
      <c r="L15" s="24"/>
      <c r="N15" s="1"/>
      <c r="O15" s="1" t="s">
        <v>36</v>
      </c>
      <c r="P15" s="1" t="s">
        <v>37</v>
      </c>
      <c r="Q15" s="1" t="s">
        <v>38</v>
      </c>
      <c r="R15" s="1" t="s">
        <v>39</v>
      </c>
      <c r="S15" s="1" t="s">
        <v>40</v>
      </c>
      <c r="T15"/>
      <c r="U15"/>
      <c r="V15"/>
    </row>
    <row r="16" spans="1:22" x14ac:dyDescent="0.2">
      <c r="A16" s="22">
        <v>38322</v>
      </c>
      <c r="B16" s="25">
        <v>16443722</v>
      </c>
      <c r="C16" s="25">
        <v>814.9</v>
      </c>
      <c r="D16" s="25">
        <v>0</v>
      </c>
      <c r="E16" s="25">
        <v>0</v>
      </c>
      <c r="F16" s="25">
        <v>4580</v>
      </c>
      <c r="H16" s="25">
        <v>167.6</v>
      </c>
      <c r="I16" s="25">
        <v>31</v>
      </c>
      <c r="K16" s="27">
        <f t="shared" si="0"/>
        <v>16779063.20026648</v>
      </c>
      <c r="L16" s="28">
        <f>SUM(K5:K16)</f>
        <v>166981315.37211561</v>
      </c>
      <c r="N16" s="103" t="s">
        <v>32</v>
      </c>
      <c r="O16" s="103">
        <v>4</v>
      </c>
      <c r="P16" s="103">
        <v>339903031753010</v>
      </c>
      <c r="Q16" s="103">
        <v>84975757938252.5</v>
      </c>
      <c r="R16" s="103">
        <v>153.26928999202869</v>
      </c>
      <c r="S16" s="103">
        <v>1.9265861741447404E-42</v>
      </c>
      <c r="T16"/>
      <c r="U16"/>
      <c r="V16"/>
    </row>
    <row r="17" spans="1:22" x14ac:dyDescent="0.2">
      <c r="A17" s="22">
        <v>38353</v>
      </c>
      <c r="B17" s="25">
        <v>17870916</v>
      </c>
      <c r="C17" s="25">
        <v>920.7</v>
      </c>
      <c r="D17" s="25">
        <v>0</v>
      </c>
      <c r="E17" s="25">
        <v>0</v>
      </c>
      <c r="F17" s="25">
        <v>4611</v>
      </c>
      <c r="H17" s="25">
        <v>160.19999999999999</v>
      </c>
      <c r="I17" s="25">
        <v>31</v>
      </c>
      <c r="K17" s="27">
        <f t="shared" si="0"/>
        <v>17394719.670396224</v>
      </c>
      <c r="L17" s="24"/>
      <c r="N17" s="103" t="s">
        <v>33</v>
      </c>
      <c r="O17" s="103">
        <v>103</v>
      </c>
      <c r="P17" s="103">
        <v>57105393181473.031</v>
      </c>
      <c r="Q17" s="103">
        <v>554421293024.01001</v>
      </c>
      <c r="R17" s="103"/>
      <c r="S17" s="103"/>
      <c r="T17"/>
      <c r="U17"/>
      <c r="V17"/>
    </row>
    <row r="18" spans="1:22" ht="13.5" thickBot="1" x14ac:dyDescent="0.25">
      <c r="A18" s="22">
        <v>38384</v>
      </c>
      <c r="B18" s="25">
        <v>15185261</v>
      </c>
      <c r="C18" s="25">
        <v>700.6</v>
      </c>
      <c r="D18" s="25">
        <v>0</v>
      </c>
      <c r="E18" s="25">
        <v>0</v>
      </c>
      <c r="F18" s="25">
        <v>4611</v>
      </c>
      <c r="H18" s="25">
        <v>157</v>
      </c>
      <c r="I18" s="25">
        <v>28</v>
      </c>
      <c r="K18" s="27">
        <f t="shared" si="0"/>
        <v>16041605.269743446</v>
      </c>
      <c r="L18" s="24"/>
      <c r="N18" s="139" t="s">
        <v>34</v>
      </c>
      <c r="O18" s="139">
        <v>107</v>
      </c>
      <c r="P18" s="139">
        <v>397008424934483</v>
      </c>
      <c r="Q18" s="139"/>
      <c r="R18" s="139"/>
      <c r="S18" s="139"/>
      <c r="T18"/>
      <c r="U18"/>
      <c r="V18"/>
    </row>
    <row r="19" spans="1:22" ht="13.5" thickBot="1" x14ac:dyDescent="0.25">
      <c r="A19" s="22">
        <v>38412</v>
      </c>
      <c r="B19" s="25">
        <v>15401451</v>
      </c>
      <c r="C19" s="25">
        <v>668.8</v>
      </c>
      <c r="D19" s="25">
        <v>0</v>
      </c>
      <c r="E19" s="25">
        <v>1</v>
      </c>
      <c r="F19" s="25">
        <v>4611</v>
      </c>
      <c r="H19" s="25">
        <v>154</v>
      </c>
      <c r="I19" s="25">
        <v>31</v>
      </c>
      <c r="K19" s="27">
        <f t="shared" si="0"/>
        <v>15141950.811316624</v>
      </c>
      <c r="L19" s="24"/>
      <c r="N19"/>
      <c r="O19"/>
      <c r="P19"/>
      <c r="Q19"/>
      <c r="R19"/>
      <c r="S19"/>
      <c r="T19"/>
      <c r="U19"/>
      <c r="V19"/>
    </row>
    <row r="20" spans="1:22" x14ac:dyDescent="0.2">
      <c r="A20" s="22">
        <v>38443</v>
      </c>
      <c r="B20" s="25">
        <v>12546018</v>
      </c>
      <c r="C20" s="25">
        <v>324.8</v>
      </c>
      <c r="D20" s="25">
        <v>0</v>
      </c>
      <c r="E20" s="25">
        <v>1</v>
      </c>
      <c r="F20" s="25">
        <v>4611</v>
      </c>
      <c r="H20" s="25">
        <v>154.9</v>
      </c>
      <c r="I20" s="25">
        <v>30</v>
      </c>
      <c r="K20" s="27">
        <f t="shared" si="0"/>
        <v>13027133.211023323</v>
      </c>
      <c r="L20" s="24"/>
      <c r="N20" s="1"/>
      <c r="O20" s="1" t="s">
        <v>41</v>
      </c>
      <c r="P20" s="1" t="s">
        <v>29</v>
      </c>
      <c r="Q20" s="1" t="s">
        <v>42</v>
      </c>
      <c r="R20" s="1" t="s">
        <v>43</v>
      </c>
      <c r="S20" s="1" t="s">
        <v>44</v>
      </c>
      <c r="T20" s="1" t="s">
        <v>45</v>
      </c>
      <c r="U20" s="1" t="s">
        <v>46</v>
      </c>
      <c r="V20" s="1" t="s">
        <v>47</v>
      </c>
    </row>
    <row r="21" spans="1:22" x14ac:dyDescent="0.2">
      <c r="A21" s="22">
        <v>38473</v>
      </c>
      <c r="B21" s="25">
        <v>8016770</v>
      </c>
      <c r="C21" s="25">
        <v>205</v>
      </c>
      <c r="D21" s="25">
        <v>1.9</v>
      </c>
      <c r="E21" s="25">
        <v>1</v>
      </c>
      <c r="F21" s="25">
        <v>4611</v>
      </c>
      <c r="H21" s="25">
        <v>158.1</v>
      </c>
      <c r="I21" s="25">
        <v>31</v>
      </c>
      <c r="K21" s="27">
        <f t="shared" si="0"/>
        <v>12306288.63842497</v>
      </c>
      <c r="L21" s="24"/>
      <c r="N21" s="103" t="s">
        <v>35</v>
      </c>
      <c r="O21" s="103">
        <v>16906696.650459744</v>
      </c>
      <c r="P21" s="103">
        <v>3508588.6757652024</v>
      </c>
      <c r="Q21" s="103">
        <v>4.8186602115086901</v>
      </c>
      <c r="R21" s="103">
        <v>4.9941266908133983E-6</v>
      </c>
      <c r="S21" s="103">
        <v>9948238.5310564227</v>
      </c>
      <c r="T21" s="103">
        <v>23865154.769863065</v>
      </c>
      <c r="U21" s="103">
        <v>9948238.5310564227</v>
      </c>
      <c r="V21" s="103">
        <v>23865154.769863065</v>
      </c>
    </row>
    <row r="22" spans="1:22" x14ac:dyDescent="0.2">
      <c r="A22" s="22">
        <v>38504</v>
      </c>
      <c r="B22" s="25">
        <v>12955942</v>
      </c>
      <c r="C22" s="25">
        <v>16.100000000000001</v>
      </c>
      <c r="D22" s="25">
        <v>111.6</v>
      </c>
      <c r="E22" s="25">
        <v>0</v>
      </c>
      <c r="F22" s="25">
        <v>4611</v>
      </c>
      <c r="H22" s="25">
        <v>164.2</v>
      </c>
      <c r="I22" s="25">
        <v>30</v>
      </c>
      <c r="K22" s="27">
        <f t="shared" si="0"/>
        <v>12752892.087901533</v>
      </c>
      <c r="L22" s="24"/>
      <c r="N22" s="103" t="s">
        <v>2</v>
      </c>
      <c r="O22" s="103">
        <v>6147.7255822479701</v>
      </c>
      <c r="P22" s="103">
        <v>348.21842255749215</v>
      </c>
      <c r="Q22" s="103">
        <v>17.654797058397904</v>
      </c>
      <c r="R22" s="103">
        <v>6.3586401696552485E-33</v>
      </c>
      <c r="S22" s="103">
        <v>5457.116470240122</v>
      </c>
      <c r="T22" s="103">
        <v>6838.3346942558182</v>
      </c>
      <c r="U22" s="103">
        <v>5457.116470240122</v>
      </c>
      <c r="V22" s="103">
        <v>6838.3346942558182</v>
      </c>
    </row>
    <row r="23" spans="1:22" x14ac:dyDescent="0.2">
      <c r="A23" s="22">
        <v>38534</v>
      </c>
      <c r="B23" s="25">
        <v>12262516</v>
      </c>
      <c r="C23" s="25">
        <v>2.9</v>
      </c>
      <c r="D23" s="25">
        <v>128.6</v>
      </c>
      <c r="E23" s="25">
        <v>0</v>
      </c>
      <c r="F23" s="25">
        <v>4611</v>
      </c>
      <c r="H23" s="25">
        <v>170.7</v>
      </c>
      <c r="I23" s="25">
        <v>31</v>
      </c>
      <c r="K23" s="27">
        <f t="shared" si="0"/>
        <v>12811794.84002335</v>
      </c>
      <c r="L23" s="24"/>
      <c r="N23" s="103" t="s">
        <v>3</v>
      </c>
      <c r="O23" s="103">
        <v>8238.3958710288771</v>
      </c>
      <c r="P23" s="103">
        <v>2876.124225436326</v>
      </c>
      <c r="Q23" s="103">
        <v>2.8644089146667722</v>
      </c>
      <c r="R23" s="103">
        <v>5.0639980236749163E-3</v>
      </c>
      <c r="S23" s="103">
        <v>2534.2818188066703</v>
      </c>
      <c r="T23" s="103">
        <v>13942.509923251084</v>
      </c>
      <c r="U23" s="103">
        <v>2534.2818188066703</v>
      </c>
      <c r="V23" s="103">
        <v>13942.509923251084</v>
      </c>
    </row>
    <row r="24" spans="1:22" x14ac:dyDescent="0.2">
      <c r="A24" s="22">
        <v>38565</v>
      </c>
      <c r="B24" s="25">
        <v>12339980</v>
      </c>
      <c r="C24" s="25">
        <v>8.4</v>
      </c>
      <c r="D24" s="25">
        <v>115.4</v>
      </c>
      <c r="E24" s="25">
        <v>0</v>
      </c>
      <c r="F24" s="25">
        <v>4611</v>
      </c>
      <c r="H24" s="25">
        <v>174.3</v>
      </c>
      <c r="I24" s="25">
        <v>31</v>
      </c>
      <c r="K24" s="27">
        <f t="shared" si="0"/>
        <v>12736860.505228132</v>
      </c>
      <c r="L24" s="24"/>
      <c r="N24" s="103" t="s">
        <v>24</v>
      </c>
      <c r="O24" s="103">
        <v>-704156.78491133533</v>
      </c>
      <c r="P24" s="103">
        <v>170577.53587701553</v>
      </c>
      <c r="Q24" s="103">
        <v>-4.1280745514991164</v>
      </c>
      <c r="R24" s="103">
        <v>7.4445831555606352E-5</v>
      </c>
      <c r="S24" s="103">
        <v>-1042457.0957200287</v>
      </c>
      <c r="T24" s="103">
        <v>-365856.47410264186</v>
      </c>
      <c r="U24" s="103">
        <v>-1042457.0957200287</v>
      </c>
      <c r="V24" s="103">
        <v>-365856.47410264186</v>
      </c>
    </row>
    <row r="25" spans="1:22" ht="13.5" thickBot="1" x14ac:dyDescent="0.25">
      <c r="A25" s="22">
        <v>38596</v>
      </c>
      <c r="B25" s="25">
        <v>11447564</v>
      </c>
      <c r="C25" s="25">
        <v>59.2</v>
      </c>
      <c r="D25" s="25">
        <v>33.1</v>
      </c>
      <c r="E25" s="25">
        <v>1</v>
      </c>
      <c r="F25" s="25">
        <v>4611</v>
      </c>
      <c r="H25" s="25">
        <v>171.1</v>
      </c>
      <c r="I25" s="25">
        <v>30</v>
      </c>
      <c r="K25" s="27">
        <f t="shared" si="0"/>
        <v>11666988.199709319</v>
      </c>
      <c r="L25" s="24"/>
      <c r="N25" s="139" t="s">
        <v>197</v>
      </c>
      <c r="O25" s="139">
        <v>-1121.7063378094181</v>
      </c>
      <c r="P25" s="139">
        <v>740.81247899459845</v>
      </c>
      <c r="Q25" s="139">
        <v>-1.5141569150289609</v>
      </c>
      <c r="R25" s="139">
        <v>0.13304871656989678</v>
      </c>
      <c r="S25" s="139">
        <v>-2590.9331654001476</v>
      </c>
      <c r="T25" s="139">
        <v>347.52048978131143</v>
      </c>
      <c r="U25" s="139">
        <v>-2590.9331654001476</v>
      </c>
      <c r="V25" s="139">
        <v>347.52048978131143</v>
      </c>
    </row>
    <row r="26" spans="1:22" x14ac:dyDescent="0.2">
      <c r="A26" s="22">
        <v>38626</v>
      </c>
      <c r="B26" s="25">
        <v>11922695</v>
      </c>
      <c r="C26" s="25">
        <v>269.7</v>
      </c>
      <c r="D26" s="25">
        <v>6.4</v>
      </c>
      <c r="E26" s="25">
        <v>1</v>
      </c>
      <c r="F26" s="25">
        <v>4611</v>
      </c>
      <c r="H26" s="25">
        <v>166.6</v>
      </c>
      <c r="I26" s="25">
        <v>31</v>
      </c>
      <c r="K26" s="27">
        <f t="shared" si="0"/>
        <v>12741119.265016045</v>
      </c>
      <c r="L26" s="24"/>
    </row>
    <row r="27" spans="1:22" x14ac:dyDescent="0.2">
      <c r="A27" s="22">
        <v>38657</v>
      </c>
      <c r="B27" s="25">
        <v>14103083</v>
      </c>
      <c r="C27" s="25">
        <v>484.2</v>
      </c>
      <c r="D27" s="25">
        <v>0</v>
      </c>
      <c r="E27" s="25">
        <v>1</v>
      </c>
      <c r="F27" s="25">
        <v>4611</v>
      </c>
      <c r="H27" s="25">
        <v>158</v>
      </c>
      <c r="I27" s="25">
        <v>30</v>
      </c>
      <c r="K27" s="27">
        <f t="shared" si="0"/>
        <v>14007080.668833651</v>
      </c>
      <c r="L27" s="24"/>
    </row>
    <row r="28" spans="1:22" ht="13.5" customHeight="1" x14ac:dyDescent="0.2">
      <c r="A28" s="22">
        <v>38687</v>
      </c>
      <c r="B28" s="25">
        <v>16017182</v>
      </c>
      <c r="C28" s="25">
        <v>762</v>
      </c>
      <c r="D28" s="25">
        <v>0</v>
      </c>
      <c r="E28" s="25">
        <v>0</v>
      </c>
      <c r="F28" s="25">
        <v>4611</v>
      </c>
      <c r="H28" s="25">
        <v>156.6</v>
      </c>
      <c r="I28" s="25">
        <v>31</v>
      </c>
      <c r="K28" s="27">
        <f t="shared" si="0"/>
        <v>16419075.620493472</v>
      </c>
      <c r="L28" s="28">
        <f>SUM(K17:K28)</f>
        <v>167047508.78811008</v>
      </c>
      <c r="N28" s="59" t="s">
        <v>134</v>
      </c>
    </row>
    <row r="29" spans="1:22" x14ac:dyDescent="0.2">
      <c r="A29" s="22">
        <v>38718</v>
      </c>
      <c r="B29" s="25">
        <v>16388891</v>
      </c>
      <c r="C29" s="25">
        <v>733.5</v>
      </c>
      <c r="D29" s="25">
        <v>0</v>
      </c>
      <c r="E29" s="25">
        <v>0</v>
      </c>
      <c r="F29" s="25">
        <v>4642</v>
      </c>
      <c r="H29" s="25">
        <v>154.30000000000001</v>
      </c>
      <c r="I29" s="25">
        <v>31</v>
      </c>
      <c r="K29" s="27">
        <f t="shared" si="0"/>
        <v>16209092.54492731</v>
      </c>
      <c r="L29" s="24"/>
    </row>
    <row r="30" spans="1:22" x14ac:dyDescent="0.2">
      <c r="A30" s="22">
        <v>38749</v>
      </c>
      <c r="B30" s="25">
        <v>15340991</v>
      </c>
      <c r="C30" s="25">
        <v>720.9</v>
      </c>
      <c r="D30" s="25">
        <v>0</v>
      </c>
      <c r="E30" s="25">
        <v>0</v>
      </c>
      <c r="F30" s="25">
        <v>4642</v>
      </c>
      <c r="H30" s="25">
        <v>155.69999999999999</v>
      </c>
      <c r="I30" s="25">
        <v>28</v>
      </c>
      <c r="K30" s="27">
        <f t="shared" si="0"/>
        <v>16131631.202590987</v>
      </c>
      <c r="L30" s="24"/>
      <c r="N30" s="4" t="s">
        <v>52</v>
      </c>
      <c r="O30" s="4" t="s">
        <v>85</v>
      </c>
      <c r="P30" s="4" t="s">
        <v>87</v>
      </c>
      <c r="Q30" s="4" t="s">
        <v>50</v>
      </c>
      <c r="R30" s="4" t="s">
        <v>87</v>
      </c>
      <c r="S30" s="4" t="s">
        <v>88</v>
      </c>
    </row>
    <row r="31" spans="1:22" x14ac:dyDescent="0.2">
      <c r="A31" s="22">
        <v>38777</v>
      </c>
      <c r="B31" s="25">
        <v>15831060</v>
      </c>
      <c r="C31" s="25">
        <v>600.4</v>
      </c>
      <c r="D31" s="25">
        <v>0</v>
      </c>
      <c r="E31" s="25">
        <v>1</v>
      </c>
      <c r="F31" s="25">
        <v>4642</v>
      </c>
      <c r="H31" s="25">
        <v>156.69999999999999</v>
      </c>
      <c r="I31" s="25">
        <v>31</v>
      </c>
      <c r="K31" s="27">
        <f t="shared" si="0"/>
        <v>14686673.485018771</v>
      </c>
      <c r="L31" s="24"/>
      <c r="N31" s="4"/>
      <c r="O31" s="136"/>
      <c r="P31" s="136"/>
      <c r="Q31" s="136"/>
      <c r="R31" s="136"/>
      <c r="S31" s="137"/>
    </row>
    <row r="32" spans="1:22" x14ac:dyDescent="0.2">
      <c r="A32" s="22">
        <v>38808</v>
      </c>
      <c r="B32" s="25">
        <v>12717270</v>
      </c>
      <c r="C32" s="25">
        <v>321.60000000000002</v>
      </c>
      <c r="D32" s="25">
        <v>0</v>
      </c>
      <c r="E32" s="25">
        <v>1</v>
      </c>
      <c r="F32" s="25">
        <v>4642</v>
      </c>
      <c r="H32" s="25">
        <v>158.19999999999999</v>
      </c>
      <c r="I32" s="25">
        <v>30</v>
      </c>
      <c r="K32" s="27">
        <f t="shared" si="0"/>
        <v>12972687.592688039</v>
      </c>
      <c r="L32" s="24"/>
      <c r="N32" s="4">
        <v>2004</v>
      </c>
      <c r="O32" s="136">
        <f>SUM(B5:B16)</f>
        <v>166851164</v>
      </c>
      <c r="P32" s="137"/>
      <c r="Q32" s="136">
        <f>L16</f>
        <v>166981315.37211561</v>
      </c>
      <c r="R32" s="137"/>
      <c r="S32" s="137">
        <f t="shared" ref="S32:S40" si="1">(Q32-O32)/O32</f>
        <v>7.8004473565202121E-4</v>
      </c>
    </row>
    <row r="33" spans="1:19" x14ac:dyDescent="0.2">
      <c r="A33" s="22">
        <v>38838</v>
      </c>
      <c r="B33" s="25">
        <v>12509932</v>
      </c>
      <c r="C33" s="25">
        <v>128.19999999999999</v>
      </c>
      <c r="D33" s="25">
        <v>16.899999999999999</v>
      </c>
      <c r="E33" s="25">
        <v>1</v>
      </c>
      <c r="F33" s="25">
        <v>4642</v>
      </c>
      <c r="H33" s="25">
        <v>161.80000000000001</v>
      </c>
      <c r="I33" s="25">
        <v>31</v>
      </c>
      <c r="K33" s="27">
        <f t="shared" si="0"/>
        <v>11922946.355301667</v>
      </c>
      <c r="L33" s="24"/>
      <c r="N33" s="4">
        <v>2005</v>
      </c>
      <c r="O33" s="136">
        <f>SUM(B17:B28)</f>
        <v>160069378</v>
      </c>
      <c r="P33" s="137">
        <f t="shared" ref="P33:R40" si="2">(O33-O32)/O32</f>
        <v>-4.0645721836258808E-2</v>
      </c>
      <c r="Q33" s="136">
        <f>L28</f>
        <v>167047508.78811008</v>
      </c>
      <c r="R33" s="137">
        <f t="shared" si="2"/>
        <v>3.9641211261843407E-4</v>
      </c>
      <c r="S33" s="137">
        <f t="shared" si="1"/>
        <v>4.3594414342698812E-2</v>
      </c>
    </row>
    <row r="34" spans="1:19" x14ac:dyDescent="0.2">
      <c r="A34" s="22">
        <v>38869</v>
      </c>
      <c r="B34" s="25">
        <v>12713980</v>
      </c>
      <c r="C34" s="25">
        <v>27.6</v>
      </c>
      <c r="D34" s="25">
        <v>48.2</v>
      </c>
      <c r="E34" s="25">
        <v>0</v>
      </c>
      <c r="F34" s="25">
        <v>4642</v>
      </c>
      <c r="H34" s="25">
        <v>166.2</v>
      </c>
      <c r="I34" s="25">
        <v>30</v>
      </c>
      <c r="K34" s="27">
        <f t="shared" si="0"/>
        <v>12266503.737402059</v>
      </c>
      <c r="L34" s="24"/>
      <c r="N34" s="4">
        <v>2006</v>
      </c>
      <c r="O34" s="136">
        <f>SUM(B29:B40)</f>
        <v>165982316</v>
      </c>
      <c r="P34" s="137">
        <f t="shared" si="2"/>
        <v>3.6939844921493978E-2</v>
      </c>
      <c r="Q34" s="136">
        <f>L40</f>
        <v>163193069.99030286</v>
      </c>
      <c r="R34" s="137">
        <f t="shared" si="2"/>
        <v>-2.3073907691112863E-2</v>
      </c>
      <c r="S34" s="137">
        <f t="shared" si="1"/>
        <v>-1.6804476988362658E-2</v>
      </c>
    </row>
    <row r="35" spans="1:19" x14ac:dyDescent="0.2">
      <c r="A35" s="22">
        <v>38899</v>
      </c>
      <c r="B35" s="25">
        <v>13030943</v>
      </c>
      <c r="C35" s="25">
        <v>0.3</v>
      </c>
      <c r="D35" s="25">
        <v>130.6</v>
      </c>
      <c r="E35" s="25">
        <v>0</v>
      </c>
      <c r="F35" s="25">
        <v>4642</v>
      </c>
      <c r="H35" s="25">
        <v>168.7</v>
      </c>
      <c r="I35" s="25">
        <v>31</v>
      </c>
      <c r="K35" s="27">
        <f t="shared" si="0"/>
        <v>12777514.64877947</v>
      </c>
      <c r="L35" s="24"/>
      <c r="N35" s="4">
        <v>2007</v>
      </c>
      <c r="O35" s="136">
        <f>SUM(B41:B52)</f>
        <v>168514536</v>
      </c>
      <c r="P35" s="137">
        <f t="shared" si="2"/>
        <v>1.5255962568928126E-2</v>
      </c>
      <c r="Q35" s="136">
        <f>L52</f>
        <v>163866915.43436065</v>
      </c>
      <c r="R35" s="137">
        <f t="shared" si="2"/>
        <v>4.1291302632999868E-3</v>
      </c>
      <c r="S35" s="137">
        <f t="shared" si="1"/>
        <v>-2.7579938656682689E-2</v>
      </c>
    </row>
    <row r="36" spans="1:19" x14ac:dyDescent="0.2">
      <c r="A36" s="22">
        <v>38930</v>
      </c>
      <c r="B36" s="25">
        <v>13193056</v>
      </c>
      <c r="C36" s="25">
        <v>18.2</v>
      </c>
      <c r="D36" s="25">
        <v>68.099999999999994</v>
      </c>
      <c r="E36" s="25">
        <v>0</v>
      </c>
      <c r="F36" s="25">
        <v>4642</v>
      </c>
      <c r="H36" s="25">
        <v>169.2</v>
      </c>
      <c r="I36" s="25">
        <v>31</v>
      </c>
      <c r="K36" s="27">
        <f t="shared" si="0"/>
        <v>12372659.194762405</v>
      </c>
      <c r="L36" s="24"/>
      <c r="N36" s="4">
        <v>2008</v>
      </c>
      <c r="O36" s="136">
        <f>SUM(B53:B64)</f>
        <v>167375788</v>
      </c>
      <c r="P36" s="137">
        <f t="shared" si="2"/>
        <v>-6.7575654126359758E-3</v>
      </c>
      <c r="Q36" s="136">
        <f>L64</f>
        <v>164423774.5984835</v>
      </c>
      <c r="R36" s="137">
        <f t="shared" si="2"/>
        <v>3.3982403503891425E-3</v>
      </c>
      <c r="S36" s="137">
        <f t="shared" si="1"/>
        <v>-1.7637039602863572E-2</v>
      </c>
    </row>
    <row r="37" spans="1:19" x14ac:dyDescent="0.2">
      <c r="A37" s="22">
        <v>38961</v>
      </c>
      <c r="B37" s="25">
        <v>12006692</v>
      </c>
      <c r="C37" s="25">
        <v>121</v>
      </c>
      <c r="D37" s="25">
        <v>5.3</v>
      </c>
      <c r="E37" s="25">
        <v>1</v>
      </c>
      <c r="F37" s="25">
        <v>4642</v>
      </c>
      <c r="H37" s="25">
        <v>166.6</v>
      </c>
      <c r="I37" s="25">
        <v>30</v>
      </c>
      <c r="K37" s="27">
        <f t="shared" si="0"/>
        <v>11783117.339005549</v>
      </c>
      <c r="L37" s="24"/>
      <c r="N37" s="4">
        <v>2009</v>
      </c>
      <c r="O37" s="136">
        <f>SUM(B65:B76)</f>
        <v>167014595.5442</v>
      </c>
      <c r="P37" s="137">
        <f t="shared" si="2"/>
        <v>-2.1579731460323092E-3</v>
      </c>
      <c r="Q37" s="136">
        <f>L76:L76</f>
        <v>164508076.06861806</v>
      </c>
      <c r="R37" s="137">
        <f t="shared" si="2"/>
        <v>5.1270852004472729E-4</v>
      </c>
      <c r="S37" s="137">
        <f t="shared" si="1"/>
        <v>-1.5007786998583605E-2</v>
      </c>
    </row>
    <row r="38" spans="1:19" x14ac:dyDescent="0.2">
      <c r="A38" s="22">
        <v>38991</v>
      </c>
      <c r="B38" s="25">
        <v>13698125</v>
      </c>
      <c r="C38" s="25">
        <v>335.7</v>
      </c>
      <c r="D38" s="25">
        <v>0</v>
      </c>
      <c r="E38" s="25">
        <v>1</v>
      </c>
      <c r="F38" s="25">
        <v>4642</v>
      </c>
      <c r="H38" s="25">
        <v>165</v>
      </c>
      <c r="I38" s="25">
        <v>31</v>
      </c>
      <c r="K38" s="27">
        <f t="shared" si="0"/>
        <v>13059370.523397733</v>
      </c>
      <c r="L38" s="24"/>
      <c r="N38" s="4">
        <v>2010</v>
      </c>
      <c r="O38" s="136">
        <f>SUM(B77:B88)</f>
        <v>159288613</v>
      </c>
      <c r="P38" s="137">
        <f t="shared" si="2"/>
        <v>-4.625932553394916E-2</v>
      </c>
      <c r="Q38" s="136">
        <f>L88</f>
        <v>161104908.72745684</v>
      </c>
      <c r="R38" s="137">
        <f t="shared" si="2"/>
        <v>-2.068693174517295E-2</v>
      </c>
      <c r="S38" s="137">
        <f t="shared" si="1"/>
        <v>1.1402545940034257E-2</v>
      </c>
    </row>
    <row r="39" spans="1:19" x14ac:dyDescent="0.2">
      <c r="A39" s="22">
        <v>39022</v>
      </c>
      <c r="B39" s="25">
        <v>13777519</v>
      </c>
      <c r="C39" s="25">
        <v>417.3</v>
      </c>
      <c r="D39" s="25">
        <v>0</v>
      </c>
      <c r="E39" s="25">
        <v>1</v>
      </c>
      <c r="F39" s="25">
        <v>4642</v>
      </c>
      <c r="H39" s="25">
        <v>161.80000000000001</v>
      </c>
      <c r="I39" s="25">
        <v>30</v>
      </c>
      <c r="K39" s="27">
        <f t="shared" si="0"/>
        <v>13561024.930909168</v>
      </c>
      <c r="L39" s="24"/>
      <c r="N39" s="4">
        <v>2011</v>
      </c>
      <c r="O39" s="136">
        <f>SUM(B89:B100)</f>
        <v>161859215</v>
      </c>
      <c r="P39" s="137">
        <f t="shared" si="2"/>
        <v>1.6138014837256447E-2</v>
      </c>
      <c r="Q39" s="136">
        <f>L100</f>
        <v>160216353.05007511</v>
      </c>
      <c r="R39" s="137">
        <f t="shared" si="2"/>
        <v>-5.5153854988050349E-3</v>
      </c>
      <c r="S39" s="137">
        <f t="shared" si="1"/>
        <v>-1.0149943887500543E-2</v>
      </c>
    </row>
    <row r="40" spans="1:19" x14ac:dyDescent="0.2">
      <c r="A40" s="22">
        <v>39052</v>
      </c>
      <c r="B40" s="25">
        <v>14773857</v>
      </c>
      <c r="C40" s="25">
        <v>610</v>
      </c>
      <c r="D40" s="25">
        <v>0</v>
      </c>
      <c r="E40" s="25">
        <v>0</v>
      </c>
      <c r="F40" s="25">
        <v>4642</v>
      </c>
      <c r="H40" s="25">
        <v>161.1</v>
      </c>
      <c r="I40" s="25">
        <v>31</v>
      </c>
      <c r="K40" s="27">
        <f t="shared" si="0"/>
        <v>15449848.435519688</v>
      </c>
      <c r="L40" s="28">
        <f>SUM(K29:K40)</f>
        <v>163193069.99030286</v>
      </c>
      <c r="N40" s="4">
        <v>2012</v>
      </c>
      <c r="O40" s="136">
        <f>SUM(B101:B112)</f>
        <v>155160223</v>
      </c>
      <c r="P40" s="137">
        <f t="shared" si="2"/>
        <v>-4.1387770229825961E-2</v>
      </c>
      <c r="Q40" s="136">
        <f>L112</f>
        <v>160773906.51467732</v>
      </c>
      <c r="R40" s="137">
        <f t="shared" si="2"/>
        <v>3.4800034702321594E-3</v>
      </c>
      <c r="S40" s="137">
        <f t="shared" si="1"/>
        <v>3.6179913937590277E-2</v>
      </c>
    </row>
    <row r="41" spans="1:19" x14ac:dyDescent="0.2">
      <c r="A41" s="22">
        <v>39083</v>
      </c>
      <c r="B41" s="25">
        <v>16852233</v>
      </c>
      <c r="C41" s="25">
        <v>797.1</v>
      </c>
      <c r="D41" s="25">
        <v>0</v>
      </c>
      <c r="E41" s="25">
        <v>0</v>
      </c>
      <c r="F41" s="25">
        <v>4775</v>
      </c>
      <c r="H41" s="25">
        <v>161.9</v>
      </c>
      <c r="I41" s="25">
        <v>31</v>
      </c>
      <c r="K41" s="27">
        <f t="shared" si="0"/>
        <v>16450900.949029628</v>
      </c>
      <c r="L41" s="24"/>
      <c r="O41" s="229"/>
      <c r="P41" s="229"/>
      <c r="Q41" s="230"/>
    </row>
    <row r="42" spans="1:19" x14ac:dyDescent="0.2">
      <c r="A42" s="22">
        <v>39114</v>
      </c>
      <c r="B42" s="25">
        <v>16146860</v>
      </c>
      <c r="C42" s="25">
        <v>820</v>
      </c>
      <c r="D42" s="25">
        <v>0</v>
      </c>
      <c r="E42" s="25">
        <v>0</v>
      </c>
      <c r="F42" s="25">
        <v>4775</v>
      </c>
      <c r="H42" s="25">
        <v>161.30000000000001</v>
      </c>
      <c r="I42" s="25">
        <v>28</v>
      </c>
      <c r="K42" s="27">
        <f t="shared" si="0"/>
        <v>16591683.864863109</v>
      </c>
      <c r="L42" s="24"/>
      <c r="N42" s="4" t="s">
        <v>52</v>
      </c>
      <c r="O42" s="4" t="s">
        <v>85</v>
      </c>
      <c r="P42" s="4" t="s">
        <v>50</v>
      </c>
      <c r="Q42" s="4" t="s">
        <v>143</v>
      </c>
    </row>
    <row r="43" spans="1:19" x14ac:dyDescent="0.2">
      <c r="A43" s="22">
        <v>39142</v>
      </c>
      <c r="B43" s="25">
        <v>16075177</v>
      </c>
      <c r="C43" s="25">
        <v>643</v>
      </c>
      <c r="D43" s="25">
        <v>0</v>
      </c>
      <c r="E43" s="25">
        <v>1</v>
      </c>
      <c r="F43" s="25">
        <v>4775</v>
      </c>
      <c r="H43" s="25">
        <v>160.1</v>
      </c>
      <c r="I43" s="25">
        <v>31</v>
      </c>
      <c r="K43" s="27">
        <f t="shared" si="0"/>
        <v>14799379.65189388</v>
      </c>
      <c r="L43" s="24"/>
      <c r="N43" s="4"/>
      <c r="O43" s="136"/>
      <c r="P43" s="136"/>
      <c r="Q43" s="137"/>
    </row>
    <row r="44" spans="1:19" x14ac:dyDescent="0.2">
      <c r="A44" s="22">
        <v>39173</v>
      </c>
      <c r="B44" s="25">
        <v>13292923</v>
      </c>
      <c r="C44" s="25">
        <v>361.1</v>
      </c>
      <c r="D44" s="25">
        <v>0</v>
      </c>
      <c r="E44" s="25">
        <v>1</v>
      </c>
      <c r="F44" s="25">
        <v>4775</v>
      </c>
      <c r="H44" s="25">
        <v>157.1</v>
      </c>
      <c r="I44" s="25">
        <v>30</v>
      </c>
      <c r="K44" s="27">
        <f t="shared" si="0"/>
        <v>13066335.81025818</v>
      </c>
      <c r="L44" s="24"/>
      <c r="N44" s="4">
        <v>2004</v>
      </c>
      <c r="O44" s="136">
        <f t="shared" ref="O44:O52" si="3">O32</f>
        <v>166851164</v>
      </c>
      <c r="P44" s="136">
        <f t="shared" ref="P44:P52" si="4">Q32</f>
        <v>166981315.37211561</v>
      </c>
      <c r="Q44" s="137">
        <f t="shared" ref="Q44:Q52" si="5">IF(ABS(O44-P44)=0,0,ABS(O44-P44)/O44)</f>
        <v>7.8004473565202121E-4</v>
      </c>
      <c r="R44" s="166"/>
    </row>
    <row r="45" spans="1:19" x14ac:dyDescent="0.2">
      <c r="A45" s="22">
        <v>39203</v>
      </c>
      <c r="B45" s="25">
        <v>12531854</v>
      </c>
      <c r="C45" s="25">
        <v>157.30000000000001</v>
      </c>
      <c r="D45" s="25">
        <v>0</v>
      </c>
      <c r="E45" s="25">
        <v>1</v>
      </c>
      <c r="F45" s="25">
        <v>4775</v>
      </c>
      <c r="H45" s="25">
        <v>160.19999999999999</v>
      </c>
      <c r="I45" s="25">
        <v>31</v>
      </c>
      <c r="K45" s="27">
        <f t="shared" si="0"/>
        <v>11813429.336596042</v>
      </c>
      <c r="L45" s="24"/>
      <c r="N45" s="4">
        <v>2005</v>
      </c>
      <c r="O45" s="136">
        <f t="shared" si="3"/>
        <v>160069378</v>
      </c>
      <c r="P45" s="136">
        <f t="shared" si="4"/>
        <v>167047508.78811008</v>
      </c>
      <c r="Q45" s="137">
        <f t="shared" si="5"/>
        <v>4.3594414342698812E-2</v>
      </c>
      <c r="R45" s="166"/>
    </row>
    <row r="46" spans="1:19" x14ac:dyDescent="0.2">
      <c r="A46" s="22">
        <v>39234</v>
      </c>
      <c r="B46" s="25">
        <v>12467928</v>
      </c>
      <c r="C46" s="25">
        <v>34.200000000000003</v>
      </c>
      <c r="D46" s="25">
        <v>17.3</v>
      </c>
      <c r="E46" s="25">
        <v>0</v>
      </c>
      <c r="F46" s="25">
        <v>4775</v>
      </c>
      <c r="H46" s="25">
        <v>166.7</v>
      </c>
      <c r="I46" s="25">
        <v>30</v>
      </c>
      <c r="K46" s="27">
        <f t="shared" si="0"/>
        <v>11903325.350901451</v>
      </c>
      <c r="L46" s="24"/>
      <c r="N46" s="4">
        <v>2006</v>
      </c>
      <c r="O46" s="136">
        <f t="shared" si="3"/>
        <v>165982316</v>
      </c>
      <c r="P46" s="136">
        <f t="shared" si="4"/>
        <v>163193069.99030286</v>
      </c>
      <c r="Q46" s="137">
        <f t="shared" si="5"/>
        <v>1.6804476988362658E-2</v>
      </c>
      <c r="R46" s="166"/>
    </row>
    <row r="47" spans="1:19" x14ac:dyDescent="0.2">
      <c r="A47" s="22">
        <v>39264</v>
      </c>
      <c r="B47" s="25">
        <v>12374953</v>
      </c>
      <c r="C47" s="25">
        <v>11.8</v>
      </c>
      <c r="D47" s="25">
        <v>66.900000000000006</v>
      </c>
      <c r="E47" s="25">
        <v>0</v>
      </c>
      <c r="F47" s="25">
        <v>4775</v>
      </c>
      <c r="H47" s="25">
        <v>175.8</v>
      </c>
      <c r="I47" s="25">
        <v>31</v>
      </c>
      <c r="K47" s="27">
        <f t="shared" si="0"/>
        <v>12174240.733062129</v>
      </c>
      <c r="L47" s="24"/>
      <c r="N47" s="4">
        <v>2007</v>
      </c>
      <c r="O47" s="136">
        <f t="shared" si="3"/>
        <v>168514536</v>
      </c>
      <c r="P47" s="136">
        <f t="shared" si="4"/>
        <v>163866915.43436065</v>
      </c>
      <c r="Q47" s="137">
        <f t="shared" si="5"/>
        <v>2.7579938656682689E-2</v>
      </c>
      <c r="R47" s="166"/>
    </row>
    <row r="48" spans="1:19" x14ac:dyDescent="0.2">
      <c r="A48" s="22">
        <v>39295</v>
      </c>
      <c r="B48" s="25">
        <v>13234020</v>
      </c>
      <c r="C48" s="25">
        <v>20.100000000000001</v>
      </c>
      <c r="D48" s="25">
        <v>65.099999999999994</v>
      </c>
      <c r="E48" s="25">
        <v>0</v>
      </c>
      <c r="F48" s="25">
        <v>4775</v>
      </c>
      <c r="H48" s="25">
        <v>182.7</v>
      </c>
      <c r="I48" s="25">
        <v>31</v>
      </c>
      <c r="K48" s="27">
        <f t="shared" si="0"/>
        <v>12210437.742826935</v>
      </c>
      <c r="L48" s="24"/>
      <c r="N48" s="4">
        <v>2008</v>
      </c>
      <c r="O48" s="136">
        <f t="shared" si="3"/>
        <v>167375788</v>
      </c>
      <c r="P48" s="136">
        <f t="shared" si="4"/>
        <v>164423774.5984835</v>
      </c>
      <c r="Q48" s="137">
        <f t="shared" si="5"/>
        <v>1.7637039602863572E-2</v>
      </c>
      <c r="R48" s="166"/>
    </row>
    <row r="49" spans="1:18" x14ac:dyDescent="0.2">
      <c r="A49" s="22">
        <v>39326</v>
      </c>
      <c r="B49" s="25">
        <v>12246087</v>
      </c>
      <c r="C49" s="25">
        <v>76</v>
      </c>
      <c r="D49" s="25">
        <v>79.3</v>
      </c>
      <c r="E49" s="25">
        <v>1</v>
      </c>
      <c r="F49" s="25">
        <v>4775</v>
      </c>
      <c r="H49" s="25">
        <v>182.3</v>
      </c>
      <c r="I49" s="25">
        <v>30</v>
      </c>
      <c r="K49" s="27">
        <f t="shared" si="0"/>
        <v>11966924.039331876</v>
      </c>
      <c r="L49" s="24"/>
      <c r="N49" s="4">
        <v>2009</v>
      </c>
      <c r="O49" s="136">
        <f t="shared" si="3"/>
        <v>167014595.5442</v>
      </c>
      <c r="P49" s="136">
        <f t="shared" si="4"/>
        <v>164508076.06861806</v>
      </c>
      <c r="Q49" s="137">
        <f t="shared" si="5"/>
        <v>1.5007786998583605E-2</v>
      </c>
      <c r="R49" s="166"/>
    </row>
    <row r="50" spans="1:18" x14ac:dyDescent="0.2">
      <c r="A50" s="22">
        <v>39356</v>
      </c>
      <c r="B50" s="25">
        <v>12901675</v>
      </c>
      <c r="C50" s="25">
        <v>227.5</v>
      </c>
      <c r="D50" s="25">
        <v>25.7</v>
      </c>
      <c r="E50" s="25">
        <v>1</v>
      </c>
      <c r="F50" s="25">
        <v>4775</v>
      </c>
      <c r="H50" s="25">
        <v>180.5</v>
      </c>
      <c r="I50" s="25">
        <v>31</v>
      </c>
      <c r="K50" s="27">
        <f t="shared" si="0"/>
        <v>12456726.446355294</v>
      </c>
      <c r="L50" s="24"/>
      <c r="N50" s="4">
        <v>2010</v>
      </c>
      <c r="O50" s="136">
        <f t="shared" si="3"/>
        <v>159288613</v>
      </c>
      <c r="P50" s="136">
        <f t="shared" si="4"/>
        <v>161104908.72745684</v>
      </c>
      <c r="Q50" s="137">
        <f t="shared" si="5"/>
        <v>1.1402545940034257E-2</v>
      </c>
      <c r="R50" s="166"/>
    </row>
    <row r="51" spans="1:18" x14ac:dyDescent="0.2">
      <c r="A51" s="22">
        <v>39387</v>
      </c>
      <c r="B51" s="25">
        <v>14405846</v>
      </c>
      <c r="C51" s="25">
        <v>517</v>
      </c>
      <c r="D51" s="25">
        <v>1.9</v>
      </c>
      <c r="E51" s="25">
        <v>1</v>
      </c>
      <c r="F51" s="25">
        <v>4775</v>
      </c>
      <c r="H51" s="25">
        <v>174.1</v>
      </c>
      <c r="I51" s="25">
        <v>30</v>
      </c>
      <c r="K51" s="27">
        <f t="shared" si="0"/>
        <v>14040419.180685591</v>
      </c>
      <c r="L51" s="24"/>
      <c r="N51" s="4">
        <v>2011</v>
      </c>
      <c r="O51" s="136">
        <f t="shared" si="3"/>
        <v>161859215</v>
      </c>
      <c r="P51" s="136">
        <f t="shared" si="4"/>
        <v>160216353.05007511</v>
      </c>
      <c r="Q51" s="137">
        <f t="shared" si="5"/>
        <v>1.0149943887500543E-2</v>
      </c>
      <c r="R51" s="166"/>
    </row>
    <row r="52" spans="1:18" x14ac:dyDescent="0.2">
      <c r="A52" s="22">
        <v>39417</v>
      </c>
      <c r="B52" s="25">
        <v>15984980</v>
      </c>
      <c r="C52" s="25">
        <v>787.7</v>
      </c>
      <c r="D52" s="25">
        <v>0</v>
      </c>
      <c r="E52" s="25">
        <v>0</v>
      </c>
      <c r="F52" s="25">
        <v>4775</v>
      </c>
      <c r="H52" s="25">
        <v>170</v>
      </c>
      <c r="I52" s="25">
        <v>31</v>
      </c>
      <c r="K52" s="27">
        <f t="shared" si="0"/>
        <v>16393112.328556497</v>
      </c>
      <c r="L52" s="28">
        <f>SUM(K41:K52)</f>
        <v>163866915.43436065</v>
      </c>
      <c r="N52" s="4">
        <v>2012</v>
      </c>
      <c r="O52" s="136">
        <f t="shared" si="3"/>
        <v>155160223</v>
      </c>
      <c r="P52" s="136">
        <f t="shared" si="4"/>
        <v>160773906.51467732</v>
      </c>
      <c r="Q52" s="137">
        <f t="shared" si="5"/>
        <v>3.6179913937590277E-2</v>
      </c>
      <c r="R52" s="166"/>
    </row>
    <row r="53" spans="1:18" x14ac:dyDescent="0.2">
      <c r="A53" s="22">
        <v>39448</v>
      </c>
      <c r="B53" s="25">
        <v>16819638</v>
      </c>
      <c r="C53" s="25">
        <v>754.2</v>
      </c>
      <c r="D53" s="25">
        <v>0</v>
      </c>
      <c r="E53" s="25">
        <v>0</v>
      </c>
      <c r="F53" s="25">
        <v>4724</v>
      </c>
      <c r="H53" s="25">
        <v>164.4</v>
      </c>
      <c r="I53" s="25">
        <v>31</v>
      </c>
      <c r="K53" s="27">
        <f t="shared" si="0"/>
        <v>16244370.544779474</v>
      </c>
      <c r="L53" s="24"/>
      <c r="N53" s="3" t="s">
        <v>91</v>
      </c>
      <c r="Q53" s="145">
        <f>AVERAGE(Q43:Q52)</f>
        <v>1.9904011676663155E-2</v>
      </c>
    </row>
    <row r="54" spans="1:18" x14ac:dyDescent="0.2">
      <c r="A54" s="22">
        <v>39479</v>
      </c>
      <c r="B54" s="25">
        <v>16106414</v>
      </c>
      <c r="C54" s="25">
        <v>774.3</v>
      </c>
      <c r="D54" s="25">
        <v>0</v>
      </c>
      <c r="E54" s="25">
        <v>0</v>
      </c>
      <c r="F54" s="25">
        <v>4724</v>
      </c>
      <c r="H54" s="25">
        <v>163.69999999999999</v>
      </c>
      <c r="I54" s="25">
        <v>29</v>
      </c>
      <c r="K54" s="27">
        <f t="shared" si="0"/>
        <v>16367939.828982657</v>
      </c>
      <c r="L54" s="24"/>
      <c r="N54" s="146" t="s">
        <v>92</v>
      </c>
    </row>
    <row r="55" spans="1:18" x14ac:dyDescent="0.2">
      <c r="A55" s="22">
        <v>39508</v>
      </c>
      <c r="B55" s="25">
        <v>15917303</v>
      </c>
      <c r="C55" s="25">
        <v>721.1</v>
      </c>
      <c r="D55" s="25">
        <v>0</v>
      </c>
      <c r="E55" s="25">
        <v>1</v>
      </c>
      <c r="F55" s="25">
        <v>4724</v>
      </c>
      <c r="H55" s="25">
        <v>161.69999999999999</v>
      </c>
      <c r="I55" s="25">
        <v>31</v>
      </c>
      <c r="K55" s="27">
        <f t="shared" si="0"/>
        <v>15336724.043095728</v>
      </c>
      <c r="L55" s="24"/>
      <c r="N55" s="146" t="s">
        <v>93</v>
      </c>
    </row>
    <row r="56" spans="1:18" x14ac:dyDescent="0.2">
      <c r="A56" s="22">
        <v>39539</v>
      </c>
      <c r="B56" s="25">
        <v>13249917</v>
      </c>
      <c r="C56" s="25">
        <v>299.60000000000002</v>
      </c>
      <c r="D56" s="25">
        <v>0</v>
      </c>
      <c r="E56" s="25">
        <v>1</v>
      </c>
      <c r="F56" s="25">
        <v>4724</v>
      </c>
      <c r="H56" s="25">
        <v>163.80000000000001</v>
      </c>
      <c r="I56" s="25">
        <v>30</v>
      </c>
      <c r="K56" s="27">
        <f t="shared" si="0"/>
        <v>12745457.710178209</v>
      </c>
      <c r="L56" s="24"/>
      <c r="N56" s="146" t="s">
        <v>94</v>
      </c>
    </row>
    <row r="57" spans="1:18" x14ac:dyDescent="0.2">
      <c r="A57" s="22">
        <v>39569</v>
      </c>
      <c r="B57" s="25">
        <v>12145403</v>
      </c>
      <c r="C57" s="25">
        <v>185.4</v>
      </c>
      <c r="D57" s="25">
        <v>0</v>
      </c>
      <c r="E57" s="25">
        <v>1</v>
      </c>
      <c r="F57" s="25">
        <v>4724</v>
      </c>
      <c r="H57" s="25">
        <v>166</v>
      </c>
      <c r="I57" s="25">
        <v>31</v>
      </c>
      <c r="K57" s="27">
        <f t="shared" si="0"/>
        <v>12043387.448685491</v>
      </c>
      <c r="L57" s="24"/>
      <c r="N57" s="146" t="s">
        <v>95</v>
      </c>
    </row>
    <row r="58" spans="1:18" x14ac:dyDescent="0.2">
      <c r="A58" s="22">
        <v>39600</v>
      </c>
      <c r="B58" s="25">
        <v>12078793</v>
      </c>
      <c r="C58" s="25">
        <v>22.4</v>
      </c>
      <c r="D58" s="25">
        <v>0</v>
      </c>
      <c r="E58" s="25">
        <v>0</v>
      </c>
      <c r="F58" s="25">
        <v>4724</v>
      </c>
      <c r="H58" s="25">
        <v>172.6</v>
      </c>
      <c r="I58" s="25">
        <v>30</v>
      </c>
      <c r="K58" s="27">
        <f t="shared" si="0"/>
        <v>11745464.963690409</v>
      </c>
      <c r="L58" s="24"/>
    </row>
    <row r="59" spans="1:18" x14ac:dyDescent="0.2">
      <c r="A59" s="22">
        <v>39630</v>
      </c>
      <c r="B59" s="25">
        <v>12676710</v>
      </c>
      <c r="C59" s="25">
        <v>0.3</v>
      </c>
      <c r="D59" s="25">
        <v>60.5</v>
      </c>
      <c r="E59" s="25">
        <v>0</v>
      </c>
      <c r="F59" s="25">
        <v>4724</v>
      </c>
      <c r="H59" s="25">
        <v>179.5</v>
      </c>
      <c r="I59" s="25">
        <v>31</v>
      </c>
      <c r="K59" s="27">
        <f t="shared" si="0"/>
        <v>12108023.178519974</v>
      </c>
      <c r="L59" s="24"/>
      <c r="P59" s="146" t="s">
        <v>125</v>
      </c>
      <c r="Q59" s="145">
        <f>MEDIAN(Q43:Q52)</f>
        <v>1.6804476988362658E-2</v>
      </c>
    </row>
    <row r="60" spans="1:18" x14ac:dyDescent="0.2">
      <c r="A60" s="22">
        <v>39661</v>
      </c>
      <c r="B60" s="25">
        <v>12733825</v>
      </c>
      <c r="C60" s="25">
        <v>14.4</v>
      </c>
      <c r="D60" s="25">
        <v>78.900000000000006</v>
      </c>
      <c r="E60" s="25">
        <v>0</v>
      </c>
      <c r="F60" s="25">
        <v>4724</v>
      </c>
      <c r="H60" s="25">
        <v>184.9</v>
      </c>
      <c r="I60" s="25">
        <v>31</v>
      </c>
      <c r="K60" s="27">
        <f t="shared" si="0"/>
        <v>12346292.593256602</v>
      </c>
      <c r="L60" s="24"/>
    </row>
    <row r="61" spans="1:18" x14ac:dyDescent="0.2">
      <c r="A61" s="22">
        <v>39692</v>
      </c>
      <c r="B61" s="25">
        <v>12344575</v>
      </c>
      <c r="C61" s="25">
        <v>95.4</v>
      </c>
      <c r="D61" s="25">
        <v>49.5</v>
      </c>
      <c r="E61" s="25">
        <v>1</v>
      </c>
      <c r="F61" s="25">
        <v>4724</v>
      </c>
      <c r="H61" s="25">
        <v>186.5</v>
      </c>
      <c r="I61" s="25">
        <v>30</v>
      </c>
      <c r="K61" s="27">
        <f t="shared" si="0"/>
        <v>11897892.741899105</v>
      </c>
      <c r="L61" s="24"/>
    </row>
    <row r="62" spans="1:18" x14ac:dyDescent="0.2">
      <c r="A62" s="22">
        <v>39722</v>
      </c>
      <c r="B62" s="25">
        <v>13017951</v>
      </c>
      <c r="C62" s="25">
        <v>321.8</v>
      </c>
      <c r="D62" s="25">
        <v>25</v>
      </c>
      <c r="E62" s="25">
        <v>1</v>
      </c>
      <c r="F62" s="25">
        <v>4724</v>
      </c>
      <c r="H62" s="25">
        <v>183.6</v>
      </c>
      <c r="I62" s="25">
        <v>31</v>
      </c>
      <c r="K62" s="27">
        <f t="shared" si="0"/>
        <v>13087897.114879837</v>
      </c>
      <c r="L62" s="24"/>
    </row>
    <row r="63" spans="1:18" x14ac:dyDescent="0.2">
      <c r="A63" s="22">
        <v>39753</v>
      </c>
      <c r="B63" s="25">
        <v>14022435</v>
      </c>
      <c r="C63" s="25">
        <v>502.8</v>
      </c>
      <c r="D63" s="25">
        <v>0</v>
      </c>
      <c r="E63" s="25">
        <v>1</v>
      </c>
      <c r="F63" s="25">
        <v>4724</v>
      </c>
      <c r="H63" s="25">
        <v>179</v>
      </c>
      <c r="I63" s="25">
        <v>30</v>
      </c>
      <c r="K63" s="27">
        <f t="shared" si="0"/>
        <v>13994675.548490999</v>
      </c>
      <c r="L63" s="24"/>
    </row>
    <row r="64" spans="1:18" x14ac:dyDescent="0.2">
      <c r="A64" s="22">
        <v>39783</v>
      </c>
      <c r="B64" s="25">
        <v>16262824</v>
      </c>
      <c r="C64" s="25">
        <v>796.7</v>
      </c>
      <c r="D64" s="25">
        <v>0</v>
      </c>
      <c r="E64" s="25">
        <v>0</v>
      </c>
      <c r="F64" s="25">
        <v>4724</v>
      </c>
      <c r="H64" s="25">
        <v>177.8</v>
      </c>
      <c r="I64" s="25">
        <v>31</v>
      </c>
      <c r="K64" s="27">
        <f t="shared" si="0"/>
        <v>16505648.882025013</v>
      </c>
      <c r="L64" s="28">
        <f>SUM(K53:K64)</f>
        <v>164423774.5984835</v>
      </c>
    </row>
    <row r="65" spans="1:14" x14ac:dyDescent="0.2">
      <c r="A65" s="22">
        <v>39814</v>
      </c>
      <c r="B65" s="323">
        <f>20254856*(1-0.0762)</f>
        <v>18711435.972799998</v>
      </c>
      <c r="C65" s="25">
        <v>979.5</v>
      </c>
      <c r="D65" s="25">
        <v>0</v>
      </c>
      <c r="E65" s="25">
        <v>0</v>
      </c>
      <c r="F65" s="25">
        <v>4718</v>
      </c>
      <c r="H65" s="25">
        <v>174.7</v>
      </c>
      <c r="I65" s="25">
        <v>31</v>
      </c>
      <c r="K65" s="27">
        <f t="shared" si="0"/>
        <v>17636183.356486794</v>
      </c>
      <c r="L65" s="24"/>
      <c r="N65" s="166"/>
    </row>
    <row r="66" spans="1:14" x14ac:dyDescent="0.2">
      <c r="A66" s="22">
        <v>39845</v>
      </c>
      <c r="B66" s="323">
        <f>17881385*(1-0.0762)</f>
        <v>16518823.463</v>
      </c>
      <c r="C66" s="25">
        <v>711.5</v>
      </c>
      <c r="D66" s="25">
        <v>0</v>
      </c>
      <c r="E66" s="25">
        <v>0</v>
      </c>
      <c r="F66" s="25">
        <v>4718</v>
      </c>
      <c r="H66" s="25">
        <v>171</v>
      </c>
      <c r="I66" s="25">
        <v>28</v>
      </c>
      <c r="K66" s="27">
        <f t="shared" si="0"/>
        <v>15988592.90044434</v>
      </c>
      <c r="L66" s="24"/>
    </row>
    <row r="67" spans="1:14" x14ac:dyDescent="0.2">
      <c r="A67" s="22">
        <v>39873</v>
      </c>
      <c r="B67" s="323">
        <f>18062425*(1-0.0762)</f>
        <v>16686068.215</v>
      </c>
      <c r="C67" s="25">
        <v>598.29999999999995</v>
      </c>
      <c r="D67" s="25">
        <v>0</v>
      </c>
      <c r="E67" s="25">
        <v>1</v>
      </c>
      <c r="F67" s="25">
        <v>4718</v>
      </c>
      <c r="H67" s="25">
        <v>163.69999999999999</v>
      </c>
      <c r="I67" s="25">
        <v>31</v>
      </c>
      <c r="K67" s="27">
        <f t="shared" si="0"/>
        <v>14588513.579622533</v>
      </c>
      <c r="L67" s="24"/>
    </row>
    <row r="68" spans="1:14" x14ac:dyDescent="0.2">
      <c r="A68" s="22">
        <v>39904</v>
      </c>
      <c r="B68" s="323">
        <f>13549497*(1-0.0762)</f>
        <v>12517025.328599999</v>
      </c>
      <c r="C68" s="25">
        <v>334.3</v>
      </c>
      <c r="D68" s="25">
        <v>0</v>
      </c>
      <c r="E68" s="25">
        <v>1</v>
      </c>
      <c r="F68" s="25">
        <v>4718</v>
      </c>
      <c r="H68" s="25">
        <v>160.5</v>
      </c>
      <c r="I68" s="25">
        <v>30</v>
      </c>
      <c r="K68" s="27">
        <f t="shared" si="0"/>
        <v>12965514.02590907</v>
      </c>
      <c r="L68" s="24"/>
    </row>
    <row r="69" spans="1:14" x14ac:dyDescent="0.2">
      <c r="A69" s="22">
        <v>39934</v>
      </c>
      <c r="B69" s="323">
        <f>12048944*(1-0.0762)</f>
        <v>11130814.4672</v>
      </c>
      <c r="C69" s="25">
        <v>181.6</v>
      </c>
      <c r="D69" s="25">
        <v>2.5</v>
      </c>
      <c r="E69" s="25">
        <v>1</v>
      </c>
      <c r="F69" s="25">
        <v>4718</v>
      </c>
      <c r="H69" s="25">
        <v>163.1</v>
      </c>
      <c r="I69" s="25">
        <v>31</v>
      </c>
      <c r="K69" s="27">
        <f t="shared" si="0"/>
        <v>12047352.319177378</v>
      </c>
      <c r="L69" s="24"/>
    </row>
    <row r="70" spans="1:14" x14ac:dyDescent="0.2">
      <c r="A70" s="22">
        <v>39965</v>
      </c>
      <c r="B70" s="323">
        <f>12496996*(1-0.0762)</f>
        <v>11544724.9048</v>
      </c>
      <c r="C70" s="25">
        <v>50.4</v>
      </c>
      <c r="D70" s="25">
        <v>3.2</v>
      </c>
      <c r="E70" s="25">
        <v>0</v>
      </c>
      <c r="F70" s="25">
        <v>4718</v>
      </c>
      <c r="H70" s="25">
        <v>166.8</v>
      </c>
      <c r="I70" s="25">
        <v>30</v>
      </c>
      <c r="K70" s="27">
        <f t="shared" ref="K70:K133" si="6">$O$21+(C70*$O$22)+(D70*$O$23)+(E70*$O$24)+(F70*$O$25)</f>
        <v>11950694.384807497</v>
      </c>
      <c r="L70" s="24"/>
    </row>
    <row r="71" spans="1:14" x14ac:dyDescent="0.2">
      <c r="A71" s="22">
        <v>39995</v>
      </c>
      <c r="B71" s="323">
        <f>12620745*(1-0.0762)</f>
        <v>11659044.230999999</v>
      </c>
      <c r="C71" s="25">
        <v>13.1</v>
      </c>
      <c r="D71" s="25">
        <v>44.9</v>
      </c>
      <c r="E71" s="25">
        <v>0</v>
      </c>
      <c r="F71" s="25">
        <v>4718</v>
      </c>
      <c r="H71" s="25">
        <v>170.2</v>
      </c>
      <c r="I71" s="25">
        <v>31</v>
      </c>
      <c r="K71" s="27">
        <f t="shared" si="6"/>
        <v>12064925.328411553</v>
      </c>
      <c r="L71" s="24"/>
    </row>
    <row r="72" spans="1:14" x14ac:dyDescent="0.2">
      <c r="A72" s="22">
        <v>40026</v>
      </c>
      <c r="B72" s="323">
        <f>14678613*(1-0.0762)</f>
        <v>13560102.689399999</v>
      </c>
      <c r="C72" s="25">
        <v>26.1</v>
      </c>
      <c r="D72" s="25">
        <v>42.9</v>
      </c>
      <c r="E72" s="25">
        <v>0</v>
      </c>
      <c r="F72" s="25">
        <v>4718</v>
      </c>
      <c r="H72" s="25">
        <v>170.2</v>
      </c>
      <c r="I72" s="25">
        <v>31</v>
      </c>
      <c r="K72" s="27">
        <f t="shared" si="6"/>
        <v>12128368.969238721</v>
      </c>
      <c r="L72" s="24"/>
    </row>
    <row r="73" spans="1:14" x14ac:dyDescent="0.2">
      <c r="A73" s="22">
        <v>40057</v>
      </c>
      <c r="B73" s="323">
        <f>13334156*(1-0.0762)</f>
        <v>12318093.312799999</v>
      </c>
      <c r="C73" s="25">
        <v>106.5</v>
      </c>
      <c r="D73" s="25">
        <v>82.1</v>
      </c>
      <c r="E73" s="25">
        <v>1</v>
      </c>
      <c r="F73" s="25">
        <v>4718</v>
      </c>
      <c r="H73" s="25">
        <v>170.2</v>
      </c>
      <c r="I73" s="25">
        <v>30</v>
      </c>
      <c r="K73" s="27">
        <f t="shared" si="6"/>
        <v>12241434.439284451</v>
      </c>
      <c r="L73" s="24"/>
    </row>
    <row r="74" spans="1:14" x14ac:dyDescent="0.2">
      <c r="A74" s="22">
        <v>40087</v>
      </c>
      <c r="B74" s="323">
        <f>15030717*(1-0.0762)</f>
        <v>13885376.364599999</v>
      </c>
      <c r="C74" s="25">
        <v>355.5</v>
      </c>
      <c r="D74" s="25">
        <v>5</v>
      </c>
      <c r="E74" s="25">
        <v>1</v>
      </c>
      <c r="F74" s="25">
        <v>4718</v>
      </c>
      <c r="H74" s="25">
        <v>168.3</v>
      </c>
      <c r="I74" s="25">
        <v>31</v>
      </c>
      <c r="K74" s="27">
        <f t="shared" si="6"/>
        <v>13137037.787607875</v>
      </c>
      <c r="L74" s="24"/>
    </row>
    <row r="75" spans="1:14" x14ac:dyDescent="0.2">
      <c r="A75" s="22">
        <v>40118</v>
      </c>
      <c r="B75" s="323">
        <f>14206209*(1-0.0762)</f>
        <v>13123695.874199999</v>
      </c>
      <c r="C75" s="25">
        <v>417.4</v>
      </c>
      <c r="D75" s="25">
        <v>0</v>
      </c>
      <c r="E75" s="25">
        <v>1</v>
      </c>
      <c r="F75" s="25">
        <v>4718</v>
      </c>
      <c r="H75" s="25">
        <v>162.80000000000001</v>
      </c>
      <c r="I75" s="25">
        <v>30</v>
      </c>
      <c r="K75" s="27">
        <f t="shared" si="6"/>
        <v>13476390.021793876</v>
      </c>
      <c r="L75" s="24"/>
    </row>
    <row r="76" spans="1:14" x14ac:dyDescent="0.2">
      <c r="A76" s="22">
        <v>40148</v>
      </c>
      <c r="B76" s="323">
        <f>16626316*(1-0.0762)</f>
        <v>15359390.720799999</v>
      </c>
      <c r="C76" s="25">
        <v>759.4</v>
      </c>
      <c r="D76" s="25">
        <v>0</v>
      </c>
      <c r="E76" s="25">
        <v>0</v>
      </c>
      <c r="F76" s="25">
        <v>4718</v>
      </c>
      <c r="H76" s="25">
        <v>157.9</v>
      </c>
      <c r="I76" s="25">
        <v>31</v>
      </c>
      <c r="K76" s="27">
        <f t="shared" si="6"/>
        <v>16283068.955834016</v>
      </c>
      <c r="L76" s="28">
        <f>SUM(K65:K76)</f>
        <v>164508076.06861806</v>
      </c>
    </row>
    <row r="77" spans="1:14" x14ac:dyDescent="0.2">
      <c r="A77" s="22">
        <v>40179</v>
      </c>
      <c r="B77" s="25">
        <v>17203978</v>
      </c>
      <c r="C77" s="25">
        <v>789.2</v>
      </c>
      <c r="D77" s="25">
        <v>0</v>
      </c>
      <c r="E77" s="25">
        <v>0</v>
      </c>
      <c r="F77" s="25">
        <v>4817</v>
      </c>
      <c r="H77" s="25">
        <v>150.9</v>
      </c>
      <c r="I77" s="25">
        <v>31</v>
      </c>
      <c r="K77" s="27">
        <f t="shared" si="6"/>
        <v>16355222.250741877</v>
      </c>
      <c r="L77" s="24"/>
    </row>
    <row r="78" spans="1:14" x14ac:dyDescent="0.2">
      <c r="A78" s="22">
        <v>40210</v>
      </c>
      <c r="B78" s="25">
        <v>15040751</v>
      </c>
      <c r="C78" s="25">
        <v>655.8</v>
      </c>
      <c r="D78" s="25">
        <v>0</v>
      </c>
      <c r="E78" s="25">
        <v>0</v>
      </c>
      <c r="F78" s="25">
        <v>4817</v>
      </c>
      <c r="H78" s="25">
        <v>148.4</v>
      </c>
      <c r="I78" s="25">
        <v>28</v>
      </c>
      <c r="K78" s="27">
        <f t="shared" si="6"/>
        <v>15535115.658069994</v>
      </c>
      <c r="L78" s="24"/>
    </row>
    <row r="79" spans="1:14" x14ac:dyDescent="0.2">
      <c r="A79" s="22">
        <v>40238</v>
      </c>
      <c r="B79" s="25">
        <v>14229105</v>
      </c>
      <c r="C79" s="25">
        <v>460.7</v>
      </c>
      <c r="D79" s="25">
        <v>0</v>
      </c>
      <c r="E79" s="25">
        <v>1</v>
      </c>
      <c r="F79" s="25">
        <v>4817</v>
      </c>
      <c r="H79" s="25">
        <v>146.9</v>
      </c>
      <c r="I79" s="25">
        <v>31</v>
      </c>
      <c r="K79" s="27">
        <f t="shared" si="6"/>
        <v>13631537.612062082</v>
      </c>
      <c r="L79" s="24"/>
    </row>
    <row r="80" spans="1:14" x14ac:dyDescent="0.2">
      <c r="A80" s="22">
        <v>40269</v>
      </c>
      <c r="B80" s="25">
        <v>12112446</v>
      </c>
      <c r="C80" s="25">
        <v>258.10000000000002</v>
      </c>
      <c r="D80" s="25">
        <v>0</v>
      </c>
      <c r="E80" s="25">
        <v>1</v>
      </c>
      <c r="F80" s="25">
        <v>4817</v>
      </c>
      <c r="H80" s="25">
        <v>150.5</v>
      </c>
      <c r="I80" s="25">
        <v>30</v>
      </c>
      <c r="K80" s="27">
        <f t="shared" si="6"/>
        <v>12386008.409098644</v>
      </c>
      <c r="L80" s="24"/>
    </row>
    <row r="81" spans="1:12" x14ac:dyDescent="0.2">
      <c r="A81" s="22">
        <v>40299</v>
      </c>
      <c r="B81" s="25">
        <v>12101753</v>
      </c>
      <c r="C81" s="25">
        <v>112.3</v>
      </c>
      <c r="D81" s="25">
        <v>1.6</v>
      </c>
      <c r="E81" s="25">
        <v>1</v>
      </c>
      <c r="F81" s="25">
        <v>4817</v>
      </c>
      <c r="H81" s="25">
        <v>155.1</v>
      </c>
      <c r="I81" s="25">
        <v>31</v>
      </c>
      <c r="K81" s="27">
        <f t="shared" si="6"/>
        <v>11502851.452600535</v>
      </c>
      <c r="L81" s="24"/>
    </row>
    <row r="82" spans="1:12" x14ac:dyDescent="0.2">
      <c r="A82" s="22">
        <v>40330</v>
      </c>
      <c r="B82" s="25">
        <v>11911567</v>
      </c>
      <c r="C82" s="25">
        <v>37.6</v>
      </c>
      <c r="D82" s="25">
        <v>38.200000000000003</v>
      </c>
      <c r="E82" s="25">
        <v>0</v>
      </c>
      <c r="F82" s="25">
        <v>4817</v>
      </c>
      <c r="H82" s="25">
        <v>159.9</v>
      </c>
      <c r="I82" s="25">
        <v>30</v>
      </c>
      <c r="K82" s="27">
        <f t="shared" si="6"/>
        <v>12049298.425397601</v>
      </c>
      <c r="L82" s="24"/>
    </row>
    <row r="83" spans="1:12" x14ac:dyDescent="0.2">
      <c r="A83" s="22">
        <v>40360</v>
      </c>
      <c r="B83" s="25">
        <v>12637313</v>
      </c>
      <c r="C83" s="25">
        <v>4.5</v>
      </c>
      <c r="D83" s="25">
        <v>33.4</v>
      </c>
      <c r="E83" s="25">
        <v>0</v>
      </c>
      <c r="F83" s="25">
        <v>4817</v>
      </c>
      <c r="H83" s="25">
        <v>165</v>
      </c>
      <c r="I83" s="25">
        <v>31</v>
      </c>
      <c r="K83" s="27">
        <f t="shared" si="6"/>
        <v>11806264.408444256</v>
      </c>
      <c r="L83" s="24"/>
    </row>
    <row r="84" spans="1:12" x14ac:dyDescent="0.2">
      <c r="A84" s="22">
        <v>40391</v>
      </c>
      <c r="B84" s="25">
        <v>12028503</v>
      </c>
      <c r="C84" s="25">
        <v>14.7</v>
      </c>
      <c r="D84" s="25">
        <v>150.80000000000001</v>
      </c>
      <c r="E84" s="25">
        <v>0</v>
      </c>
      <c r="F84" s="25">
        <v>4817</v>
      </c>
      <c r="H84" s="25">
        <v>165.4</v>
      </c>
      <c r="I84" s="25">
        <v>31</v>
      </c>
      <c r="K84" s="27">
        <f t="shared" si="6"/>
        <v>12836158.884641979</v>
      </c>
      <c r="L84" s="24"/>
    </row>
    <row r="85" spans="1:12" x14ac:dyDescent="0.2">
      <c r="A85" s="22">
        <v>40422</v>
      </c>
      <c r="B85" s="25">
        <v>11465896</v>
      </c>
      <c r="C85" s="25">
        <v>112</v>
      </c>
      <c r="D85" s="25">
        <v>93</v>
      </c>
      <c r="E85" s="25">
        <v>1</v>
      </c>
      <c r="F85" s="25">
        <v>4817</v>
      </c>
      <c r="H85" s="25">
        <v>164.1</v>
      </c>
      <c r="I85" s="25">
        <v>30</v>
      </c>
      <c r="K85" s="27">
        <f t="shared" si="6"/>
        <v>12253996.517537899</v>
      </c>
      <c r="L85" s="24"/>
    </row>
    <row r="86" spans="1:12" x14ac:dyDescent="0.2">
      <c r="A86" s="22">
        <v>40452</v>
      </c>
      <c r="B86" s="25">
        <v>11927425</v>
      </c>
      <c r="C86" s="25">
        <v>311</v>
      </c>
      <c r="D86" s="25">
        <v>26.2</v>
      </c>
      <c r="E86" s="25">
        <v>1</v>
      </c>
      <c r="F86" s="25">
        <v>4817</v>
      </c>
      <c r="H86" s="25">
        <v>159</v>
      </c>
      <c r="I86" s="25">
        <v>31</v>
      </c>
      <c r="K86" s="27">
        <f t="shared" si="6"/>
        <v>12927069.064220518</v>
      </c>
      <c r="L86" s="24"/>
    </row>
    <row r="87" spans="1:12" x14ac:dyDescent="0.2">
      <c r="A87" s="22">
        <v>40483</v>
      </c>
      <c r="B87" s="25">
        <v>13217791</v>
      </c>
      <c r="C87" s="25">
        <v>491.6</v>
      </c>
      <c r="D87" s="25">
        <v>0</v>
      </c>
      <c r="E87" s="25">
        <v>1</v>
      </c>
      <c r="F87" s="25">
        <v>4817</v>
      </c>
      <c r="H87" s="25">
        <v>156.6</v>
      </c>
      <c r="I87" s="25">
        <v>30</v>
      </c>
      <c r="K87" s="27">
        <f t="shared" si="6"/>
        <v>13821502.332553547</v>
      </c>
      <c r="L87" s="24"/>
    </row>
    <row r="88" spans="1:12" x14ac:dyDescent="0.2">
      <c r="A88" s="22">
        <v>40513</v>
      </c>
      <c r="B88" s="25">
        <v>15412085</v>
      </c>
      <c r="C88" s="25">
        <v>731.4</v>
      </c>
      <c r="D88" s="25">
        <v>0</v>
      </c>
      <c r="E88" s="25">
        <v>0</v>
      </c>
      <c r="F88" s="25">
        <v>4817</v>
      </c>
      <c r="H88" s="25">
        <v>157.6</v>
      </c>
      <c r="I88" s="25">
        <v>31</v>
      </c>
      <c r="K88" s="27">
        <f t="shared" si="6"/>
        <v>15999883.71208794</v>
      </c>
      <c r="L88" s="28">
        <f>SUM(K77:K88)</f>
        <v>161104908.72745684</v>
      </c>
    </row>
    <row r="89" spans="1:12" x14ac:dyDescent="0.2">
      <c r="A89" s="22">
        <v>40544</v>
      </c>
      <c r="B89" s="25">
        <v>16854566</v>
      </c>
      <c r="C89" s="25">
        <v>893.2</v>
      </c>
      <c r="D89" s="25">
        <v>0</v>
      </c>
      <c r="E89" s="25">
        <v>0</v>
      </c>
      <c r="F89" s="25">
        <v>4835</v>
      </c>
      <c r="H89" s="25">
        <v>160</v>
      </c>
      <c r="I89" s="25">
        <v>31</v>
      </c>
      <c r="K89" s="27">
        <f t="shared" si="6"/>
        <v>16974394.997215096</v>
      </c>
      <c r="L89" s="24"/>
    </row>
    <row r="90" spans="1:12" x14ac:dyDescent="0.2">
      <c r="A90" s="22">
        <v>40575</v>
      </c>
      <c r="B90" s="25">
        <v>15362389</v>
      </c>
      <c r="C90" s="25">
        <v>729</v>
      </c>
      <c r="D90" s="25">
        <v>0</v>
      </c>
      <c r="E90" s="25">
        <v>0</v>
      </c>
      <c r="F90" s="25">
        <v>4835</v>
      </c>
      <c r="H90" s="25">
        <v>162.6</v>
      </c>
      <c r="I90" s="25">
        <v>28</v>
      </c>
      <c r="K90" s="27">
        <f t="shared" si="6"/>
        <v>15964938.456609979</v>
      </c>
      <c r="L90" s="24"/>
    </row>
    <row r="91" spans="1:12" x14ac:dyDescent="0.2">
      <c r="A91" s="22">
        <v>40603</v>
      </c>
      <c r="B91" s="25">
        <v>15540989</v>
      </c>
      <c r="C91" s="25">
        <v>636</v>
      </c>
      <c r="D91" s="25">
        <v>0</v>
      </c>
      <c r="E91" s="25">
        <v>1</v>
      </c>
      <c r="F91" s="25">
        <v>4835</v>
      </c>
      <c r="H91" s="25">
        <v>164</v>
      </c>
      <c r="I91" s="25">
        <v>31</v>
      </c>
      <c r="K91" s="27">
        <f t="shared" si="6"/>
        <v>14689043.192549583</v>
      </c>
      <c r="L91" s="24"/>
    </row>
    <row r="92" spans="1:12" x14ac:dyDescent="0.2">
      <c r="A92" s="22">
        <v>40634</v>
      </c>
      <c r="B92" s="25">
        <v>12632683</v>
      </c>
      <c r="C92" s="25">
        <v>347.4</v>
      </c>
      <c r="D92" s="25">
        <v>0</v>
      </c>
      <c r="E92" s="25">
        <v>1</v>
      </c>
      <c r="F92" s="25">
        <v>4835</v>
      </c>
      <c r="H92" s="25">
        <v>169.1</v>
      </c>
      <c r="I92" s="25">
        <v>30</v>
      </c>
      <c r="K92" s="27">
        <f t="shared" si="6"/>
        <v>12914809.589512818</v>
      </c>
      <c r="L92" s="24"/>
    </row>
    <row r="93" spans="1:12" x14ac:dyDescent="0.2">
      <c r="A93" s="22">
        <v>40664</v>
      </c>
      <c r="B93" s="25">
        <v>11748273</v>
      </c>
      <c r="C93" s="25">
        <v>142.80000000000001</v>
      </c>
      <c r="D93" s="25">
        <v>16.7</v>
      </c>
      <c r="E93" s="25">
        <v>1</v>
      </c>
      <c r="F93" s="25">
        <v>4835</v>
      </c>
      <c r="H93" s="25">
        <v>174.3</v>
      </c>
      <c r="I93" s="25">
        <v>31</v>
      </c>
      <c r="K93" s="27">
        <f t="shared" si="6"/>
        <v>11794566.146431066</v>
      </c>
      <c r="L93" s="24"/>
    </row>
    <row r="94" spans="1:12" x14ac:dyDescent="0.2">
      <c r="A94" s="22">
        <v>40695</v>
      </c>
      <c r="B94" s="25">
        <v>12149693</v>
      </c>
      <c r="C94" s="25">
        <v>18.5</v>
      </c>
      <c r="D94" s="25">
        <v>59.1</v>
      </c>
      <c r="E94" s="25">
        <v>0</v>
      </c>
      <c r="F94" s="25">
        <v>4835</v>
      </c>
      <c r="H94" s="25">
        <v>178.3</v>
      </c>
      <c r="I94" s="25">
        <v>30</v>
      </c>
      <c r="K94" s="27">
        <f t="shared" si="6"/>
        <v>12083868.626400605</v>
      </c>
      <c r="L94" s="24"/>
    </row>
    <row r="95" spans="1:12" x14ac:dyDescent="0.2">
      <c r="A95" s="22">
        <v>40725</v>
      </c>
      <c r="B95" s="25">
        <v>12845015</v>
      </c>
      <c r="C95" s="25">
        <v>0</v>
      </c>
      <c r="D95" s="25">
        <v>137.5</v>
      </c>
      <c r="E95" s="25">
        <v>0</v>
      </c>
      <c r="F95" s="25">
        <v>4835</v>
      </c>
      <c r="H95" s="25">
        <v>179.1</v>
      </c>
      <c r="I95" s="25">
        <v>31</v>
      </c>
      <c r="K95" s="27">
        <f t="shared" si="6"/>
        <v>12616025.939417679</v>
      </c>
      <c r="L95" s="24"/>
    </row>
    <row r="96" spans="1:12" x14ac:dyDescent="0.2">
      <c r="A96" s="22">
        <v>40756</v>
      </c>
      <c r="B96" s="25">
        <v>12809412</v>
      </c>
      <c r="C96" s="25">
        <v>2.2999999999999998</v>
      </c>
      <c r="D96" s="25">
        <v>82.3</v>
      </c>
      <c r="E96" s="25">
        <v>0</v>
      </c>
      <c r="F96" s="25">
        <v>4835</v>
      </c>
      <c r="H96" s="25">
        <v>179.4</v>
      </c>
      <c r="I96" s="25">
        <v>31</v>
      </c>
      <c r="K96" s="27">
        <f t="shared" si="6"/>
        <v>12175406.256176054</v>
      </c>
      <c r="L96" s="24"/>
    </row>
    <row r="97" spans="1:12" x14ac:dyDescent="0.2">
      <c r="A97" s="22">
        <v>40787</v>
      </c>
      <c r="B97" s="25">
        <v>11903431</v>
      </c>
      <c r="C97" s="25">
        <v>55.4</v>
      </c>
      <c r="D97" s="25">
        <v>32.9</v>
      </c>
      <c r="E97" s="25">
        <v>1</v>
      </c>
      <c r="F97" s="25">
        <v>4835</v>
      </c>
      <c r="H97" s="25">
        <v>177.5</v>
      </c>
      <c r="I97" s="25">
        <v>30</v>
      </c>
      <c r="K97" s="27">
        <f t="shared" si="6"/>
        <v>11390716.943653259</v>
      </c>
      <c r="L97" s="24"/>
    </row>
    <row r="98" spans="1:12" x14ac:dyDescent="0.2">
      <c r="A98" s="22">
        <v>40817</v>
      </c>
      <c r="B98" s="25">
        <v>12153966</v>
      </c>
      <c r="C98" s="25">
        <v>259.10000000000002</v>
      </c>
      <c r="D98" s="25">
        <v>1.4</v>
      </c>
      <c r="E98" s="25">
        <v>1</v>
      </c>
      <c r="F98" s="25">
        <v>4835</v>
      </c>
      <c r="H98" s="25">
        <v>173.8</v>
      </c>
      <c r="I98" s="25">
        <v>31</v>
      </c>
      <c r="K98" s="27">
        <f t="shared" si="6"/>
        <v>12383499.174819764</v>
      </c>
      <c r="L98" s="24"/>
    </row>
    <row r="99" spans="1:12" x14ac:dyDescent="0.2">
      <c r="A99" s="22">
        <v>40848</v>
      </c>
      <c r="B99" s="25">
        <v>13063188</v>
      </c>
      <c r="C99" s="25">
        <v>392.9</v>
      </c>
      <c r="D99" s="25">
        <v>0</v>
      </c>
      <c r="E99" s="25">
        <v>1</v>
      </c>
      <c r="F99" s="25">
        <v>4835</v>
      </c>
      <c r="H99" s="25">
        <v>170.1</v>
      </c>
      <c r="I99" s="25">
        <v>30</v>
      </c>
      <c r="K99" s="27">
        <f t="shared" si="6"/>
        <v>13194531.103505101</v>
      </c>
      <c r="L99" s="24"/>
    </row>
    <row r="100" spans="1:12" x14ac:dyDescent="0.2">
      <c r="A100" s="22">
        <v>40878</v>
      </c>
      <c r="B100" s="25">
        <v>14795610</v>
      </c>
      <c r="C100" s="25">
        <v>415</v>
      </c>
      <c r="D100" s="25">
        <v>0</v>
      </c>
      <c r="E100" s="25">
        <v>0</v>
      </c>
      <c r="F100" s="25">
        <v>4835</v>
      </c>
      <c r="H100" s="25">
        <v>166.5</v>
      </c>
      <c r="I100" s="25">
        <v>31</v>
      </c>
      <c r="K100" s="27">
        <f t="shared" si="6"/>
        <v>14034552.623784117</v>
      </c>
      <c r="L100" s="28">
        <f>SUM(K89:K100)</f>
        <v>160216353.05007511</v>
      </c>
    </row>
    <row r="101" spans="1:12" x14ac:dyDescent="0.2">
      <c r="A101" s="22">
        <v>40909</v>
      </c>
      <c r="B101" s="25">
        <v>16729278</v>
      </c>
      <c r="C101" s="25">
        <v>831</v>
      </c>
      <c r="D101" s="25">
        <v>0</v>
      </c>
      <c r="E101" s="25">
        <v>0</v>
      </c>
      <c r="F101" s="25">
        <v>4869</v>
      </c>
      <c r="H101" s="25">
        <v>165.5</v>
      </c>
      <c r="I101" s="25">
        <v>31</v>
      </c>
      <c r="K101" s="27">
        <f t="shared" si="6"/>
        <v>16553868.45051375</v>
      </c>
      <c r="L101" s="24"/>
    </row>
    <row r="102" spans="1:12" x14ac:dyDescent="0.2">
      <c r="A102" s="22">
        <v>40940</v>
      </c>
      <c r="B102" s="25">
        <v>14846741</v>
      </c>
      <c r="C102" s="25">
        <v>671.4</v>
      </c>
      <c r="D102" s="25">
        <v>0</v>
      </c>
      <c r="E102" s="25">
        <v>0</v>
      </c>
      <c r="F102" s="25">
        <v>4869</v>
      </c>
      <c r="H102" s="25">
        <v>162.5</v>
      </c>
      <c r="I102" s="25">
        <v>29</v>
      </c>
      <c r="K102" s="27">
        <f t="shared" si="6"/>
        <v>15572691.447586976</v>
      </c>
      <c r="L102" s="24"/>
    </row>
    <row r="103" spans="1:12" x14ac:dyDescent="0.2">
      <c r="A103" s="22">
        <v>40969</v>
      </c>
      <c r="B103" s="25">
        <v>13823698</v>
      </c>
      <c r="C103" s="25">
        <v>460.3</v>
      </c>
      <c r="D103" s="25">
        <v>0</v>
      </c>
      <c r="E103" s="25">
        <v>1</v>
      </c>
      <c r="F103" s="25">
        <v>4869</v>
      </c>
      <c r="H103" s="25">
        <v>161.69999999999999</v>
      </c>
      <c r="I103" s="25">
        <v>31</v>
      </c>
      <c r="K103" s="27">
        <f t="shared" si="6"/>
        <v>13570749.792263094</v>
      </c>
      <c r="L103" s="24"/>
    </row>
    <row r="104" spans="1:12" x14ac:dyDescent="0.2">
      <c r="A104" s="22">
        <v>41000</v>
      </c>
      <c r="B104" s="25">
        <v>11932417</v>
      </c>
      <c r="C104" s="25">
        <v>363.3</v>
      </c>
      <c r="D104" s="25">
        <v>3.2</v>
      </c>
      <c r="E104" s="25">
        <v>1</v>
      </c>
      <c r="F104" s="25">
        <v>4869</v>
      </c>
      <c r="H104" s="25">
        <v>161.5</v>
      </c>
      <c r="I104" s="25">
        <v>30</v>
      </c>
      <c r="K104" s="27">
        <f t="shared" si="6"/>
        <v>13000783.277572334</v>
      </c>
      <c r="L104" s="24"/>
    </row>
    <row r="105" spans="1:12" x14ac:dyDescent="0.2">
      <c r="A105" s="22">
        <v>41030</v>
      </c>
      <c r="B105" s="25">
        <v>11638145</v>
      </c>
      <c r="C105" s="25">
        <v>96</v>
      </c>
      <c r="D105" s="25">
        <v>21</v>
      </c>
      <c r="E105" s="25">
        <v>1</v>
      </c>
      <c r="F105" s="25">
        <v>4869</v>
      </c>
      <c r="H105" s="25">
        <v>165.7</v>
      </c>
      <c r="I105" s="25">
        <v>31</v>
      </c>
      <c r="K105" s="27">
        <f t="shared" si="6"/>
        <v>11504139.675941765</v>
      </c>
      <c r="L105" s="24"/>
    </row>
    <row r="106" spans="1:12" x14ac:dyDescent="0.2">
      <c r="A106" s="22">
        <v>41061</v>
      </c>
      <c r="B106" s="25">
        <v>11877651</v>
      </c>
      <c r="C106" s="25">
        <v>0</v>
      </c>
      <c r="D106" s="25">
        <v>70.400000000000006</v>
      </c>
      <c r="E106" s="25">
        <v>0</v>
      </c>
      <c r="F106" s="25">
        <v>4869</v>
      </c>
      <c r="H106" s="25">
        <v>170.8</v>
      </c>
      <c r="I106" s="25">
        <v>30</v>
      </c>
      <c r="K106" s="27">
        <f t="shared" si="6"/>
        <v>12025091.56098612</v>
      </c>
      <c r="L106" s="24"/>
    </row>
    <row r="107" spans="1:12" x14ac:dyDescent="0.2">
      <c r="A107" s="22">
        <v>41091</v>
      </c>
      <c r="B107" s="25">
        <v>12063416</v>
      </c>
      <c r="C107" s="25">
        <v>0</v>
      </c>
      <c r="D107" s="25">
        <v>142.19999999999999</v>
      </c>
      <c r="E107" s="25">
        <v>0</v>
      </c>
      <c r="F107" s="25">
        <v>4869</v>
      </c>
      <c r="H107" s="25">
        <v>174.5</v>
      </c>
      <c r="I107" s="25">
        <v>31</v>
      </c>
      <c r="K107" s="27">
        <f t="shared" si="6"/>
        <v>12616608.384525992</v>
      </c>
      <c r="L107" s="24"/>
    </row>
    <row r="108" spans="1:12" x14ac:dyDescent="0.2">
      <c r="A108" s="22">
        <v>41122</v>
      </c>
      <c r="B108" s="25">
        <v>11905509</v>
      </c>
      <c r="C108" s="25">
        <v>8.4</v>
      </c>
      <c r="D108" s="25">
        <v>97.6</v>
      </c>
      <c r="E108" s="25">
        <v>0</v>
      </c>
      <c r="F108" s="25">
        <v>4869</v>
      </c>
      <c r="H108" s="25">
        <v>174.2</v>
      </c>
      <c r="I108" s="25">
        <v>31</v>
      </c>
      <c r="K108" s="27">
        <f t="shared" si="6"/>
        <v>12300816.823568989</v>
      </c>
      <c r="L108" s="24"/>
    </row>
    <row r="109" spans="1:12" x14ac:dyDescent="0.2">
      <c r="A109" s="22">
        <v>41153</v>
      </c>
      <c r="B109" s="25">
        <v>10733049</v>
      </c>
      <c r="C109" s="25">
        <v>127.3</v>
      </c>
      <c r="D109" s="25">
        <v>20.6</v>
      </c>
      <c r="E109" s="25">
        <v>1</v>
      </c>
      <c r="F109" s="25">
        <v>4869</v>
      </c>
      <c r="H109" s="25">
        <v>170.5</v>
      </c>
      <c r="I109" s="25">
        <v>30</v>
      </c>
      <c r="K109" s="27">
        <f t="shared" si="6"/>
        <v>11693268.128317714</v>
      </c>
      <c r="L109" s="24"/>
    </row>
    <row r="110" spans="1:12" x14ac:dyDescent="0.2">
      <c r="A110" s="22">
        <v>41183</v>
      </c>
      <c r="B110" s="25">
        <v>11493823</v>
      </c>
      <c r="C110" s="25">
        <v>243.1</v>
      </c>
      <c r="D110" s="25">
        <v>0</v>
      </c>
      <c r="E110" s="25">
        <v>1</v>
      </c>
      <c r="F110" s="25">
        <v>4869</v>
      </c>
      <c r="H110" s="25">
        <v>165.2</v>
      </c>
      <c r="I110" s="25">
        <v>31</v>
      </c>
      <c r="K110" s="27">
        <f t="shared" si="6"/>
        <v>12235463.795798834</v>
      </c>
      <c r="L110" s="24"/>
    </row>
    <row r="111" spans="1:12" x14ac:dyDescent="0.2">
      <c r="A111" s="22">
        <v>41214</v>
      </c>
      <c r="B111" s="25">
        <v>13327753</v>
      </c>
      <c r="C111" s="25">
        <v>541.70000000000005</v>
      </c>
      <c r="D111" s="25">
        <v>0</v>
      </c>
      <c r="E111" s="25">
        <v>1</v>
      </c>
      <c r="F111" s="25">
        <v>4869</v>
      </c>
      <c r="H111" s="25">
        <v>162.9</v>
      </c>
      <c r="I111" s="25">
        <v>30</v>
      </c>
      <c r="K111" s="27">
        <f t="shared" si="6"/>
        <v>14071174.654658079</v>
      </c>
      <c r="L111" s="24"/>
    </row>
    <row r="112" spans="1:12" x14ac:dyDescent="0.2">
      <c r="A112" s="22">
        <v>41244</v>
      </c>
      <c r="B112" s="25">
        <v>14788743</v>
      </c>
      <c r="C112" s="25">
        <v>680.6</v>
      </c>
      <c r="D112" s="25">
        <v>0</v>
      </c>
      <c r="E112" s="25">
        <v>0</v>
      </c>
      <c r="F112" s="25">
        <v>4869</v>
      </c>
      <c r="H112" s="25">
        <v>165.2</v>
      </c>
      <c r="I112" s="25">
        <v>31</v>
      </c>
      <c r="K112" s="27">
        <f t="shared" si="6"/>
        <v>15629250.522943657</v>
      </c>
      <c r="L112" s="28">
        <f>SUM(K101:K112)</f>
        <v>160773906.51467732</v>
      </c>
    </row>
    <row r="113" spans="1:12" x14ac:dyDescent="0.2">
      <c r="A113" s="22">
        <v>41275</v>
      </c>
      <c r="C113" s="25">
        <f t="shared" ref="C113:D136" si="7">AVERAGE(C5,C17,C29,C41,C53,C65,C77,C89,C101)</f>
        <v>860.41111111111104</v>
      </c>
      <c r="D113" s="25">
        <f t="shared" si="7"/>
        <v>0</v>
      </c>
      <c r="E113" s="25">
        <v>0</v>
      </c>
      <c r="F113" s="25">
        <f>AVERAGE(,F5,F17,F29,F41,F53,F65,F77,F89,F101)</f>
        <v>4257.1000000000004</v>
      </c>
      <c r="H113" s="25">
        <f>AVERAGE(,H5,H17,H29,H41,H53,H65,H77,H89,H101)</f>
        <v>144.14000000000001</v>
      </c>
      <c r="K113" s="27">
        <f t="shared" si="6"/>
        <v>17421051.998799447</v>
      </c>
      <c r="L113" s="24"/>
    </row>
    <row r="114" spans="1:12" x14ac:dyDescent="0.2">
      <c r="A114" s="22">
        <v>41306</v>
      </c>
      <c r="C114" s="25">
        <f t="shared" si="7"/>
        <v>725.94444444444446</v>
      </c>
      <c r="D114" s="25">
        <f t="shared" si="7"/>
        <v>0</v>
      </c>
      <c r="E114" s="25">
        <v>0</v>
      </c>
      <c r="F114" s="25">
        <f t="shared" ref="F114:F136" si="8">AVERAGE(,F6,F18,F30,F42,F54,F66,F78,F90,F102)</f>
        <v>4257.1000000000004</v>
      </c>
      <c r="H114" s="25">
        <f t="shared" ref="H114:H136" si="9">AVERAGE(,H6,H18,H30,H42,H54,H66,H78,H90,H102)</f>
        <v>143.19999999999999</v>
      </c>
      <c r="K114" s="27">
        <f t="shared" si="6"/>
        <v>16594387.832173169</v>
      </c>
      <c r="L114" s="24"/>
    </row>
    <row r="115" spans="1:12" x14ac:dyDescent="0.2">
      <c r="A115" s="22">
        <v>41334</v>
      </c>
      <c r="C115" s="25">
        <f t="shared" si="7"/>
        <v>594.20000000000005</v>
      </c>
      <c r="D115" s="25">
        <f t="shared" si="7"/>
        <v>0</v>
      </c>
      <c r="E115" s="25">
        <v>1</v>
      </c>
      <c r="F115" s="25">
        <f t="shared" si="8"/>
        <v>4257.1000000000004</v>
      </c>
      <c r="H115" s="25">
        <f t="shared" si="9"/>
        <v>141.70000000000002</v>
      </c>
      <c r="K115" s="27">
        <f t="shared" si="6"/>
        <v>15080302.355831679</v>
      </c>
      <c r="L115" s="24"/>
    </row>
    <row r="116" spans="1:12" x14ac:dyDescent="0.2">
      <c r="A116" s="22">
        <v>41365</v>
      </c>
      <c r="C116" s="25">
        <f t="shared" si="7"/>
        <v>332.00000000000006</v>
      </c>
      <c r="D116" s="25">
        <f t="shared" si="7"/>
        <v>0.56666666666666665</v>
      </c>
      <c r="E116" s="25">
        <v>1</v>
      </c>
      <c r="F116" s="25">
        <f t="shared" si="8"/>
        <v>4257.1000000000004</v>
      </c>
      <c r="H116" s="25">
        <f t="shared" si="9"/>
        <v>142.4</v>
      </c>
      <c r="K116" s="27">
        <f t="shared" si="6"/>
        <v>13473037.132493176</v>
      </c>
      <c r="L116" s="24"/>
    </row>
    <row r="117" spans="1:12" x14ac:dyDescent="0.2">
      <c r="A117" s="22">
        <v>41395</v>
      </c>
      <c r="C117" s="25">
        <f t="shared" si="7"/>
        <v>152.75555555555556</v>
      </c>
      <c r="D117" s="25">
        <f t="shared" si="7"/>
        <v>7.1777777777777771</v>
      </c>
      <c r="E117" s="25">
        <v>1</v>
      </c>
      <c r="F117" s="25">
        <f t="shared" si="8"/>
        <v>4257.1000000000004</v>
      </c>
      <c r="H117" s="25">
        <f t="shared" si="9"/>
        <v>145.84</v>
      </c>
      <c r="K117" s="27">
        <f t="shared" si="6"/>
        <v>12425556.42638693</v>
      </c>
      <c r="L117" s="24"/>
    </row>
    <row r="118" spans="1:12" x14ac:dyDescent="0.2">
      <c r="A118" s="22">
        <v>41426</v>
      </c>
      <c r="C118" s="25">
        <f t="shared" si="7"/>
        <v>28.977777777777774</v>
      </c>
      <c r="D118" s="25">
        <f t="shared" si="7"/>
        <v>41.677777777777777</v>
      </c>
      <c r="E118" s="25">
        <v>0</v>
      </c>
      <c r="F118" s="25">
        <f t="shared" si="8"/>
        <v>4257.1000000000004</v>
      </c>
      <c r="H118" s="25">
        <f t="shared" si="9"/>
        <v>150.55000000000001</v>
      </c>
      <c r="K118" s="27">
        <f t="shared" si="6"/>
        <v>12652986.057890512</v>
      </c>
      <c r="L118" s="24"/>
    </row>
    <row r="119" spans="1:12" x14ac:dyDescent="0.2">
      <c r="A119" s="22">
        <v>41456</v>
      </c>
      <c r="C119" s="25">
        <f t="shared" si="7"/>
        <v>3.8555555555555561</v>
      </c>
      <c r="D119" s="25">
        <f t="shared" si="7"/>
        <v>92.344444444444434</v>
      </c>
      <c r="E119" s="25">
        <v>0</v>
      </c>
      <c r="F119" s="25">
        <f t="shared" si="8"/>
        <v>4257.1000000000004</v>
      </c>
      <c r="H119" s="25">
        <f t="shared" si="9"/>
        <v>155.03</v>
      </c>
      <c r="K119" s="27">
        <f t="shared" si="6"/>
        <v>12915953.587117501</v>
      </c>
      <c r="L119" s="24"/>
    </row>
    <row r="120" spans="1:12" x14ac:dyDescent="0.2">
      <c r="A120" s="22">
        <v>41487</v>
      </c>
      <c r="C120" s="25">
        <f t="shared" si="7"/>
        <v>15.822222222222223</v>
      </c>
      <c r="D120" s="25">
        <f t="shared" si="7"/>
        <v>83.177777777777777</v>
      </c>
      <c r="E120" s="25">
        <v>0</v>
      </c>
      <c r="F120" s="25">
        <f t="shared" si="8"/>
        <v>4257.1000000000004</v>
      </c>
      <c r="H120" s="25">
        <f t="shared" si="9"/>
        <v>156.91000000000003</v>
      </c>
      <c r="K120" s="27">
        <f t="shared" si="6"/>
        <v>12914002.741100639</v>
      </c>
      <c r="L120" s="24"/>
    </row>
    <row r="121" spans="1:12" x14ac:dyDescent="0.2">
      <c r="A121" s="22">
        <v>41518</v>
      </c>
      <c r="C121" s="25">
        <f t="shared" si="7"/>
        <v>91.066666666666663</v>
      </c>
      <c r="D121" s="25">
        <f t="shared" si="7"/>
        <v>45.211111111111109</v>
      </c>
      <c r="E121" s="25">
        <v>1</v>
      </c>
      <c r="F121" s="25">
        <f t="shared" si="8"/>
        <v>4257.1000000000004</v>
      </c>
      <c r="H121" s="25">
        <f t="shared" si="9"/>
        <v>155.88999999999999</v>
      </c>
      <c r="K121" s="27">
        <f t="shared" si="6"/>
        <v>12359643.722319052</v>
      </c>
      <c r="L121" s="24"/>
    </row>
    <row r="122" spans="1:12" x14ac:dyDescent="0.2">
      <c r="A122" s="22">
        <v>41548</v>
      </c>
      <c r="C122" s="25">
        <f t="shared" si="7"/>
        <v>290.04444444444442</v>
      </c>
      <c r="D122" s="25">
        <f t="shared" si="7"/>
        <v>9.9666666666666668</v>
      </c>
      <c r="E122" s="25">
        <v>1</v>
      </c>
      <c r="F122" s="25">
        <f t="shared" si="8"/>
        <v>4257.1000000000004</v>
      </c>
      <c r="H122" s="25">
        <f t="shared" si="9"/>
        <v>153.38</v>
      </c>
      <c r="K122" s="27">
        <f t="shared" si="6"/>
        <v>13292546.811474532</v>
      </c>
      <c r="L122" s="24"/>
    </row>
    <row r="123" spans="1:12" x14ac:dyDescent="0.2">
      <c r="A123" s="22">
        <v>41579</v>
      </c>
      <c r="C123" s="25">
        <f t="shared" si="7"/>
        <v>472.13333333333333</v>
      </c>
      <c r="D123" s="25">
        <f t="shared" si="7"/>
        <v>0.21111111111111111</v>
      </c>
      <c r="E123" s="25">
        <v>1</v>
      </c>
      <c r="F123" s="25">
        <f t="shared" si="8"/>
        <v>4257.1000000000004</v>
      </c>
      <c r="H123" s="25">
        <f t="shared" si="9"/>
        <v>149.53</v>
      </c>
      <c r="K123" s="27">
        <f t="shared" si="6"/>
        <v>14331609.203331381</v>
      </c>
      <c r="L123" s="24"/>
    </row>
    <row r="124" spans="1:12" x14ac:dyDescent="0.2">
      <c r="A124" s="22">
        <v>41609</v>
      </c>
      <c r="C124" s="25">
        <f t="shared" si="7"/>
        <v>706.41111111111104</v>
      </c>
      <c r="D124" s="25">
        <f t="shared" si="7"/>
        <v>0</v>
      </c>
      <c r="E124" s="25">
        <v>0</v>
      </c>
      <c r="F124" s="25">
        <f t="shared" si="8"/>
        <v>4257.1000000000004</v>
      </c>
      <c r="H124" s="25">
        <f t="shared" si="9"/>
        <v>148.03</v>
      </c>
      <c r="K124" s="27">
        <f t="shared" si="6"/>
        <v>16474302.259133261</v>
      </c>
      <c r="L124" s="28">
        <f>SUM(K113:K124)</f>
        <v>169935380.12805128</v>
      </c>
    </row>
    <row r="125" spans="1:12" x14ac:dyDescent="0.2">
      <c r="A125" s="22">
        <v>41640</v>
      </c>
      <c r="C125" s="25">
        <f t="shared" si="7"/>
        <v>839.86790123456785</v>
      </c>
      <c r="D125" s="25">
        <f t="shared" si="7"/>
        <v>0</v>
      </c>
      <c r="E125" s="25">
        <v>0</v>
      </c>
      <c r="F125" s="25">
        <f t="shared" si="8"/>
        <v>4224.8099999999995</v>
      </c>
      <c r="H125" s="25">
        <f t="shared" si="9"/>
        <v>143.60400000000001</v>
      </c>
      <c r="K125" s="27">
        <f t="shared" si="6"/>
        <v>17330977.879547801</v>
      </c>
      <c r="L125" s="24"/>
    </row>
    <row r="126" spans="1:12" x14ac:dyDescent="0.2">
      <c r="A126" s="22">
        <v>41671</v>
      </c>
      <c r="C126" s="25">
        <f t="shared" si="7"/>
        <v>723.27160493827159</v>
      </c>
      <c r="D126" s="25">
        <f t="shared" si="7"/>
        <v>0</v>
      </c>
      <c r="E126" s="25">
        <v>0</v>
      </c>
      <c r="F126" s="25">
        <f t="shared" si="8"/>
        <v>4224.8099999999995</v>
      </c>
      <c r="H126" s="25">
        <f t="shared" si="9"/>
        <v>142.54000000000002</v>
      </c>
      <c r="K126" s="27">
        <f t="shared" si="6"/>
        <v>16614175.846011698</v>
      </c>
      <c r="L126" s="24"/>
    </row>
    <row r="127" spans="1:12" x14ac:dyDescent="0.2">
      <c r="A127" s="22">
        <v>41699</v>
      </c>
      <c r="C127" s="25">
        <f t="shared" si="7"/>
        <v>598.08888888888885</v>
      </c>
      <c r="D127" s="25">
        <f t="shared" si="7"/>
        <v>0</v>
      </c>
      <c r="E127" s="25">
        <v>1</v>
      </c>
      <c r="F127" s="25">
        <f t="shared" si="8"/>
        <v>4224.8099999999995</v>
      </c>
      <c r="H127" s="25">
        <f t="shared" si="9"/>
        <v>141.05000000000001</v>
      </c>
      <c r="K127" s="27">
        <f t="shared" si="6"/>
        <v>15140430.07518829</v>
      </c>
      <c r="L127" s="24"/>
    </row>
    <row r="128" spans="1:12" x14ac:dyDescent="0.2">
      <c r="A128" s="22">
        <v>41730</v>
      </c>
      <c r="C128" s="25">
        <f t="shared" si="7"/>
        <v>326.91111111111115</v>
      </c>
      <c r="D128" s="25">
        <f t="shared" si="7"/>
        <v>0.41851851851851851</v>
      </c>
      <c r="E128" s="25">
        <v>1</v>
      </c>
      <c r="F128" s="25">
        <f t="shared" si="8"/>
        <v>4224.8099999999995</v>
      </c>
      <c r="H128" s="25">
        <f t="shared" si="9"/>
        <v>141.80000000000001</v>
      </c>
      <c r="K128" s="27">
        <f t="shared" si="6"/>
        <v>13476751.434641603</v>
      </c>
      <c r="L128" s="24"/>
    </row>
    <row r="129" spans="1:12" x14ac:dyDescent="0.2">
      <c r="A129" s="22">
        <v>41760</v>
      </c>
      <c r="C129" s="25">
        <f t="shared" si="7"/>
        <v>151.26172839506171</v>
      </c>
      <c r="D129" s="25">
        <f t="shared" si="7"/>
        <v>7.5308641975308639</v>
      </c>
      <c r="E129" s="25">
        <v>1</v>
      </c>
      <c r="F129" s="25">
        <f t="shared" si="8"/>
        <v>4224.8099999999995</v>
      </c>
      <c r="H129" s="25">
        <f t="shared" si="9"/>
        <v>145.01399999999998</v>
      </c>
      <c r="K129" s="27">
        <f t="shared" si="6"/>
        <v>12455501.550287385</v>
      </c>
      <c r="L129" s="24"/>
    </row>
    <row r="130" spans="1:12" x14ac:dyDescent="0.2">
      <c r="A130" s="22">
        <v>41791</v>
      </c>
      <c r="C130" s="25">
        <f t="shared" si="7"/>
        <v>26.197530864197532</v>
      </c>
      <c r="D130" s="25">
        <f t="shared" si="7"/>
        <v>43.297530864197533</v>
      </c>
      <c r="E130" s="25">
        <v>0</v>
      </c>
      <c r="F130" s="25">
        <f t="shared" si="8"/>
        <v>4224.8099999999995</v>
      </c>
      <c r="H130" s="25">
        <f t="shared" si="9"/>
        <v>149.60499999999999</v>
      </c>
      <c r="K130" s="27">
        <f t="shared" si="6"/>
        <v>12685457.927602045</v>
      </c>
      <c r="L130" s="24"/>
    </row>
    <row r="131" spans="1:12" x14ac:dyDescent="0.2">
      <c r="A131" s="22">
        <v>41821</v>
      </c>
      <c r="C131" s="25">
        <f t="shared" si="7"/>
        <v>4.0839506172839499</v>
      </c>
      <c r="D131" s="25">
        <f t="shared" si="7"/>
        <v>92.993827160493822</v>
      </c>
      <c r="E131" s="25">
        <v>0</v>
      </c>
      <c r="F131" s="25">
        <f t="shared" si="8"/>
        <v>4224.8099999999995</v>
      </c>
      <c r="H131" s="25">
        <f t="shared" si="9"/>
        <v>153.85300000000001</v>
      </c>
      <c r="K131" s="27">
        <f t="shared" si="6"/>
        <v>12958927.466815837</v>
      </c>
      <c r="L131" s="24"/>
    </row>
    <row r="132" spans="1:12" x14ac:dyDescent="0.2">
      <c r="A132" s="22">
        <v>41852</v>
      </c>
      <c r="C132" s="25">
        <f t="shared" si="7"/>
        <v>14.269135802469135</v>
      </c>
      <c r="D132" s="25">
        <f t="shared" si="7"/>
        <v>87.141975308641975</v>
      </c>
      <c r="E132" s="25">
        <v>0</v>
      </c>
      <c r="F132" s="25">
        <f t="shared" si="8"/>
        <v>4224.8099999999995</v>
      </c>
      <c r="H132" s="25">
        <f t="shared" si="9"/>
        <v>155.72100000000003</v>
      </c>
      <c r="K132" s="27">
        <f t="shared" si="6"/>
        <v>12973333.318204563</v>
      </c>
      <c r="L132" s="24"/>
    </row>
    <row r="133" spans="1:12" x14ac:dyDescent="0.2">
      <c r="A133" s="22">
        <v>41883</v>
      </c>
      <c r="C133" s="25">
        <f t="shared" si="7"/>
        <v>93.762962962962945</v>
      </c>
      <c r="D133" s="25">
        <f t="shared" si="7"/>
        <v>49.001234567901228</v>
      </c>
      <c r="E133" s="25">
        <v>1</v>
      </c>
      <c r="F133" s="25">
        <f t="shared" si="8"/>
        <v>4224.8099999999995</v>
      </c>
      <c r="H133" s="25">
        <f t="shared" si="9"/>
        <v>154.46899999999999</v>
      </c>
      <c r="K133" s="27">
        <f t="shared" si="6"/>
        <v>12443664.247122094</v>
      </c>
      <c r="L133" s="24"/>
    </row>
    <row r="134" spans="1:12" x14ac:dyDescent="0.2">
      <c r="A134" s="22">
        <v>41913</v>
      </c>
      <c r="C134" s="25">
        <f t="shared" si="7"/>
        <v>290.38271604938268</v>
      </c>
      <c r="D134" s="25">
        <f t="shared" si="7"/>
        <v>11.074074074074074</v>
      </c>
      <c r="E134" s="25">
        <v>1</v>
      </c>
      <c r="F134" s="25">
        <f t="shared" si="8"/>
        <v>4224.8099999999995</v>
      </c>
      <c r="H134" s="25">
        <f t="shared" si="9"/>
        <v>151.53800000000001</v>
      </c>
      <c r="K134" s="27">
        <f t="shared" ref="K134:K136" si="10">$O$21+(C134*$O$22)+(D134*$O$23)+(E134*$O$24)+(F134*$O$25)</f>
        <v>13339969.57073456</v>
      </c>
      <c r="L134" s="24"/>
    </row>
    <row r="135" spans="1:12" x14ac:dyDescent="0.2">
      <c r="A135" s="22">
        <v>41944</v>
      </c>
      <c r="C135" s="25">
        <f t="shared" si="7"/>
        <v>470.78148148148142</v>
      </c>
      <c r="D135" s="25">
        <f t="shared" si="7"/>
        <v>0.23456790123456792</v>
      </c>
      <c r="E135" s="25">
        <v>1</v>
      </c>
      <c r="F135" s="25">
        <f t="shared" si="8"/>
        <v>4224.8099999999995</v>
      </c>
      <c r="H135" s="25">
        <f t="shared" si="9"/>
        <v>147.483</v>
      </c>
      <c r="K135" s="27">
        <f t="shared" si="10"/>
        <v>14359711.533089112</v>
      </c>
      <c r="L135" s="24"/>
    </row>
    <row r="136" spans="1:12" x14ac:dyDescent="0.2">
      <c r="A136" s="22">
        <v>41974</v>
      </c>
      <c r="C136" s="25">
        <f t="shared" si="7"/>
        <v>694.3567901234569</v>
      </c>
      <c r="D136" s="25">
        <f t="shared" si="7"/>
        <v>0</v>
      </c>
      <c r="E136" s="25">
        <v>0</v>
      </c>
      <c r="F136" s="25">
        <f t="shared" si="8"/>
        <v>4224.8099999999995</v>
      </c>
      <c r="H136" s="25">
        <f t="shared" si="9"/>
        <v>146.07300000000001</v>
      </c>
      <c r="K136" s="27">
        <f t="shared" si="10"/>
        <v>16436415.499268699</v>
      </c>
      <c r="L136" s="28">
        <f>SUM(K125:K136)</f>
        <v>170215316.34851369</v>
      </c>
    </row>
    <row r="137" spans="1:12" x14ac:dyDescent="0.2">
      <c r="A137" s="26"/>
    </row>
  </sheetData>
  <mergeCells count="1">
    <mergeCell ref="H3:I3"/>
  </mergeCells>
  <phoneticPr fontId="0"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1"/>
  <sheetViews>
    <sheetView workbookViewId="0">
      <selection activeCell="O23" sqref="O23"/>
    </sheetView>
  </sheetViews>
  <sheetFormatPr defaultRowHeight="12.75" x14ac:dyDescent="0.2"/>
  <cols>
    <col min="1" max="1" width="21.33203125" bestFit="1" customWidth="1"/>
  </cols>
  <sheetData>
    <row r="1" spans="1:9" x14ac:dyDescent="0.2">
      <c r="A1" t="s">
        <v>137</v>
      </c>
    </row>
    <row r="2" spans="1:9" ht="13.5" thickBot="1" x14ac:dyDescent="0.25"/>
    <row r="3" spans="1:9" x14ac:dyDescent="0.2">
      <c r="A3" s="2" t="s">
        <v>25</v>
      </c>
      <c r="B3" s="2"/>
    </row>
    <row r="4" spans="1:9" x14ac:dyDescent="0.2">
      <c r="A4" s="103" t="s">
        <v>26</v>
      </c>
      <c r="B4" s="103">
        <v>0.92528955050784256</v>
      </c>
    </row>
    <row r="5" spans="1:9" x14ac:dyDescent="0.2">
      <c r="A5" s="103" t="s">
        <v>27</v>
      </c>
      <c r="B5" s="103">
        <v>0.85616075227900523</v>
      </c>
    </row>
    <row r="6" spans="1:9" x14ac:dyDescent="0.2">
      <c r="A6" s="103" t="s">
        <v>28</v>
      </c>
      <c r="B6" s="103">
        <v>0.85057476207624816</v>
      </c>
    </row>
    <row r="7" spans="1:9" x14ac:dyDescent="0.2">
      <c r="A7" s="103" t="s">
        <v>29</v>
      </c>
      <c r="B7" s="103">
        <v>744594.71729526122</v>
      </c>
    </row>
    <row r="8" spans="1:9" ht="13.5" thickBot="1" x14ac:dyDescent="0.25">
      <c r="A8" s="139" t="s">
        <v>30</v>
      </c>
      <c r="B8" s="139">
        <v>108</v>
      </c>
    </row>
    <row r="10" spans="1:9" ht="13.5" thickBot="1" x14ac:dyDescent="0.25">
      <c r="A10" t="s">
        <v>31</v>
      </c>
    </row>
    <row r="11" spans="1:9" x14ac:dyDescent="0.2">
      <c r="A11" s="1"/>
      <c r="B11" s="1" t="s">
        <v>36</v>
      </c>
      <c r="C11" s="1" t="s">
        <v>37</v>
      </c>
      <c r="D11" s="1" t="s">
        <v>38</v>
      </c>
      <c r="E11" s="1" t="s">
        <v>39</v>
      </c>
      <c r="F11" s="1" t="s">
        <v>40</v>
      </c>
    </row>
    <row r="12" spans="1:9" x14ac:dyDescent="0.2">
      <c r="A12" s="103" t="s">
        <v>32</v>
      </c>
      <c r="B12" s="103">
        <v>4</v>
      </c>
      <c r="C12" s="103">
        <v>339903031753010</v>
      </c>
      <c r="D12" s="103">
        <v>84975757938252.5</v>
      </c>
      <c r="E12" s="103">
        <v>153.26928999202869</v>
      </c>
      <c r="F12" s="103">
        <v>1.9265861741447404E-42</v>
      </c>
    </row>
    <row r="13" spans="1:9" x14ac:dyDescent="0.2">
      <c r="A13" s="103" t="s">
        <v>33</v>
      </c>
      <c r="B13" s="103">
        <v>103</v>
      </c>
      <c r="C13" s="103">
        <v>57105393181473.031</v>
      </c>
      <c r="D13" s="103">
        <v>554421293024.01001</v>
      </c>
      <c r="E13" s="103"/>
      <c r="F13" s="103"/>
    </row>
    <row r="14" spans="1:9" ht="13.5" thickBot="1" x14ac:dyDescent="0.25">
      <c r="A14" s="139" t="s">
        <v>34</v>
      </c>
      <c r="B14" s="139">
        <v>107</v>
      </c>
      <c r="C14" s="139">
        <v>397008424934483</v>
      </c>
      <c r="D14" s="139"/>
      <c r="E14" s="139"/>
      <c r="F14" s="139"/>
    </row>
    <row r="15" spans="1:9" ht="13.5" thickBot="1" x14ac:dyDescent="0.25"/>
    <row r="16" spans="1:9" x14ac:dyDescent="0.2">
      <c r="A16" s="1"/>
      <c r="B16" s="1" t="s">
        <v>41</v>
      </c>
      <c r="C16" s="1" t="s">
        <v>29</v>
      </c>
      <c r="D16" s="1" t="s">
        <v>42</v>
      </c>
      <c r="E16" s="1" t="s">
        <v>43</v>
      </c>
      <c r="F16" s="1" t="s">
        <v>44</v>
      </c>
      <c r="G16" s="1" t="s">
        <v>45</v>
      </c>
      <c r="H16" s="1" t="s">
        <v>46</v>
      </c>
      <c r="I16" s="1" t="s">
        <v>47</v>
      </c>
    </row>
    <row r="17" spans="1:9" x14ac:dyDescent="0.2">
      <c r="A17" s="103" t="s">
        <v>35</v>
      </c>
      <c r="B17" s="103">
        <v>16906696.650459744</v>
      </c>
      <c r="C17" s="103">
        <v>3508588.6757652024</v>
      </c>
      <c r="D17" s="103">
        <v>4.8186602115086901</v>
      </c>
      <c r="E17" s="103">
        <v>4.9941266908133983E-6</v>
      </c>
      <c r="F17" s="103">
        <v>9948238.5310564227</v>
      </c>
      <c r="G17" s="103">
        <v>23865154.769863065</v>
      </c>
      <c r="H17" s="103">
        <v>9948238.5310564227</v>
      </c>
      <c r="I17" s="103">
        <v>23865154.769863065</v>
      </c>
    </row>
    <row r="18" spans="1:9" x14ac:dyDescent="0.2">
      <c r="A18" s="103" t="s">
        <v>2</v>
      </c>
      <c r="B18" s="103">
        <v>6147.7255822479701</v>
      </c>
      <c r="C18" s="103">
        <v>348.21842255749215</v>
      </c>
      <c r="D18" s="103">
        <v>17.654797058397904</v>
      </c>
      <c r="E18" s="103">
        <v>6.3586401696552485E-33</v>
      </c>
      <c r="F18" s="103">
        <v>5457.116470240122</v>
      </c>
      <c r="G18" s="103">
        <v>6838.3346942558182</v>
      </c>
      <c r="H18" s="103">
        <v>5457.116470240122</v>
      </c>
      <c r="I18" s="103">
        <v>6838.3346942558182</v>
      </c>
    </row>
    <row r="19" spans="1:9" x14ac:dyDescent="0.2">
      <c r="A19" s="103" t="s">
        <v>3</v>
      </c>
      <c r="B19" s="103">
        <v>8238.3958710288771</v>
      </c>
      <c r="C19" s="103">
        <v>2876.124225436326</v>
      </c>
      <c r="D19" s="103">
        <v>2.8644089146667722</v>
      </c>
      <c r="E19" s="103">
        <v>5.0639980236749163E-3</v>
      </c>
      <c r="F19" s="103">
        <v>2534.2818188066703</v>
      </c>
      <c r="G19" s="103">
        <v>13942.509923251084</v>
      </c>
      <c r="H19" s="103">
        <v>2534.2818188066703</v>
      </c>
      <c r="I19" s="103">
        <v>13942.509923251084</v>
      </c>
    </row>
    <row r="20" spans="1:9" x14ac:dyDescent="0.2">
      <c r="A20" s="103" t="s">
        <v>24</v>
      </c>
      <c r="B20" s="103">
        <v>-704156.78491133533</v>
      </c>
      <c r="C20" s="103">
        <v>170577.53587701553</v>
      </c>
      <c r="D20" s="103">
        <v>-4.1280745514991164</v>
      </c>
      <c r="E20" s="103">
        <v>7.4445831555606352E-5</v>
      </c>
      <c r="F20" s="103">
        <v>-1042457.0957200287</v>
      </c>
      <c r="G20" s="103">
        <v>-365856.47410264186</v>
      </c>
      <c r="H20" s="103">
        <v>-1042457.0957200287</v>
      </c>
      <c r="I20" s="103">
        <v>-365856.47410264186</v>
      </c>
    </row>
    <row r="21" spans="1:9" ht="13.5" thickBot="1" x14ac:dyDescent="0.25">
      <c r="A21" s="343" t="s">
        <v>197</v>
      </c>
      <c r="B21" s="139">
        <v>-1121.7063378094181</v>
      </c>
      <c r="C21" s="139">
        <v>740.81247899459845</v>
      </c>
      <c r="D21" s="139">
        <v>-1.5141569150289609</v>
      </c>
      <c r="E21" s="139">
        <v>0.13304871656989678</v>
      </c>
      <c r="F21" s="139">
        <v>-2590.9331654001476</v>
      </c>
      <c r="G21" s="139">
        <v>347.52048978131143</v>
      </c>
      <c r="H21" s="139">
        <v>-2590.9331654001476</v>
      </c>
      <c r="I21" s="139">
        <v>347.52048978131143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V50"/>
  <sheetViews>
    <sheetView topLeftCell="A4" workbookViewId="0">
      <selection activeCell="E7" sqref="E7"/>
    </sheetView>
  </sheetViews>
  <sheetFormatPr defaultColWidth="11.1640625" defaultRowHeight="12.75" x14ac:dyDescent="0.2"/>
  <cols>
    <col min="1" max="1" width="11.6640625" style="3" customWidth="1"/>
    <col min="2" max="7" width="11.6640625" style="23" customWidth="1"/>
    <col min="8" max="24" width="11.6640625" style="3" customWidth="1"/>
    <col min="25" max="16384" width="11.1640625" style="3"/>
  </cols>
  <sheetData>
    <row r="2" spans="2:22" s="53" customFormat="1" ht="15.75" customHeight="1" x14ac:dyDescent="0.2">
      <c r="B2" s="138" t="s">
        <v>86</v>
      </c>
      <c r="D2" s="59"/>
      <c r="E2" s="59"/>
      <c r="F2" s="59"/>
      <c r="G2" s="59"/>
      <c r="H2" s="59"/>
    </row>
    <row r="4" spans="2:22" ht="12.75" customHeight="1" thickBot="1" x14ac:dyDescent="0.25"/>
    <row r="5" spans="2:22" ht="14.25" customHeight="1" thickBot="1" x14ac:dyDescent="0.25">
      <c r="B5" s="467" t="s">
        <v>11</v>
      </c>
      <c r="C5" s="468"/>
      <c r="D5" s="468"/>
      <c r="E5" s="468"/>
      <c r="F5" s="468"/>
      <c r="G5" s="468"/>
      <c r="H5" s="469"/>
      <c r="I5" s="467" t="s">
        <v>5</v>
      </c>
      <c r="J5" s="468"/>
      <c r="K5" s="468"/>
      <c r="L5" s="468"/>
      <c r="M5" s="468"/>
      <c r="N5" s="468"/>
      <c r="O5" s="469"/>
      <c r="P5" s="467" t="s">
        <v>6</v>
      </c>
      <c r="Q5" s="468"/>
      <c r="R5" s="468"/>
      <c r="S5" s="468"/>
      <c r="T5" s="468"/>
      <c r="U5" s="468"/>
      <c r="V5" s="469"/>
    </row>
    <row r="6" spans="2:22" ht="39" thickBot="1" x14ac:dyDescent="0.25">
      <c r="B6" s="128" t="s">
        <v>52</v>
      </c>
      <c r="C6" s="129" t="s">
        <v>53</v>
      </c>
      <c r="D6" s="129" t="s">
        <v>66</v>
      </c>
      <c r="E6" s="129" t="s">
        <v>67</v>
      </c>
      <c r="F6" s="130" t="s">
        <v>54</v>
      </c>
      <c r="G6" s="129" t="s">
        <v>55</v>
      </c>
      <c r="H6" s="131" t="s">
        <v>68</v>
      </c>
      <c r="I6" s="128" t="s">
        <v>52</v>
      </c>
      <c r="J6" s="129" t="s">
        <v>56</v>
      </c>
      <c r="K6" s="129" t="s">
        <v>66</v>
      </c>
      <c r="L6" s="129" t="s">
        <v>67</v>
      </c>
      <c r="M6" s="130" t="s">
        <v>54</v>
      </c>
      <c r="N6" s="129" t="s">
        <v>55</v>
      </c>
      <c r="O6" s="131" t="s">
        <v>68</v>
      </c>
      <c r="P6" s="128" t="s">
        <v>52</v>
      </c>
      <c r="Q6" s="129" t="s">
        <v>57</v>
      </c>
      <c r="R6" s="129" t="s">
        <v>66</v>
      </c>
      <c r="S6" s="129" t="s">
        <v>67</v>
      </c>
      <c r="T6" s="130" t="s">
        <v>54</v>
      </c>
      <c r="U6" s="129" t="s">
        <v>55</v>
      </c>
      <c r="V6" s="131" t="s">
        <v>68</v>
      </c>
    </row>
    <row r="7" spans="2:22" x14ac:dyDescent="0.2">
      <c r="B7" s="87">
        <v>2004</v>
      </c>
      <c r="C7" s="40">
        <f>SUM('Input-Retail by Rate Class'!C20:C31)</f>
        <v>54156577</v>
      </c>
      <c r="D7" s="40">
        <f>SUM('Input WS Regression Analysis'!B5:B16)</f>
        <v>166851164</v>
      </c>
      <c r="E7" s="40">
        <f>SUM('Input WS Regression Analysis'!K5:K16)</f>
        <v>166981315.37211561</v>
      </c>
      <c r="F7" s="41">
        <f t="shared" ref="F7:F15" si="0">C7/D7</f>
        <v>0.3245801569595283</v>
      </c>
      <c r="G7" s="40">
        <f t="shared" ref="G7:G17" si="1">E7*F7</f>
        <v>54198821.552789778</v>
      </c>
      <c r="H7" s="88">
        <f>G7/'Input-Customer Growth'!C7</f>
        <v>11833.80383248685</v>
      </c>
      <c r="I7" s="87">
        <v>2004</v>
      </c>
      <c r="J7" s="40">
        <f>SUM('Input-Retail by Rate Class'!E20:E31)</f>
        <v>22859934</v>
      </c>
      <c r="K7" s="40">
        <f t="shared" ref="K7:K15" si="2">D7</f>
        <v>166851164</v>
      </c>
      <c r="L7" s="40">
        <f t="shared" ref="L7:L15" si="3">E7</f>
        <v>166981315.37211561</v>
      </c>
      <c r="M7" s="41">
        <f t="shared" ref="M7:M15" si="4">J7/K7</f>
        <v>0.13700793840431344</v>
      </c>
      <c r="N7" s="40">
        <f t="shared" ref="N7:N15" si="5">L7*M7</f>
        <v>22877765.771174051</v>
      </c>
      <c r="O7" s="88">
        <f>N7/'Input-Customer Growth'!E7</f>
        <v>40277.756639390936</v>
      </c>
      <c r="P7" s="87">
        <v>2004</v>
      </c>
      <c r="Q7" s="40">
        <f>SUM('Input-Retail by Rate Class'!G20:G31)</f>
        <v>133016925</v>
      </c>
      <c r="R7" s="40">
        <f t="shared" ref="R7:R15" si="6">K7</f>
        <v>166851164</v>
      </c>
      <c r="S7" s="40">
        <f t="shared" ref="S7:S15" si="7">L7</f>
        <v>166981315.37211561</v>
      </c>
      <c r="T7" s="41">
        <f t="shared" ref="T7:T15" si="8">Q7/R7</f>
        <v>0.7972190412768112</v>
      </c>
      <c r="U7" s="40">
        <f t="shared" ref="U7:U15" si="9">S7*T7</f>
        <v>133120684.15209886</v>
      </c>
      <c r="V7" s="88">
        <f>U7/'Input-Customer Growth'!G7</f>
        <v>1706675.4378474213</v>
      </c>
    </row>
    <row r="8" spans="2:22" x14ac:dyDescent="0.2">
      <c r="B8" s="87">
        <v>2005</v>
      </c>
      <c r="C8" s="40">
        <f>SUM('Input-Retail by Rate Class'!C32:C43)</f>
        <v>52898956</v>
      </c>
      <c r="D8" s="40">
        <f>SUM('Input WS Regression Analysis'!B17:B28)</f>
        <v>160069378</v>
      </c>
      <c r="E8" s="40">
        <f>SUM('Input WS Regression Analysis'!K17:K28)</f>
        <v>167047508.78811008</v>
      </c>
      <c r="F8" s="41">
        <f t="shared" si="0"/>
        <v>0.33047517683238575</v>
      </c>
      <c r="G8" s="40">
        <f t="shared" si="1"/>
        <v>55205055.006160192</v>
      </c>
      <c r="H8" s="88">
        <f>G8/'Input-Customer Growth'!C8</f>
        <v>11972.469096976836</v>
      </c>
      <c r="I8" s="87">
        <v>2005</v>
      </c>
      <c r="J8" s="40">
        <f>SUM('Input-Retail by Rate Class'!E32:E43)</f>
        <v>21840735</v>
      </c>
      <c r="K8" s="40">
        <f t="shared" si="2"/>
        <v>160069378</v>
      </c>
      <c r="L8" s="40">
        <f t="shared" si="3"/>
        <v>167047508.78811008</v>
      </c>
      <c r="M8" s="41">
        <f t="shared" si="4"/>
        <v>0.13644542930628492</v>
      </c>
      <c r="N8" s="40">
        <f t="shared" si="5"/>
        <v>22792869.051139083</v>
      </c>
      <c r="O8" s="88">
        <f>N8/'Input-Customer Growth'!E8</f>
        <v>40412.888388544474</v>
      </c>
      <c r="P8" s="87">
        <v>2005</v>
      </c>
      <c r="Q8" s="40">
        <f>SUM('Input-Retail by Rate Class'!G32:G43)</f>
        <v>117613071</v>
      </c>
      <c r="R8" s="40">
        <f t="shared" si="6"/>
        <v>160069378</v>
      </c>
      <c r="S8" s="40">
        <f t="shared" si="7"/>
        <v>167047508.78811008</v>
      </c>
      <c r="T8" s="41">
        <f t="shared" si="8"/>
        <v>0.73476309128907846</v>
      </c>
      <c r="U8" s="40">
        <f t="shared" si="9"/>
        <v>122740343.94929126</v>
      </c>
      <c r="V8" s="88">
        <f>U8/'Input-Customer Growth'!G8</f>
        <v>1704726.999295712</v>
      </c>
    </row>
    <row r="9" spans="2:22" x14ac:dyDescent="0.2">
      <c r="B9" s="87">
        <v>2006</v>
      </c>
      <c r="C9" s="40">
        <f>SUM('Input-Retail by Rate Class'!C44:C55)</f>
        <v>51530722</v>
      </c>
      <c r="D9" s="40">
        <f>SUM('Input WS Regression Analysis'!B29:B40)</f>
        <v>165982316</v>
      </c>
      <c r="E9" s="40">
        <f>SUM('Input WS Regression Analysis'!K29:K40)</f>
        <v>163193069.99030286</v>
      </c>
      <c r="F9" s="41">
        <f t="shared" si="0"/>
        <v>0.31045910939090643</v>
      </c>
      <c r="G9" s="40">
        <f t="shared" si="1"/>
        <v>50664775.167957284</v>
      </c>
      <c r="H9" s="88">
        <f>G9/'Input-Customer Growth'!C9</f>
        <v>10914.428084437157</v>
      </c>
      <c r="I9" s="87">
        <v>2006</v>
      </c>
      <c r="J9" s="40">
        <f>SUM('Input-Retail by Rate Class'!E44:E55)</f>
        <v>20878233</v>
      </c>
      <c r="K9" s="40">
        <f t="shared" si="2"/>
        <v>165982316</v>
      </c>
      <c r="L9" s="40">
        <f t="shared" si="3"/>
        <v>163193069.99030286</v>
      </c>
      <c r="M9" s="41">
        <f t="shared" si="4"/>
        <v>0.12578588793760415</v>
      </c>
      <c r="N9" s="40">
        <f t="shared" si="5"/>
        <v>20527385.213993825</v>
      </c>
      <c r="O9" s="88">
        <f>N9/'Input-Customer Growth'!E9</f>
        <v>36267.465042391916</v>
      </c>
      <c r="P9" s="87">
        <v>2006</v>
      </c>
      <c r="Q9" s="40">
        <f>SUM('Input-Retail by Rate Class'!G44:G55)</f>
        <v>116290495</v>
      </c>
      <c r="R9" s="40">
        <f t="shared" si="6"/>
        <v>165982316</v>
      </c>
      <c r="S9" s="40">
        <f t="shared" si="7"/>
        <v>163193069.99030286</v>
      </c>
      <c r="T9" s="41">
        <f t="shared" si="8"/>
        <v>0.70061978771280675</v>
      </c>
      <c r="U9" s="40">
        <f t="shared" si="9"/>
        <v>114336294.05280721</v>
      </c>
      <c r="V9" s="88">
        <f>U9/'Input-Customer Growth'!G9</f>
        <v>1465849.9237539386</v>
      </c>
    </row>
    <row r="10" spans="2:22" x14ac:dyDescent="0.2">
      <c r="B10" s="89">
        <v>2007</v>
      </c>
      <c r="C10" s="40">
        <f>SUM('Input-Retail by Rate Class'!C56:C67)</f>
        <v>53035556</v>
      </c>
      <c r="D10" s="40">
        <f>SUM('Input WS Regression Analysis'!B41:B52)</f>
        <v>168514536</v>
      </c>
      <c r="E10" s="40">
        <f>SUM('Input WS Regression Analysis'!K41:K52)</f>
        <v>163866915.43436065</v>
      </c>
      <c r="F10" s="41">
        <f t="shared" si="0"/>
        <v>0.31472392387562342</v>
      </c>
      <c r="G10" s="40">
        <f t="shared" si="1"/>
        <v>51572838.618896946</v>
      </c>
      <c r="H10" s="88">
        <f>G10/'Input-Customer Growth'!C10</f>
        <v>10800.594475161664</v>
      </c>
      <c r="I10" s="89">
        <v>2007</v>
      </c>
      <c r="J10" s="40">
        <f>SUM('Input-Retail by Rate Class'!E56:E67)</f>
        <v>20965147</v>
      </c>
      <c r="K10" s="40">
        <f t="shared" si="2"/>
        <v>168514536</v>
      </c>
      <c r="L10" s="40">
        <f t="shared" si="3"/>
        <v>163866915.43436065</v>
      </c>
      <c r="M10" s="41">
        <f t="shared" si="4"/>
        <v>0.12441150477368908</v>
      </c>
      <c r="N10" s="40">
        <f t="shared" si="5"/>
        <v>20386929.531811666</v>
      </c>
      <c r="O10" s="88">
        <f>N10/'Input-Customer Growth'!E10</f>
        <v>35579.28365063118</v>
      </c>
      <c r="P10" s="89">
        <v>2007</v>
      </c>
      <c r="Q10" s="40">
        <f>SUM('Input-Retail by Rate Class'!G56:G67)</f>
        <v>117345908</v>
      </c>
      <c r="R10" s="40">
        <f t="shared" si="6"/>
        <v>168514536</v>
      </c>
      <c r="S10" s="40">
        <f t="shared" si="7"/>
        <v>163866915.43436065</v>
      </c>
      <c r="T10" s="41">
        <f t="shared" si="8"/>
        <v>0.69635481178905545</v>
      </c>
      <c r="U10" s="40">
        <f t="shared" si="9"/>
        <v>114109515.05574729</v>
      </c>
      <c r="V10" s="88">
        <f>U10/'Input-Customer Growth'!G10</f>
        <v>1426368.9381968412</v>
      </c>
    </row>
    <row r="11" spans="2:22" x14ac:dyDescent="0.2">
      <c r="B11" s="89">
        <v>2008</v>
      </c>
      <c r="C11" s="40">
        <f>SUM('Input-Retail by Rate Class'!C68:C79)</f>
        <v>53471410</v>
      </c>
      <c r="D11" s="40">
        <f>SUM('Input WS Regression Analysis'!B53:B64)</f>
        <v>167375788</v>
      </c>
      <c r="E11" s="40">
        <f>SUM('Input WS Regression Analysis'!K53:K64)</f>
        <v>164423774.5984835</v>
      </c>
      <c r="F11" s="41">
        <f t="shared" si="0"/>
        <v>0.31946920542653395</v>
      </c>
      <c r="G11" s="40">
        <f t="shared" si="1"/>
        <v>52528332.624209039</v>
      </c>
      <c r="H11" s="88">
        <f>G11/'Input-Customer Growth'!C11</f>
        <v>10993.790838051285</v>
      </c>
      <c r="I11" s="89">
        <v>2008</v>
      </c>
      <c r="J11" s="40">
        <f>SUM('Input-Retail by Rate Class'!E68:E79)</f>
        <v>20649618</v>
      </c>
      <c r="K11" s="40">
        <f t="shared" si="2"/>
        <v>167375788</v>
      </c>
      <c r="L11" s="40">
        <f t="shared" si="3"/>
        <v>164423774.5984835</v>
      </c>
      <c r="M11" s="41">
        <f t="shared" si="4"/>
        <v>0.12337279033452557</v>
      </c>
      <c r="N11" s="40">
        <f t="shared" si="5"/>
        <v>20285419.869549997</v>
      </c>
      <c r="O11" s="88">
        <f>N11/'Input-Customer Growth'!E11</f>
        <v>35035.267477633846</v>
      </c>
      <c r="P11" s="89">
        <v>2008</v>
      </c>
      <c r="Q11" s="40">
        <f>SUM('Input-Retail by Rate Class'!G68:G79)</f>
        <v>112845011</v>
      </c>
      <c r="R11" s="40">
        <f t="shared" si="6"/>
        <v>167375788</v>
      </c>
      <c r="S11" s="40">
        <f t="shared" si="7"/>
        <v>164423774.5984835</v>
      </c>
      <c r="T11" s="41">
        <f t="shared" si="8"/>
        <v>0.67420152190709925</v>
      </c>
      <c r="U11" s="40">
        <f t="shared" si="9"/>
        <v>110854759.07200743</v>
      </c>
      <c r="V11" s="88">
        <f>U11/'Input-Customer Growth'!G11</f>
        <v>1385684.4884000928</v>
      </c>
    </row>
    <row r="12" spans="2:22" x14ac:dyDescent="0.2">
      <c r="B12" s="89">
        <v>2009</v>
      </c>
      <c r="C12" s="40">
        <f>SUM('Input-Retail by Rate Class'!C80:C91)</f>
        <v>52558954</v>
      </c>
      <c r="D12" s="40">
        <f>SUM('Input WS Regression Analysis'!B65:B76)</f>
        <v>167014595.5442</v>
      </c>
      <c r="E12" s="40">
        <f>SUM('Input WS Regression Analysis'!K65:K76)</f>
        <v>164508076.06861806</v>
      </c>
      <c r="F12" s="41">
        <f t="shared" si="0"/>
        <v>0.31469677143331104</v>
      </c>
      <c r="G12" s="40">
        <f t="shared" si="1"/>
        <v>51770160.413499646</v>
      </c>
      <c r="H12" s="88">
        <f>G12/'Input-Customer Growth'!C12</f>
        <v>10828.312155093003</v>
      </c>
      <c r="I12" s="89">
        <v>2009</v>
      </c>
      <c r="J12" s="40">
        <f>SUM('Input-Retail by Rate Class'!E80:E91)</f>
        <v>19616748</v>
      </c>
      <c r="K12" s="40">
        <f t="shared" si="2"/>
        <v>167014595.5442</v>
      </c>
      <c r="L12" s="40">
        <f t="shared" si="3"/>
        <v>164508076.06861806</v>
      </c>
      <c r="M12" s="41">
        <f t="shared" si="4"/>
        <v>0.11745529147366331</v>
      </c>
      <c r="N12" s="40">
        <f t="shared" si="5"/>
        <v>19322344.024411108</v>
      </c>
      <c r="O12" s="88">
        <f>N12/'Input-Customer Growth'!E12</f>
        <v>32973.283318107693</v>
      </c>
      <c r="P12" s="89">
        <v>2009</v>
      </c>
      <c r="Q12" s="40">
        <f>SUM('Input-Retail by Rate Class'!G80:G91)</f>
        <v>96007524</v>
      </c>
      <c r="R12" s="40">
        <f t="shared" si="6"/>
        <v>167014595.5442</v>
      </c>
      <c r="S12" s="40">
        <f t="shared" si="7"/>
        <v>164508076.06861806</v>
      </c>
      <c r="T12" s="41">
        <f t="shared" si="8"/>
        <v>0.57484511271107352</v>
      </c>
      <c r="U12" s="40">
        <f t="shared" si="9"/>
        <v>94566663.529546604</v>
      </c>
      <c r="V12" s="88">
        <f>U12/'Input-Customer Growth'!G12</f>
        <v>1153251.9942627635</v>
      </c>
    </row>
    <row r="13" spans="2:22" x14ac:dyDescent="0.2">
      <c r="B13" s="89">
        <v>2010</v>
      </c>
      <c r="C13" s="40">
        <f>SUM('Input-Retail by Rate Class'!C92:C103)</f>
        <v>50277839</v>
      </c>
      <c r="D13" s="40">
        <f>SUM('Input WS Regression Analysis'!B77:B88)</f>
        <v>159288613</v>
      </c>
      <c r="E13" s="40">
        <f>SUM('Input WS Regression Analysis'!K77:K88)</f>
        <v>161104908.72745684</v>
      </c>
      <c r="F13" s="41">
        <f t="shared" si="0"/>
        <v>0.31563988192928771</v>
      </c>
      <c r="G13" s="40">
        <f t="shared" si="1"/>
        <v>50851134.368963152</v>
      </c>
      <c r="H13" s="88">
        <f>G13/'Input-Customer Growth'!C13</f>
        <v>10556.598374291707</v>
      </c>
      <c r="I13" s="89">
        <v>2010</v>
      </c>
      <c r="J13" s="40">
        <f>SUM('Input-Retail by Rate Class'!E92:E103)</f>
        <v>19562613</v>
      </c>
      <c r="K13" s="40">
        <f t="shared" si="2"/>
        <v>159288613</v>
      </c>
      <c r="L13" s="40">
        <f t="shared" si="3"/>
        <v>161104908.72745684</v>
      </c>
      <c r="M13" s="41">
        <f t="shared" si="4"/>
        <v>0.12281237579738358</v>
      </c>
      <c r="N13" s="40">
        <f t="shared" si="5"/>
        <v>19785676.593439609</v>
      </c>
      <c r="O13" s="88">
        <f>N13/'Input-Customer Growth'!E13</f>
        <v>33365.390545429356</v>
      </c>
      <c r="P13" s="89">
        <v>2010</v>
      </c>
      <c r="Q13" s="40">
        <f>SUM('Input-Retail by Rate Class'!G92:G103)</f>
        <v>80745583</v>
      </c>
      <c r="R13" s="40">
        <f t="shared" si="6"/>
        <v>159288613</v>
      </c>
      <c r="S13" s="40">
        <f t="shared" si="7"/>
        <v>161104908.72745684</v>
      </c>
      <c r="T13" s="41">
        <f t="shared" si="8"/>
        <v>0.50691371768049731</v>
      </c>
      <c r="U13" s="40">
        <f t="shared" si="9"/>
        <v>81666288.219612345</v>
      </c>
      <c r="V13" s="88">
        <f>U13/'Input-Customer Growth'!G13</f>
        <v>949608.0025536319</v>
      </c>
    </row>
    <row r="14" spans="2:22" x14ac:dyDescent="0.2">
      <c r="B14" s="89">
        <v>2011</v>
      </c>
      <c r="C14" s="40">
        <f>SUM('Input-Retail by Rate Class'!C104:C115)</f>
        <v>51273093</v>
      </c>
      <c r="D14" s="40">
        <f>SUM('Input WS Regression Analysis'!B89:B100)</f>
        <v>161859215</v>
      </c>
      <c r="E14" s="40">
        <f>SUM('Input WS Regression Analysis'!K89:K100)</f>
        <v>160216353.05007511</v>
      </c>
      <c r="F14" s="41">
        <f t="shared" si="0"/>
        <v>0.316775865989465</v>
      </c>
      <c r="G14" s="40">
        <f t="shared" si="1"/>
        <v>50752673.983111404</v>
      </c>
      <c r="H14" s="88">
        <f>G14/'Input-Customer Growth'!C14</f>
        <v>10496.933605607323</v>
      </c>
      <c r="I14" s="89">
        <v>2011</v>
      </c>
      <c r="J14" s="40">
        <f>SUM('Input-Retail by Rate Class'!E104:E115)</f>
        <v>18457375</v>
      </c>
      <c r="K14" s="40">
        <f t="shared" si="2"/>
        <v>161859215</v>
      </c>
      <c r="L14" s="40">
        <f t="shared" si="3"/>
        <v>160216353.05007511</v>
      </c>
      <c r="M14" s="41">
        <f t="shared" si="4"/>
        <v>0.11403351363096627</v>
      </c>
      <c r="N14" s="40">
        <f t="shared" si="5"/>
        <v>18270033.679439444</v>
      </c>
      <c r="O14" s="88">
        <f>N14/'Input-Customer Growth'!E14</f>
        <v>30861.543377431495</v>
      </c>
      <c r="P14" s="89">
        <v>2011</v>
      </c>
      <c r="Q14" s="40">
        <f>SUM('Input-Retail by Rate Class'!G104:G115)</f>
        <v>82739387</v>
      </c>
      <c r="R14" s="40">
        <f t="shared" si="6"/>
        <v>161859215</v>
      </c>
      <c r="S14" s="40">
        <f t="shared" si="7"/>
        <v>160216353.05007511</v>
      </c>
      <c r="T14" s="41">
        <f t="shared" si="8"/>
        <v>0.51118119533694761</v>
      </c>
      <c r="U14" s="40">
        <f t="shared" si="9"/>
        <v>81899586.86466381</v>
      </c>
      <c r="V14" s="88">
        <f>U14/'Input-Customer Growth'!G14</f>
        <v>871272.20068791287</v>
      </c>
    </row>
    <row r="15" spans="2:22" x14ac:dyDescent="0.2">
      <c r="B15" s="89">
        <v>2012</v>
      </c>
      <c r="C15" s="40">
        <f>SUM('Input-Retail by Rate Class'!C116:C127)</f>
        <v>51132834</v>
      </c>
      <c r="D15" s="40">
        <f>SUM('Input WS Regression Analysis'!B101:B112)</f>
        <v>155160223</v>
      </c>
      <c r="E15" s="40">
        <f>SUM('Input WS Regression Analysis'!K101:K112)</f>
        <v>160773906.51467732</v>
      </c>
      <c r="F15" s="41">
        <f t="shared" si="0"/>
        <v>0.32954859828991095</v>
      </c>
      <c r="G15" s="40">
        <f t="shared" si="1"/>
        <v>52982815.53350509</v>
      </c>
      <c r="H15" s="88">
        <f>G15/'Input-Customer Growth'!C15</f>
        <v>10881.662668618832</v>
      </c>
      <c r="I15" s="89">
        <v>2012</v>
      </c>
      <c r="J15" s="40">
        <f>SUM('Input-Retail by Rate Class'!E116:E127)</f>
        <v>18531354</v>
      </c>
      <c r="K15" s="40">
        <f t="shared" si="2"/>
        <v>155160223</v>
      </c>
      <c r="L15" s="40">
        <f t="shared" si="3"/>
        <v>160773906.51467732</v>
      </c>
      <c r="M15" s="41">
        <f t="shared" si="4"/>
        <v>0.11943366438703816</v>
      </c>
      <c r="N15" s="40">
        <f t="shared" si="5"/>
        <v>19201816.79286702</v>
      </c>
      <c r="O15" s="88">
        <f>N15/'Input-Customer Growth'!E15</f>
        <v>31171.780507901007</v>
      </c>
      <c r="P15" s="89">
        <v>2012</v>
      </c>
      <c r="Q15" s="40">
        <f>SUM('Input-Retail by Rate Class'!G116:G127)</f>
        <v>77875019</v>
      </c>
      <c r="R15" s="40">
        <f t="shared" si="6"/>
        <v>155160223</v>
      </c>
      <c r="S15" s="40">
        <f t="shared" si="7"/>
        <v>160773906.51467732</v>
      </c>
      <c r="T15" s="41">
        <f t="shared" si="8"/>
        <v>0.5019006643216799</v>
      </c>
      <c r="U15" s="40">
        <f t="shared" si="9"/>
        <v>80692530.4853082</v>
      </c>
      <c r="V15" s="88">
        <f>U15/'Input-Customer Growth'!G15</f>
        <v>858431.1753756192</v>
      </c>
    </row>
    <row r="16" spans="2:22" x14ac:dyDescent="0.2">
      <c r="B16" s="90">
        <v>2013</v>
      </c>
      <c r="C16" s="49"/>
      <c r="D16" s="49"/>
      <c r="E16" s="42">
        <f>SUM('Input WS Regression Analysis'!K113:K124)</f>
        <v>169935380.12805128</v>
      </c>
      <c r="F16" s="50">
        <f>F15</f>
        <v>0.32954859828991095</v>
      </c>
      <c r="G16" s="42">
        <f>E16*F16</f>
        <v>56001966.32106249</v>
      </c>
      <c r="H16" s="88">
        <f>G16/'Input-Customer Growth'!C19</f>
        <v>11416.303022371927</v>
      </c>
      <c r="I16" s="90">
        <v>2013</v>
      </c>
      <c r="J16" s="49"/>
      <c r="K16" s="49"/>
      <c r="L16" s="42">
        <f>E16</f>
        <v>169935380.12805128</v>
      </c>
      <c r="M16" s="50">
        <f>M15</f>
        <v>0.11943366438703816</v>
      </c>
      <c r="N16" s="42">
        <f>L16*M16</f>
        <v>20296005.157697432</v>
      </c>
      <c r="O16" s="88">
        <f>N16/'Input-Customer Growth'!E19</f>
        <v>32747.10754188319</v>
      </c>
      <c r="P16" s="90">
        <v>2013</v>
      </c>
      <c r="Q16" s="49"/>
      <c r="R16" s="49"/>
      <c r="S16" s="42">
        <f>L16</f>
        <v>169935380.12805128</v>
      </c>
      <c r="T16" s="50">
        <f>T15</f>
        <v>0.5019006643216799</v>
      </c>
      <c r="U16" s="42">
        <f>S16*T16</f>
        <v>85290680.17802614</v>
      </c>
      <c r="V16" s="88">
        <f>U16/'Input-Customer Growth'!G19</f>
        <v>887457.1170867075</v>
      </c>
    </row>
    <row r="17" spans="2:22" ht="13.5" thickBot="1" x14ac:dyDescent="0.25">
      <c r="B17" s="92">
        <v>2014</v>
      </c>
      <c r="C17" s="126"/>
      <c r="D17" s="126"/>
      <c r="E17" s="106">
        <f>SUM('Input WS Regression Analysis'!K125:K136)</f>
        <v>170215316.34851369</v>
      </c>
      <c r="F17" s="127">
        <f>F16</f>
        <v>0.32954859828991095</v>
      </c>
      <c r="G17" s="106">
        <f t="shared" si="1"/>
        <v>56094218.910126455</v>
      </c>
      <c r="H17" s="95">
        <f>G17/'Input-Customer Growth'!C12</f>
        <v>11732.737692977715</v>
      </c>
      <c r="I17" s="92">
        <v>2014</v>
      </c>
      <c r="J17" s="126"/>
      <c r="K17" s="126"/>
      <c r="L17" s="106">
        <f>E17</f>
        <v>170215316.34851369</v>
      </c>
      <c r="M17" s="127">
        <f>M16</f>
        <v>0.11943366438703816</v>
      </c>
      <c r="N17" s="106">
        <f>L17*M17</f>
        <v>20329438.966301914</v>
      </c>
      <c r="O17" s="88">
        <f>N17/'Input-Customer Growth'!E20</f>
        <v>32600.996008770042</v>
      </c>
      <c r="P17" s="92">
        <v>2014</v>
      </c>
      <c r="Q17" s="126"/>
      <c r="R17" s="126"/>
      <c r="S17" s="106">
        <f>L17</f>
        <v>170215316.34851369</v>
      </c>
      <c r="T17" s="127">
        <f>T16</f>
        <v>0.5019006643216799</v>
      </c>
      <c r="U17" s="106">
        <f>S17*T17</f>
        <v>85431180.353043929</v>
      </c>
      <c r="V17" s="95">
        <f>U17/'Input-Customer Growth'!G20</f>
        <v>869432.47517841018</v>
      </c>
    </row>
    <row r="18" spans="2:22" x14ac:dyDescent="0.2">
      <c r="B18" s="54"/>
      <c r="C18" s="54"/>
      <c r="D18" s="54"/>
      <c r="E18" s="55"/>
      <c r="F18" s="56"/>
      <c r="G18" s="144" t="s">
        <v>89</v>
      </c>
      <c r="N18" s="144" t="s">
        <v>89</v>
      </c>
    </row>
    <row r="19" spans="2:22" s="53" customFormat="1" ht="13.5" customHeight="1" x14ac:dyDescent="0.2">
      <c r="B19" s="59" t="s">
        <v>142</v>
      </c>
      <c r="C19" s="54"/>
      <c r="D19" s="54"/>
      <c r="E19" s="55"/>
      <c r="F19" s="56"/>
      <c r="G19" s="55"/>
      <c r="I19" s="59" t="s">
        <v>142</v>
      </c>
    </row>
    <row r="20" spans="2:22" s="53" customFormat="1" ht="13.5" thickBot="1" x14ac:dyDescent="0.25"/>
    <row r="21" spans="2:22" ht="14.25" customHeight="1" thickBot="1" x14ac:dyDescent="0.25">
      <c r="B21" s="467" t="s">
        <v>11</v>
      </c>
      <c r="C21" s="468"/>
      <c r="D21" s="468"/>
      <c r="E21" s="468"/>
      <c r="F21" s="468"/>
      <c r="G21" s="468"/>
      <c r="H21" s="469"/>
      <c r="I21" s="467" t="s">
        <v>5</v>
      </c>
      <c r="J21" s="468"/>
      <c r="K21" s="468"/>
      <c r="L21" s="468"/>
      <c r="M21" s="468"/>
      <c r="N21" s="468"/>
      <c r="O21" s="469"/>
    </row>
    <row r="22" spans="2:22" ht="38.25" x14ac:dyDescent="0.2">
      <c r="B22" s="100" t="s">
        <v>52</v>
      </c>
      <c r="C22" s="51" t="s">
        <v>53</v>
      </c>
      <c r="D22" s="51" t="s">
        <v>66</v>
      </c>
      <c r="E22" s="51" t="s">
        <v>67</v>
      </c>
      <c r="F22" s="52" t="s">
        <v>54</v>
      </c>
      <c r="G22" s="51" t="s">
        <v>55</v>
      </c>
      <c r="H22" s="101" t="s">
        <v>68</v>
      </c>
      <c r="I22" s="100" t="s">
        <v>52</v>
      </c>
      <c r="J22" s="51" t="s">
        <v>56</v>
      </c>
      <c r="K22" s="51"/>
      <c r="L22" s="51"/>
      <c r="M22" s="52" t="s">
        <v>54</v>
      </c>
      <c r="N22" s="51" t="s">
        <v>55</v>
      </c>
      <c r="O22" s="101" t="s">
        <v>68</v>
      </c>
    </row>
    <row r="23" spans="2:22" x14ac:dyDescent="0.2">
      <c r="B23" s="89">
        <v>2012</v>
      </c>
      <c r="C23" s="40">
        <f t="shared" ref="C23:H23" si="10">C15</f>
        <v>51132834</v>
      </c>
      <c r="D23" s="40">
        <f t="shared" si="10"/>
        <v>155160223</v>
      </c>
      <c r="E23" s="40">
        <f t="shared" si="10"/>
        <v>160773906.51467732</v>
      </c>
      <c r="F23" s="147">
        <f t="shared" si="10"/>
        <v>0.32954859828991095</v>
      </c>
      <c r="G23" s="40">
        <f t="shared" si="10"/>
        <v>52982815.53350509</v>
      </c>
      <c r="H23" s="88">
        <f t="shared" si="10"/>
        <v>10881.662668618832</v>
      </c>
      <c r="I23" s="89">
        <v>2012</v>
      </c>
      <c r="J23" s="40">
        <f t="shared" ref="J23:O23" si="11">J15</f>
        <v>18531354</v>
      </c>
      <c r="K23" s="40">
        <f t="shared" si="11"/>
        <v>155160223</v>
      </c>
      <c r="L23" s="40">
        <f t="shared" si="11"/>
        <v>160773906.51467732</v>
      </c>
      <c r="M23" s="147">
        <f t="shared" si="11"/>
        <v>0.11943366438703816</v>
      </c>
      <c r="N23" s="40">
        <f t="shared" si="11"/>
        <v>19201816.79286702</v>
      </c>
      <c r="O23" s="88">
        <f t="shared" si="11"/>
        <v>31171.780507901007</v>
      </c>
    </row>
    <row r="24" spans="2:22" x14ac:dyDescent="0.2">
      <c r="B24" s="90">
        <v>2013</v>
      </c>
      <c r="C24" s="42">
        <f t="shared" ref="C24:H24" si="12">C16</f>
        <v>0</v>
      </c>
      <c r="D24" s="42">
        <f t="shared" si="12"/>
        <v>0</v>
      </c>
      <c r="E24" s="42">
        <f t="shared" si="12"/>
        <v>169935380.12805128</v>
      </c>
      <c r="F24" s="148">
        <f t="shared" si="12"/>
        <v>0.32954859828991095</v>
      </c>
      <c r="G24" s="42">
        <f t="shared" si="12"/>
        <v>56001966.32106249</v>
      </c>
      <c r="H24" s="88">
        <f t="shared" si="12"/>
        <v>11416.303022371927</v>
      </c>
      <c r="I24" s="90">
        <v>2013</v>
      </c>
      <c r="J24" s="42">
        <f t="shared" ref="J24:O24" si="13">J16</f>
        <v>0</v>
      </c>
      <c r="K24" s="42">
        <f t="shared" si="13"/>
        <v>0</v>
      </c>
      <c r="L24" s="42">
        <f t="shared" si="13"/>
        <v>169935380.12805128</v>
      </c>
      <c r="M24" s="148">
        <f t="shared" si="13"/>
        <v>0.11943366438703816</v>
      </c>
      <c r="N24" s="42">
        <f t="shared" si="13"/>
        <v>20296005.157697432</v>
      </c>
      <c r="O24" s="88">
        <f t="shared" si="13"/>
        <v>32747.10754188319</v>
      </c>
    </row>
    <row r="25" spans="2:22" ht="13.5" thickBot="1" x14ac:dyDescent="0.25">
      <c r="B25" s="92">
        <v>2014</v>
      </c>
      <c r="C25" s="106">
        <f t="shared" ref="C25:H25" si="14">C17</f>
        <v>0</v>
      </c>
      <c r="D25" s="106">
        <f t="shared" si="14"/>
        <v>0</v>
      </c>
      <c r="E25" s="106">
        <f t="shared" si="14"/>
        <v>170215316.34851369</v>
      </c>
      <c r="F25" s="149">
        <f t="shared" si="14"/>
        <v>0.32954859828991095</v>
      </c>
      <c r="G25" s="106">
        <f t="shared" si="14"/>
        <v>56094218.910126455</v>
      </c>
      <c r="H25" s="95">
        <f t="shared" si="14"/>
        <v>11732.737692977715</v>
      </c>
      <c r="I25" s="92">
        <v>2014</v>
      </c>
      <c r="J25" s="106">
        <f t="shared" ref="J25:O25" si="15">J17</f>
        <v>0</v>
      </c>
      <c r="K25" s="106">
        <f t="shared" si="15"/>
        <v>0</v>
      </c>
      <c r="L25" s="106">
        <f t="shared" si="15"/>
        <v>170215316.34851369</v>
      </c>
      <c r="M25" s="149">
        <f t="shared" si="15"/>
        <v>0.11943366438703816</v>
      </c>
      <c r="N25" s="106">
        <f t="shared" si="15"/>
        <v>20329438.966301914</v>
      </c>
      <c r="O25" s="95">
        <f t="shared" si="15"/>
        <v>32600.996008770042</v>
      </c>
    </row>
    <row r="26" spans="2:22" ht="13.5" thickBot="1" x14ac:dyDescent="0.25">
      <c r="B26" s="54"/>
      <c r="C26" s="55"/>
      <c r="D26" s="55"/>
      <c r="E26" s="55"/>
      <c r="F26" s="55"/>
      <c r="G26" s="55"/>
      <c r="H26" s="58"/>
      <c r="I26" s="54"/>
      <c r="J26" s="55"/>
      <c r="K26" s="55"/>
      <c r="L26" s="55"/>
      <c r="M26" s="55"/>
      <c r="N26" s="55"/>
      <c r="O26" s="58"/>
    </row>
    <row r="27" spans="2:22" ht="14.25" customHeight="1" thickBot="1" x14ac:dyDescent="0.25">
      <c r="B27" s="467" t="s">
        <v>11</v>
      </c>
      <c r="C27" s="468"/>
      <c r="D27" s="468"/>
      <c r="E27" s="468"/>
      <c r="F27" s="468"/>
      <c r="G27" s="468"/>
      <c r="H27" s="469"/>
      <c r="I27" s="467" t="s">
        <v>5</v>
      </c>
      <c r="J27" s="468"/>
      <c r="K27" s="468"/>
      <c r="L27" s="468"/>
      <c r="M27" s="468"/>
      <c r="N27" s="468"/>
      <c r="O27" s="469"/>
    </row>
    <row r="28" spans="2:22" ht="25.5" x14ac:dyDescent="0.2">
      <c r="B28" s="100" t="s">
        <v>52</v>
      </c>
      <c r="C28" s="51" t="s">
        <v>70</v>
      </c>
      <c r="D28" s="461" t="s">
        <v>72</v>
      </c>
      <c r="E28" s="461"/>
      <c r="F28" s="470" t="s">
        <v>69</v>
      </c>
      <c r="G28" s="471"/>
      <c r="H28" s="101" t="s">
        <v>34</v>
      </c>
      <c r="I28" s="100" t="s">
        <v>52</v>
      </c>
      <c r="J28" s="51" t="s">
        <v>70</v>
      </c>
      <c r="K28" s="461" t="s">
        <v>71</v>
      </c>
      <c r="L28" s="461"/>
      <c r="M28" s="454" t="s">
        <v>69</v>
      </c>
      <c r="N28" s="455"/>
      <c r="O28" s="101" t="s">
        <v>34</v>
      </c>
    </row>
    <row r="29" spans="2:22" x14ac:dyDescent="0.2">
      <c r="B29" s="90">
        <v>2013</v>
      </c>
      <c r="C29" s="42">
        <v>36</v>
      </c>
      <c r="D29" s="462">
        <f>H16</f>
        <v>11416.303022371927</v>
      </c>
      <c r="E29" s="462"/>
      <c r="F29" s="456">
        <f>C29*D29</f>
        <v>410986.90880538936</v>
      </c>
      <c r="G29" s="457"/>
      <c r="H29" s="125">
        <f>G16+F29</f>
        <v>56412953.229867883</v>
      </c>
      <c r="I29" s="90">
        <v>2013</v>
      </c>
      <c r="J29" s="42">
        <v>14</v>
      </c>
      <c r="K29" s="462">
        <f>O16</f>
        <v>32747.10754188319</v>
      </c>
      <c r="L29" s="462"/>
      <c r="M29" s="456">
        <f>J29*K29</f>
        <v>458459.50558636466</v>
      </c>
      <c r="N29" s="457"/>
      <c r="O29" s="125">
        <f>N16+M29</f>
        <v>20754464.663283795</v>
      </c>
    </row>
    <row r="30" spans="2:22" ht="13.5" thickBot="1" x14ac:dyDescent="0.25">
      <c r="B30" s="92">
        <v>2014</v>
      </c>
      <c r="C30" s="106">
        <v>45</v>
      </c>
      <c r="D30" s="463">
        <f>H17</f>
        <v>11732.737692977715</v>
      </c>
      <c r="E30" s="463"/>
      <c r="F30" s="452">
        <f>C30*D30</f>
        <v>527973.19618399721</v>
      </c>
      <c r="G30" s="453"/>
      <c r="H30" s="143">
        <f>G17+F30</f>
        <v>56622192.10631045</v>
      </c>
      <c r="I30" s="92">
        <v>2014</v>
      </c>
      <c r="J30" s="106">
        <v>1</v>
      </c>
      <c r="K30" s="463">
        <f>O17</f>
        <v>32600.996008770042</v>
      </c>
      <c r="L30" s="463"/>
      <c r="M30" s="452">
        <f>J30*K30</f>
        <v>32600.996008770042</v>
      </c>
      <c r="N30" s="453"/>
      <c r="O30" s="143">
        <f>N17+M30</f>
        <v>20362039.962310683</v>
      </c>
    </row>
    <row r="31" spans="2:22" x14ac:dyDescent="0.2">
      <c r="B31" s="3"/>
      <c r="C31" s="3"/>
      <c r="D31" s="3"/>
      <c r="E31" s="3"/>
      <c r="F31" s="3"/>
      <c r="G31" s="3"/>
    </row>
    <row r="33" spans="2:21" ht="15.75" x14ac:dyDescent="0.2">
      <c r="B33" s="138" t="s">
        <v>132</v>
      </c>
      <c r="K33" s="3" t="s">
        <v>90</v>
      </c>
    </row>
    <row r="34" spans="2:21" ht="13.5" thickBot="1" x14ac:dyDescent="0.25">
      <c r="B34" s="43"/>
      <c r="C34" s="43"/>
      <c r="D34" s="43"/>
      <c r="E34" s="43"/>
      <c r="F34" s="43"/>
      <c r="G34" s="43"/>
      <c r="H34" s="43"/>
      <c r="I34" s="43"/>
      <c r="J34" s="43"/>
      <c r="K34" s="43"/>
      <c r="L34" s="43"/>
      <c r="M34" s="44"/>
      <c r="N34" s="44"/>
      <c r="O34" s="44"/>
    </row>
    <row r="35" spans="2:21" ht="13.5" thickBot="1" x14ac:dyDescent="0.25">
      <c r="B35" s="132"/>
      <c r="C35" s="464" t="s">
        <v>6</v>
      </c>
      <c r="D35" s="465"/>
      <c r="E35" s="465"/>
      <c r="F35" s="466"/>
      <c r="G35" s="458" t="s">
        <v>73</v>
      </c>
      <c r="H35" s="459"/>
      <c r="I35" s="459"/>
      <c r="J35" s="459"/>
      <c r="K35" s="459"/>
      <c r="L35" s="460"/>
      <c r="M35" s="458" t="s">
        <v>131</v>
      </c>
      <c r="N35" s="459"/>
      <c r="O35" s="459"/>
      <c r="P35" s="459"/>
      <c r="Q35" s="459"/>
      <c r="R35" s="460"/>
      <c r="S35" s="449" t="s">
        <v>7</v>
      </c>
      <c r="T35" s="450"/>
      <c r="U35" s="451"/>
    </row>
    <row r="36" spans="2:21" ht="26.25" thickBot="1" x14ac:dyDescent="0.25">
      <c r="B36" s="133" t="s">
        <v>52</v>
      </c>
      <c r="C36" s="142" t="s">
        <v>74</v>
      </c>
      <c r="D36" s="116" t="s">
        <v>77</v>
      </c>
      <c r="E36" s="116" t="s">
        <v>75</v>
      </c>
      <c r="F36" s="117" t="s">
        <v>76</v>
      </c>
      <c r="G36" s="142" t="s">
        <v>74</v>
      </c>
      <c r="H36" s="116" t="s">
        <v>75</v>
      </c>
      <c r="I36" s="116" t="s">
        <v>79</v>
      </c>
      <c r="J36" s="116" t="s">
        <v>81</v>
      </c>
      <c r="K36" s="116" t="s">
        <v>80</v>
      </c>
      <c r="L36" s="117" t="s">
        <v>76</v>
      </c>
      <c r="M36" s="142" t="s">
        <v>74</v>
      </c>
      <c r="N36" s="116" t="s">
        <v>75</v>
      </c>
      <c r="O36" s="116" t="s">
        <v>79</v>
      </c>
      <c r="P36" s="116" t="s">
        <v>81</v>
      </c>
      <c r="Q36" s="116" t="s">
        <v>80</v>
      </c>
      <c r="R36" s="117" t="s">
        <v>76</v>
      </c>
      <c r="S36" s="142" t="s">
        <v>74</v>
      </c>
      <c r="T36" s="116" t="s">
        <v>79</v>
      </c>
      <c r="U36" s="117" t="s">
        <v>81</v>
      </c>
    </row>
    <row r="37" spans="2:21" x14ac:dyDescent="0.2">
      <c r="B37" s="134" t="s">
        <v>49</v>
      </c>
      <c r="C37" s="102"/>
      <c r="D37" s="141"/>
      <c r="E37" s="141"/>
      <c r="F37" s="101"/>
      <c r="G37" s="102"/>
      <c r="H37" s="141"/>
      <c r="I37" s="141"/>
      <c r="J37" s="141"/>
      <c r="K37" s="141"/>
      <c r="L37" s="101"/>
      <c r="M37" s="102"/>
      <c r="N37" s="141"/>
      <c r="O37" s="141"/>
      <c r="P37" s="141"/>
      <c r="Q37" s="141"/>
      <c r="R37" s="101"/>
      <c r="S37" s="102"/>
      <c r="T37" s="141"/>
      <c r="U37" s="101"/>
    </row>
    <row r="38" spans="2:21" x14ac:dyDescent="0.2">
      <c r="B38" s="96">
        <v>2004</v>
      </c>
      <c r="C38" s="93">
        <f>'Worksheet-Class Analysis'!Q7</f>
        <v>133016925</v>
      </c>
      <c r="D38" s="40"/>
      <c r="E38" s="40">
        <f>SUM('Input-Retail by Rate Class'!H20:H31)</f>
        <v>281031</v>
      </c>
      <c r="F38" s="105">
        <f t="shared" ref="F38:F46" si="16">E38/C38</f>
        <v>2.1127461787287596E-3</v>
      </c>
      <c r="G38" s="93">
        <f>SUM('Input-Retail by Rate Class'!J20:J31)</f>
        <v>904010</v>
      </c>
      <c r="H38" s="40">
        <f>SUM('Input-Retail by Rate Class'!K20:K31)</f>
        <v>2777</v>
      </c>
      <c r="I38" s="40">
        <f>'Input-Customer Growth'!I7</f>
        <v>1158</v>
      </c>
      <c r="J38" s="40">
        <f t="shared" ref="J38:J46" si="17">G38/I38</f>
        <v>780.66493955094995</v>
      </c>
      <c r="K38" s="104">
        <f t="shared" ref="K38:K46" si="18">H38/I38</f>
        <v>2.3981001727115716</v>
      </c>
      <c r="L38" s="105">
        <f t="shared" ref="L38:L46" si="19">H38/G38</f>
        <v>3.0718686740190929E-3</v>
      </c>
      <c r="M38" s="93">
        <f>SUM('Input-Retail by Rate Class'!M20:M31)</f>
        <v>104334</v>
      </c>
      <c r="N38" s="93">
        <f>SUM('Input-Retail by Rate Class'!N20:N31)</f>
        <v>304</v>
      </c>
      <c r="O38" s="40">
        <f>'Input-Customer Growth'!K7</f>
        <v>23</v>
      </c>
      <c r="P38" s="40">
        <f t="shared" ref="P38:P46" si="20">M38/O38</f>
        <v>4536.260869565217</v>
      </c>
      <c r="Q38" s="104">
        <f t="shared" ref="Q38:Q46" si="21">N38/O38</f>
        <v>13.217391304347826</v>
      </c>
      <c r="R38" s="105">
        <f t="shared" ref="R38:R46" si="22">N38/M38</f>
        <v>2.9137194011539863E-3</v>
      </c>
      <c r="S38" s="93">
        <f>SUM('Input-Retail by Rate Class'!P64:P75)</f>
        <v>42962</v>
      </c>
      <c r="T38" s="40">
        <f>'Input-Customer Growth'!M7</f>
        <v>1E-3</v>
      </c>
      <c r="U38" s="88"/>
    </row>
    <row r="39" spans="2:21" x14ac:dyDescent="0.2">
      <c r="B39" s="96">
        <v>2005</v>
      </c>
      <c r="C39" s="93">
        <f>'Worksheet-Class Analysis'!Q8</f>
        <v>117613071</v>
      </c>
      <c r="D39" s="40"/>
      <c r="E39" s="40">
        <f>SUM('Input-Retail by Rate Class'!H32:H43)</f>
        <v>275148</v>
      </c>
      <c r="F39" s="105">
        <f t="shared" si="16"/>
        <v>2.3394338542524749E-3</v>
      </c>
      <c r="G39" s="93">
        <f>SUM('Input-Retail by Rate Class'!J32:J43)</f>
        <v>912952</v>
      </c>
      <c r="H39" s="40">
        <f>SUM('Input-Retail by Rate Class'!K32:K43)</f>
        <v>2843</v>
      </c>
      <c r="I39" s="40">
        <f>'Input-Customer Growth'!I8</f>
        <v>1158</v>
      </c>
      <c r="J39" s="40">
        <f t="shared" si="17"/>
        <v>788.38687392055272</v>
      </c>
      <c r="K39" s="104">
        <f t="shared" si="18"/>
        <v>2.4550949913644216</v>
      </c>
      <c r="L39" s="105">
        <f t="shared" si="19"/>
        <v>3.1140739053093702E-3</v>
      </c>
      <c r="M39" s="93">
        <f>SUM('Input-Retail by Rate Class'!M32:M43)</f>
        <v>109474</v>
      </c>
      <c r="N39" s="93">
        <f>SUM('Input-Retail by Rate Class'!N32:N43)</f>
        <v>300</v>
      </c>
      <c r="O39" s="40">
        <f>'Input-Customer Growth'!K8</f>
        <v>24</v>
      </c>
      <c r="P39" s="40">
        <f t="shared" si="20"/>
        <v>4561.416666666667</v>
      </c>
      <c r="Q39" s="104">
        <f t="shared" si="21"/>
        <v>12.5</v>
      </c>
      <c r="R39" s="105">
        <f t="shared" si="22"/>
        <v>2.7403767104517969E-3</v>
      </c>
      <c r="S39" s="93">
        <f>SUM('Input-Retail by Rate Class'!P65:P76)</f>
        <v>53987</v>
      </c>
      <c r="T39" s="40">
        <f>'Input-Customer Growth'!M8</f>
        <v>1E-3</v>
      </c>
      <c r="U39" s="88"/>
    </row>
    <row r="40" spans="2:21" x14ac:dyDescent="0.2">
      <c r="B40" s="96">
        <v>2006</v>
      </c>
      <c r="C40" s="93">
        <f>'Worksheet-Class Analysis'!Q9</f>
        <v>116290495</v>
      </c>
      <c r="D40" s="40"/>
      <c r="E40" s="40">
        <f>SUM('Input-Retail by Rate Class'!H44:H55)</f>
        <v>274200</v>
      </c>
      <c r="F40" s="105">
        <f t="shared" si="16"/>
        <v>2.3578883209672465E-3</v>
      </c>
      <c r="G40" s="93">
        <f>SUM('Input-Retail by Rate Class'!J44:J55)</f>
        <v>1025217</v>
      </c>
      <c r="H40" s="40">
        <f>SUM('Input-Retail by Rate Class'!K44:K55)</f>
        <v>2872</v>
      </c>
      <c r="I40" s="40">
        <f>'Input-Customer Growth'!I9</f>
        <v>1158</v>
      </c>
      <c r="J40" s="40">
        <f t="shared" si="17"/>
        <v>885.33419689119171</v>
      </c>
      <c r="K40" s="104">
        <f t="shared" si="18"/>
        <v>2.4801381692573403</v>
      </c>
      <c r="L40" s="105">
        <f t="shared" si="19"/>
        <v>2.8013581514937814E-3</v>
      </c>
      <c r="M40" s="93">
        <f>SUM('Input-Retail by Rate Class'!M44:M55)</f>
        <v>106680</v>
      </c>
      <c r="N40" s="93">
        <f>SUM('Input-Retail by Rate Class'!N44:N55)</f>
        <v>302</v>
      </c>
      <c r="O40" s="40">
        <f>'Input-Customer Growth'!K9</f>
        <v>22</v>
      </c>
      <c r="P40" s="40">
        <f t="shared" si="20"/>
        <v>4849.090909090909</v>
      </c>
      <c r="Q40" s="104">
        <f t="shared" si="21"/>
        <v>13.727272727272727</v>
      </c>
      <c r="R40" s="105">
        <f t="shared" si="22"/>
        <v>2.8308961379827522E-3</v>
      </c>
      <c r="S40" s="93">
        <f>SUM('Input-Retail by Rate Class'!P66:P77)</f>
        <v>64965</v>
      </c>
      <c r="T40" s="40">
        <f>'Input-Customer Growth'!M9</f>
        <v>1E-3</v>
      </c>
      <c r="U40" s="88"/>
    </row>
    <row r="41" spans="2:21" x14ac:dyDescent="0.2">
      <c r="B41" s="96">
        <v>2007</v>
      </c>
      <c r="C41" s="93">
        <f>'Worksheet-Class Analysis'!Q10</f>
        <v>117345908</v>
      </c>
      <c r="D41" s="40"/>
      <c r="E41" s="40">
        <f>SUM('Input-Retail by Rate Class'!H56:H67)</f>
        <v>290290</v>
      </c>
      <c r="F41" s="105">
        <f t="shared" si="16"/>
        <v>2.4737973820101165E-3</v>
      </c>
      <c r="G41" s="93">
        <f>SUM('Input-Retail by Rate Class'!J56:J67)</f>
        <v>972414</v>
      </c>
      <c r="H41" s="40">
        <f>SUM('Input-Retail by Rate Class'!K56:K67)</f>
        <v>2874</v>
      </c>
      <c r="I41" s="40">
        <f>'Input-Customer Growth'!I10</f>
        <v>1158</v>
      </c>
      <c r="J41" s="40">
        <f t="shared" si="17"/>
        <v>839.73575129533674</v>
      </c>
      <c r="K41" s="104">
        <f t="shared" si="18"/>
        <v>2.4818652849740932</v>
      </c>
      <c r="L41" s="105">
        <f t="shared" si="19"/>
        <v>2.9555312860571731E-3</v>
      </c>
      <c r="M41" s="93">
        <f>SUM('Input-Retail by Rate Class'!M56:M67)</f>
        <v>108699</v>
      </c>
      <c r="N41" s="93">
        <f>SUM('Input-Retail by Rate Class'!N56:N67)</f>
        <v>300</v>
      </c>
      <c r="O41" s="40">
        <f>'Input-Customer Growth'!K10</f>
        <v>21</v>
      </c>
      <c r="P41" s="40">
        <f t="shared" si="20"/>
        <v>5176.1428571428569</v>
      </c>
      <c r="Q41" s="104">
        <f t="shared" si="21"/>
        <v>14.285714285714286</v>
      </c>
      <c r="R41" s="105">
        <f t="shared" si="22"/>
        <v>2.7599149946181656E-3</v>
      </c>
      <c r="S41" s="93">
        <f>SUM('Input-Retail by Rate Class'!P67:P78)</f>
        <v>76398</v>
      </c>
      <c r="T41" s="40">
        <f>'Input-Customer Growth'!M10</f>
        <v>1E-3</v>
      </c>
      <c r="U41" s="88"/>
    </row>
    <row r="42" spans="2:21" x14ac:dyDescent="0.2">
      <c r="B42" s="97">
        <v>2008</v>
      </c>
      <c r="C42" s="93">
        <f>'Worksheet-Class Analysis'!Q11</f>
        <v>112845011</v>
      </c>
      <c r="D42" s="40"/>
      <c r="E42" s="40">
        <f>SUM('Input-Retail by Rate Class'!H68:H79)</f>
        <v>304147</v>
      </c>
      <c r="F42" s="105">
        <f t="shared" si="16"/>
        <v>2.6952631516868743E-3</v>
      </c>
      <c r="G42" s="93">
        <f>SUM('Input-Retail by Rate Class'!J68:J79)</f>
        <v>1208366</v>
      </c>
      <c r="H42" s="40">
        <f>SUM('Input-Retail by Rate Class'!K68:K79)</f>
        <v>3098</v>
      </c>
      <c r="I42" s="40">
        <f>'Input-Customer Growth'!I11</f>
        <v>1158</v>
      </c>
      <c r="J42" s="40">
        <f t="shared" si="17"/>
        <v>1043.4939550949914</v>
      </c>
      <c r="K42" s="104">
        <f t="shared" si="18"/>
        <v>2.6753022452504318</v>
      </c>
      <c r="L42" s="105">
        <f t="shared" si="19"/>
        <v>2.5637927581544004E-3</v>
      </c>
      <c r="M42" s="93">
        <f>SUM('Input-Retail by Rate Class'!M68:M79)</f>
        <v>108472</v>
      </c>
      <c r="N42" s="93">
        <f>SUM('Input-Retail by Rate Class'!N68:N79)</f>
        <v>300</v>
      </c>
      <c r="O42" s="40">
        <f>'Input-Customer Growth'!K11</f>
        <v>21</v>
      </c>
      <c r="P42" s="40">
        <f t="shared" si="20"/>
        <v>5165.333333333333</v>
      </c>
      <c r="Q42" s="104">
        <f t="shared" si="21"/>
        <v>14.285714285714286</v>
      </c>
      <c r="R42" s="105">
        <f t="shared" si="22"/>
        <v>2.7656906851537726E-3</v>
      </c>
      <c r="S42" s="93">
        <f>SUM('Input-Retail by Rate Class'!P68:P79)</f>
        <v>86849</v>
      </c>
      <c r="T42" s="40">
        <f>'Input-Customer Growth'!M11</f>
        <v>4</v>
      </c>
      <c r="U42" s="88">
        <f>S42/T42</f>
        <v>21712.25</v>
      </c>
    </row>
    <row r="43" spans="2:21" x14ac:dyDescent="0.2">
      <c r="B43" s="97">
        <v>2009</v>
      </c>
      <c r="C43" s="93">
        <f>'Worksheet-Class Analysis'!Q12</f>
        <v>96007524</v>
      </c>
      <c r="D43" s="40"/>
      <c r="E43" s="40">
        <f>SUM('Input-Retail by Rate Class'!H80:H91)</f>
        <v>253516</v>
      </c>
      <c r="F43" s="105">
        <f t="shared" si="16"/>
        <v>2.6405847108399547E-3</v>
      </c>
      <c r="G43" s="93">
        <f>SUM('Input-Retail by Rate Class'!J80:J91)</f>
        <v>1151305</v>
      </c>
      <c r="H43" s="40">
        <f>SUM('Input-Retail by Rate Class'!K80:K91)</f>
        <v>3198</v>
      </c>
      <c r="I43" s="40">
        <f>'Input-Customer Growth'!I12</f>
        <v>1158</v>
      </c>
      <c r="J43" s="40">
        <f t="shared" si="17"/>
        <v>994.2184801381693</v>
      </c>
      <c r="K43" s="104">
        <f t="shared" si="18"/>
        <v>2.7616580310880829</v>
      </c>
      <c r="L43" s="105">
        <f t="shared" si="19"/>
        <v>2.7777174597521941E-3</v>
      </c>
      <c r="M43" s="93">
        <f>SUM('Input-Retail by Rate Class'!M80:M91)</f>
        <v>108855</v>
      </c>
      <c r="N43" s="93">
        <f>SUM('Input-Retail by Rate Class'!N80:N91)</f>
        <v>300</v>
      </c>
      <c r="O43" s="40">
        <f>'Input-Customer Growth'!K12</f>
        <v>21</v>
      </c>
      <c r="P43" s="40">
        <f t="shared" si="20"/>
        <v>5183.5714285714284</v>
      </c>
      <c r="Q43" s="104">
        <f t="shared" si="21"/>
        <v>14.285714285714286</v>
      </c>
      <c r="R43" s="105">
        <f t="shared" si="22"/>
        <v>2.7559597629874602E-3</v>
      </c>
      <c r="S43" s="93">
        <f>SUM('Input-Retail by Rate Class'!P80:P91)</f>
        <v>181221</v>
      </c>
      <c r="T43" s="40">
        <f>'Input-Customer Growth'!M12</f>
        <v>4</v>
      </c>
      <c r="U43" s="88">
        <f>S43/T43</f>
        <v>45305.25</v>
      </c>
    </row>
    <row r="44" spans="2:21" x14ac:dyDescent="0.2">
      <c r="B44" s="97">
        <v>2010</v>
      </c>
      <c r="C44" s="93">
        <f>'Worksheet-Class Analysis'!Q13</f>
        <v>80745583</v>
      </c>
      <c r="D44" s="40"/>
      <c r="E44" s="40">
        <f>SUM('Input-Retail by Rate Class'!H92:H103)</f>
        <v>209711</v>
      </c>
      <c r="F44" s="105">
        <f t="shared" si="16"/>
        <v>2.5971823127464446E-3</v>
      </c>
      <c r="G44" s="93">
        <f>SUM('Input-Retail by Rate Class'!J92:J103)</f>
        <v>1156978</v>
      </c>
      <c r="H44" s="40">
        <f>SUM('Input-Retail by Rate Class'!K92:K103)</f>
        <v>3194</v>
      </c>
      <c r="I44" s="40">
        <f>'Input-Customer Growth'!I13</f>
        <v>1180</v>
      </c>
      <c r="J44" s="40">
        <f t="shared" si="17"/>
        <v>980.4898305084746</v>
      </c>
      <c r="K44" s="104">
        <f t="shared" si="18"/>
        <v>2.7067796610169492</v>
      </c>
      <c r="L44" s="105">
        <f t="shared" si="19"/>
        <v>2.7606402196065959E-3</v>
      </c>
      <c r="M44" s="93">
        <f>SUM('Input-Retail by Rate Class'!M92:M103)</f>
        <v>105383</v>
      </c>
      <c r="N44" s="93">
        <f>SUM('Input-Retail by Rate Class'!N92:N103)</f>
        <v>297</v>
      </c>
      <c r="O44" s="40">
        <f>'Input-Customer Growth'!K13</f>
        <v>21</v>
      </c>
      <c r="P44" s="40">
        <f t="shared" si="20"/>
        <v>5018.2380952380954</v>
      </c>
      <c r="Q44" s="104">
        <f t="shared" si="21"/>
        <v>14.142857142857142</v>
      </c>
      <c r="R44" s="105">
        <f t="shared" si="22"/>
        <v>2.8182913752692559E-3</v>
      </c>
      <c r="S44" s="93">
        <f>SUM('Input-Retail by Rate Class'!P92:P103)</f>
        <v>242514</v>
      </c>
      <c r="T44" s="40">
        <f>'Input-Customer Growth'!M13</f>
        <v>5</v>
      </c>
      <c r="U44" s="88">
        <f>S44/T44</f>
        <v>48502.8</v>
      </c>
    </row>
    <row r="45" spans="2:21" x14ac:dyDescent="0.2">
      <c r="B45" s="97">
        <v>2011</v>
      </c>
      <c r="C45" s="93">
        <f>'Worksheet-Class Analysis'!Q14</f>
        <v>82739387</v>
      </c>
      <c r="D45" s="40"/>
      <c r="E45" s="40">
        <f>SUM('Input-Retail by Rate Class'!H104:H115)</f>
        <v>211681</v>
      </c>
      <c r="F45" s="105">
        <f t="shared" si="16"/>
        <v>2.5584066751666895E-3</v>
      </c>
      <c r="G45" s="93">
        <f>SUM('Input-Retail by Rate Class'!J104:J115)</f>
        <v>1343667</v>
      </c>
      <c r="H45" s="40">
        <f>SUM('Input-Retail by Rate Class'!K104:K115)</f>
        <v>3724</v>
      </c>
      <c r="I45" s="40">
        <f>'Input-Customer Growth'!I14</f>
        <v>1201</v>
      </c>
      <c r="J45" s="40">
        <f t="shared" si="17"/>
        <v>1118.7901748542881</v>
      </c>
      <c r="K45" s="104">
        <f t="shared" si="18"/>
        <v>3.1007493755203996</v>
      </c>
      <c r="L45" s="105">
        <f t="shared" si="19"/>
        <v>2.7715200269114297E-3</v>
      </c>
      <c r="M45" s="93">
        <f>SUM('Input-Retail by Rate Class'!M104:M115)</f>
        <v>102889</v>
      </c>
      <c r="N45" s="93">
        <f>SUM('Input-Retail by Rate Class'!N104:N115)</f>
        <v>280</v>
      </c>
      <c r="O45" s="40">
        <f>'Input-Customer Growth'!K14</f>
        <v>21</v>
      </c>
      <c r="P45" s="40">
        <f t="shared" si="20"/>
        <v>4899.4761904761908</v>
      </c>
      <c r="Q45" s="104">
        <f t="shared" si="21"/>
        <v>13.333333333333334</v>
      </c>
      <c r="R45" s="105">
        <f t="shared" si="22"/>
        <v>2.7213793505622562E-3</v>
      </c>
      <c r="S45" s="93">
        <f>SUM('Input-Retail by Rate Class'!P104:P115)</f>
        <v>215299</v>
      </c>
      <c r="T45" s="40">
        <f>'Input-Customer Growth'!M14</f>
        <v>5</v>
      </c>
      <c r="U45" s="88">
        <f>S45/T45</f>
        <v>43059.8</v>
      </c>
    </row>
    <row r="46" spans="2:21" x14ac:dyDescent="0.2">
      <c r="B46" s="97">
        <v>2012</v>
      </c>
      <c r="C46" s="93">
        <f>'Worksheet-Class Analysis'!Q15</f>
        <v>77875019</v>
      </c>
      <c r="D46" s="40"/>
      <c r="E46" s="40">
        <f>SUM('Input-Retail by Rate Class'!H116:H127)</f>
        <v>206655</v>
      </c>
      <c r="F46" s="105">
        <f t="shared" si="16"/>
        <v>2.6536751149941933E-3</v>
      </c>
      <c r="G46" s="93">
        <f>SUM('Input-Retail by Rate Class'!J116:J127)</f>
        <v>1355855</v>
      </c>
      <c r="H46" s="40">
        <f>SUM('Input-Retail by Rate Class'!K116:K127)</f>
        <v>3748</v>
      </c>
      <c r="I46" s="40">
        <f>'Input-Customer Growth'!I15</f>
        <v>1204</v>
      </c>
      <c r="J46" s="40">
        <f t="shared" si="17"/>
        <v>1126.1254152823919</v>
      </c>
      <c r="K46" s="104">
        <f t="shared" si="18"/>
        <v>3.1129568106312293</v>
      </c>
      <c r="L46" s="105">
        <f t="shared" si="19"/>
        <v>2.7643073927521747E-3</v>
      </c>
      <c r="M46" s="93">
        <f>SUM('Input-Retail by Rate Class'!M116:M127)</f>
        <v>102354</v>
      </c>
      <c r="N46" s="93">
        <f>SUM('Input-Retail by Rate Class'!N116:N127)</f>
        <v>284</v>
      </c>
      <c r="O46" s="40">
        <f>'Input-Customer Growth'!K15</f>
        <v>21</v>
      </c>
      <c r="P46" s="40">
        <f t="shared" si="20"/>
        <v>4874</v>
      </c>
      <c r="Q46" s="104">
        <f t="shared" si="21"/>
        <v>13.523809523809524</v>
      </c>
      <c r="R46" s="105">
        <f t="shared" si="22"/>
        <v>2.7746839400511949E-3</v>
      </c>
      <c r="S46" s="93">
        <f>SUM('Input-Retail by Rate Class'!P116:P127)</f>
        <v>214901</v>
      </c>
      <c r="T46" s="40">
        <f>'Input-Customer Growth'!M15</f>
        <v>5</v>
      </c>
      <c r="U46" s="88">
        <f>S46/T46</f>
        <v>42980.2</v>
      </c>
    </row>
    <row r="47" spans="2:21" x14ac:dyDescent="0.2">
      <c r="B47" s="98">
        <v>2013</v>
      </c>
      <c r="C47" s="94" t="s">
        <v>49</v>
      </c>
      <c r="D47" s="42">
        <f>'Worksheet-Class Analysis'!U16</f>
        <v>85290680.17802614</v>
      </c>
      <c r="E47" s="42">
        <f>D47*$F$50</f>
        <v>212553.6404277299</v>
      </c>
      <c r="F47" s="91"/>
      <c r="G47" s="94">
        <f>I47*J50</f>
        <v>1150473.3263576643</v>
      </c>
      <c r="H47" s="42">
        <f>I47*K50</f>
        <v>3249.8777930661745</v>
      </c>
      <c r="I47" s="42">
        <f>'Input-Customer Growth'!I23</f>
        <v>1210</v>
      </c>
      <c r="J47" s="42"/>
      <c r="K47" s="104"/>
      <c r="L47" s="91"/>
      <c r="M47" s="94">
        <f>M50</f>
        <v>106348.88888888889</v>
      </c>
      <c r="N47" s="231">
        <v>297</v>
      </c>
      <c r="O47" s="231">
        <v>21</v>
      </c>
      <c r="P47" s="231"/>
      <c r="Q47" s="231"/>
      <c r="R47" s="91"/>
      <c r="S47" s="94">
        <f>T47*U50</f>
        <v>224238</v>
      </c>
      <c r="T47" s="42">
        <f>'Input-Customer Growth'!M23</f>
        <v>5</v>
      </c>
      <c r="U47" s="91"/>
    </row>
    <row r="48" spans="2:21" x14ac:dyDescent="0.2">
      <c r="B48" s="98">
        <v>2014</v>
      </c>
      <c r="C48" s="94" t="s">
        <v>49</v>
      </c>
      <c r="D48" s="42">
        <f>'Worksheet-Class Analysis'!U17</f>
        <v>85431180.353043929</v>
      </c>
      <c r="E48" s="42">
        <f>D48*$F$50</f>
        <v>212903.7821268983</v>
      </c>
      <c r="F48" s="91"/>
      <c r="G48" s="94">
        <f>I48*J50</f>
        <v>1155227.3483674068</v>
      </c>
      <c r="H48" s="42">
        <f>I48*K50</f>
        <v>3263.30704014496</v>
      </c>
      <c r="I48" s="231">
        <f>'Input-Customer Growth'!I24</f>
        <v>1215</v>
      </c>
      <c r="J48" s="42"/>
      <c r="K48" s="104"/>
      <c r="L48" s="91"/>
      <c r="M48" s="94">
        <f>M50</f>
        <v>106348.88888888889</v>
      </c>
      <c r="N48" s="231">
        <v>297</v>
      </c>
      <c r="O48" s="231">
        <v>21</v>
      </c>
      <c r="P48" s="231"/>
      <c r="Q48" s="231"/>
      <c r="R48" s="91"/>
      <c r="S48" s="94">
        <f>T48*U50</f>
        <v>224238</v>
      </c>
      <c r="T48" s="231">
        <f>'Input-Customer Growth'!M24</f>
        <v>5</v>
      </c>
      <c r="U48" s="91"/>
    </row>
    <row r="49" spans="2:21" x14ac:dyDescent="0.2">
      <c r="B49" s="98"/>
      <c r="C49" s="93"/>
      <c r="D49" s="40"/>
      <c r="E49" s="42"/>
      <c r="F49" s="91"/>
      <c r="G49" s="94"/>
      <c r="H49" s="42"/>
      <c r="I49" s="42"/>
      <c r="J49" s="42"/>
      <c r="K49" s="42"/>
      <c r="L49" s="91"/>
      <c r="M49" s="94"/>
      <c r="N49" s="231"/>
      <c r="O49" s="231"/>
      <c r="P49" s="231"/>
      <c r="Q49" s="231"/>
      <c r="R49" s="91"/>
      <c r="S49" s="93"/>
      <c r="T49" s="42"/>
      <c r="U49" s="91"/>
    </row>
    <row r="50" spans="2:21" ht="13.5" thickBot="1" x14ac:dyDescent="0.25">
      <c r="B50" s="135" t="s">
        <v>78</v>
      </c>
      <c r="C50" s="110"/>
      <c r="D50" s="108" t="s">
        <v>49</v>
      </c>
      <c r="E50" s="107"/>
      <c r="F50" s="109">
        <f>AVERAGE(F38:F46)</f>
        <v>2.4921086334880834E-3</v>
      </c>
      <c r="G50" s="110"/>
      <c r="H50" s="107"/>
      <c r="I50" s="107"/>
      <c r="J50" s="107">
        <f>AVERAGE(J38:J46)</f>
        <v>950.80440194848291</v>
      </c>
      <c r="K50" s="124">
        <f>AVERAGE(K38:K46)</f>
        <v>2.6858494157571688</v>
      </c>
      <c r="L50" s="109">
        <f>AVERAGE(L38:L46)</f>
        <v>2.8423122082284684E-3</v>
      </c>
      <c r="M50" s="107">
        <f>AVERAGE(M38:M46)</f>
        <v>106348.88888888889</v>
      </c>
      <c r="N50" s="107">
        <f>AVERAGE(N38:N46)</f>
        <v>296.33333333333331</v>
      </c>
      <c r="O50" s="107"/>
      <c r="P50" s="107">
        <f>AVERAGE(P38:P46)</f>
        <v>4918.170038898299</v>
      </c>
      <c r="Q50" s="124">
        <f>AVERAGE(Q38:Q46)</f>
        <v>13.700200765418156</v>
      </c>
      <c r="R50" s="109">
        <f>AVERAGE(R38:R46)</f>
        <v>2.7867680398034047E-3</v>
      </c>
      <c r="S50" s="110"/>
      <c r="T50" s="107"/>
      <c r="U50" s="123">
        <f>AVERAGE(U44:U46)</f>
        <v>44847.6</v>
      </c>
    </row>
  </sheetData>
  <mergeCells count="23">
    <mergeCell ref="P5:V5"/>
    <mergeCell ref="B21:H21"/>
    <mergeCell ref="I21:O21"/>
    <mergeCell ref="B5:H5"/>
    <mergeCell ref="D28:E28"/>
    <mergeCell ref="F28:G28"/>
    <mergeCell ref="B27:H27"/>
    <mergeCell ref="I27:O27"/>
    <mergeCell ref="I5:O5"/>
    <mergeCell ref="S35:U35"/>
    <mergeCell ref="F30:G30"/>
    <mergeCell ref="M28:N28"/>
    <mergeCell ref="M29:N29"/>
    <mergeCell ref="M30:N30"/>
    <mergeCell ref="M35:R35"/>
    <mergeCell ref="K28:L28"/>
    <mergeCell ref="K29:L29"/>
    <mergeCell ref="F29:G29"/>
    <mergeCell ref="K30:L30"/>
    <mergeCell ref="C35:F35"/>
    <mergeCell ref="G35:L35"/>
    <mergeCell ref="D29:E29"/>
    <mergeCell ref="D30:E3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J33"/>
  <sheetViews>
    <sheetView workbookViewId="0">
      <selection activeCell="I7" sqref="I7"/>
    </sheetView>
  </sheetViews>
  <sheetFormatPr defaultColWidth="10.5" defaultRowHeight="12.75" x14ac:dyDescent="0.2"/>
  <cols>
    <col min="2" max="2" width="11.6640625" customWidth="1"/>
    <col min="3" max="31" width="11.1640625" customWidth="1"/>
  </cols>
  <sheetData>
    <row r="2" spans="2:36" ht="15.75" x14ac:dyDescent="0.2">
      <c r="B2" s="138" t="s">
        <v>124</v>
      </c>
      <c r="C2" s="3"/>
      <c r="D2" s="3"/>
      <c r="E2" s="3"/>
      <c r="F2" s="3"/>
      <c r="G2" s="3"/>
      <c r="H2" s="3"/>
      <c r="I2" s="3"/>
      <c r="J2" s="3"/>
      <c r="K2" s="3"/>
      <c r="L2" s="3"/>
      <c r="M2" s="3"/>
      <c r="N2" s="3"/>
      <c r="O2" s="3"/>
      <c r="P2" s="3"/>
      <c r="Q2" s="3"/>
      <c r="R2" s="3"/>
      <c r="S2" s="3"/>
      <c r="T2" s="3"/>
      <c r="U2" s="3"/>
      <c r="V2" s="3"/>
      <c r="W2" s="3"/>
      <c r="X2" s="3"/>
      <c r="Y2" s="3"/>
    </row>
    <row r="3" spans="2:36" ht="16.5" thickBot="1" x14ac:dyDescent="0.25">
      <c r="B3" s="59"/>
      <c r="C3" s="3"/>
      <c r="D3" s="3"/>
      <c r="E3" s="3"/>
      <c r="F3" s="3"/>
      <c r="G3" s="3"/>
      <c r="H3" s="3"/>
      <c r="I3" s="3"/>
      <c r="J3" s="3"/>
      <c r="K3" s="3"/>
      <c r="L3" s="3"/>
      <c r="M3" s="3"/>
      <c r="N3" s="3"/>
      <c r="O3" s="3"/>
      <c r="P3" s="3"/>
      <c r="Q3" s="3"/>
      <c r="R3" s="3"/>
      <c r="S3" s="3"/>
      <c r="T3" s="3"/>
      <c r="U3" s="3"/>
      <c r="V3" s="3"/>
      <c r="W3" s="3"/>
      <c r="X3" s="3"/>
      <c r="Y3" s="3"/>
    </row>
    <row r="4" spans="2:36" ht="13.5" thickBot="1" x14ac:dyDescent="0.25">
      <c r="B4" s="3"/>
      <c r="C4" s="472" t="s">
        <v>82</v>
      </c>
      <c r="D4" s="473"/>
      <c r="E4" s="473"/>
      <c r="F4" s="473"/>
      <c r="G4" s="473"/>
      <c r="H4" s="473"/>
      <c r="I4" s="473"/>
      <c r="J4" s="473"/>
      <c r="K4" s="473"/>
      <c r="L4" s="473"/>
      <c r="M4" s="473"/>
      <c r="N4" s="473"/>
      <c r="O4" s="473"/>
      <c r="P4" s="474"/>
    </row>
    <row r="5" spans="2:36" ht="13.5" thickBot="1" x14ac:dyDescent="0.25">
      <c r="B5" s="157"/>
      <c r="C5" s="472" t="s">
        <v>11</v>
      </c>
      <c r="D5" s="473"/>
      <c r="E5" s="473"/>
      <c r="F5" s="474"/>
      <c r="G5" s="472" t="s">
        <v>5</v>
      </c>
      <c r="H5" s="473"/>
      <c r="I5" s="473"/>
      <c r="J5" s="474"/>
      <c r="K5" s="472" t="s">
        <v>6</v>
      </c>
      <c r="L5" s="473"/>
      <c r="M5" s="473"/>
      <c r="N5" s="473"/>
      <c r="O5" s="473"/>
      <c r="P5" s="474"/>
    </row>
    <row r="6" spans="2:36" ht="13.5" thickBot="1" x14ac:dyDescent="0.25">
      <c r="B6" s="158" t="s">
        <v>52</v>
      </c>
      <c r="C6" s="225" t="s">
        <v>107</v>
      </c>
      <c r="D6" s="226" t="s">
        <v>123</v>
      </c>
      <c r="E6" s="227" t="s">
        <v>64</v>
      </c>
      <c r="F6" s="228" t="s">
        <v>123</v>
      </c>
      <c r="G6" s="225" t="s">
        <v>107</v>
      </c>
      <c r="H6" s="226" t="s">
        <v>123</v>
      </c>
      <c r="I6" s="227" t="s">
        <v>64</v>
      </c>
      <c r="J6" s="258" t="s">
        <v>123</v>
      </c>
      <c r="K6" s="270" t="s">
        <v>107</v>
      </c>
      <c r="L6" s="271" t="s">
        <v>123</v>
      </c>
      <c r="M6" s="268" t="s">
        <v>64</v>
      </c>
      <c r="N6" s="271" t="s">
        <v>123</v>
      </c>
      <c r="O6" s="268" t="s">
        <v>65</v>
      </c>
      <c r="P6" s="269" t="s">
        <v>123</v>
      </c>
    </row>
    <row r="7" spans="2:36" x14ac:dyDescent="0.2">
      <c r="B7" s="99">
        <v>2004</v>
      </c>
      <c r="C7" s="245">
        <f>'Input-Customer Growth'!C7</f>
        <v>4580</v>
      </c>
      <c r="D7" s="246"/>
      <c r="E7" s="247">
        <f>'Worksheet-Class Analysis'!G7</f>
        <v>54198821.552789778</v>
      </c>
      <c r="F7" s="246"/>
      <c r="G7" s="245">
        <f>'Input-Customer Growth'!E7</f>
        <v>568</v>
      </c>
      <c r="H7" s="246"/>
      <c r="I7" s="247">
        <f>'Worksheet-Class Analysis'!N7</f>
        <v>22877765.771174051</v>
      </c>
      <c r="J7" s="257"/>
      <c r="K7" s="245">
        <f>'Input-Customer Growth'!G7</f>
        <v>78</v>
      </c>
      <c r="L7" s="246"/>
      <c r="M7" s="247">
        <f>'Worksheet-Class Analysis'!U7</f>
        <v>133120684.15209886</v>
      </c>
      <c r="N7" s="246"/>
      <c r="O7" s="247">
        <f>'Worksheet-Class Analysis'!E38</f>
        <v>281031</v>
      </c>
      <c r="P7" s="261"/>
    </row>
    <row r="8" spans="2:36" x14ac:dyDescent="0.2">
      <c r="B8" s="99">
        <v>2005</v>
      </c>
      <c r="C8" s="245">
        <f>'Input-Customer Growth'!C8</f>
        <v>4611</v>
      </c>
      <c r="D8" s="246">
        <f t="shared" ref="D8:F17" si="0">(C8-C7)/C7</f>
        <v>6.7685589519650658E-3</v>
      </c>
      <c r="E8" s="247">
        <f>'Worksheet-Class Analysis'!G8</f>
        <v>55205055.006160192</v>
      </c>
      <c r="F8" s="246">
        <f t="shared" si="0"/>
        <v>1.8565596530366272E-2</v>
      </c>
      <c r="G8" s="245">
        <f>'Input-Customer Growth'!E8</f>
        <v>564</v>
      </c>
      <c r="H8" s="246">
        <f t="shared" ref="H8:H17" si="1">(G8-G7)/G7</f>
        <v>-7.0422535211267607E-3</v>
      </c>
      <c r="I8" s="247">
        <f>'Worksheet-Class Analysis'!N8</f>
        <v>22792869.051139083</v>
      </c>
      <c r="J8" s="257">
        <f t="shared" ref="J8:J17" si="2">(I8-I7)/I7</f>
        <v>-3.7108833477934216E-3</v>
      </c>
      <c r="K8" s="245">
        <f>'Input-Customer Growth'!G8</f>
        <v>72</v>
      </c>
      <c r="L8" s="246">
        <f t="shared" ref="L8:L17" si="3">(K8-K7)/K7</f>
        <v>-7.6923076923076927E-2</v>
      </c>
      <c r="M8" s="247">
        <f>'Worksheet-Class Analysis'!U8</f>
        <v>122740343.94929126</v>
      </c>
      <c r="N8" s="246">
        <f t="shared" ref="N8:N17" si="4">(M8-M7)/M7</f>
        <v>-7.7976914473692191E-2</v>
      </c>
      <c r="O8" s="247">
        <f>'Worksheet-Class Analysis'!E39</f>
        <v>275148</v>
      </c>
      <c r="P8" s="261">
        <f t="shared" ref="P8:P17" si="5">(O8-O7)/O7</f>
        <v>-2.0933633656073529E-2</v>
      </c>
    </row>
    <row r="9" spans="2:36" x14ac:dyDescent="0.2">
      <c r="B9" s="99">
        <v>2006</v>
      </c>
      <c r="C9" s="245">
        <f>'Input-Customer Growth'!C9</f>
        <v>4642</v>
      </c>
      <c r="D9" s="246">
        <f t="shared" si="0"/>
        <v>6.7230535675558449E-3</v>
      </c>
      <c r="E9" s="247">
        <f>'Worksheet-Class Analysis'!G9</f>
        <v>50664775.167957284</v>
      </c>
      <c r="F9" s="246">
        <f t="shared" si="0"/>
        <v>-8.2243914759187728E-2</v>
      </c>
      <c r="G9" s="245">
        <f>'Input-Customer Growth'!E9</f>
        <v>566</v>
      </c>
      <c r="H9" s="246">
        <f t="shared" si="1"/>
        <v>3.5460992907801418E-3</v>
      </c>
      <c r="I9" s="247">
        <f>'Worksheet-Class Analysis'!N9</f>
        <v>20527385.213993825</v>
      </c>
      <c r="J9" s="257">
        <f t="shared" si="2"/>
        <v>-9.9394412878094404E-2</v>
      </c>
      <c r="K9" s="245">
        <f>'Input-Customer Growth'!G9</f>
        <v>78</v>
      </c>
      <c r="L9" s="246">
        <f t="shared" si="3"/>
        <v>8.3333333333333329E-2</v>
      </c>
      <c r="M9" s="247">
        <f>'Worksheet-Class Analysis'!U9</f>
        <v>114336294.05280721</v>
      </c>
      <c r="N9" s="246">
        <f t="shared" si="4"/>
        <v>-6.8470151101711771E-2</v>
      </c>
      <c r="O9" s="247">
        <f>'Worksheet-Class Analysis'!E40</f>
        <v>274200</v>
      </c>
      <c r="P9" s="261">
        <f t="shared" si="5"/>
        <v>-3.4454184656984603E-3</v>
      </c>
    </row>
    <row r="10" spans="2:36" x14ac:dyDescent="0.2">
      <c r="B10" s="118">
        <v>2007</v>
      </c>
      <c r="C10" s="245">
        <f>'Input-Customer Growth'!C10</f>
        <v>4775</v>
      </c>
      <c r="D10" s="246">
        <f t="shared" si="0"/>
        <v>2.8651443343386471E-2</v>
      </c>
      <c r="E10" s="247">
        <f>'Worksheet-Class Analysis'!G10</f>
        <v>51572838.618896946</v>
      </c>
      <c r="F10" s="246">
        <f t="shared" si="0"/>
        <v>1.7922974057012365E-2</v>
      </c>
      <c r="G10" s="245">
        <f>'Input-Customer Growth'!E10</f>
        <v>573</v>
      </c>
      <c r="H10" s="246">
        <f t="shared" si="1"/>
        <v>1.2367491166077738E-2</v>
      </c>
      <c r="I10" s="247">
        <f>'Worksheet-Class Analysis'!N10</f>
        <v>20386929.531811666</v>
      </c>
      <c r="J10" s="257">
        <f t="shared" si="2"/>
        <v>-6.8423562337792806E-3</v>
      </c>
      <c r="K10" s="245">
        <f>'Input-Customer Growth'!G10</f>
        <v>80</v>
      </c>
      <c r="L10" s="246">
        <f t="shared" si="3"/>
        <v>2.564102564102564E-2</v>
      </c>
      <c r="M10" s="247">
        <f>'Worksheet-Class Analysis'!U10</f>
        <v>114109515.05574729</v>
      </c>
      <c r="N10" s="246">
        <f t="shared" si="4"/>
        <v>-1.9834384080630297E-3</v>
      </c>
      <c r="O10" s="247">
        <f>'Worksheet-Class Analysis'!E41</f>
        <v>290290</v>
      </c>
      <c r="P10" s="261">
        <f t="shared" si="5"/>
        <v>5.8679795769511309E-2</v>
      </c>
    </row>
    <row r="11" spans="2:36" x14ac:dyDescent="0.2">
      <c r="B11" s="118">
        <v>2008</v>
      </c>
      <c r="C11" s="245">
        <f>'Input-Customer Growth'!C11</f>
        <v>4778</v>
      </c>
      <c r="D11" s="246">
        <f t="shared" si="0"/>
        <v>6.2827225130890048E-4</v>
      </c>
      <c r="E11" s="247">
        <f>'Worksheet-Class Analysis'!G11</f>
        <v>52528332.624209039</v>
      </c>
      <c r="F11" s="246">
        <f t="shared" si="0"/>
        <v>1.8527078029829201E-2</v>
      </c>
      <c r="G11" s="245">
        <f>'Input-Customer Growth'!E11</f>
        <v>579</v>
      </c>
      <c r="H11" s="246">
        <f t="shared" si="1"/>
        <v>1.0471204188481676E-2</v>
      </c>
      <c r="I11" s="247">
        <f>'Worksheet-Class Analysis'!N11</f>
        <v>20285419.869549997</v>
      </c>
      <c r="J11" s="257">
        <f t="shared" si="2"/>
        <v>-4.9791540262732262E-3</v>
      </c>
      <c r="K11" s="245">
        <f>'Input-Customer Growth'!G11</f>
        <v>80</v>
      </c>
      <c r="L11" s="246">
        <f t="shared" si="3"/>
        <v>0</v>
      </c>
      <c r="M11" s="247">
        <f>'Worksheet-Class Analysis'!U11</f>
        <v>110854759.07200743</v>
      </c>
      <c r="N11" s="246">
        <f t="shared" si="4"/>
        <v>-2.8523090139764139E-2</v>
      </c>
      <c r="O11" s="247">
        <f>'Worksheet-Class Analysis'!E42</f>
        <v>304147</v>
      </c>
      <c r="P11" s="261">
        <f t="shared" si="5"/>
        <v>4.7735023597092564E-2</v>
      </c>
    </row>
    <row r="12" spans="2:36" x14ac:dyDescent="0.2">
      <c r="B12" s="118">
        <v>2009</v>
      </c>
      <c r="C12" s="245">
        <f>'Input-Customer Growth'!C12</f>
        <v>4781</v>
      </c>
      <c r="D12" s="246">
        <f t="shared" si="0"/>
        <v>6.2787777312683132E-4</v>
      </c>
      <c r="E12" s="247">
        <f>'Worksheet-Class Analysis'!G12</f>
        <v>51770160.413499646</v>
      </c>
      <c r="F12" s="246">
        <f t="shared" si="0"/>
        <v>-1.4433586082646183E-2</v>
      </c>
      <c r="G12" s="245">
        <f>'Input-Customer Growth'!E12</f>
        <v>586</v>
      </c>
      <c r="H12" s="246">
        <f t="shared" si="1"/>
        <v>1.2089810017271158E-2</v>
      </c>
      <c r="I12" s="247">
        <f>'Worksheet-Class Analysis'!N12</f>
        <v>19322344.024411108</v>
      </c>
      <c r="J12" s="257">
        <f t="shared" si="2"/>
        <v>-4.7476258876186291E-2</v>
      </c>
      <c r="K12" s="245">
        <f>'Input-Customer Growth'!G12</f>
        <v>82</v>
      </c>
      <c r="L12" s="246">
        <f t="shared" si="3"/>
        <v>2.5000000000000001E-2</v>
      </c>
      <c r="M12" s="247">
        <f>'Worksheet-Class Analysis'!U12</f>
        <v>94566663.529546604</v>
      </c>
      <c r="N12" s="246">
        <f t="shared" si="4"/>
        <v>-0.14693185641115006</v>
      </c>
      <c r="O12" s="247">
        <f>'Worksheet-Class Analysis'!E43</f>
        <v>253516</v>
      </c>
      <c r="P12" s="261">
        <f t="shared" si="5"/>
        <v>-0.16646884565686987</v>
      </c>
    </row>
    <row r="13" spans="2:36" x14ac:dyDescent="0.2">
      <c r="B13" s="118">
        <v>2010</v>
      </c>
      <c r="C13" s="245">
        <f>'Input-Customer Growth'!C13</f>
        <v>4817</v>
      </c>
      <c r="D13" s="246">
        <f t="shared" si="0"/>
        <v>7.5298054800250992E-3</v>
      </c>
      <c r="E13" s="247">
        <f>'Worksheet-Class Analysis'!G13</f>
        <v>50851134.368963152</v>
      </c>
      <c r="F13" s="246">
        <f t="shared" si="0"/>
        <v>-1.7752041662533607E-2</v>
      </c>
      <c r="G13" s="245">
        <f>'Input-Customer Growth'!E13</f>
        <v>593</v>
      </c>
      <c r="H13" s="246">
        <f t="shared" si="1"/>
        <v>1.1945392491467578E-2</v>
      </c>
      <c r="I13" s="247">
        <f>'Worksheet-Class Analysis'!N13</f>
        <v>19785676.593439609</v>
      </c>
      <c r="J13" s="257">
        <f t="shared" si="2"/>
        <v>2.3979107733675783E-2</v>
      </c>
      <c r="K13" s="245">
        <f>'Input-Customer Growth'!G13</f>
        <v>86</v>
      </c>
      <c r="L13" s="246">
        <f t="shared" si="3"/>
        <v>4.878048780487805E-2</v>
      </c>
      <c r="M13" s="247">
        <f>'Worksheet-Class Analysis'!U13</f>
        <v>81666288.219612345</v>
      </c>
      <c r="N13" s="246">
        <f t="shared" si="4"/>
        <v>-0.13641567576193103</v>
      </c>
      <c r="O13" s="247">
        <f>'Worksheet-Class Analysis'!E44</f>
        <v>209711</v>
      </c>
      <c r="P13" s="261">
        <f t="shared" si="5"/>
        <v>-0.17278988308430238</v>
      </c>
    </row>
    <row r="14" spans="2:36" x14ac:dyDescent="0.2">
      <c r="B14" s="118">
        <v>2011</v>
      </c>
      <c r="C14" s="245">
        <f>'Input-Customer Growth'!C14</f>
        <v>4835</v>
      </c>
      <c r="D14" s="246">
        <f t="shared" si="0"/>
        <v>3.7367656217562797E-3</v>
      </c>
      <c r="E14" s="247">
        <f>'Worksheet-Class Analysis'!G14</f>
        <v>50752673.983111404</v>
      </c>
      <c r="F14" s="246">
        <f t="shared" si="0"/>
        <v>-1.9362475797952564E-3</v>
      </c>
      <c r="G14" s="245">
        <f>'Input-Customer Growth'!E14</f>
        <v>592</v>
      </c>
      <c r="H14" s="246">
        <f t="shared" si="1"/>
        <v>-1.6863406408094434E-3</v>
      </c>
      <c r="I14" s="247">
        <f>'Worksheet-Class Analysis'!N14</f>
        <v>18270033.679439444</v>
      </c>
      <c r="J14" s="257">
        <f t="shared" si="2"/>
        <v>-7.6603036890975501E-2</v>
      </c>
      <c r="K14" s="245">
        <f>'Input-Customer Growth'!G14</f>
        <v>94</v>
      </c>
      <c r="L14" s="246">
        <f t="shared" si="3"/>
        <v>9.3023255813953487E-2</v>
      </c>
      <c r="M14" s="247">
        <f>'Worksheet-Class Analysis'!U14</f>
        <v>81899586.86466381</v>
      </c>
      <c r="N14" s="246">
        <f t="shared" si="4"/>
        <v>2.8567313408941883E-3</v>
      </c>
      <c r="O14" s="247">
        <f>'Worksheet-Class Analysis'!E45</f>
        <v>211681</v>
      </c>
      <c r="P14" s="261">
        <f t="shared" si="5"/>
        <v>9.3938801493483881E-3</v>
      </c>
    </row>
    <row r="15" spans="2:36" x14ac:dyDescent="0.2">
      <c r="B15" s="118">
        <v>2012</v>
      </c>
      <c r="C15" s="245">
        <f>'Input-Customer Growth'!C15</f>
        <v>4869</v>
      </c>
      <c r="D15" s="246">
        <f t="shared" si="0"/>
        <v>7.0320579110651499E-3</v>
      </c>
      <c r="E15" s="247">
        <f>'Worksheet-Class Analysis'!G15</f>
        <v>52982815.53350509</v>
      </c>
      <c r="F15" s="246">
        <f t="shared" si="0"/>
        <v>4.394136062930977E-2</v>
      </c>
      <c r="G15" s="245">
        <f>'Input-Customer Growth'!E15</f>
        <v>616</v>
      </c>
      <c r="H15" s="246">
        <f t="shared" si="1"/>
        <v>4.0540540540540543E-2</v>
      </c>
      <c r="I15" s="247">
        <f>'Worksheet-Class Analysis'!N15</f>
        <v>19201816.79286702</v>
      </c>
      <c r="J15" s="257">
        <f t="shared" si="2"/>
        <v>5.100062374138789E-2</v>
      </c>
      <c r="K15" s="245">
        <f>'Input-Customer Growth'!G15</f>
        <v>94</v>
      </c>
      <c r="L15" s="246">
        <f t="shared" si="3"/>
        <v>0</v>
      </c>
      <c r="M15" s="247">
        <f>'Worksheet-Class Analysis'!U15</f>
        <v>80692530.4853082</v>
      </c>
      <c r="N15" s="246">
        <f t="shared" si="4"/>
        <v>-1.4738247475536448E-2</v>
      </c>
      <c r="O15" s="247">
        <f>'Worksheet-Class Analysis'!E46</f>
        <v>206655</v>
      </c>
      <c r="P15" s="261">
        <f t="shared" si="5"/>
        <v>-2.3743274077503412E-2</v>
      </c>
    </row>
    <row r="16" spans="2:36" x14ac:dyDescent="0.2">
      <c r="B16" s="119">
        <v>2013</v>
      </c>
      <c r="C16" s="249">
        <f>'Input-Customer Growth'!C23</f>
        <v>4905</v>
      </c>
      <c r="D16" s="250">
        <f t="shared" si="0"/>
        <v>7.3937153419593345E-3</v>
      </c>
      <c r="E16" s="251">
        <f>'Worksheet-Class Analysis'!H29</f>
        <v>56412953.229867883</v>
      </c>
      <c r="F16" s="250">
        <f t="shared" si="0"/>
        <v>6.4740570349525017E-2</v>
      </c>
      <c r="G16" s="249">
        <f>'Input-Customer Growth'!E23</f>
        <v>630</v>
      </c>
      <c r="H16" s="250">
        <f t="shared" si="1"/>
        <v>2.2727272727272728E-2</v>
      </c>
      <c r="I16" s="251">
        <f>'Worksheet-Class Analysis'!O29</f>
        <v>20754464.663283795</v>
      </c>
      <c r="J16" s="259">
        <f t="shared" si="2"/>
        <v>8.0859425291128911E-2</v>
      </c>
      <c r="K16" s="249">
        <f>'Input-Customer Growth'!G23</f>
        <v>96</v>
      </c>
      <c r="L16" s="250">
        <f t="shared" si="3"/>
        <v>2.1276595744680851E-2</v>
      </c>
      <c r="M16" s="251">
        <f>'Worksheet-Class Analysis'!U16</f>
        <v>85290680.17802614</v>
      </c>
      <c r="N16" s="250">
        <f t="shared" si="4"/>
        <v>5.6983585284329771E-2</v>
      </c>
      <c r="O16" s="251">
        <f>'Worksheet-Class Analysis'!E47</f>
        <v>212553.6404277299</v>
      </c>
      <c r="P16" s="264">
        <f t="shared" si="5"/>
        <v>2.8543419843361645E-2</v>
      </c>
      <c r="AI16" s="3" t="s">
        <v>49</v>
      </c>
      <c r="AJ16" s="3" t="s">
        <v>49</v>
      </c>
    </row>
    <row r="17" spans="2:16" ht="13.5" thickBot="1" x14ac:dyDescent="0.25">
      <c r="B17" s="120">
        <v>2014</v>
      </c>
      <c r="C17" s="253">
        <f>'Input-Customer Growth'!C24</f>
        <v>4950</v>
      </c>
      <c r="D17" s="254">
        <f t="shared" si="0"/>
        <v>9.1743119266055051E-3</v>
      </c>
      <c r="E17" s="255">
        <f>'Worksheet-Class Analysis'!H30</f>
        <v>56622192.10631045</v>
      </c>
      <c r="F17" s="254">
        <f t="shared" si="0"/>
        <v>3.7090573079904782E-3</v>
      </c>
      <c r="G17" s="253">
        <f>'Input-Customer Growth'!E24</f>
        <v>634</v>
      </c>
      <c r="H17" s="254">
        <f t="shared" si="1"/>
        <v>6.3492063492063492E-3</v>
      </c>
      <c r="I17" s="255">
        <f>'Worksheet-Class Analysis'!O30</f>
        <v>20362039.962310683</v>
      </c>
      <c r="J17" s="260">
        <f t="shared" si="2"/>
        <v>-1.8907965458985838E-2</v>
      </c>
      <c r="K17" s="253">
        <f>'Input-Customer Growth'!G24</f>
        <v>98</v>
      </c>
      <c r="L17" s="254">
        <f t="shared" si="3"/>
        <v>2.0833333333333332E-2</v>
      </c>
      <c r="M17" s="255">
        <f>'Worksheet-Class Analysis'!U17</f>
        <v>85431180.353043929</v>
      </c>
      <c r="N17" s="254">
        <f t="shared" si="4"/>
        <v>1.647309820070901E-3</v>
      </c>
      <c r="O17" s="255">
        <f>'Worksheet-Class Analysis'!E48</f>
        <v>212903.7821268983</v>
      </c>
      <c r="P17" s="265">
        <f t="shared" si="5"/>
        <v>1.6473098200707873E-3</v>
      </c>
    </row>
    <row r="19" spans="2:16" ht="13.5" thickBot="1" x14ac:dyDescent="0.25"/>
    <row r="20" spans="2:16" ht="13.5" thickBot="1" x14ac:dyDescent="0.25">
      <c r="B20" s="472" t="s">
        <v>83</v>
      </c>
      <c r="C20" s="473"/>
      <c r="D20" s="473"/>
      <c r="E20" s="473"/>
      <c r="F20" s="473"/>
      <c r="G20" s="473"/>
      <c r="H20" s="473"/>
      <c r="I20" s="473"/>
      <c r="J20" s="473"/>
      <c r="K20" s="473"/>
      <c r="L20" s="473"/>
      <c r="M20" s="473"/>
      <c r="N20" s="473"/>
      <c r="O20" s="473"/>
      <c r="P20" s="474"/>
    </row>
    <row r="21" spans="2:16" ht="13.5" thickBot="1" x14ac:dyDescent="0.25">
      <c r="B21" s="437" t="s">
        <v>73</v>
      </c>
      <c r="C21" s="475"/>
      <c r="D21" s="475"/>
      <c r="E21" s="475"/>
      <c r="F21" s="475"/>
      <c r="G21" s="476"/>
      <c r="H21" s="477" t="s">
        <v>135</v>
      </c>
      <c r="I21" s="478"/>
      <c r="J21" s="478"/>
      <c r="K21" s="478"/>
      <c r="L21" s="478"/>
      <c r="M21" s="479"/>
      <c r="N21" s="478" t="s">
        <v>7</v>
      </c>
      <c r="O21" s="478"/>
      <c r="P21" s="479"/>
    </row>
    <row r="22" spans="2:16" ht="13.5" thickBot="1" x14ac:dyDescent="0.25">
      <c r="B22" s="270" t="s">
        <v>107</v>
      </c>
      <c r="C22" s="271" t="s">
        <v>123</v>
      </c>
      <c r="D22" s="271" t="s">
        <v>64</v>
      </c>
      <c r="E22" s="271" t="s">
        <v>123</v>
      </c>
      <c r="F22" s="271" t="s">
        <v>65</v>
      </c>
      <c r="G22" s="269" t="s">
        <v>123</v>
      </c>
      <c r="H22" s="270" t="s">
        <v>107</v>
      </c>
      <c r="I22" s="271" t="s">
        <v>123</v>
      </c>
      <c r="J22" s="268" t="s">
        <v>64</v>
      </c>
      <c r="K22" s="271" t="s">
        <v>123</v>
      </c>
      <c r="L22" s="268" t="s">
        <v>65</v>
      </c>
      <c r="M22" s="271" t="s">
        <v>123</v>
      </c>
      <c r="N22" s="267" t="s">
        <v>106</v>
      </c>
      <c r="O22" s="271" t="s">
        <v>123</v>
      </c>
      <c r="P22" s="269" t="s">
        <v>74</v>
      </c>
    </row>
    <row r="23" spans="2:16" x14ac:dyDescent="0.2">
      <c r="B23" s="245">
        <f>'Input-Customer Growth'!I7</f>
        <v>1158</v>
      </c>
      <c r="C23" s="246"/>
      <c r="D23" s="247">
        <f>'Worksheet-Class Analysis'!G38</f>
        <v>904010</v>
      </c>
      <c r="E23" s="246"/>
      <c r="F23" s="262">
        <f>'Worksheet-Class Analysis'!H38</f>
        <v>2777</v>
      </c>
      <c r="G23" s="261"/>
      <c r="H23" s="245">
        <f>'Input-Customer Growth'!K7</f>
        <v>23</v>
      </c>
      <c r="I23" s="246"/>
      <c r="J23" s="247">
        <f>'Worksheet-Class Analysis'!M38</f>
        <v>104334</v>
      </c>
      <c r="K23" s="246"/>
      <c r="L23" s="247">
        <f>'Worksheet-Class Analysis'!N38</f>
        <v>304</v>
      </c>
      <c r="M23" s="261"/>
      <c r="N23" s="245">
        <f>'Input-Customer Growth'!M7</f>
        <v>1E-3</v>
      </c>
      <c r="O23" s="246"/>
      <c r="P23" s="248"/>
    </row>
    <row r="24" spans="2:16" x14ac:dyDescent="0.2">
      <c r="B24" s="245">
        <f>'Input-Customer Growth'!I8</f>
        <v>1158</v>
      </c>
      <c r="C24" s="246">
        <f t="shared" ref="C24:C33" si="6">(B24-B23)/B23</f>
        <v>0</v>
      </c>
      <c r="D24" s="247">
        <f>'Worksheet-Class Analysis'!G39</f>
        <v>912952</v>
      </c>
      <c r="E24" s="246">
        <f t="shared" ref="E24:G33" si="7">(D24-D23)/D23</f>
        <v>9.8914835012887028E-3</v>
      </c>
      <c r="F24" s="262">
        <f>'Worksheet-Class Analysis'!H39</f>
        <v>2843</v>
      </c>
      <c r="G24" s="261">
        <f t="shared" si="7"/>
        <v>2.3766654663305724E-2</v>
      </c>
      <c r="H24" s="245">
        <f>'Input-Customer Growth'!K8</f>
        <v>24</v>
      </c>
      <c r="I24" s="246">
        <f t="shared" ref="I24:I33" si="8">(H24-H23)/H23</f>
        <v>4.3478260869565216E-2</v>
      </c>
      <c r="J24" s="247">
        <f>'Worksheet-Class Analysis'!M39</f>
        <v>109474</v>
      </c>
      <c r="K24" s="246">
        <f t="shared" ref="K24:K33" si="9">(J24-J23)/J23</f>
        <v>4.9264860927406215E-2</v>
      </c>
      <c r="L24" s="247">
        <f>'Worksheet-Class Analysis'!N39</f>
        <v>300</v>
      </c>
      <c r="M24" s="261">
        <f t="shared" ref="M24:M33" si="10">(L24-L23)/L23</f>
        <v>-1.3157894736842105E-2</v>
      </c>
      <c r="N24" s="245">
        <f>'Input-Customer Growth'!M8</f>
        <v>1E-3</v>
      </c>
      <c r="O24" s="246">
        <f t="shared" ref="O24:O33" si="11">(N24-N23)/N23</f>
        <v>0</v>
      </c>
      <c r="P24" s="248">
        <f>'Worksheet-Class Analysis'!S39</f>
        <v>53987</v>
      </c>
    </row>
    <row r="25" spans="2:16" x14ac:dyDescent="0.2">
      <c r="B25" s="245">
        <f>'Input-Customer Growth'!I9</f>
        <v>1158</v>
      </c>
      <c r="C25" s="246">
        <f t="shared" si="6"/>
        <v>0</v>
      </c>
      <c r="D25" s="247">
        <f>'Worksheet-Class Analysis'!G40</f>
        <v>1025217</v>
      </c>
      <c r="E25" s="246">
        <f t="shared" si="7"/>
        <v>0.12296922510712502</v>
      </c>
      <c r="F25" s="262">
        <f>'Worksheet-Class Analysis'!H40</f>
        <v>2872</v>
      </c>
      <c r="G25" s="261">
        <f t="shared" si="7"/>
        <v>1.0200492437565951E-2</v>
      </c>
      <c r="H25" s="245">
        <f>'Input-Customer Growth'!K9</f>
        <v>22</v>
      </c>
      <c r="I25" s="246">
        <f t="shared" si="8"/>
        <v>-8.3333333333333329E-2</v>
      </c>
      <c r="J25" s="247">
        <f>'Worksheet-Class Analysis'!M40</f>
        <v>106680</v>
      </c>
      <c r="K25" s="246">
        <f t="shared" si="9"/>
        <v>-2.5522041763341066E-2</v>
      </c>
      <c r="L25" s="247">
        <f>'Worksheet-Class Analysis'!N40</f>
        <v>302</v>
      </c>
      <c r="M25" s="261">
        <f t="shared" si="10"/>
        <v>6.6666666666666671E-3</v>
      </c>
      <c r="N25" s="245">
        <f>'Input-Customer Growth'!M9</f>
        <v>1E-3</v>
      </c>
      <c r="O25" s="246">
        <f t="shared" si="11"/>
        <v>0</v>
      </c>
      <c r="P25" s="248">
        <f>'Worksheet-Class Analysis'!S40</f>
        <v>64965</v>
      </c>
    </row>
    <row r="26" spans="2:16" x14ac:dyDescent="0.2">
      <c r="B26" s="245">
        <f>'Input-Customer Growth'!I10</f>
        <v>1158</v>
      </c>
      <c r="C26" s="246">
        <f t="shared" si="6"/>
        <v>0</v>
      </c>
      <c r="D26" s="247">
        <f>'Worksheet-Class Analysis'!G41</f>
        <v>972414</v>
      </c>
      <c r="E26" s="246">
        <f t="shared" si="7"/>
        <v>-5.1504218131380966E-2</v>
      </c>
      <c r="F26" s="262">
        <f>'Worksheet-Class Analysis'!H41</f>
        <v>2874</v>
      </c>
      <c r="G26" s="261">
        <f t="shared" si="7"/>
        <v>6.9637883008356546E-4</v>
      </c>
      <c r="H26" s="245">
        <f>'Input-Customer Growth'!K10</f>
        <v>21</v>
      </c>
      <c r="I26" s="246">
        <f t="shared" si="8"/>
        <v>-4.5454545454545456E-2</v>
      </c>
      <c r="J26" s="247">
        <f>'Worksheet-Class Analysis'!M41</f>
        <v>108699</v>
      </c>
      <c r="K26" s="246">
        <f t="shared" si="9"/>
        <v>1.892575928008999E-2</v>
      </c>
      <c r="L26" s="247">
        <f>'Worksheet-Class Analysis'!N41</f>
        <v>300</v>
      </c>
      <c r="M26" s="261">
        <f t="shared" si="10"/>
        <v>-6.6225165562913907E-3</v>
      </c>
      <c r="N26" s="245">
        <f>'Input-Customer Growth'!M10</f>
        <v>1E-3</v>
      </c>
      <c r="O26" s="246">
        <f t="shared" si="11"/>
        <v>0</v>
      </c>
      <c r="P26" s="248">
        <f>'Worksheet-Class Analysis'!S41</f>
        <v>76398</v>
      </c>
    </row>
    <row r="27" spans="2:16" x14ac:dyDescent="0.2">
      <c r="B27" s="245">
        <f>'Input-Customer Growth'!I11</f>
        <v>1158</v>
      </c>
      <c r="C27" s="246">
        <f t="shared" si="6"/>
        <v>0</v>
      </c>
      <c r="D27" s="247">
        <f>'Worksheet-Class Analysis'!G42</f>
        <v>1208366</v>
      </c>
      <c r="E27" s="246">
        <f t="shared" si="7"/>
        <v>0.24264562213213714</v>
      </c>
      <c r="F27" s="262">
        <f>'Worksheet-Class Analysis'!H42</f>
        <v>3098</v>
      </c>
      <c r="G27" s="261">
        <f t="shared" si="7"/>
        <v>7.7940153096729303E-2</v>
      </c>
      <c r="H27" s="245">
        <f>'Input-Customer Growth'!K11</f>
        <v>21</v>
      </c>
      <c r="I27" s="246">
        <f t="shared" si="8"/>
        <v>0</v>
      </c>
      <c r="J27" s="247">
        <f>'Worksheet-Class Analysis'!M42</f>
        <v>108472</v>
      </c>
      <c r="K27" s="246">
        <f t="shared" si="9"/>
        <v>-2.0883356792610786E-3</v>
      </c>
      <c r="L27" s="247">
        <f>'Worksheet-Class Analysis'!N42</f>
        <v>300</v>
      </c>
      <c r="M27" s="261">
        <f t="shared" si="10"/>
        <v>0</v>
      </c>
      <c r="N27" s="245">
        <f>'Input-Customer Growth'!M11</f>
        <v>4</v>
      </c>
      <c r="O27" s="246">
        <f t="shared" si="11"/>
        <v>3999</v>
      </c>
      <c r="P27" s="248">
        <f>'Worksheet-Class Analysis'!S42</f>
        <v>86849</v>
      </c>
    </row>
    <row r="28" spans="2:16" x14ac:dyDescent="0.2">
      <c r="B28" s="245">
        <f>'Input-Customer Growth'!I12</f>
        <v>1158</v>
      </c>
      <c r="C28" s="246">
        <f t="shared" si="6"/>
        <v>0</v>
      </c>
      <c r="D28" s="247">
        <f>'Worksheet-Class Analysis'!G43</f>
        <v>1151305</v>
      </c>
      <c r="E28" s="246">
        <f t="shared" si="7"/>
        <v>-4.7221619939654048E-2</v>
      </c>
      <c r="F28" s="262">
        <f>'Worksheet-Class Analysis'!H43</f>
        <v>3198</v>
      </c>
      <c r="G28" s="261">
        <f t="shared" si="7"/>
        <v>3.2278889606197549E-2</v>
      </c>
      <c r="H28" s="245">
        <f>'Input-Customer Growth'!K12</f>
        <v>21</v>
      </c>
      <c r="I28" s="246">
        <f t="shared" si="8"/>
        <v>0</v>
      </c>
      <c r="J28" s="247">
        <f>'Worksheet-Class Analysis'!M43</f>
        <v>108855</v>
      </c>
      <c r="K28" s="246">
        <f t="shared" si="9"/>
        <v>3.530865108046316E-3</v>
      </c>
      <c r="L28" s="247">
        <f>'Worksheet-Class Analysis'!N43</f>
        <v>300</v>
      </c>
      <c r="M28" s="261">
        <f t="shared" si="10"/>
        <v>0</v>
      </c>
      <c r="N28" s="245">
        <f>'Input-Customer Growth'!M12</f>
        <v>4</v>
      </c>
      <c r="O28" s="246">
        <f t="shared" si="11"/>
        <v>0</v>
      </c>
      <c r="P28" s="248">
        <f>'Worksheet-Class Analysis'!S43</f>
        <v>181221</v>
      </c>
    </row>
    <row r="29" spans="2:16" x14ac:dyDescent="0.2">
      <c r="B29" s="245">
        <f>'Input-Customer Growth'!I13</f>
        <v>1180</v>
      </c>
      <c r="C29" s="246">
        <f t="shared" si="6"/>
        <v>1.8998272884283247E-2</v>
      </c>
      <c r="D29" s="247">
        <f>'Worksheet-Class Analysis'!G44</f>
        <v>1156978</v>
      </c>
      <c r="E29" s="246">
        <f t="shared" si="7"/>
        <v>4.927451891549155E-3</v>
      </c>
      <c r="F29" s="262">
        <f>'Worksheet-Class Analysis'!H44</f>
        <v>3194</v>
      </c>
      <c r="G29" s="261">
        <f t="shared" si="7"/>
        <v>-1.2507817385866166E-3</v>
      </c>
      <c r="H29" s="245">
        <f>'Input-Customer Growth'!K13</f>
        <v>21</v>
      </c>
      <c r="I29" s="246">
        <f t="shared" si="8"/>
        <v>0</v>
      </c>
      <c r="J29" s="247">
        <f>'Worksheet-Class Analysis'!M44</f>
        <v>105383</v>
      </c>
      <c r="K29" s="246">
        <f t="shared" si="9"/>
        <v>-3.1895640990308206E-2</v>
      </c>
      <c r="L29" s="247">
        <f>'Worksheet-Class Analysis'!N44</f>
        <v>297</v>
      </c>
      <c r="M29" s="261">
        <f t="shared" si="10"/>
        <v>-0.01</v>
      </c>
      <c r="N29" s="245">
        <f>'Input-Customer Growth'!M13</f>
        <v>5</v>
      </c>
      <c r="O29" s="246">
        <f t="shared" si="11"/>
        <v>0.25</v>
      </c>
      <c r="P29" s="248">
        <f>'Worksheet-Class Analysis'!S44</f>
        <v>242514</v>
      </c>
    </row>
    <row r="30" spans="2:16" x14ac:dyDescent="0.2">
      <c r="B30" s="245">
        <f>'Input-Customer Growth'!I14</f>
        <v>1201</v>
      </c>
      <c r="C30" s="246">
        <f t="shared" si="6"/>
        <v>1.7796610169491526E-2</v>
      </c>
      <c r="D30" s="247">
        <f>'Worksheet-Class Analysis'!G45</f>
        <v>1343667</v>
      </c>
      <c r="E30" s="246">
        <f t="shared" si="7"/>
        <v>0.16135916153980456</v>
      </c>
      <c r="F30" s="262">
        <f>'Worksheet-Class Analysis'!H45</f>
        <v>3724</v>
      </c>
      <c r="G30" s="261">
        <f t="shared" si="7"/>
        <v>0.16593613024420789</v>
      </c>
      <c r="H30" s="245">
        <f>'Input-Customer Growth'!K14</f>
        <v>21</v>
      </c>
      <c r="I30" s="246">
        <f t="shared" si="8"/>
        <v>0</v>
      </c>
      <c r="J30" s="247">
        <f>'Worksheet-Class Analysis'!M45</f>
        <v>102889</v>
      </c>
      <c r="K30" s="246">
        <f t="shared" si="9"/>
        <v>-2.3666056195021969E-2</v>
      </c>
      <c r="L30" s="247">
        <f>'Worksheet-Class Analysis'!N45</f>
        <v>280</v>
      </c>
      <c r="M30" s="261">
        <f t="shared" si="10"/>
        <v>-5.7239057239057242E-2</v>
      </c>
      <c r="N30" s="245">
        <f>'Input-Customer Growth'!M14</f>
        <v>5</v>
      </c>
      <c r="O30" s="246">
        <f t="shared" si="11"/>
        <v>0</v>
      </c>
      <c r="P30" s="248">
        <f>'Worksheet-Class Analysis'!S45</f>
        <v>215299</v>
      </c>
    </row>
    <row r="31" spans="2:16" x14ac:dyDescent="0.2">
      <c r="B31" s="245">
        <f>'Input-Customer Growth'!I15</f>
        <v>1204</v>
      </c>
      <c r="C31" s="246">
        <f t="shared" si="6"/>
        <v>2.4979184013322231E-3</v>
      </c>
      <c r="D31" s="247">
        <f>'Worksheet-Class Analysis'!G46</f>
        <v>1355855</v>
      </c>
      <c r="E31" s="246">
        <f t="shared" si="7"/>
        <v>9.0706998088067956E-3</v>
      </c>
      <c r="F31" s="262">
        <f>'Worksheet-Class Analysis'!H46</f>
        <v>3748</v>
      </c>
      <c r="G31" s="261">
        <f t="shared" si="7"/>
        <v>6.44468313641246E-3</v>
      </c>
      <c r="H31" s="245">
        <f>'Input-Customer Growth'!K15</f>
        <v>21</v>
      </c>
      <c r="I31" s="246">
        <f t="shared" si="8"/>
        <v>0</v>
      </c>
      <c r="J31" s="247">
        <f>'Worksheet-Class Analysis'!M46</f>
        <v>102354</v>
      </c>
      <c r="K31" s="246">
        <f t="shared" si="9"/>
        <v>-5.1997784019671683E-3</v>
      </c>
      <c r="L31" s="247">
        <f>'Worksheet-Class Analysis'!N46</f>
        <v>284</v>
      </c>
      <c r="M31" s="261">
        <f t="shared" si="10"/>
        <v>1.4285714285714285E-2</v>
      </c>
      <c r="N31" s="245">
        <f>'Input-Customer Growth'!M15</f>
        <v>5</v>
      </c>
      <c r="O31" s="246">
        <f t="shared" si="11"/>
        <v>0</v>
      </c>
      <c r="P31" s="248">
        <f>'Worksheet-Class Analysis'!S46</f>
        <v>214901</v>
      </c>
    </row>
    <row r="32" spans="2:16" x14ac:dyDescent="0.2">
      <c r="B32" s="249">
        <f>'Input-Customer Growth'!I23</f>
        <v>1210</v>
      </c>
      <c r="C32" s="250">
        <f t="shared" si="6"/>
        <v>4.9833887043189366E-3</v>
      </c>
      <c r="D32" s="251">
        <f>'Worksheet-Class Analysis'!G47</f>
        <v>1150473.3263576643</v>
      </c>
      <c r="E32" s="250">
        <f t="shared" si="7"/>
        <v>-0.15147760906758886</v>
      </c>
      <c r="F32" s="263">
        <f>'Worksheet-Class Analysis'!H47</f>
        <v>3249.8777930661745</v>
      </c>
      <c r="G32" s="264">
        <f t="shared" si="7"/>
        <v>-0.13290347036654895</v>
      </c>
      <c r="H32" s="249">
        <f>'Input-Customer Growth'!K23</f>
        <v>21</v>
      </c>
      <c r="I32" s="250">
        <f t="shared" si="8"/>
        <v>0</v>
      </c>
      <c r="J32" s="251">
        <f>'Worksheet-Class Analysis'!M47</f>
        <v>106348.88888888889</v>
      </c>
      <c r="K32" s="250">
        <f t="shared" si="9"/>
        <v>3.903011986721467E-2</v>
      </c>
      <c r="L32" s="251">
        <f>'Worksheet-Class Analysis'!N47</f>
        <v>297</v>
      </c>
      <c r="M32" s="264">
        <f t="shared" si="10"/>
        <v>4.5774647887323945E-2</v>
      </c>
      <c r="N32" s="249">
        <f>'Input-Customer Growth'!M23</f>
        <v>5</v>
      </c>
      <c r="O32" s="250">
        <f t="shared" si="11"/>
        <v>0</v>
      </c>
      <c r="P32" s="252">
        <f>'Worksheet-Class Analysis'!S47</f>
        <v>224238</v>
      </c>
    </row>
    <row r="33" spans="2:16" ht="13.5" thickBot="1" x14ac:dyDescent="0.25">
      <c r="B33" s="253">
        <f>'Input-Customer Growth'!I24</f>
        <v>1215</v>
      </c>
      <c r="C33" s="254">
        <f t="shared" si="6"/>
        <v>4.1322314049586778E-3</v>
      </c>
      <c r="D33" s="255">
        <f>'Worksheet-Class Analysis'!G48</f>
        <v>1155227.3483674068</v>
      </c>
      <c r="E33" s="254">
        <f t="shared" si="7"/>
        <v>4.1322314049587056E-3</v>
      </c>
      <c r="F33" s="266">
        <f>'Worksheet-Class Analysis'!H48</f>
        <v>3263.30704014496</v>
      </c>
      <c r="G33" s="265">
        <f t="shared" si="7"/>
        <v>4.1322314049585607E-3</v>
      </c>
      <c r="H33" s="253">
        <f>'Input-Customer Growth'!K24</f>
        <v>21</v>
      </c>
      <c r="I33" s="254">
        <f t="shared" si="8"/>
        <v>0</v>
      </c>
      <c r="J33" s="255">
        <f>'Worksheet-Class Analysis'!M48</f>
        <v>106348.88888888889</v>
      </c>
      <c r="K33" s="254">
        <f t="shared" si="9"/>
        <v>0</v>
      </c>
      <c r="L33" s="255">
        <f>'Worksheet-Class Analysis'!N48</f>
        <v>297</v>
      </c>
      <c r="M33" s="265">
        <f t="shared" si="10"/>
        <v>0</v>
      </c>
      <c r="N33" s="253">
        <f>'Input-Customer Growth'!M24</f>
        <v>5</v>
      </c>
      <c r="O33" s="254">
        <f t="shared" si="11"/>
        <v>0</v>
      </c>
      <c r="P33" s="256">
        <f>'Worksheet-Class Analysis'!S48</f>
        <v>224238</v>
      </c>
    </row>
  </sheetData>
  <mergeCells count="8">
    <mergeCell ref="C4:P4"/>
    <mergeCell ref="B21:G21"/>
    <mergeCell ref="B20:P20"/>
    <mergeCell ref="K5:P5"/>
    <mergeCell ref="H21:M21"/>
    <mergeCell ref="N21:P21"/>
    <mergeCell ref="C5:F5"/>
    <mergeCell ref="G5:J5"/>
  </mergeCells>
  <pageMargins left="0.7" right="0.7" top="0.75" bottom="0.75" header="0.3" footer="0.3"/>
  <pageSetup orientation="portrait" horizontalDpi="0" verticalDpi="0" r:id="rId1"/>
  <ignoredErrors>
    <ignoredError sqref="E7 E8:E17 G7:G17 I7:I17 K7:K17 M7:M17 O7:O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F48"/>
  <sheetViews>
    <sheetView topLeftCell="A4" zoomScaleNormal="100" workbookViewId="0">
      <selection activeCell="Z40" sqref="Z40"/>
    </sheetView>
  </sheetViews>
  <sheetFormatPr defaultColWidth="10.5" defaultRowHeight="12.75" x14ac:dyDescent="0.2"/>
  <cols>
    <col min="1" max="1" width="10.5" style="154"/>
    <col min="2" max="2" width="16.83203125" style="154" customWidth="1"/>
    <col min="3" max="3" width="11.6640625" style="154" bestFit="1" customWidth="1"/>
    <col min="4" max="4" width="10.5" style="154" bestFit="1" customWidth="1"/>
    <col min="5" max="5" width="10.1640625" style="154" customWidth="1"/>
    <col min="6" max="6" width="11.6640625" style="154" bestFit="1" customWidth="1"/>
    <col min="7" max="7" width="11.1640625" style="154" bestFit="1" customWidth="1"/>
    <col min="8" max="8" width="10.5" style="154" bestFit="1" customWidth="1"/>
    <col min="9" max="9" width="10.6640625" style="154" customWidth="1"/>
    <col min="10" max="10" width="8.5" style="154" bestFit="1" customWidth="1"/>
    <col min="11" max="11" width="9.6640625" style="154" bestFit="1" customWidth="1"/>
    <col min="12" max="12" width="11.5" style="154" bestFit="1" customWidth="1"/>
    <col min="13" max="13" width="11.1640625" style="154" customWidth="1"/>
    <col min="14" max="14" width="11.1640625" style="154" bestFit="1" customWidth="1"/>
    <col min="15" max="15" width="11.1640625" style="154" customWidth="1"/>
    <col min="16" max="16" width="11.1640625" style="154" bestFit="1" customWidth="1"/>
    <col min="17" max="31" width="10.5" style="154"/>
    <col min="32" max="32" width="11.5" style="154" customWidth="1"/>
    <col min="33" max="16384" width="10.5" style="154"/>
  </cols>
  <sheetData>
    <row r="2" spans="2:32" ht="15.75" x14ac:dyDescent="0.2">
      <c r="B2" s="153" t="s">
        <v>124</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2:32" ht="12" customHeight="1" thickBot="1" x14ac:dyDescent="0.25">
      <c r="B3" s="153"/>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2:32" ht="12" customHeight="1" x14ac:dyDescent="0.2">
      <c r="B4" s="171"/>
      <c r="C4" s="483" t="s">
        <v>11</v>
      </c>
      <c r="D4" s="484"/>
      <c r="E4" s="484"/>
      <c r="F4" s="485"/>
      <c r="G4" s="483" t="s">
        <v>5</v>
      </c>
      <c r="H4" s="484"/>
      <c r="I4" s="484"/>
      <c r="J4" s="485"/>
      <c r="K4" s="483" t="s">
        <v>6</v>
      </c>
      <c r="L4" s="484"/>
      <c r="M4" s="484"/>
      <c r="N4" s="484"/>
      <c r="O4" s="484"/>
      <c r="P4" s="484"/>
      <c r="Q4" s="485"/>
    </row>
    <row r="5" spans="2:32" ht="26.25" thickBot="1" x14ac:dyDescent="0.25">
      <c r="B5" s="172" t="s">
        <v>52</v>
      </c>
      <c r="C5" s="142" t="s">
        <v>63</v>
      </c>
      <c r="D5" s="116" t="s">
        <v>104</v>
      </c>
      <c r="E5" s="116" t="s">
        <v>97</v>
      </c>
      <c r="F5" s="117" t="s">
        <v>96</v>
      </c>
      <c r="G5" s="142" t="s">
        <v>63</v>
      </c>
      <c r="H5" s="116" t="s">
        <v>104</v>
      </c>
      <c r="I5" s="116" t="s">
        <v>97</v>
      </c>
      <c r="J5" s="117" t="s">
        <v>96</v>
      </c>
      <c r="K5" s="142" t="s">
        <v>63</v>
      </c>
      <c r="L5" s="116" t="s">
        <v>100</v>
      </c>
      <c r="M5" s="116" t="s">
        <v>101</v>
      </c>
      <c r="N5" s="116" t="s">
        <v>98</v>
      </c>
      <c r="O5" s="116" t="s">
        <v>99</v>
      </c>
      <c r="P5" s="116" t="s">
        <v>102</v>
      </c>
      <c r="Q5" s="117" t="s">
        <v>136</v>
      </c>
    </row>
    <row r="6" spans="2:32" x14ac:dyDescent="0.2">
      <c r="B6" s="172">
        <v>2004</v>
      </c>
      <c r="C6" s="179">
        <f>'Input-Customer Growth'!C7</f>
        <v>4580</v>
      </c>
      <c r="D6" s="155">
        <f>'Worksheet-Class Analysis'!C7</f>
        <v>54156577</v>
      </c>
      <c r="E6" s="155">
        <f>'Worksheet-Class Analysis'!G7</f>
        <v>54198821.552789778</v>
      </c>
      <c r="F6" s="167">
        <f t="shared" ref="F6:F14" si="0">D6/C6</f>
        <v>11824.580131004366</v>
      </c>
      <c r="G6" s="176">
        <f>'Input-Customer Growth'!E7</f>
        <v>568</v>
      </c>
      <c r="H6" s="155">
        <f>'Worksheet-Class Analysis'!J7</f>
        <v>22859934</v>
      </c>
      <c r="I6" s="155">
        <f>'Worksheet-Class Analysis'!N7</f>
        <v>22877765.771174051</v>
      </c>
      <c r="J6" s="184">
        <f t="shared" ref="J6:J14" si="1">H6/G6</f>
        <v>40246.362676056335</v>
      </c>
      <c r="K6" s="179">
        <f>'Input-Customer Growth'!G7</f>
        <v>78</v>
      </c>
      <c r="L6" s="155">
        <f>'Worksheet-Class Analysis'!Q7</f>
        <v>133016925</v>
      </c>
      <c r="M6" s="155">
        <f>'Worksheet-Class Analysis'!E38</f>
        <v>281031</v>
      </c>
      <c r="N6" s="155">
        <f>'Worksheet-Class Analysis'!U7</f>
        <v>133120684.15209886</v>
      </c>
      <c r="O6" s="155">
        <f>'Worksheet-Class Analysis'!E38</f>
        <v>281031</v>
      </c>
      <c r="P6" s="155">
        <f t="shared" ref="P6:P14" si="2">L6/K6</f>
        <v>1705345.1923076923</v>
      </c>
      <c r="Q6" s="167">
        <f t="shared" ref="Q6:Q14" si="3">M6/K6</f>
        <v>3602.9615384615386</v>
      </c>
    </row>
    <row r="7" spans="2:32" x14ac:dyDescent="0.2">
      <c r="B7" s="172">
        <v>2005</v>
      </c>
      <c r="C7" s="179">
        <f>'Input-Customer Growth'!C8</f>
        <v>4611</v>
      </c>
      <c r="D7" s="155">
        <f>'Worksheet-Class Analysis'!C8</f>
        <v>52898956</v>
      </c>
      <c r="E7" s="155">
        <f>'Worksheet-Class Analysis'!G8</f>
        <v>55205055.006160192</v>
      </c>
      <c r="F7" s="167">
        <f t="shared" si="0"/>
        <v>11472.339188896118</v>
      </c>
      <c r="G7" s="176">
        <f>'Input-Customer Growth'!E8</f>
        <v>564</v>
      </c>
      <c r="H7" s="155">
        <f>'Worksheet-Class Analysis'!J8</f>
        <v>21840735</v>
      </c>
      <c r="I7" s="155">
        <f>'Worksheet-Class Analysis'!N8</f>
        <v>22792869.051139083</v>
      </c>
      <c r="J7" s="184">
        <f t="shared" si="1"/>
        <v>38724.707446808512</v>
      </c>
      <c r="K7" s="179">
        <f>'Input-Customer Growth'!G8</f>
        <v>72</v>
      </c>
      <c r="L7" s="155">
        <f>'Worksheet-Class Analysis'!Q8</f>
        <v>117613071</v>
      </c>
      <c r="M7" s="155">
        <f>'Worksheet-Class Analysis'!E39</f>
        <v>275148</v>
      </c>
      <c r="N7" s="155">
        <f>'Worksheet-Class Analysis'!U8</f>
        <v>122740343.94929126</v>
      </c>
      <c r="O7" s="155">
        <f>'Worksheet-Class Analysis'!E39</f>
        <v>275148</v>
      </c>
      <c r="P7" s="155">
        <f t="shared" si="2"/>
        <v>1633514.875</v>
      </c>
      <c r="Q7" s="167">
        <f t="shared" si="3"/>
        <v>3821.5</v>
      </c>
    </row>
    <row r="8" spans="2:32" x14ac:dyDescent="0.2">
      <c r="B8" s="172">
        <v>2006</v>
      </c>
      <c r="C8" s="179">
        <f>'Input-Customer Growth'!C9</f>
        <v>4642</v>
      </c>
      <c r="D8" s="155">
        <f>'Worksheet-Class Analysis'!C9</f>
        <v>51530722</v>
      </c>
      <c r="E8" s="155">
        <f>'Worksheet-Class Analysis'!G9</f>
        <v>50664775.167957284</v>
      </c>
      <c r="F8" s="167">
        <f t="shared" si="0"/>
        <v>11100.974149073676</v>
      </c>
      <c r="G8" s="176">
        <f>'Input-Customer Growth'!E9</f>
        <v>566</v>
      </c>
      <c r="H8" s="155">
        <f>'Worksheet-Class Analysis'!J9</f>
        <v>20878233</v>
      </c>
      <c r="I8" s="155">
        <f>'Worksheet-Class Analysis'!N9</f>
        <v>20527385.213993825</v>
      </c>
      <c r="J8" s="184">
        <f t="shared" si="1"/>
        <v>36887.337455830391</v>
      </c>
      <c r="K8" s="179">
        <f>'Input-Customer Growth'!G9</f>
        <v>78</v>
      </c>
      <c r="L8" s="155">
        <f>'Worksheet-Class Analysis'!Q9</f>
        <v>116290495</v>
      </c>
      <c r="M8" s="155">
        <f>'Worksheet-Class Analysis'!E40</f>
        <v>274200</v>
      </c>
      <c r="N8" s="155">
        <f>'Worksheet-Class Analysis'!U9</f>
        <v>114336294.05280721</v>
      </c>
      <c r="O8" s="155">
        <f>'Worksheet-Class Analysis'!E40</f>
        <v>274200</v>
      </c>
      <c r="P8" s="155">
        <f t="shared" si="2"/>
        <v>1490903.782051282</v>
      </c>
      <c r="Q8" s="167">
        <f t="shared" si="3"/>
        <v>3515.3846153846152</v>
      </c>
    </row>
    <row r="9" spans="2:32" x14ac:dyDescent="0.2">
      <c r="B9" s="173">
        <v>2007</v>
      </c>
      <c r="C9" s="179">
        <f>'Input-Customer Growth'!C10</f>
        <v>4775</v>
      </c>
      <c r="D9" s="155">
        <f>'Worksheet-Class Analysis'!C10</f>
        <v>53035556</v>
      </c>
      <c r="E9" s="155">
        <f>'Worksheet-Class Analysis'!G10</f>
        <v>51572838.618896946</v>
      </c>
      <c r="F9" s="167">
        <f t="shared" si="0"/>
        <v>11106.922722513089</v>
      </c>
      <c r="G9" s="176">
        <f>'Input-Customer Growth'!E10</f>
        <v>573</v>
      </c>
      <c r="H9" s="155">
        <f>'Worksheet-Class Analysis'!J10</f>
        <v>20965147</v>
      </c>
      <c r="I9" s="155">
        <f>'Worksheet-Class Analysis'!N10</f>
        <v>20386929.531811666</v>
      </c>
      <c r="J9" s="184">
        <f t="shared" si="1"/>
        <v>36588.389179755672</v>
      </c>
      <c r="K9" s="179">
        <f>'Input-Customer Growth'!G10</f>
        <v>80</v>
      </c>
      <c r="L9" s="155">
        <f>'Worksheet-Class Analysis'!Q10</f>
        <v>117345908</v>
      </c>
      <c r="M9" s="155">
        <f>'Worksheet-Class Analysis'!E41</f>
        <v>290290</v>
      </c>
      <c r="N9" s="155">
        <f>'Worksheet-Class Analysis'!U10</f>
        <v>114109515.05574729</v>
      </c>
      <c r="O9" s="155">
        <f>'Worksheet-Class Analysis'!E41</f>
        <v>290290</v>
      </c>
      <c r="P9" s="155">
        <f t="shared" si="2"/>
        <v>1466823.85</v>
      </c>
      <c r="Q9" s="167">
        <f t="shared" si="3"/>
        <v>3628.625</v>
      </c>
    </row>
    <row r="10" spans="2:32" x14ac:dyDescent="0.2">
      <c r="B10" s="173">
        <v>2008</v>
      </c>
      <c r="C10" s="179">
        <f>'Input-Customer Growth'!C11</f>
        <v>4778</v>
      </c>
      <c r="D10" s="155">
        <f>'Worksheet-Class Analysis'!C11</f>
        <v>53471410</v>
      </c>
      <c r="E10" s="155">
        <f>'Worksheet-Class Analysis'!G11</f>
        <v>52528332.624209039</v>
      </c>
      <c r="F10" s="167">
        <f t="shared" si="0"/>
        <v>11191.169945583926</v>
      </c>
      <c r="G10" s="176">
        <f>'Input-Customer Growth'!E11</f>
        <v>579</v>
      </c>
      <c r="H10" s="155">
        <f>'Worksheet-Class Analysis'!J11</f>
        <v>20649618</v>
      </c>
      <c r="I10" s="155">
        <f>'Worksheet-Class Analysis'!N11</f>
        <v>20285419.869549997</v>
      </c>
      <c r="J10" s="184">
        <f t="shared" si="1"/>
        <v>35664.279792746114</v>
      </c>
      <c r="K10" s="179">
        <f>'Input-Customer Growth'!G11</f>
        <v>80</v>
      </c>
      <c r="L10" s="155">
        <f>'Worksheet-Class Analysis'!Q11</f>
        <v>112845011</v>
      </c>
      <c r="M10" s="155">
        <f>'Worksheet-Class Analysis'!E42</f>
        <v>304147</v>
      </c>
      <c r="N10" s="155">
        <f>'Worksheet-Class Analysis'!U11</f>
        <v>110854759.07200743</v>
      </c>
      <c r="O10" s="155">
        <f>'Worksheet-Class Analysis'!E42</f>
        <v>304147</v>
      </c>
      <c r="P10" s="155">
        <f t="shared" si="2"/>
        <v>1410562.6375</v>
      </c>
      <c r="Q10" s="167">
        <f t="shared" si="3"/>
        <v>3801.8375000000001</v>
      </c>
    </row>
    <row r="11" spans="2:32" x14ac:dyDescent="0.2">
      <c r="B11" s="173">
        <v>2009</v>
      </c>
      <c r="C11" s="179">
        <f>'Input-Customer Growth'!C12</f>
        <v>4781</v>
      </c>
      <c r="D11" s="155">
        <f>'Worksheet-Class Analysis'!C12</f>
        <v>52558954</v>
      </c>
      <c r="E11" s="155">
        <f>'Worksheet-Class Analysis'!G12</f>
        <v>51770160.413499646</v>
      </c>
      <c r="F11" s="167">
        <f t="shared" si="0"/>
        <v>10993.297218155198</v>
      </c>
      <c r="G11" s="176">
        <f>'Input-Customer Growth'!E12</f>
        <v>586</v>
      </c>
      <c r="H11" s="155">
        <f>'Worksheet-Class Analysis'!J12</f>
        <v>19616748</v>
      </c>
      <c r="I11" s="155">
        <f>'Worksheet-Class Analysis'!N12</f>
        <v>19322344.024411108</v>
      </c>
      <c r="J11" s="184">
        <f t="shared" si="1"/>
        <v>33475.679180887375</v>
      </c>
      <c r="K11" s="179">
        <f>'Input-Customer Growth'!G12</f>
        <v>82</v>
      </c>
      <c r="L11" s="155">
        <f>'Worksheet-Class Analysis'!Q12</f>
        <v>96007524</v>
      </c>
      <c r="M11" s="155">
        <f>'Worksheet-Class Analysis'!E43</f>
        <v>253516</v>
      </c>
      <c r="N11" s="155">
        <f>'Worksheet-Class Analysis'!U12</f>
        <v>94566663.529546604</v>
      </c>
      <c r="O11" s="155">
        <f>'Worksheet-Class Analysis'!E43</f>
        <v>253516</v>
      </c>
      <c r="P11" s="155">
        <f t="shared" si="2"/>
        <v>1170823.4634146341</v>
      </c>
      <c r="Q11" s="167">
        <f t="shared" si="3"/>
        <v>3091.6585365853657</v>
      </c>
    </row>
    <row r="12" spans="2:32" x14ac:dyDescent="0.2">
      <c r="B12" s="173">
        <v>2010</v>
      </c>
      <c r="C12" s="179">
        <f>'Input-Customer Growth'!C13</f>
        <v>4817</v>
      </c>
      <c r="D12" s="155">
        <f>'Worksheet-Class Analysis'!C13</f>
        <v>50277839</v>
      </c>
      <c r="E12" s="155">
        <f>'Worksheet-Class Analysis'!G13</f>
        <v>50851134.368963152</v>
      </c>
      <c r="F12" s="167">
        <f t="shared" si="0"/>
        <v>10437.583350633175</v>
      </c>
      <c r="G12" s="176">
        <f>'Input-Customer Growth'!E13</f>
        <v>593</v>
      </c>
      <c r="H12" s="155">
        <f>'Worksheet-Class Analysis'!J13</f>
        <v>19562613</v>
      </c>
      <c r="I12" s="155">
        <f>'Worksheet-Class Analysis'!N13</f>
        <v>19785676.593439609</v>
      </c>
      <c r="J12" s="184">
        <f t="shared" si="1"/>
        <v>32989.229342327148</v>
      </c>
      <c r="K12" s="179">
        <f>'Input-Customer Growth'!G13</f>
        <v>86</v>
      </c>
      <c r="L12" s="155">
        <f>'Worksheet-Class Analysis'!Q13</f>
        <v>80745583</v>
      </c>
      <c r="M12" s="155">
        <f>'Worksheet-Class Analysis'!E44</f>
        <v>209711</v>
      </c>
      <c r="N12" s="155">
        <f>'Worksheet-Class Analysis'!U13</f>
        <v>81666288.219612345</v>
      </c>
      <c r="O12" s="155">
        <f>'Worksheet-Class Analysis'!E44</f>
        <v>209711</v>
      </c>
      <c r="P12" s="155">
        <f t="shared" si="2"/>
        <v>938902.12790697673</v>
      </c>
      <c r="Q12" s="167">
        <f t="shared" si="3"/>
        <v>2438.5</v>
      </c>
    </row>
    <row r="13" spans="2:32" x14ac:dyDescent="0.2">
      <c r="B13" s="173">
        <v>2011</v>
      </c>
      <c r="C13" s="179">
        <f>'Input-Customer Growth'!C14</f>
        <v>4835</v>
      </c>
      <c r="D13" s="155">
        <f>'Worksheet-Class Analysis'!C14</f>
        <v>51273093</v>
      </c>
      <c r="E13" s="155">
        <f>'Worksheet-Class Analysis'!G14</f>
        <v>50752673.983111404</v>
      </c>
      <c r="F13" s="167">
        <f t="shared" si="0"/>
        <v>10604.569389865563</v>
      </c>
      <c r="G13" s="176">
        <f>'Input-Customer Growth'!E14</f>
        <v>592</v>
      </c>
      <c r="H13" s="155">
        <f>'Worksheet-Class Analysis'!J14</f>
        <v>18457375</v>
      </c>
      <c r="I13" s="155">
        <f>'Worksheet-Class Analysis'!N14</f>
        <v>18270033.679439444</v>
      </c>
      <c r="J13" s="184">
        <f t="shared" si="1"/>
        <v>31177.99831081081</v>
      </c>
      <c r="K13" s="179">
        <f>'Input-Customer Growth'!G14</f>
        <v>94</v>
      </c>
      <c r="L13" s="155">
        <f>'Worksheet-Class Analysis'!Q14</f>
        <v>82739387</v>
      </c>
      <c r="M13" s="155">
        <f>'Worksheet-Class Analysis'!E45</f>
        <v>211681</v>
      </c>
      <c r="N13" s="155">
        <f>'Worksheet-Class Analysis'!U14</f>
        <v>81899586.86466381</v>
      </c>
      <c r="O13" s="155">
        <f>'Worksheet-Class Analysis'!E45</f>
        <v>211681</v>
      </c>
      <c r="P13" s="155">
        <f t="shared" si="2"/>
        <v>880206.24468085112</v>
      </c>
      <c r="Q13" s="167">
        <f t="shared" si="3"/>
        <v>2251.9255319148938</v>
      </c>
    </row>
    <row r="14" spans="2:32" x14ac:dyDescent="0.2">
      <c r="B14" s="173">
        <v>2012</v>
      </c>
      <c r="C14" s="179">
        <f>'Input-Customer Growth'!C15</f>
        <v>4869</v>
      </c>
      <c r="D14" s="155">
        <f>'Worksheet-Class Analysis'!C15</f>
        <v>51132834</v>
      </c>
      <c r="E14" s="155">
        <f>'Worksheet-Class Analysis'!G15</f>
        <v>52982815.53350509</v>
      </c>
      <c r="F14" s="167">
        <f t="shared" si="0"/>
        <v>10501.711645101663</v>
      </c>
      <c r="G14" s="176">
        <f>'Input-Customer Growth'!E15</f>
        <v>616</v>
      </c>
      <c r="H14" s="155">
        <f>'Worksheet-Class Analysis'!J15</f>
        <v>18531354</v>
      </c>
      <c r="I14" s="155">
        <f>'Worksheet-Class Analysis'!N15</f>
        <v>19201816.79286702</v>
      </c>
      <c r="J14" s="184">
        <f t="shared" si="1"/>
        <v>30083.366883116883</v>
      </c>
      <c r="K14" s="179">
        <f>'Input-Customer Growth'!G15</f>
        <v>94</v>
      </c>
      <c r="L14" s="155">
        <f>'Worksheet-Class Analysis'!Q15</f>
        <v>77875019</v>
      </c>
      <c r="M14" s="155">
        <f>'Worksheet-Class Analysis'!E46</f>
        <v>206655</v>
      </c>
      <c r="N14" s="155">
        <f>'Worksheet-Class Analysis'!U15</f>
        <v>80692530.4853082</v>
      </c>
      <c r="O14" s="155">
        <f>'Worksheet-Class Analysis'!E46</f>
        <v>206655</v>
      </c>
      <c r="P14" s="155">
        <f t="shared" si="2"/>
        <v>828457.64893617027</v>
      </c>
      <c r="Q14" s="167">
        <f t="shared" si="3"/>
        <v>2198.4574468085107</v>
      </c>
    </row>
    <row r="15" spans="2:32" x14ac:dyDescent="0.2">
      <c r="B15" s="174">
        <v>2013</v>
      </c>
      <c r="C15" s="180">
        <f>'Input-Customer Growth'!C23</f>
        <v>4905</v>
      </c>
      <c r="D15" s="156"/>
      <c r="E15" s="156">
        <f>'Worksheet-Class Analysis'!H29</f>
        <v>56412953.229867883</v>
      </c>
      <c r="F15" s="181">
        <f>E15/C15</f>
        <v>11501.111769595898</v>
      </c>
      <c r="G15" s="177">
        <f>'Input-Customer Growth'!E23</f>
        <v>630</v>
      </c>
      <c r="H15" s="156"/>
      <c r="I15" s="156">
        <f>'Worksheet-Class Analysis'!O29</f>
        <v>20754464.663283795</v>
      </c>
      <c r="J15" s="184">
        <f>I15/G15</f>
        <v>32943.594703625073</v>
      </c>
      <c r="K15" s="180">
        <f>'Input-Customer Growth'!G23</f>
        <v>96</v>
      </c>
      <c r="L15" s="156"/>
      <c r="M15" s="156"/>
      <c r="N15" s="156">
        <f>'Worksheet-Class Analysis'!U16</f>
        <v>85290680.17802614</v>
      </c>
      <c r="O15" s="156">
        <f>'Worksheet-Class Analysis'!E47</f>
        <v>212553.6404277299</v>
      </c>
      <c r="P15" s="155">
        <f>N15/K15</f>
        <v>888444.58518777229</v>
      </c>
      <c r="Q15" s="167">
        <f>O15/K15</f>
        <v>2214.1004211221866</v>
      </c>
    </row>
    <row r="16" spans="2:32" ht="13.5" thickBot="1" x14ac:dyDescent="0.25">
      <c r="B16" s="175">
        <v>2014</v>
      </c>
      <c r="C16" s="182">
        <f>'Input-Customer Growth'!C24</f>
        <v>4950</v>
      </c>
      <c r="D16" s="168"/>
      <c r="E16" s="168">
        <f>'Worksheet-Class Analysis'!H30</f>
        <v>56622192.10631045</v>
      </c>
      <c r="F16" s="183">
        <f>E16/C16</f>
        <v>11438.826688143525</v>
      </c>
      <c r="G16" s="178">
        <f>'Input-Customer Growth'!E24</f>
        <v>634</v>
      </c>
      <c r="H16" s="168"/>
      <c r="I16" s="168">
        <f>'Worksheet-Class Analysis'!O30</f>
        <v>20362039.962310683</v>
      </c>
      <c r="J16" s="185">
        <f>I16/G16</f>
        <v>32116.782274937985</v>
      </c>
      <c r="K16" s="182">
        <f>'Input-Customer Growth'!G24</f>
        <v>98</v>
      </c>
      <c r="L16" s="168"/>
      <c r="M16" s="168"/>
      <c r="N16" s="168">
        <f>'Worksheet-Class Analysis'!U17</f>
        <v>85431180.353043929</v>
      </c>
      <c r="O16" s="168">
        <f>'Worksheet-Class Analysis'!E48</f>
        <v>212903.7821268983</v>
      </c>
      <c r="P16" s="169">
        <f>N16/K16</f>
        <v>871746.73829636665</v>
      </c>
      <c r="Q16" s="170">
        <f>O16/K16</f>
        <v>2172.4875727234521</v>
      </c>
    </row>
    <row r="18" spans="2:19" ht="13.5" thickBot="1" x14ac:dyDescent="0.25"/>
    <row r="19" spans="2:19" ht="15.75" x14ac:dyDescent="0.2">
      <c r="B19" s="171"/>
      <c r="C19" s="480" t="s">
        <v>103</v>
      </c>
      <c r="D19" s="481"/>
      <c r="E19" s="481"/>
      <c r="F19" s="481"/>
      <c r="G19" s="481"/>
      <c r="H19" s="481"/>
      <c r="I19" s="482"/>
      <c r="J19" s="480" t="s">
        <v>131</v>
      </c>
      <c r="K19" s="481"/>
      <c r="L19" s="481"/>
      <c r="M19" s="481"/>
      <c r="N19" s="481"/>
      <c r="O19" s="481"/>
      <c r="P19" s="482"/>
      <c r="Q19" s="480" t="s">
        <v>7</v>
      </c>
      <c r="R19" s="481"/>
      <c r="S19" s="482"/>
    </row>
    <row r="20" spans="2:19" ht="26.25" thickBot="1" x14ac:dyDescent="0.25">
      <c r="B20" s="172" t="s">
        <v>52</v>
      </c>
      <c r="C20" s="142" t="s">
        <v>63</v>
      </c>
      <c r="D20" s="116" t="s">
        <v>100</v>
      </c>
      <c r="E20" s="116" t="s">
        <v>101</v>
      </c>
      <c r="F20" s="116" t="s">
        <v>98</v>
      </c>
      <c r="G20" s="116" t="s">
        <v>99</v>
      </c>
      <c r="H20" s="116" t="s">
        <v>102</v>
      </c>
      <c r="I20" s="273" t="s">
        <v>136</v>
      </c>
      <c r="J20" s="142" t="s">
        <v>63</v>
      </c>
      <c r="K20" s="116" t="s">
        <v>100</v>
      </c>
      <c r="L20" s="116" t="s">
        <v>101</v>
      </c>
      <c r="M20" s="116" t="s">
        <v>98</v>
      </c>
      <c r="N20" s="116" t="s">
        <v>99</v>
      </c>
      <c r="O20" s="116" t="s">
        <v>102</v>
      </c>
      <c r="P20" s="117" t="s">
        <v>136</v>
      </c>
      <c r="Q20" s="272" t="s">
        <v>79</v>
      </c>
      <c r="R20" s="116" t="s">
        <v>74</v>
      </c>
      <c r="S20" s="117" t="s">
        <v>102</v>
      </c>
    </row>
    <row r="21" spans="2:19" x14ac:dyDescent="0.2">
      <c r="B21" s="172">
        <v>2004</v>
      </c>
      <c r="C21" s="179">
        <f>'Input-Customer Growth'!I7</f>
        <v>1158</v>
      </c>
      <c r="D21" s="155">
        <f>'Worksheet-Class Analysis'!G38</f>
        <v>904010</v>
      </c>
      <c r="E21" s="155">
        <f>'Worksheet-Class Analysis'!H38</f>
        <v>2777</v>
      </c>
      <c r="F21" s="155">
        <f>'Worksheet-Class Analysis'!G38</f>
        <v>904010</v>
      </c>
      <c r="G21" s="155">
        <f>'Worksheet-Class Analysis'!H38</f>
        <v>2777</v>
      </c>
      <c r="H21" s="155">
        <f t="shared" ref="H21:H29" si="4">D21/C21</f>
        <v>780.66493955094995</v>
      </c>
      <c r="I21" s="184">
        <f t="shared" ref="I21:I29" si="5">E21/C21</f>
        <v>2.3981001727115716</v>
      </c>
      <c r="J21" s="278">
        <f>'Results -Weather Adj LF'!H23</f>
        <v>23</v>
      </c>
      <c r="K21" s="279">
        <f>'Results -Weather Adj LF'!J23</f>
        <v>104334</v>
      </c>
      <c r="L21" s="279">
        <f>'Results -Weather Adj LF'!L23</f>
        <v>304</v>
      </c>
      <c r="M21" s="279">
        <f>'Results -Weather Adj LF'!J23</f>
        <v>104334</v>
      </c>
      <c r="N21" s="279">
        <f>'Results -Weather Adj LF'!L23</f>
        <v>304</v>
      </c>
      <c r="O21" s="279">
        <f>M21/J21</f>
        <v>4536.260869565217</v>
      </c>
      <c r="P21" s="280">
        <f>N21/J21</f>
        <v>13.217391304347826</v>
      </c>
      <c r="Q21" s="176">
        <f>'Input-Customer Growth'!M7</f>
        <v>1E-3</v>
      </c>
      <c r="R21" s="155">
        <f>'Worksheet-Class Analysis'!S38</f>
        <v>42962</v>
      </c>
      <c r="S21" s="167">
        <f t="shared" ref="S21:S31" si="6">R21/Q21</f>
        <v>42962000</v>
      </c>
    </row>
    <row r="22" spans="2:19" x14ac:dyDescent="0.2">
      <c r="B22" s="172">
        <v>2005</v>
      </c>
      <c r="C22" s="179">
        <f>'Input-Customer Growth'!I8</f>
        <v>1158</v>
      </c>
      <c r="D22" s="155">
        <f>'Worksheet-Class Analysis'!G39</f>
        <v>912952</v>
      </c>
      <c r="E22" s="155">
        <f>'Worksheet-Class Analysis'!H39</f>
        <v>2843</v>
      </c>
      <c r="F22" s="155">
        <f>'Worksheet-Class Analysis'!G39</f>
        <v>912952</v>
      </c>
      <c r="G22" s="155">
        <f>'Worksheet-Class Analysis'!H39</f>
        <v>2843</v>
      </c>
      <c r="H22" s="155">
        <f t="shared" si="4"/>
        <v>788.38687392055272</v>
      </c>
      <c r="I22" s="184">
        <f t="shared" si="5"/>
        <v>2.4550949913644216</v>
      </c>
      <c r="J22" s="179">
        <f>'Results -Weather Adj LF'!H24</f>
        <v>24</v>
      </c>
      <c r="K22" s="155">
        <f>'Results -Weather Adj LF'!J24</f>
        <v>109474</v>
      </c>
      <c r="L22" s="283">
        <f>'Results -Weather Adj LF'!L24</f>
        <v>300</v>
      </c>
      <c r="M22" s="283">
        <f>'Results -Weather Adj LF'!J24</f>
        <v>109474</v>
      </c>
      <c r="N22" s="283">
        <f>'Results -Weather Adj LF'!L24</f>
        <v>300</v>
      </c>
      <c r="O22" s="283">
        <f t="shared" ref="O22:O31" si="7">M22/J22</f>
        <v>4561.416666666667</v>
      </c>
      <c r="P22" s="284">
        <f t="shared" ref="P22:P31" si="8">N22/J22</f>
        <v>12.5</v>
      </c>
      <c r="Q22" s="176">
        <f>'Input-Customer Growth'!M8</f>
        <v>1E-3</v>
      </c>
      <c r="R22" s="155">
        <f>'Worksheet-Class Analysis'!S39</f>
        <v>53987</v>
      </c>
      <c r="S22" s="167">
        <f t="shared" si="6"/>
        <v>53987000</v>
      </c>
    </row>
    <row r="23" spans="2:19" x14ac:dyDescent="0.2">
      <c r="B23" s="172">
        <v>2006</v>
      </c>
      <c r="C23" s="179">
        <f>'Input-Customer Growth'!I9</f>
        <v>1158</v>
      </c>
      <c r="D23" s="155">
        <f>'Worksheet-Class Analysis'!G40</f>
        <v>1025217</v>
      </c>
      <c r="E23" s="155">
        <f>'Worksheet-Class Analysis'!H40</f>
        <v>2872</v>
      </c>
      <c r="F23" s="155">
        <f>'Worksheet-Class Analysis'!G40</f>
        <v>1025217</v>
      </c>
      <c r="G23" s="155">
        <f>'Worksheet-Class Analysis'!H40</f>
        <v>2872</v>
      </c>
      <c r="H23" s="155">
        <f t="shared" si="4"/>
        <v>885.33419689119171</v>
      </c>
      <c r="I23" s="184">
        <f t="shared" si="5"/>
        <v>2.4801381692573403</v>
      </c>
      <c r="J23" s="179">
        <f>'Results -Weather Adj LF'!H25</f>
        <v>22</v>
      </c>
      <c r="K23" s="155">
        <f>'Results -Weather Adj LF'!J25</f>
        <v>106680</v>
      </c>
      <c r="L23" s="283">
        <f>'Results -Weather Adj LF'!L25</f>
        <v>302</v>
      </c>
      <c r="M23" s="283">
        <f>'Results -Weather Adj LF'!J25</f>
        <v>106680</v>
      </c>
      <c r="N23" s="283">
        <f>'Results -Weather Adj LF'!L25</f>
        <v>302</v>
      </c>
      <c r="O23" s="283">
        <f t="shared" si="7"/>
        <v>4849.090909090909</v>
      </c>
      <c r="P23" s="284">
        <f t="shared" si="8"/>
        <v>13.727272727272727</v>
      </c>
      <c r="Q23" s="176">
        <f>'Input-Customer Growth'!M9</f>
        <v>1E-3</v>
      </c>
      <c r="R23" s="155">
        <f>'Worksheet-Class Analysis'!S40</f>
        <v>64965</v>
      </c>
      <c r="S23" s="167">
        <f t="shared" si="6"/>
        <v>64965000</v>
      </c>
    </row>
    <row r="24" spans="2:19" x14ac:dyDescent="0.2">
      <c r="B24" s="173">
        <v>2007</v>
      </c>
      <c r="C24" s="179">
        <f>'Input-Customer Growth'!I10</f>
        <v>1158</v>
      </c>
      <c r="D24" s="155">
        <f>'Worksheet-Class Analysis'!G41</f>
        <v>972414</v>
      </c>
      <c r="E24" s="155">
        <f>'Worksheet-Class Analysis'!H41</f>
        <v>2874</v>
      </c>
      <c r="F24" s="155">
        <f>'Worksheet-Class Analysis'!G41</f>
        <v>972414</v>
      </c>
      <c r="G24" s="155">
        <f>'Worksheet-Class Analysis'!H41</f>
        <v>2874</v>
      </c>
      <c r="H24" s="155">
        <f t="shared" si="4"/>
        <v>839.73575129533674</v>
      </c>
      <c r="I24" s="184">
        <f t="shared" si="5"/>
        <v>2.4818652849740932</v>
      </c>
      <c r="J24" s="179">
        <f>'Results -Weather Adj LF'!H26</f>
        <v>21</v>
      </c>
      <c r="K24" s="155">
        <f>'Results -Weather Adj LF'!J26</f>
        <v>108699</v>
      </c>
      <c r="L24" s="283">
        <f>'Results -Weather Adj LF'!L26</f>
        <v>300</v>
      </c>
      <c r="M24" s="283">
        <f>'Results -Weather Adj LF'!J26</f>
        <v>108699</v>
      </c>
      <c r="N24" s="283">
        <f>'Results -Weather Adj LF'!L26</f>
        <v>300</v>
      </c>
      <c r="O24" s="283">
        <f t="shared" si="7"/>
        <v>5176.1428571428569</v>
      </c>
      <c r="P24" s="284">
        <f t="shared" si="8"/>
        <v>14.285714285714286</v>
      </c>
      <c r="Q24" s="176">
        <f>'Input-Customer Growth'!M10</f>
        <v>1E-3</v>
      </c>
      <c r="R24" s="155">
        <f>'Worksheet-Class Analysis'!S41</f>
        <v>76398</v>
      </c>
      <c r="S24" s="167">
        <f t="shared" si="6"/>
        <v>76398000</v>
      </c>
    </row>
    <row r="25" spans="2:19" x14ac:dyDescent="0.2">
      <c r="B25" s="173">
        <v>2008</v>
      </c>
      <c r="C25" s="179">
        <f>'Input-Customer Growth'!I11</f>
        <v>1158</v>
      </c>
      <c r="D25" s="155">
        <f>'Worksheet-Class Analysis'!G42</f>
        <v>1208366</v>
      </c>
      <c r="E25" s="155">
        <f>'Worksheet-Class Analysis'!H42</f>
        <v>3098</v>
      </c>
      <c r="F25" s="155">
        <f>'Worksheet-Class Analysis'!G42</f>
        <v>1208366</v>
      </c>
      <c r="G25" s="155">
        <f>'Worksheet-Class Analysis'!H42</f>
        <v>3098</v>
      </c>
      <c r="H25" s="155">
        <f t="shared" si="4"/>
        <v>1043.4939550949914</v>
      </c>
      <c r="I25" s="184">
        <f t="shared" si="5"/>
        <v>2.6753022452504318</v>
      </c>
      <c r="J25" s="179">
        <f>'Results -Weather Adj LF'!H27</f>
        <v>21</v>
      </c>
      <c r="K25" s="155">
        <f>'Results -Weather Adj LF'!J27</f>
        <v>108472</v>
      </c>
      <c r="L25" s="283">
        <f>'Results -Weather Adj LF'!L27</f>
        <v>300</v>
      </c>
      <c r="M25" s="283">
        <f>'Results -Weather Adj LF'!J27</f>
        <v>108472</v>
      </c>
      <c r="N25" s="283">
        <f>'Results -Weather Adj LF'!L27</f>
        <v>300</v>
      </c>
      <c r="O25" s="283">
        <f t="shared" si="7"/>
        <v>5165.333333333333</v>
      </c>
      <c r="P25" s="284">
        <f t="shared" si="8"/>
        <v>14.285714285714286</v>
      </c>
      <c r="Q25" s="176">
        <f>'Input-Customer Growth'!M11</f>
        <v>4</v>
      </c>
      <c r="R25" s="155">
        <f>'Worksheet-Class Analysis'!S42</f>
        <v>86849</v>
      </c>
      <c r="S25" s="167">
        <f t="shared" si="6"/>
        <v>21712.25</v>
      </c>
    </row>
    <row r="26" spans="2:19" x14ac:dyDescent="0.2">
      <c r="B26" s="173">
        <v>2009</v>
      </c>
      <c r="C26" s="179">
        <f>'Input-Customer Growth'!I12</f>
        <v>1158</v>
      </c>
      <c r="D26" s="155">
        <f>'Worksheet-Class Analysis'!G43</f>
        <v>1151305</v>
      </c>
      <c r="E26" s="155">
        <f>'Worksheet-Class Analysis'!H43</f>
        <v>3198</v>
      </c>
      <c r="F26" s="155">
        <f>'Worksheet-Class Analysis'!G43</f>
        <v>1151305</v>
      </c>
      <c r="G26" s="155">
        <f>'Worksheet-Class Analysis'!H43</f>
        <v>3198</v>
      </c>
      <c r="H26" s="155">
        <f t="shared" si="4"/>
        <v>994.2184801381693</v>
      </c>
      <c r="I26" s="184">
        <f t="shared" si="5"/>
        <v>2.7616580310880829</v>
      </c>
      <c r="J26" s="179">
        <f>'Results -Weather Adj LF'!H28</f>
        <v>21</v>
      </c>
      <c r="K26" s="155">
        <f>'Results -Weather Adj LF'!J28</f>
        <v>108855</v>
      </c>
      <c r="L26" s="283">
        <f>'Results -Weather Adj LF'!L28</f>
        <v>300</v>
      </c>
      <c r="M26" s="283">
        <f>'Results -Weather Adj LF'!J28</f>
        <v>108855</v>
      </c>
      <c r="N26" s="283">
        <f>'Results -Weather Adj LF'!L28</f>
        <v>300</v>
      </c>
      <c r="O26" s="283">
        <f t="shared" si="7"/>
        <v>5183.5714285714284</v>
      </c>
      <c r="P26" s="284">
        <f t="shared" si="8"/>
        <v>14.285714285714286</v>
      </c>
      <c r="Q26" s="176">
        <f>'Input-Customer Growth'!M12</f>
        <v>4</v>
      </c>
      <c r="R26" s="155">
        <f>'Worksheet-Class Analysis'!S43</f>
        <v>181221</v>
      </c>
      <c r="S26" s="167">
        <f t="shared" si="6"/>
        <v>45305.25</v>
      </c>
    </row>
    <row r="27" spans="2:19" x14ac:dyDescent="0.2">
      <c r="B27" s="173">
        <v>2010</v>
      </c>
      <c r="C27" s="179">
        <f>'Input-Customer Growth'!I13</f>
        <v>1180</v>
      </c>
      <c r="D27" s="155">
        <f>'Worksheet-Class Analysis'!G44</f>
        <v>1156978</v>
      </c>
      <c r="E27" s="155">
        <f>'Worksheet-Class Analysis'!H44</f>
        <v>3194</v>
      </c>
      <c r="F27" s="155">
        <f>'Worksheet-Class Analysis'!G44</f>
        <v>1156978</v>
      </c>
      <c r="G27" s="155">
        <f>'Worksheet-Class Analysis'!H44</f>
        <v>3194</v>
      </c>
      <c r="H27" s="155">
        <f t="shared" si="4"/>
        <v>980.4898305084746</v>
      </c>
      <c r="I27" s="184">
        <f t="shared" si="5"/>
        <v>2.7067796610169492</v>
      </c>
      <c r="J27" s="179">
        <f>'Results -Weather Adj LF'!H29</f>
        <v>21</v>
      </c>
      <c r="K27" s="155">
        <f>'Results -Weather Adj LF'!J29</f>
        <v>105383</v>
      </c>
      <c r="L27" s="283">
        <f>'Results -Weather Adj LF'!L29</f>
        <v>297</v>
      </c>
      <c r="M27" s="283">
        <f>'Results -Weather Adj LF'!J29</f>
        <v>105383</v>
      </c>
      <c r="N27" s="283">
        <f>'Results -Weather Adj LF'!L29</f>
        <v>297</v>
      </c>
      <c r="O27" s="283">
        <f t="shared" si="7"/>
        <v>5018.2380952380954</v>
      </c>
      <c r="P27" s="284">
        <f t="shared" si="8"/>
        <v>14.142857142857142</v>
      </c>
      <c r="Q27" s="176">
        <f>'Input-Customer Growth'!M13</f>
        <v>5</v>
      </c>
      <c r="R27" s="155">
        <f>'Worksheet-Class Analysis'!S44</f>
        <v>242514</v>
      </c>
      <c r="S27" s="167">
        <f t="shared" si="6"/>
        <v>48502.8</v>
      </c>
    </row>
    <row r="28" spans="2:19" x14ac:dyDescent="0.2">
      <c r="B28" s="173">
        <v>2011</v>
      </c>
      <c r="C28" s="179">
        <f>'Input-Customer Growth'!I14</f>
        <v>1201</v>
      </c>
      <c r="D28" s="155">
        <f>'Worksheet-Class Analysis'!G45</f>
        <v>1343667</v>
      </c>
      <c r="E28" s="155">
        <f>'Worksheet-Class Analysis'!H45</f>
        <v>3724</v>
      </c>
      <c r="F28" s="155">
        <f>'Worksheet-Class Analysis'!G45</f>
        <v>1343667</v>
      </c>
      <c r="G28" s="155">
        <f>'Worksheet-Class Analysis'!H45</f>
        <v>3724</v>
      </c>
      <c r="H28" s="155">
        <f t="shared" si="4"/>
        <v>1118.7901748542881</v>
      </c>
      <c r="I28" s="184">
        <f t="shared" si="5"/>
        <v>3.1007493755203996</v>
      </c>
      <c r="J28" s="179">
        <f>'Results -Weather Adj LF'!H30</f>
        <v>21</v>
      </c>
      <c r="K28" s="155">
        <f>'Results -Weather Adj LF'!J30</f>
        <v>102889</v>
      </c>
      <c r="L28" s="283">
        <f>'Results -Weather Adj LF'!L30</f>
        <v>280</v>
      </c>
      <c r="M28" s="283">
        <f>'Results -Weather Adj LF'!J30</f>
        <v>102889</v>
      </c>
      <c r="N28" s="283">
        <f>'Results -Weather Adj LF'!L30</f>
        <v>280</v>
      </c>
      <c r="O28" s="283">
        <f t="shared" si="7"/>
        <v>4899.4761904761908</v>
      </c>
      <c r="P28" s="284">
        <f t="shared" si="8"/>
        <v>13.333333333333334</v>
      </c>
      <c r="Q28" s="176">
        <f>'Input-Customer Growth'!M14</f>
        <v>5</v>
      </c>
      <c r="R28" s="155">
        <f>'Worksheet-Class Analysis'!S45</f>
        <v>215299</v>
      </c>
      <c r="S28" s="167">
        <f t="shared" si="6"/>
        <v>43059.8</v>
      </c>
    </row>
    <row r="29" spans="2:19" x14ac:dyDescent="0.2">
      <c r="B29" s="173">
        <v>2012</v>
      </c>
      <c r="C29" s="179">
        <f>'Input-Customer Growth'!I15</f>
        <v>1204</v>
      </c>
      <c r="D29" s="155">
        <f>'Worksheet-Class Analysis'!G46</f>
        <v>1355855</v>
      </c>
      <c r="E29" s="155">
        <f>'Worksheet-Class Analysis'!H46</f>
        <v>3748</v>
      </c>
      <c r="F29" s="155">
        <f>'Worksheet-Class Analysis'!G46</f>
        <v>1355855</v>
      </c>
      <c r="G29" s="155">
        <f>'Worksheet-Class Analysis'!H46</f>
        <v>3748</v>
      </c>
      <c r="H29" s="155">
        <f t="shared" si="4"/>
        <v>1126.1254152823919</v>
      </c>
      <c r="I29" s="184">
        <f t="shared" si="5"/>
        <v>3.1129568106312293</v>
      </c>
      <c r="J29" s="179">
        <f>'Results -Weather Adj LF'!H31</f>
        <v>21</v>
      </c>
      <c r="K29" s="155">
        <f>'Results -Weather Adj LF'!J31</f>
        <v>102354</v>
      </c>
      <c r="L29" s="283">
        <f>'Results -Weather Adj LF'!L31</f>
        <v>284</v>
      </c>
      <c r="M29" s="283">
        <f>'Results -Weather Adj LF'!J31</f>
        <v>102354</v>
      </c>
      <c r="N29" s="283">
        <f>'Results -Weather Adj LF'!L31</f>
        <v>284</v>
      </c>
      <c r="O29" s="283">
        <f t="shared" si="7"/>
        <v>4874</v>
      </c>
      <c r="P29" s="284">
        <f t="shared" si="8"/>
        <v>13.523809523809524</v>
      </c>
      <c r="Q29" s="176">
        <f>'Input-Customer Growth'!M15</f>
        <v>5</v>
      </c>
      <c r="R29" s="155">
        <f>'Worksheet-Class Analysis'!S46</f>
        <v>214901</v>
      </c>
      <c r="S29" s="167">
        <f t="shared" si="6"/>
        <v>42980.2</v>
      </c>
    </row>
    <row r="30" spans="2:19" x14ac:dyDescent="0.2">
      <c r="B30" s="174">
        <v>2013</v>
      </c>
      <c r="C30" s="180">
        <f>'Input-Customer Growth'!I23</f>
        <v>1210</v>
      </c>
      <c r="D30" s="156"/>
      <c r="E30" s="156"/>
      <c r="F30" s="156">
        <f>'Worksheet-Class Analysis'!G47</f>
        <v>1150473.3263576643</v>
      </c>
      <c r="G30" s="156">
        <f>'Worksheet-Class Analysis'!H47</f>
        <v>3249.8777930661745</v>
      </c>
      <c r="H30" s="155">
        <f>F30/C30</f>
        <v>950.80440194848291</v>
      </c>
      <c r="I30" s="184">
        <f>G30/C30</f>
        <v>2.6858494157571688</v>
      </c>
      <c r="J30" s="179">
        <f>'Results -Weather Adj LF'!H32</f>
        <v>21</v>
      </c>
      <c r="K30" s="155"/>
      <c r="L30" s="155"/>
      <c r="M30" s="285">
        <f>'Results -Weather Adj LF'!J32</f>
        <v>106348.88888888889</v>
      </c>
      <c r="N30" s="285">
        <f>'Results -Weather Adj LF'!L32</f>
        <v>297</v>
      </c>
      <c r="O30" s="283">
        <f t="shared" si="7"/>
        <v>5064.2328042328045</v>
      </c>
      <c r="P30" s="284">
        <f t="shared" si="8"/>
        <v>14.142857142857142</v>
      </c>
      <c r="Q30" s="177">
        <f>'Input-Customer Growth'!M23</f>
        <v>5</v>
      </c>
      <c r="R30" s="156">
        <f>'Worksheet-Class Analysis'!S47</f>
        <v>224238</v>
      </c>
      <c r="S30" s="167">
        <f t="shared" si="6"/>
        <v>44847.6</v>
      </c>
    </row>
    <row r="31" spans="2:19" ht="13.5" thickBot="1" x14ac:dyDescent="0.25">
      <c r="B31" s="175">
        <v>2014</v>
      </c>
      <c r="C31" s="182">
        <f>'Input-Customer Growth'!I24</f>
        <v>1215</v>
      </c>
      <c r="D31" s="168"/>
      <c r="E31" s="168"/>
      <c r="F31" s="168">
        <f>'Worksheet-Class Analysis'!G48</f>
        <v>1155227.3483674068</v>
      </c>
      <c r="G31" s="168">
        <f>'Worksheet-Class Analysis'!H48</f>
        <v>3263.30704014496</v>
      </c>
      <c r="H31" s="169">
        <f>F31/C31</f>
        <v>950.80440194848291</v>
      </c>
      <c r="I31" s="185">
        <f>G31/C31</f>
        <v>2.6858494157571688</v>
      </c>
      <c r="J31" s="281">
        <f>'Results -Weather Adj LF'!H33</f>
        <v>21</v>
      </c>
      <c r="K31" s="169"/>
      <c r="L31" s="169"/>
      <c r="M31" s="286">
        <f>'Results -Weather Adj LF'!J33</f>
        <v>106348.88888888889</v>
      </c>
      <c r="N31" s="286">
        <f>'Results -Weather Adj LF'!L33</f>
        <v>297</v>
      </c>
      <c r="O31" s="287">
        <f t="shared" si="7"/>
        <v>5064.2328042328045</v>
      </c>
      <c r="P31" s="288">
        <f t="shared" si="8"/>
        <v>14.142857142857142</v>
      </c>
      <c r="Q31" s="178">
        <f>'Input-Customer Growth'!M24</f>
        <v>5</v>
      </c>
      <c r="R31" s="168">
        <f>'Worksheet-Class Analysis'!S48</f>
        <v>224238</v>
      </c>
      <c r="S31" s="170">
        <f t="shared" si="6"/>
        <v>44847.6</v>
      </c>
    </row>
    <row r="34" spans="2:11" ht="15.75" x14ac:dyDescent="0.2">
      <c r="B34" s="153" t="s">
        <v>119</v>
      </c>
    </row>
    <row r="35" spans="2:11" ht="13.5" thickBot="1" x14ac:dyDescent="0.25"/>
    <row r="36" spans="2:11" ht="13.5" thickBot="1" x14ac:dyDescent="0.25">
      <c r="B36" s="294"/>
      <c r="C36" s="295" t="s">
        <v>105</v>
      </c>
      <c r="D36" s="296" t="s">
        <v>5</v>
      </c>
      <c r="E36" s="307" t="s">
        <v>6</v>
      </c>
      <c r="F36" s="308"/>
      <c r="G36" s="309" t="s">
        <v>103</v>
      </c>
      <c r="H36" s="310"/>
      <c r="I36" s="307" t="s">
        <v>131</v>
      </c>
      <c r="J36" s="311"/>
      <c r="K36" s="297" t="s">
        <v>7</v>
      </c>
    </row>
    <row r="37" spans="2:11" ht="26.25" thickBot="1" x14ac:dyDescent="0.25">
      <c r="B37" s="298" t="s">
        <v>52</v>
      </c>
      <c r="C37" s="282" t="s">
        <v>96</v>
      </c>
      <c r="D37" s="299" t="s">
        <v>96</v>
      </c>
      <c r="E37" s="267" t="s">
        <v>102</v>
      </c>
      <c r="F37" s="293" t="s">
        <v>136</v>
      </c>
      <c r="G37" s="300" t="s">
        <v>102</v>
      </c>
      <c r="H37" s="301" t="s">
        <v>136</v>
      </c>
      <c r="I37" s="267" t="s">
        <v>102</v>
      </c>
      <c r="J37" s="293" t="s">
        <v>136</v>
      </c>
      <c r="K37" s="282" t="s">
        <v>102</v>
      </c>
    </row>
    <row r="38" spans="2:11" x14ac:dyDescent="0.2">
      <c r="B38" s="172">
        <v>2004</v>
      </c>
      <c r="C38" s="289">
        <f t="shared" ref="C38:C48" si="9">F6</f>
        <v>11824.580131004366</v>
      </c>
      <c r="D38" s="274">
        <f t="shared" ref="D38:D48" si="10">J6</f>
        <v>40246.362676056335</v>
      </c>
      <c r="E38" s="278">
        <f t="shared" ref="E38:E48" si="11">P6</f>
        <v>1705345.1923076923</v>
      </c>
      <c r="F38" s="280">
        <f t="shared" ref="F38:F48" si="12">Q6</f>
        <v>3602.9615384615386</v>
      </c>
      <c r="G38" s="278">
        <f t="shared" ref="G38:H48" si="13">H21</f>
        <v>780.66493955094995</v>
      </c>
      <c r="H38" s="292">
        <f t="shared" si="13"/>
        <v>2.3981001727115716</v>
      </c>
      <c r="I38" s="278">
        <f t="shared" ref="I38:I48" si="14">O21</f>
        <v>4536.260869565217</v>
      </c>
      <c r="J38" s="280">
        <f t="shared" ref="J38:J48" si="15">P21</f>
        <v>13.217391304347826</v>
      </c>
      <c r="K38" s="276"/>
    </row>
    <row r="39" spans="2:11" x14ac:dyDescent="0.2">
      <c r="B39" s="172">
        <v>2005</v>
      </c>
      <c r="C39" s="290">
        <f t="shared" si="9"/>
        <v>11472.339188896118</v>
      </c>
      <c r="D39" s="274">
        <f t="shared" si="10"/>
        <v>38724.707446808512</v>
      </c>
      <c r="E39" s="179">
        <f t="shared" si="11"/>
        <v>1633514.875</v>
      </c>
      <c r="F39" s="167">
        <f t="shared" si="12"/>
        <v>3821.5</v>
      </c>
      <c r="G39" s="179">
        <f t="shared" si="13"/>
        <v>788.38687392055272</v>
      </c>
      <c r="H39" s="184">
        <f t="shared" si="13"/>
        <v>2.4550949913644216</v>
      </c>
      <c r="I39" s="179">
        <f t="shared" si="14"/>
        <v>4561.416666666667</v>
      </c>
      <c r="J39" s="167">
        <f t="shared" si="15"/>
        <v>12.5</v>
      </c>
      <c r="K39" s="276"/>
    </row>
    <row r="40" spans="2:11" x14ac:dyDescent="0.2">
      <c r="B40" s="172">
        <v>2006</v>
      </c>
      <c r="C40" s="290">
        <f t="shared" si="9"/>
        <v>11100.974149073676</v>
      </c>
      <c r="D40" s="274">
        <f t="shared" si="10"/>
        <v>36887.337455830391</v>
      </c>
      <c r="E40" s="179">
        <f t="shared" si="11"/>
        <v>1490903.782051282</v>
      </c>
      <c r="F40" s="167">
        <f t="shared" si="12"/>
        <v>3515.3846153846152</v>
      </c>
      <c r="G40" s="179">
        <f t="shared" si="13"/>
        <v>885.33419689119171</v>
      </c>
      <c r="H40" s="184">
        <f t="shared" si="13"/>
        <v>2.4801381692573403</v>
      </c>
      <c r="I40" s="179">
        <f t="shared" si="14"/>
        <v>4849.090909090909</v>
      </c>
      <c r="J40" s="167">
        <f t="shared" si="15"/>
        <v>13.727272727272727</v>
      </c>
      <c r="K40" s="276"/>
    </row>
    <row r="41" spans="2:11" x14ac:dyDescent="0.2">
      <c r="B41" s="173">
        <v>2007</v>
      </c>
      <c r="C41" s="290">
        <f t="shared" si="9"/>
        <v>11106.922722513089</v>
      </c>
      <c r="D41" s="274">
        <f t="shared" si="10"/>
        <v>36588.389179755672</v>
      </c>
      <c r="E41" s="179">
        <f t="shared" si="11"/>
        <v>1466823.85</v>
      </c>
      <c r="F41" s="167">
        <f t="shared" si="12"/>
        <v>3628.625</v>
      </c>
      <c r="G41" s="179">
        <f t="shared" si="13"/>
        <v>839.73575129533674</v>
      </c>
      <c r="H41" s="184">
        <f t="shared" si="13"/>
        <v>2.4818652849740932</v>
      </c>
      <c r="I41" s="179">
        <f t="shared" si="14"/>
        <v>5176.1428571428569</v>
      </c>
      <c r="J41" s="167">
        <f t="shared" si="15"/>
        <v>14.285714285714286</v>
      </c>
      <c r="K41" s="276"/>
    </row>
    <row r="42" spans="2:11" x14ac:dyDescent="0.2">
      <c r="B42" s="173">
        <v>2008</v>
      </c>
      <c r="C42" s="290">
        <f t="shared" si="9"/>
        <v>11191.169945583926</v>
      </c>
      <c r="D42" s="274">
        <f t="shared" si="10"/>
        <v>35664.279792746114</v>
      </c>
      <c r="E42" s="179">
        <f t="shared" si="11"/>
        <v>1410562.6375</v>
      </c>
      <c r="F42" s="167">
        <f t="shared" si="12"/>
        <v>3801.8375000000001</v>
      </c>
      <c r="G42" s="179">
        <f t="shared" si="13"/>
        <v>1043.4939550949914</v>
      </c>
      <c r="H42" s="184">
        <f t="shared" si="13"/>
        <v>2.6753022452504318</v>
      </c>
      <c r="I42" s="179">
        <f t="shared" si="14"/>
        <v>5165.333333333333</v>
      </c>
      <c r="J42" s="167">
        <f t="shared" si="15"/>
        <v>14.285714285714286</v>
      </c>
      <c r="K42" s="276">
        <f t="shared" ref="K42:K48" si="16">S25</f>
        <v>21712.25</v>
      </c>
    </row>
    <row r="43" spans="2:11" x14ac:dyDescent="0.2">
      <c r="B43" s="173">
        <v>2009</v>
      </c>
      <c r="C43" s="290">
        <f t="shared" si="9"/>
        <v>10993.297218155198</v>
      </c>
      <c r="D43" s="274">
        <f t="shared" si="10"/>
        <v>33475.679180887375</v>
      </c>
      <c r="E43" s="179">
        <f t="shared" si="11"/>
        <v>1170823.4634146341</v>
      </c>
      <c r="F43" s="167">
        <f t="shared" si="12"/>
        <v>3091.6585365853657</v>
      </c>
      <c r="G43" s="179">
        <f t="shared" si="13"/>
        <v>994.2184801381693</v>
      </c>
      <c r="H43" s="184">
        <f t="shared" si="13"/>
        <v>2.7616580310880829</v>
      </c>
      <c r="I43" s="179">
        <f t="shared" si="14"/>
        <v>5183.5714285714284</v>
      </c>
      <c r="J43" s="167">
        <f t="shared" si="15"/>
        <v>14.285714285714286</v>
      </c>
      <c r="K43" s="276">
        <f t="shared" si="16"/>
        <v>45305.25</v>
      </c>
    </row>
    <row r="44" spans="2:11" x14ac:dyDescent="0.2">
      <c r="B44" s="173">
        <v>2010</v>
      </c>
      <c r="C44" s="290">
        <f t="shared" si="9"/>
        <v>10437.583350633175</v>
      </c>
      <c r="D44" s="274">
        <f t="shared" si="10"/>
        <v>32989.229342327148</v>
      </c>
      <c r="E44" s="179">
        <f t="shared" si="11"/>
        <v>938902.12790697673</v>
      </c>
      <c r="F44" s="167">
        <f t="shared" si="12"/>
        <v>2438.5</v>
      </c>
      <c r="G44" s="179">
        <f t="shared" si="13"/>
        <v>980.4898305084746</v>
      </c>
      <c r="H44" s="184">
        <f t="shared" si="13"/>
        <v>2.7067796610169492</v>
      </c>
      <c r="I44" s="179">
        <f t="shared" si="14"/>
        <v>5018.2380952380954</v>
      </c>
      <c r="J44" s="167">
        <f t="shared" si="15"/>
        <v>14.142857142857142</v>
      </c>
      <c r="K44" s="276">
        <f t="shared" si="16"/>
        <v>48502.8</v>
      </c>
    </row>
    <row r="45" spans="2:11" x14ac:dyDescent="0.2">
      <c r="B45" s="173">
        <v>2011</v>
      </c>
      <c r="C45" s="290">
        <f t="shared" si="9"/>
        <v>10604.569389865563</v>
      </c>
      <c r="D45" s="274">
        <f t="shared" si="10"/>
        <v>31177.99831081081</v>
      </c>
      <c r="E45" s="179">
        <f t="shared" si="11"/>
        <v>880206.24468085112</v>
      </c>
      <c r="F45" s="167">
        <f t="shared" si="12"/>
        <v>2251.9255319148938</v>
      </c>
      <c r="G45" s="179">
        <f t="shared" si="13"/>
        <v>1118.7901748542881</v>
      </c>
      <c r="H45" s="184">
        <f t="shared" si="13"/>
        <v>3.1007493755203996</v>
      </c>
      <c r="I45" s="179">
        <f t="shared" si="14"/>
        <v>4899.4761904761908</v>
      </c>
      <c r="J45" s="167">
        <f t="shared" si="15"/>
        <v>13.333333333333334</v>
      </c>
      <c r="K45" s="276">
        <f t="shared" si="16"/>
        <v>43059.8</v>
      </c>
    </row>
    <row r="46" spans="2:11" x14ac:dyDescent="0.2">
      <c r="B46" s="173">
        <v>2012</v>
      </c>
      <c r="C46" s="290">
        <f t="shared" si="9"/>
        <v>10501.711645101663</v>
      </c>
      <c r="D46" s="274">
        <f t="shared" si="10"/>
        <v>30083.366883116883</v>
      </c>
      <c r="E46" s="179">
        <f t="shared" si="11"/>
        <v>828457.64893617027</v>
      </c>
      <c r="F46" s="167">
        <f t="shared" si="12"/>
        <v>2198.4574468085107</v>
      </c>
      <c r="G46" s="179">
        <f t="shared" si="13"/>
        <v>1126.1254152823919</v>
      </c>
      <c r="H46" s="184">
        <f t="shared" si="13"/>
        <v>3.1129568106312293</v>
      </c>
      <c r="I46" s="179">
        <f t="shared" si="14"/>
        <v>4874</v>
      </c>
      <c r="J46" s="167">
        <f t="shared" si="15"/>
        <v>13.523809523809524</v>
      </c>
      <c r="K46" s="276">
        <f t="shared" si="16"/>
        <v>42980.2</v>
      </c>
    </row>
    <row r="47" spans="2:11" x14ac:dyDescent="0.2">
      <c r="B47" s="174">
        <v>2013</v>
      </c>
      <c r="C47" s="290">
        <f t="shared" si="9"/>
        <v>11501.111769595898</v>
      </c>
      <c r="D47" s="274">
        <f t="shared" si="10"/>
        <v>32943.594703625073</v>
      </c>
      <c r="E47" s="179">
        <f t="shared" si="11"/>
        <v>888444.58518777229</v>
      </c>
      <c r="F47" s="167">
        <f t="shared" si="12"/>
        <v>2214.1004211221866</v>
      </c>
      <c r="G47" s="179">
        <f t="shared" si="13"/>
        <v>950.80440194848291</v>
      </c>
      <c r="H47" s="184">
        <f t="shared" si="13"/>
        <v>2.6858494157571688</v>
      </c>
      <c r="I47" s="179">
        <f t="shared" si="14"/>
        <v>5064.2328042328045</v>
      </c>
      <c r="J47" s="167">
        <f t="shared" si="15"/>
        <v>14.142857142857142</v>
      </c>
      <c r="K47" s="276">
        <f t="shared" si="16"/>
        <v>44847.6</v>
      </c>
    </row>
    <row r="48" spans="2:11" ht="13.5" thickBot="1" x14ac:dyDescent="0.25">
      <c r="B48" s="175">
        <v>2014</v>
      </c>
      <c r="C48" s="291">
        <f t="shared" si="9"/>
        <v>11438.826688143525</v>
      </c>
      <c r="D48" s="275">
        <f t="shared" si="10"/>
        <v>32116.782274937985</v>
      </c>
      <c r="E48" s="281">
        <f t="shared" si="11"/>
        <v>871746.73829636665</v>
      </c>
      <c r="F48" s="170">
        <f t="shared" si="12"/>
        <v>2172.4875727234521</v>
      </c>
      <c r="G48" s="281">
        <f t="shared" si="13"/>
        <v>950.80440194848291</v>
      </c>
      <c r="H48" s="185">
        <f t="shared" si="13"/>
        <v>2.6858494157571688</v>
      </c>
      <c r="I48" s="281">
        <f t="shared" si="14"/>
        <v>5064.2328042328045</v>
      </c>
      <c r="J48" s="170">
        <f t="shared" si="15"/>
        <v>14.142857142857142</v>
      </c>
      <c r="K48" s="277">
        <f t="shared" si="16"/>
        <v>44847.6</v>
      </c>
    </row>
  </sheetData>
  <mergeCells count="6">
    <mergeCell ref="C19:I19"/>
    <mergeCell ref="J19:P19"/>
    <mergeCell ref="Q19:S19"/>
    <mergeCell ref="C4:F4"/>
    <mergeCell ref="G4:J4"/>
    <mergeCell ref="K4:Q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Input-Customer Growth</vt:lpstr>
      <vt:lpstr>Input-Retail by Rate Class</vt:lpstr>
      <vt:lpstr>10 year avg. VS 20 year avg.</vt:lpstr>
      <vt:lpstr>Regression Calculations</vt:lpstr>
      <vt:lpstr>Input WS Regression Analysis</vt:lpstr>
      <vt:lpstr>Regression Result of Cust Count</vt:lpstr>
      <vt:lpstr>Worksheet-Class Analysis</vt:lpstr>
      <vt:lpstr>Results -Weather Adj LF</vt:lpstr>
      <vt:lpstr>Result - AvgPerCust</vt:lpstr>
      <vt:lpstr>CDM Calculations</vt:lpstr>
      <vt:lpstr>CDM Adjustments</vt:lpstr>
      <vt:lpstr>Final Load Forecast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2013-11-12T16:48:01Z</dcterms:modified>
</cp:coreProperties>
</file>