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96" windowWidth="12120" windowHeight="5676" tabRatio="83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4 Cost of Power" sheetId="29" r:id="rId8"/>
    <sheet name="Chart1" sheetId="26" r:id="rId9"/>
    <sheet name="Load Forecast Details" sheetId="32" r:id="rId10"/>
    <sheet name="Sheet3" sheetId="33" r:id="rId11"/>
  </sheets>
  <externalReferences>
    <externalReference r:id="rId12"/>
    <externalReference r:id="rId13"/>
    <externalReference r:id="rId14"/>
    <externalReference r:id="rId15"/>
  </externalReferences>
  <definedNames>
    <definedName name="_Order1" hidden="1">255</definedName>
    <definedName name="_Sort" localSheetId="7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CAfile">[4]Refs!$B$2</definedName>
    <definedName name="CArevReq">[4]Refs!$B$6</definedName>
    <definedName name="ClassRange1">[4]Refs!$B$3</definedName>
    <definedName name="ClassRange2">[4]Refs!$B$4</definedName>
    <definedName name="FolderPath">[4]Menu!$C$8</definedName>
    <definedName name="NewRevReq">[4]Refs!$B$8</definedName>
    <definedName name="PAGE11" localSheetId="7">#REF!</definedName>
    <definedName name="PAGE11" localSheetId="6">#REF!</definedName>
    <definedName name="PAGE11" localSheetId="9">#REF!</definedName>
    <definedName name="PAGE11">#REF!</definedName>
    <definedName name="PAGE2" localSheetId="7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6">#REF!</definedName>
    <definedName name="PAGE3" localSheetId="9">#REF!</definedName>
    <definedName name="PAGE3">#REF!</definedName>
    <definedName name="PAGE4" localSheetId="7">#REF!</definedName>
    <definedName name="PAGE4" localSheetId="6">#REF!</definedName>
    <definedName name="PAGE4" localSheetId="9">#REF!</definedName>
    <definedName name="PAGE4">#REF!</definedName>
    <definedName name="PAGE7" localSheetId="7">#REF!</definedName>
    <definedName name="PAGE7" localSheetId="6">#REF!</definedName>
    <definedName name="PAGE7" localSheetId="9">#REF!</definedName>
    <definedName name="PAGE7">#REF!</definedName>
    <definedName name="PAGE9" localSheetId="7">#REF!</definedName>
    <definedName name="PAGE9" localSheetId="6">#REF!</definedName>
    <definedName name="PAGE9" localSheetId="9">#REF!</definedName>
    <definedName name="PAGE9">#REF!</definedName>
    <definedName name="_xlnm.Print_Area" localSheetId="5">'CDM Activity'!$A$1:$W$124</definedName>
    <definedName name="_xlnm.Print_Area" localSheetId="9">'Load Forecast Details'!$A$1:$S$48</definedName>
    <definedName name="_xlnm.Print_Area" localSheetId="1">'Purchased Power Model '!$A$1:$L$185</definedName>
    <definedName name="_xlnm.Print_Titles" localSheetId="1">'Purchased Power Model '!$2:$2</definedName>
    <definedName name="RevReqLookupKey">[4]Refs!$B$5</definedName>
    <definedName name="RevReqRange">[4]Refs!$B$7</definedName>
  </definedNames>
  <calcPr calcId="145621"/>
</workbook>
</file>

<file path=xl/calcChain.xml><?xml version="1.0" encoding="utf-8"?>
<calcChain xmlns="http://schemas.openxmlformats.org/spreadsheetml/2006/main">
  <c r="G73" i="9" l="1"/>
  <c r="G74" i="9"/>
  <c r="C5" i="29" l="1"/>
  <c r="E70" i="29" l="1"/>
  <c r="E71" i="29"/>
  <c r="E72" i="29"/>
  <c r="E73" i="29"/>
  <c r="E74" i="29"/>
  <c r="E75" i="29"/>
  <c r="E69" i="29"/>
  <c r="B5" i="29"/>
  <c r="B17" i="29" s="1"/>
  <c r="D17" i="29" s="1"/>
  <c r="F17" i="29" s="1"/>
  <c r="A5" i="29"/>
  <c r="B39" i="29" l="1"/>
  <c r="C190" i="19"/>
  <c r="D190" i="19"/>
  <c r="C191" i="19"/>
  <c r="D191" i="19"/>
  <c r="C192" i="19"/>
  <c r="J192" i="19" s="1"/>
  <c r="D192" i="19"/>
  <c r="C193" i="19"/>
  <c r="D193" i="19"/>
  <c r="C194" i="19"/>
  <c r="D194" i="19"/>
  <c r="C195" i="19"/>
  <c r="D195" i="19"/>
  <c r="J195" i="19" s="1"/>
  <c r="C196" i="19"/>
  <c r="D196" i="19"/>
  <c r="J196" i="19" s="1"/>
  <c r="C197" i="19"/>
  <c r="D197" i="19"/>
  <c r="C198" i="19"/>
  <c r="D198" i="19"/>
  <c r="C199" i="19"/>
  <c r="D199" i="19"/>
  <c r="C200" i="19"/>
  <c r="J200" i="19" s="1"/>
  <c r="D200" i="19"/>
  <c r="D189" i="19"/>
  <c r="C189" i="19"/>
  <c r="J199" i="19"/>
  <c r="J191" i="19"/>
  <c r="S44" i="32"/>
  <c r="S41" i="32"/>
  <c r="S40" i="32"/>
  <c r="S39" i="32"/>
  <c r="S37" i="32"/>
  <c r="S36" i="32"/>
  <c r="S24" i="32"/>
  <c r="S17" i="32"/>
  <c r="S19" i="32"/>
  <c r="S20" i="32"/>
  <c r="S21" i="32"/>
  <c r="S16" i="32"/>
  <c r="K38" i="32"/>
  <c r="J38" i="32"/>
  <c r="S38" i="32" s="1"/>
  <c r="H38" i="32"/>
  <c r="G38" i="32"/>
  <c r="E38" i="32"/>
  <c r="D38" i="32"/>
  <c r="C38" i="32"/>
  <c r="B38" i="32"/>
  <c r="K18" i="32"/>
  <c r="J18" i="32"/>
  <c r="S18" i="32" s="1"/>
  <c r="H18" i="32"/>
  <c r="G18" i="32"/>
  <c r="E18" i="32"/>
  <c r="D18" i="32"/>
  <c r="C18" i="32"/>
  <c r="B18" i="32"/>
  <c r="J197" i="19" l="1"/>
  <c r="J193" i="19"/>
  <c r="J198" i="19"/>
  <c r="J194" i="19"/>
  <c r="J190" i="19"/>
  <c r="J189" i="19"/>
  <c r="F38" i="32"/>
  <c r="I38" i="32"/>
  <c r="I63" i="9"/>
  <c r="H63" i="9"/>
  <c r="K200" i="19" l="1"/>
  <c r="S13" i="23"/>
  <c r="C12" i="18" l="1"/>
  <c r="C11" i="18"/>
  <c r="C10" i="18"/>
  <c r="C9" i="18"/>
  <c r="E12" i="17"/>
  <c r="E11" i="17"/>
  <c r="E10" i="17"/>
  <c r="E9" i="17"/>
  <c r="K16" i="9"/>
  <c r="K15" i="9"/>
  <c r="K14" i="9"/>
  <c r="K13" i="9"/>
  <c r="E13" i="17" l="1"/>
  <c r="C12" i="17"/>
  <c r="B12" i="17"/>
  <c r="C11" i="17" l="1"/>
  <c r="B11" i="17"/>
  <c r="B12" i="18" l="1"/>
  <c r="B11" i="18"/>
  <c r="B10" i="18"/>
  <c r="B9" i="18"/>
  <c r="B8" i="18"/>
  <c r="B7" i="18"/>
  <c r="B6" i="18"/>
  <c r="B5" i="18"/>
  <c r="B4" i="18"/>
  <c r="C10" i="17"/>
  <c r="C9" i="17"/>
  <c r="C8" i="17"/>
  <c r="C7" i="17"/>
  <c r="D12" i="17"/>
  <c r="D11" i="17"/>
  <c r="D10" i="17"/>
  <c r="D9" i="17"/>
  <c r="D8" i="17"/>
  <c r="D7" i="17"/>
  <c r="D6" i="17"/>
  <c r="D5" i="17"/>
  <c r="D4" i="17"/>
  <c r="C6" i="17"/>
  <c r="C5" i="17"/>
  <c r="C4" i="17"/>
  <c r="J16" i="9"/>
  <c r="I16" i="9"/>
  <c r="I15" i="9"/>
  <c r="J15" i="9"/>
  <c r="J14" i="9"/>
  <c r="I14" i="9"/>
  <c r="I13" i="9"/>
  <c r="J13" i="9"/>
  <c r="J12" i="9"/>
  <c r="I12" i="9"/>
  <c r="I11" i="9"/>
  <c r="J11" i="9"/>
  <c r="J10" i="9"/>
  <c r="I10" i="9"/>
  <c r="I9" i="9"/>
  <c r="J9" i="9"/>
  <c r="J8" i="9"/>
  <c r="I8" i="9"/>
  <c r="B3" i="18"/>
  <c r="D3" i="17"/>
  <c r="C3" i="17"/>
  <c r="J7" i="9"/>
  <c r="I7" i="9"/>
  <c r="J5" i="19" l="1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" i="19"/>
  <c r="I124" i="19" l="1"/>
  <c r="I125" i="19" s="1"/>
  <c r="I126" i="19" s="1"/>
  <c r="I127" i="19" s="1"/>
  <c r="I128" i="19" s="1"/>
  <c r="I129" i="19" s="1"/>
  <c r="I130" i="19" s="1"/>
  <c r="I131" i="19" s="1"/>
  <c r="I132" i="19" s="1"/>
  <c r="I133" i="19" s="1"/>
  <c r="I134" i="19" s="1"/>
  <c r="I135" i="19" s="1"/>
  <c r="I136" i="19" s="1"/>
  <c r="I137" i="19" l="1"/>
  <c r="I138" i="19" l="1"/>
  <c r="I139" i="19" l="1"/>
  <c r="I140" i="19" l="1"/>
  <c r="I141" i="19" l="1"/>
  <c r="G16" i="9"/>
  <c r="G15" i="9"/>
  <c r="G14" i="9"/>
  <c r="G13" i="9"/>
  <c r="I142" i="19" l="1"/>
  <c r="I143" i="19" l="1"/>
  <c r="I144" i="19" l="1"/>
  <c r="F11" i="23"/>
  <c r="F10" i="23"/>
  <c r="F9" i="23"/>
  <c r="I145" i="19" l="1"/>
  <c r="I146" i="19" l="1"/>
  <c r="G5" i="17"/>
  <c r="I147" i="19" l="1"/>
  <c r="W5" i="27"/>
  <c r="G41" i="19" l="1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47" i="19"/>
  <c r="J47" i="19" s="1"/>
  <c r="G48" i="19"/>
  <c r="J48" i="19" s="1"/>
  <c r="G49" i="19"/>
  <c r="J49" i="19" s="1"/>
  <c r="G50" i="19"/>
  <c r="J50" i="19" s="1"/>
  <c r="G51" i="19"/>
  <c r="J51" i="19" s="1"/>
  <c r="G52" i="19"/>
  <c r="J52" i="19" s="1"/>
  <c r="G53" i="19"/>
  <c r="J53" i="19" s="1"/>
  <c r="G54" i="19"/>
  <c r="J54" i="19" s="1"/>
  <c r="G55" i="19"/>
  <c r="J55" i="19" s="1"/>
  <c r="G56" i="19"/>
  <c r="J56" i="19" s="1"/>
  <c r="G57" i="19"/>
  <c r="J57" i="19" s="1"/>
  <c r="G58" i="19"/>
  <c r="J58" i="19" s="1"/>
  <c r="G59" i="19"/>
  <c r="J59" i="19" s="1"/>
  <c r="G60" i="19"/>
  <c r="J60" i="19" s="1"/>
  <c r="G61" i="19"/>
  <c r="J61" i="19" s="1"/>
  <c r="G62" i="19"/>
  <c r="J62" i="19" s="1"/>
  <c r="G63" i="19"/>
  <c r="J63" i="19" s="1"/>
  <c r="G64" i="19"/>
  <c r="J64" i="19" s="1"/>
  <c r="G65" i="19"/>
  <c r="J65" i="19" s="1"/>
  <c r="G66" i="19"/>
  <c r="J66" i="19" s="1"/>
  <c r="G67" i="19"/>
  <c r="J67" i="19" s="1"/>
  <c r="G68" i="19"/>
  <c r="J68" i="19" s="1"/>
  <c r="G69" i="19"/>
  <c r="J69" i="19" s="1"/>
  <c r="G70" i="19"/>
  <c r="J70" i="19" s="1"/>
  <c r="G71" i="19"/>
  <c r="J71" i="19" s="1"/>
  <c r="G72" i="19"/>
  <c r="J72" i="19" s="1"/>
  <c r="G73" i="19"/>
  <c r="J73" i="19" s="1"/>
  <c r="G74" i="19"/>
  <c r="J74" i="19" s="1"/>
  <c r="G75" i="19"/>
  <c r="J75" i="19" s="1"/>
  <c r="G76" i="19"/>
  <c r="J76" i="19" s="1"/>
  <c r="G77" i="19"/>
  <c r="J77" i="19" s="1"/>
  <c r="G78" i="19"/>
  <c r="J78" i="19" s="1"/>
  <c r="G79" i="19"/>
  <c r="J79" i="19" s="1"/>
  <c r="G80" i="19"/>
  <c r="J80" i="19" s="1"/>
  <c r="G81" i="19"/>
  <c r="J81" i="19" s="1"/>
  <c r="G82" i="19"/>
  <c r="J82" i="19" s="1"/>
  <c r="G83" i="19"/>
  <c r="J83" i="19" s="1"/>
  <c r="G84" i="19"/>
  <c r="J84" i="19" s="1"/>
  <c r="G85" i="19"/>
  <c r="J85" i="19" s="1"/>
  <c r="G86" i="19"/>
  <c r="J86" i="19" s="1"/>
  <c r="G87" i="19"/>
  <c r="J87" i="19" s="1"/>
  <c r="G88" i="19"/>
  <c r="J88" i="19" s="1"/>
  <c r="G89" i="19"/>
  <c r="J89" i="19" s="1"/>
  <c r="G90" i="19"/>
  <c r="J90" i="19" s="1"/>
  <c r="G91" i="19"/>
  <c r="J91" i="19" s="1"/>
  <c r="G92" i="19"/>
  <c r="J92" i="19" s="1"/>
  <c r="G93" i="19"/>
  <c r="J93" i="19" s="1"/>
  <c r="G94" i="19"/>
  <c r="J94" i="19" s="1"/>
  <c r="G95" i="19"/>
  <c r="J95" i="19" s="1"/>
  <c r="G96" i="19"/>
  <c r="J96" i="19" s="1"/>
  <c r="G97" i="19"/>
  <c r="J97" i="19" s="1"/>
  <c r="G98" i="19"/>
  <c r="J98" i="19" s="1"/>
  <c r="G99" i="19"/>
  <c r="J99" i="19" s="1"/>
  <c r="G40" i="19"/>
  <c r="J40" i="19" s="1"/>
  <c r="E14" i="17" l="1"/>
  <c r="R38" i="32"/>
  <c r="R39" i="32" l="1"/>
  <c r="O39" i="32"/>
  <c r="P42" i="32"/>
  <c r="M42" i="32"/>
  <c r="M46" i="32" l="1"/>
  <c r="R42" i="32"/>
  <c r="P46" i="32"/>
  <c r="R44" i="32"/>
  <c r="O44" i="32"/>
  <c r="L44" i="32"/>
  <c r="I44" i="32"/>
  <c r="F44" i="32"/>
  <c r="C44" i="32"/>
  <c r="Q42" i="32"/>
  <c r="Q46" i="32" s="1"/>
  <c r="N42" i="32"/>
  <c r="N46" i="32" s="1"/>
  <c r="K42" i="32"/>
  <c r="K46" i="32" s="1"/>
  <c r="J42" i="32"/>
  <c r="O42" i="32" s="1"/>
  <c r="H42" i="32"/>
  <c r="H46" i="32" s="1"/>
  <c r="G42" i="32"/>
  <c r="G46" i="32" s="1"/>
  <c r="E42" i="32"/>
  <c r="E46" i="32" s="1"/>
  <c r="D42" i="32"/>
  <c r="D46" i="32" s="1"/>
  <c r="C42" i="32"/>
  <c r="C46" i="32" s="1"/>
  <c r="B42" i="32"/>
  <c r="R41" i="32"/>
  <c r="O41" i="32"/>
  <c r="L41" i="32"/>
  <c r="I41" i="32"/>
  <c r="F41" i="32"/>
  <c r="R40" i="32"/>
  <c r="O40" i="32"/>
  <c r="L40" i="32"/>
  <c r="I40" i="32"/>
  <c r="F40" i="32"/>
  <c r="L39" i="32"/>
  <c r="I39" i="32"/>
  <c r="F39" i="32"/>
  <c r="O38" i="32"/>
  <c r="L38" i="32"/>
  <c r="R37" i="32"/>
  <c r="O37" i="32"/>
  <c r="L37" i="32"/>
  <c r="I37" i="32"/>
  <c r="F37" i="32"/>
  <c r="R36" i="32"/>
  <c r="O36" i="32"/>
  <c r="L36" i="32"/>
  <c r="I36" i="32"/>
  <c r="F36" i="32"/>
  <c r="R24" i="32"/>
  <c r="O24" i="32"/>
  <c r="L24" i="32"/>
  <c r="L21" i="32"/>
  <c r="L20" i="32"/>
  <c r="L19" i="32"/>
  <c r="L18" i="32"/>
  <c r="L17" i="32"/>
  <c r="L16" i="32"/>
  <c r="I24" i="32"/>
  <c r="I21" i="32"/>
  <c r="I20" i="32"/>
  <c r="I19" i="32"/>
  <c r="I18" i="32"/>
  <c r="I17" i="32"/>
  <c r="I16" i="32"/>
  <c r="F24" i="32"/>
  <c r="F21" i="32"/>
  <c r="F20" i="32"/>
  <c r="F19" i="32"/>
  <c r="F18" i="32"/>
  <c r="F17" i="32"/>
  <c r="F16" i="32"/>
  <c r="R21" i="32"/>
  <c r="R20" i="32"/>
  <c r="R19" i="32"/>
  <c r="R17" i="32"/>
  <c r="R16" i="32"/>
  <c r="O21" i="32"/>
  <c r="O20" i="32"/>
  <c r="O19" i="32"/>
  <c r="O18" i="32"/>
  <c r="O17" i="32"/>
  <c r="O16" i="32"/>
  <c r="C24" i="32"/>
  <c r="Q22" i="32"/>
  <c r="Q26" i="32" s="1"/>
  <c r="N22" i="32"/>
  <c r="N26" i="32" s="1"/>
  <c r="K22" i="32"/>
  <c r="K26" i="32" s="1"/>
  <c r="J22" i="32"/>
  <c r="J26" i="32" s="1"/>
  <c r="H22" i="32"/>
  <c r="H26" i="32" s="1"/>
  <c r="G22" i="32"/>
  <c r="G26" i="32" s="1"/>
  <c r="E22" i="32"/>
  <c r="E26" i="32" s="1"/>
  <c r="D22" i="32"/>
  <c r="D26" i="32" s="1"/>
  <c r="C22" i="32"/>
  <c r="B22" i="32"/>
  <c r="B26" i="32" s="1"/>
  <c r="S42" i="32" l="1"/>
  <c r="L26" i="32"/>
  <c r="F42" i="32"/>
  <c r="I46" i="32"/>
  <c r="I42" i="32"/>
  <c r="R18" i="32"/>
  <c r="L42" i="32"/>
  <c r="F26" i="32"/>
  <c r="I26" i="32"/>
  <c r="R46" i="32"/>
  <c r="C26" i="32"/>
  <c r="B46" i="32"/>
  <c r="F46" i="32" s="1"/>
  <c r="J46" i="32"/>
  <c r="L46" i="32" s="1"/>
  <c r="L22" i="32"/>
  <c r="F22" i="32"/>
  <c r="I22" i="32"/>
  <c r="P22" i="32"/>
  <c r="S22" i="32" s="1"/>
  <c r="M22" i="32"/>
  <c r="S46" i="32" l="1"/>
  <c r="P26" i="32"/>
  <c r="S26" i="32" s="1"/>
  <c r="R22" i="32"/>
  <c r="O46" i="32"/>
  <c r="M26" i="32"/>
  <c r="O26" i="32" s="1"/>
  <c r="O22" i="32"/>
  <c r="R26" i="32" l="1"/>
  <c r="K36" i="11" l="1"/>
  <c r="J36" i="11"/>
  <c r="I36" i="11"/>
  <c r="H36" i="11"/>
  <c r="G36" i="11"/>
  <c r="F36" i="11"/>
  <c r="K31" i="11"/>
  <c r="J31" i="11"/>
  <c r="I31" i="11"/>
  <c r="H31" i="11"/>
  <c r="G31" i="11"/>
  <c r="F31" i="11"/>
  <c r="E31" i="11"/>
  <c r="D31" i="11"/>
  <c r="C31" i="11"/>
  <c r="B31" i="11"/>
  <c r="K26" i="11"/>
  <c r="J26" i="11"/>
  <c r="E26" i="11"/>
  <c r="F26" i="11"/>
  <c r="G26" i="11"/>
  <c r="H26" i="11"/>
  <c r="I26" i="11"/>
  <c r="K21" i="11"/>
  <c r="J21" i="11"/>
  <c r="I21" i="11"/>
  <c r="H21" i="11"/>
  <c r="G21" i="11"/>
  <c r="F21" i="11"/>
  <c r="E21" i="11"/>
  <c r="D21" i="11"/>
  <c r="C21" i="11"/>
  <c r="B21" i="11"/>
  <c r="K17" i="11"/>
  <c r="J17" i="11"/>
  <c r="I17" i="11"/>
  <c r="H17" i="11"/>
  <c r="G17" i="11"/>
  <c r="F17" i="11"/>
  <c r="C17" i="11"/>
  <c r="B17" i="11"/>
  <c r="K13" i="11"/>
  <c r="J13" i="11"/>
  <c r="I13" i="11"/>
  <c r="H13" i="11"/>
  <c r="D17" i="18"/>
  <c r="D18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B21" i="18"/>
  <c r="B22" i="18"/>
  <c r="B23" i="18"/>
  <c r="B24" i="18"/>
  <c r="B25" i="18"/>
  <c r="B26" i="18"/>
  <c r="L26" i="9"/>
  <c r="L27" i="9"/>
  <c r="L28" i="9"/>
  <c r="K29" i="9"/>
  <c r="L29" i="9"/>
  <c r="K30" i="9"/>
  <c r="L30" i="9"/>
  <c r="M30" i="9"/>
  <c r="K31" i="9"/>
  <c r="L31" i="9"/>
  <c r="M31" i="9"/>
  <c r="K32" i="9"/>
  <c r="L32" i="9"/>
  <c r="M32" i="9"/>
  <c r="K33" i="9"/>
  <c r="L33" i="9"/>
  <c r="M33" i="9"/>
  <c r="K34" i="9"/>
  <c r="L34" i="9"/>
  <c r="M34" i="9"/>
  <c r="K35" i="9"/>
  <c r="L35" i="9"/>
  <c r="M35" i="9"/>
  <c r="J30" i="9"/>
  <c r="J31" i="9"/>
  <c r="J32" i="9"/>
  <c r="J33" i="9"/>
  <c r="J34" i="9"/>
  <c r="J35" i="9"/>
  <c r="I26" i="9"/>
  <c r="I27" i="9"/>
  <c r="I30" i="9"/>
  <c r="I31" i="9"/>
  <c r="I32" i="9"/>
  <c r="I33" i="9"/>
  <c r="I34" i="9"/>
  <c r="I35" i="9"/>
  <c r="H32" i="9"/>
  <c r="H33" i="9"/>
  <c r="H34" i="9"/>
  <c r="H35" i="9"/>
  <c r="I40" i="9" l="1"/>
  <c r="L41" i="9"/>
  <c r="M48" i="9"/>
  <c r="K46" i="9"/>
  <c r="L42" i="9"/>
  <c r="J40" i="11"/>
  <c r="K40" i="11"/>
  <c r="I44" i="9"/>
  <c r="L43" i="9"/>
  <c r="H40" i="11"/>
  <c r="L48" i="9"/>
  <c r="M45" i="9"/>
  <c r="K43" i="9"/>
  <c r="I40" i="11"/>
  <c r="J47" i="9"/>
  <c r="D28" i="18"/>
  <c r="L47" i="9"/>
  <c r="H47" i="9"/>
  <c r="J45" i="9"/>
  <c r="M46" i="9"/>
  <c r="K44" i="9"/>
  <c r="K36" i="9"/>
  <c r="K37" i="9" s="1"/>
  <c r="I47" i="9"/>
  <c r="M47" i="9"/>
  <c r="K45" i="9"/>
  <c r="M44" i="9"/>
  <c r="K48" i="9"/>
  <c r="H48" i="9"/>
  <c r="I45" i="9"/>
  <c r="J46" i="9"/>
  <c r="L45" i="9"/>
  <c r="L40" i="9"/>
  <c r="K47" i="9"/>
  <c r="H46" i="9"/>
  <c r="J44" i="9"/>
  <c r="L46" i="9"/>
  <c r="I48" i="9"/>
  <c r="I46" i="9"/>
  <c r="L44" i="9"/>
  <c r="J48" i="9"/>
  <c r="L52" i="9" l="1"/>
  <c r="M10" i="9"/>
  <c r="M9" i="9"/>
  <c r="K9" i="9"/>
  <c r="M8" i="9"/>
  <c r="K8" i="9"/>
  <c r="M7" i="9"/>
  <c r="K7" i="9"/>
  <c r="H12" i="9"/>
  <c r="G12" i="9" s="1"/>
  <c r="H11" i="9"/>
  <c r="G11" i="9" s="1"/>
  <c r="H10" i="9"/>
  <c r="H9" i="9"/>
  <c r="H8" i="9"/>
  <c r="H7" i="9"/>
  <c r="G10" i="9" l="1"/>
  <c r="G8" i="9"/>
  <c r="G9" i="9"/>
  <c r="G7" i="9"/>
  <c r="C13" i="11"/>
  <c r="D17" i="11"/>
  <c r="E13" i="11"/>
  <c r="K28" i="9"/>
  <c r="K42" i="9" s="1"/>
  <c r="C19" i="18"/>
  <c r="D26" i="11"/>
  <c r="F13" i="11"/>
  <c r="F40" i="11" s="1"/>
  <c r="M28" i="9"/>
  <c r="D36" i="11"/>
  <c r="D13" i="11"/>
  <c r="K27" i="9"/>
  <c r="C26" i="11"/>
  <c r="C18" i="18"/>
  <c r="G13" i="11"/>
  <c r="G40" i="11" s="1"/>
  <c r="M29" i="9"/>
  <c r="M43" i="9" s="1"/>
  <c r="E36" i="11"/>
  <c r="K26" i="9"/>
  <c r="B26" i="11"/>
  <c r="C17" i="18"/>
  <c r="M26" i="9"/>
  <c r="B36" i="11"/>
  <c r="M27" i="9"/>
  <c r="C36" i="11"/>
  <c r="I29" i="9"/>
  <c r="I43" i="9" s="1"/>
  <c r="E17" i="11"/>
  <c r="B13" i="11"/>
  <c r="B40" i="11" s="1"/>
  <c r="J28" i="9"/>
  <c r="B19" i="18"/>
  <c r="J29" i="9"/>
  <c r="B20" i="18"/>
  <c r="J26" i="9"/>
  <c r="B17" i="18"/>
  <c r="J27" i="9"/>
  <c r="B18" i="18"/>
  <c r="B8" i="17"/>
  <c r="B7" i="17"/>
  <c r="B6" i="17"/>
  <c r="B5" i="17"/>
  <c r="B4" i="17"/>
  <c r="B3" i="17"/>
  <c r="W31" i="27"/>
  <c r="V31" i="27"/>
  <c r="U31" i="27"/>
  <c r="U17" i="27"/>
  <c r="T31" i="27"/>
  <c r="T17" i="27"/>
  <c r="S31" i="27"/>
  <c r="S17" i="27"/>
  <c r="R31" i="27"/>
  <c r="R17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B17" i="27"/>
  <c r="C31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B31" i="27"/>
  <c r="B18" i="27"/>
  <c r="C18" i="27"/>
  <c r="D18" i="27"/>
  <c r="E18" i="27"/>
  <c r="F18" i="27"/>
  <c r="G18" i="27"/>
  <c r="H18" i="27"/>
  <c r="I18" i="27"/>
  <c r="E40" i="11" l="1"/>
  <c r="M42" i="9"/>
  <c r="H31" i="9"/>
  <c r="H45" i="9" s="1"/>
  <c r="H28" i="9"/>
  <c r="I28" i="9"/>
  <c r="H26" i="9"/>
  <c r="H29" i="9"/>
  <c r="H30" i="9"/>
  <c r="M41" i="9"/>
  <c r="K40" i="9"/>
  <c r="H27" i="9"/>
  <c r="D40" i="11"/>
  <c r="M40" i="9"/>
  <c r="C40" i="11"/>
  <c r="C28" i="18"/>
  <c r="K41" i="9"/>
  <c r="B28" i="18"/>
  <c r="J40" i="9"/>
  <c r="J41" i="9"/>
  <c r="J42" i="9"/>
  <c r="J43" i="9"/>
  <c r="P2" i="23"/>
  <c r="P6" i="23"/>
  <c r="H41" i="9" l="1"/>
  <c r="H42" i="9"/>
  <c r="M52" i="9"/>
  <c r="H44" i="9"/>
  <c r="I41" i="9"/>
  <c r="I42" i="9"/>
  <c r="H40" i="9"/>
  <c r="H43" i="9"/>
  <c r="K52" i="9"/>
  <c r="J52" i="9"/>
  <c r="H52" i="9" l="1"/>
  <c r="I52" i="9"/>
  <c r="C59" i="29"/>
  <c r="C60" i="29"/>
  <c r="C61" i="29"/>
  <c r="C62" i="29"/>
  <c r="C63" i="29"/>
  <c r="C64" i="29"/>
  <c r="C58" i="29"/>
  <c r="C26" i="29"/>
  <c r="C37" i="29" s="1"/>
  <c r="C27" i="29"/>
  <c r="C38" i="29" s="1"/>
  <c r="C29" i="29"/>
  <c r="C40" i="29" s="1"/>
  <c r="C30" i="29"/>
  <c r="C41" i="29" s="1"/>
  <c r="C31" i="29"/>
  <c r="C42" i="29" s="1"/>
  <c r="A17" i="29"/>
  <c r="A28" i="29" s="1"/>
  <c r="A4" i="29"/>
  <c r="A16" i="29" s="1"/>
  <c r="A27" i="29" s="1"/>
  <c r="A3" i="29"/>
  <c r="A15" i="29" s="1"/>
  <c r="A26" i="29" s="1"/>
  <c r="A2" i="29"/>
  <c r="A14" i="29" s="1"/>
  <c r="A25" i="29" s="1"/>
  <c r="F8" i="23"/>
  <c r="R7" i="23"/>
  <c r="S7" i="23"/>
  <c r="Q7" i="23"/>
  <c r="E5" i="23"/>
  <c r="D4" i="23"/>
  <c r="E4" i="23" s="1"/>
  <c r="D5" i="23"/>
  <c r="D6" i="23"/>
  <c r="E6" i="23" s="1"/>
  <c r="D7" i="23"/>
  <c r="E7" i="23" s="1"/>
  <c r="D8" i="23"/>
  <c r="E8" i="23" s="1"/>
  <c r="D9" i="23"/>
  <c r="E9" i="23" s="1"/>
  <c r="D10" i="23" s="1"/>
  <c r="E10" i="23" s="1"/>
  <c r="C12" i="23"/>
  <c r="C25" i="17"/>
  <c r="D25" i="17"/>
  <c r="E25" i="17"/>
  <c r="F25" i="17"/>
  <c r="G25" i="17"/>
  <c r="B25" i="17"/>
  <c r="B160" i="19"/>
  <c r="K4" i="11" s="1"/>
  <c r="B159" i="19"/>
  <c r="B158" i="19"/>
  <c r="I4" i="11" s="1"/>
  <c r="B157" i="19"/>
  <c r="H4" i="11" s="1"/>
  <c r="H55" i="11" s="1"/>
  <c r="B156" i="19"/>
  <c r="G4" i="11" s="1"/>
  <c r="G55" i="11" s="1"/>
  <c r="B155" i="19"/>
  <c r="F4" i="11" s="1"/>
  <c r="F55" i="11" s="1"/>
  <c r="B154" i="19"/>
  <c r="E4" i="11" s="1"/>
  <c r="E55" i="11" s="1"/>
  <c r="B153" i="19"/>
  <c r="D4" i="11" s="1"/>
  <c r="D55" i="11" s="1"/>
  <c r="B152" i="19"/>
  <c r="C4" i="11" s="1"/>
  <c r="C55" i="11" s="1"/>
  <c r="B151" i="19"/>
  <c r="B4" i="11" s="1"/>
  <c r="B55" i="11" s="1"/>
  <c r="I55" i="11" l="1"/>
  <c r="K55" i="11"/>
  <c r="A49" i="29"/>
  <c r="A60" i="29" s="1"/>
  <c r="A71" i="29" s="1"/>
  <c r="A82" i="29" s="1"/>
  <c r="A38" i="29"/>
  <c r="A48" i="29"/>
  <c r="A59" i="29" s="1"/>
  <c r="A70" i="29" s="1"/>
  <c r="A81" i="29" s="1"/>
  <c r="A37" i="29"/>
  <c r="A47" i="29"/>
  <c r="A58" i="29" s="1"/>
  <c r="A69" i="29" s="1"/>
  <c r="A80" i="29" s="1"/>
  <c r="A36" i="29"/>
  <c r="A50" i="29"/>
  <c r="A61" i="29" s="1"/>
  <c r="A72" i="29" s="1"/>
  <c r="A83" i="29" s="1"/>
  <c r="A39" i="29"/>
  <c r="B164" i="19"/>
  <c r="J4" i="11"/>
  <c r="B15" i="9"/>
  <c r="B12" i="23"/>
  <c r="D11" i="23"/>
  <c r="E11" i="23" s="1"/>
  <c r="C25" i="29"/>
  <c r="C36" i="29" s="1"/>
  <c r="W30" i="27"/>
  <c r="D185" i="19" s="1"/>
  <c r="W29" i="27"/>
  <c r="D184" i="19" s="1"/>
  <c r="W28" i="27"/>
  <c r="D183" i="19" s="1"/>
  <c r="W27" i="27"/>
  <c r="D182" i="19" s="1"/>
  <c r="W26" i="27"/>
  <c r="D181" i="19" s="1"/>
  <c r="W25" i="27"/>
  <c r="D180" i="19" s="1"/>
  <c r="W24" i="27"/>
  <c r="D179" i="19" s="1"/>
  <c r="W23" i="27"/>
  <c r="D178" i="19" s="1"/>
  <c r="W22" i="27"/>
  <c r="D177" i="19" s="1"/>
  <c r="W21" i="27"/>
  <c r="D176" i="19" s="1"/>
  <c r="W20" i="27"/>
  <c r="D175" i="19" s="1"/>
  <c r="W19" i="27"/>
  <c r="D174" i="19" s="1"/>
  <c r="W6" i="27"/>
  <c r="C175" i="19" s="1"/>
  <c r="W7" i="27"/>
  <c r="C176" i="19" s="1"/>
  <c r="W8" i="27"/>
  <c r="C177" i="19" s="1"/>
  <c r="W9" i="27"/>
  <c r="C178" i="19" s="1"/>
  <c r="W10" i="27"/>
  <c r="C179" i="19" s="1"/>
  <c r="W11" i="27"/>
  <c r="C180" i="19" s="1"/>
  <c r="W12" i="27"/>
  <c r="C181" i="19" s="1"/>
  <c r="W13" i="27"/>
  <c r="C182" i="19" s="1"/>
  <c r="W14" i="27"/>
  <c r="C183" i="19" s="1"/>
  <c r="W15" i="27"/>
  <c r="C184" i="19" s="1"/>
  <c r="W16" i="27"/>
  <c r="C185" i="19" s="1"/>
  <c r="C174" i="19"/>
  <c r="V29" i="27"/>
  <c r="V25" i="27"/>
  <c r="V21" i="27"/>
  <c r="V7" i="27"/>
  <c r="V11" i="27"/>
  <c r="V15" i="27"/>
  <c r="U18" i="27"/>
  <c r="V30" i="27"/>
  <c r="V28" i="27"/>
  <c r="V27" i="27"/>
  <c r="V24" i="27"/>
  <c r="V23" i="27"/>
  <c r="V22" i="27"/>
  <c r="V19" i="27"/>
  <c r="T18" i="27"/>
  <c r="S18" i="27"/>
  <c r="R18" i="27"/>
  <c r="Q18" i="27"/>
  <c r="P18" i="27"/>
  <c r="O18" i="27"/>
  <c r="N18" i="27"/>
  <c r="M18" i="27"/>
  <c r="L18" i="27"/>
  <c r="K18" i="27"/>
  <c r="J18" i="27"/>
  <c r="V16" i="27"/>
  <c r="V14" i="27"/>
  <c r="V13" i="27"/>
  <c r="V12" i="27"/>
  <c r="V10" i="27"/>
  <c r="V9" i="27"/>
  <c r="V8" i="27"/>
  <c r="V6" i="27"/>
  <c r="V5" i="27"/>
  <c r="J55" i="11" l="1"/>
  <c r="C137" i="19"/>
  <c r="V20" i="27"/>
  <c r="D137" i="19" s="1"/>
  <c r="V26" i="27"/>
  <c r="D143" i="19" s="1"/>
  <c r="D136" i="19"/>
  <c r="D138" i="19"/>
  <c r="D139" i="19"/>
  <c r="D140" i="19"/>
  <c r="D141" i="19"/>
  <c r="D142" i="19"/>
  <c r="D144" i="19"/>
  <c r="D145" i="19"/>
  <c r="D146" i="19"/>
  <c r="D147" i="19"/>
  <c r="C139" i="19"/>
  <c r="C136" i="19"/>
  <c r="E4" i="18"/>
  <c r="S6" i="23"/>
  <c r="F3" i="23"/>
  <c r="B7" i="9"/>
  <c r="B8" i="9"/>
  <c r="B9" i="9"/>
  <c r="B10" i="9"/>
  <c r="B11" i="9"/>
  <c r="B12" i="9"/>
  <c r="B13" i="9"/>
  <c r="B14" i="9"/>
  <c r="B16" i="9"/>
  <c r="N14" i="23"/>
  <c r="E17" i="17"/>
  <c r="E16" i="11"/>
  <c r="F20" i="17"/>
  <c r="G16" i="11"/>
  <c r="E21" i="17"/>
  <c r="H12" i="11"/>
  <c r="H35" i="11"/>
  <c r="G23" i="17"/>
  <c r="G24" i="17"/>
  <c r="E27" i="11"/>
  <c r="F32" i="11"/>
  <c r="J32" i="11"/>
  <c r="A34" i="11"/>
  <c r="A7" i="9"/>
  <c r="A26" i="9" s="1"/>
  <c r="G2" i="23"/>
  <c r="H2" i="23" s="1"/>
  <c r="A8" i="9"/>
  <c r="A27" i="9" s="1"/>
  <c r="A9" i="9"/>
  <c r="A28" i="9" s="1"/>
  <c r="A10" i="9"/>
  <c r="A29" i="9" s="1"/>
  <c r="A11" i="9"/>
  <c r="A30" i="9" s="1"/>
  <c r="A12" i="9"/>
  <c r="A31" i="9" s="1"/>
  <c r="A13" i="9"/>
  <c r="A32" i="9" s="1"/>
  <c r="A14" i="9"/>
  <c r="A33" i="9" s="1"/>
  <c r="A15" i="9"/>
  <c r="A34" i="9" s="1"/>
  <c r="A16" i="9"/>
  <c r="A35" i="9" s="1"/>
  <c r="A17" i="9"/>
  <c r="A36" i="9" s="1"/>
  <c r="A18" i="9"/>
  <c r="A37" i="9" s="1"/>
  <c r="A15" i="11"/>
  <c r="A11" i="11"/>
  <c r="B2" i="18"/>
  <c r="A29" i="11"/>
  <c r="A24" i="11"/>
  <c r="A19" i="11"/>
  <c r="D3" i="23"/>
  <c r="D12" i="23" s="1"/>
  <c r="E12" i="23" s="1"/>
  <c r="H25" i="11"/>
  <c r="D27" i="11"/>
  <c r="D25" i="11"/>
  <c r="I30" i="11"/>
  <c r="B32" i="11"/>
  <c r="B22" i="11"/>
  <c r="J16" i="11"/>
  <c r="C20" i="17"/>
  <c r="E23" i="17"/>
  <c r="F16" i="11"/>
  <c r="C21" i="17"/>
  <c r="I12" i="11"/>
  <c r="C22" i="11"/>
  <c r="J27" i="11"/>
  <c r="C12" i="11"/>
  <c r="I25" i="11"/>
  <c r="G22" i="11"/>
  <c r="J12" i="11"/>
  <c r="F20" i="11"/>
  <c r="H20" i="11"/>
  <c r="H30" i="11"/>
  <c r="E30" i="11"/>
  <c r="B16" i="11"/>
  <c r="G22" i="17"/>
  <c r="G12" i="11"/>
  <c r="B22" i="17"/>
  <c r="F5" i="23"/>
  <c r="E19" i="17"/>
  <c r="H32" i="11"/>
  <c r="G27" i="11"/>
  <c r="E22" i="11"/>
  <c r="C32" i="11"/>
  <c r="F22" i="11"/>
  <c r="B17" i="17"/>
  <c r="I35" i="11"/>
  <c r="H9" i="17"/>
  <c r="F27" i="11"/>
  <c r="E32" i="11"/>
  <c r="G20" i="11"/>
  <c r="C16" i="11"/>
  <c r="F35" i="11"/>
  <c r="Q6" i="23"/>
  <c r="E7" i="18"/>
  <c r="C20" i="11"/>
  <c r="D17" i="17"/>
  <c r="I27" i="11"/>
  <c r="G20" i="17"/>
  <c r="D22" i="11"/>
  <c r="J35" i="11"/>
  <c r="I20" i="11"/>
  <c r="D23" i="17"/>
  <c r="C22" i="17"/>
  <c r="H16" i="11"/>
  <c r="B25" i="11"/>
  <c r="F23" i="17"/>
  <c r="E11" i="18"/>
  <c r="E35" i="11"/>
  <c r="C35" i="11"/>
  <c r="D32" i="11"/>
  <c r="F12" i="11"/>
  <c r="F18" i="17"/>
  <c r="B12" i="11"/>
  <c r="H3" i="17"/>
  <c r="E24" i="17"/>
  <c r="J25" i="11"/>
  <c r="F25" i="11"/>
  <c r="E20" i="17"/>
  <c r="B20" i="17"/>
  <c r="H7" i="17"/>
  <c r="E25" i="11"/>
  <c r="E12" i="11"/>
  <c r="H6" i="17"/>
  <c r="D20" i="11"/>
  <c r="D19" i="17"/>
  <c r="D18" i="17"/>
  <c r="C30" i="11"/>
  <c r="F17" i="17"/>
  <c r="H4" i="17"/>
  <c r="B21" i="17"/>
  <c r="F19" i="17"/>
  <c r="D30" i="11"/>
  <c r="E3" i="18"/>
  <c r="B27" i="11"/>
  <c r="J22" i="11"/>
  <c r="E9" i="18"/>
  <c r="H22" i="11"/>
  <c r="E8" i="18"/>
  <c r="E5" i="18"/>
  <c r="B23" i="17"/>
  <c r="G25" i="11"/>
  <c r="E22" i="17"/>
  <c r="B30" i="11"/>
  <c r="I32" i="11"/>
  <c r="H27" i="11"/>
  <c r="G32" i="11"/>
  <c r="G35" i="11"/>
  <c r="G21" i="17"/>
  <c r="B20" i="11"/>
  <c r="G19" i="17"/>
  <c r="G18" i="17"/>
  <c r="C25" i="11"/>
  <c r="E18" i="17"/>
  <c r="B19" i="17"/>
  <c r="H5" i="17"/>
  <c r="D12" i="11"/>
  <c r="B18" i="17"/>
  <c r="B29" i="17" s="1"/>
  <c r="B35" i="11"/>
  <c r="G17" i="17"/>
  <c r="F24" i="17"/>
  <c r="J30" i="11"/>
  <c r="D24" i="17"/>
  <c r="J20" i="11"/>
  <c r="F21" i="17"/>
  <c r="G30" i="11"/>
  <c r="F22" i="17"/>
  <c r="D22" i="17"/>
  <c r="D21" i="17"/>
  <c r="H8" i="17"/>
  <c r="D35" i="11"/>
  <c r="I16" i="11"/>
  <c r="C24" i="17"/>
  <c r="H10" i="17"/>
  <c r="C23" i="17"/>
  <c r="I22" i="11"/>
  <c r="C27" i="11"/>
  <c r="E20" i="11"/>
  <c r="D20" i="17"/>
  <c r="C19" i="17"/>
  <c r="D16" i="11"/>
  <c r="C18" i="17"/>
  <c r="C17" i="17"/>
  <c r="P10" i="23"/>
  <c r="F7" i="23"/>
  <c r="B24" i="17"/>
  <c r="H11" i="17"/>
  <c r="F30" i="11"/>
  <c r="E6" i="18"/>
  <c r="E10" i="18"/>
  <c r="J46" i="11" l="1"/>
  <c r="I46" i="11"/>
  <c r="H46" i="11"/>
  <c r="G46" i="11"/>
  <c r="F46" i="11"/>
  <c r="E46" i="11"/>
  <c r="D46" i="11"/>
  <c r="C46" i="11"/>
  <c r="B46" i="11"/>
  <c r="C147" i="19"/>
  <c r="C143" i="19"/>
  <c r="C141" i="19"/>
  <c r="C142" i="19"/>
  <c r="C144" i="19"/>
  <c r="C140" i="19"/>
  <c r="C145" i="19"/>
  <c r="C146" i="19"/>
  <c r="C138" i="19"/>
  <c r="I41" i="11"/>
  <c r="J41" i="11"/>
  <c r="E41" i="11"/>
  <c r="F29" i="17"/>
  <c r="C29" i="17"/>
  <c r="E29" i="17"/>
  <c r="G29" i="17"/>
  <c r="G39" i="11"/>
  <c r="I39" i="11"/>
  <c r="F39" i="11"/>
  <c r="B41" i="11"/>
  <c r="B51" i="11" s="1"/>
  <c r="F41" i="11"/>
  <c r="F51" i="11" s="1"/>
  <c r="D39" i="11"/>
  <c r="D41" i="11"/>
  <c r="J39" i="11"/>
  <c r="G41" i="11"/>
  <c r="C41" i="11"/>
  <c r="E39" i="11"/>
  <c r="H39" i="11"/>
  <c r="H41" i="11"/>
  <c r="B39" i="11"/>
  <c r="C39" i="11"/>
  <c r="G44" i="11"/>
  <c r="F44" i="11"/>
  <c r="E44" i="11"/>
  <c r="D29" i="17"/>
  <c r="C44" i="11"/>
  <c r="B44" i="11"/>
  <c r="B8" i="11"/>
  <c r="B45" i="11"/>
  <c r="B50" i="11" s="1"/>
  <c r="D8" i="11"/>
  <c r="D45" i="11"/>
  <c r="C45" i="11"/>
  <c r="C8" i="11"/>
  <c r="E8" i="11"/>
  <c r="E45" i="11"/>
  <c r="E50" i="11" s="1"/>
  <c r="F45" i="11"/>
  <c r="F50" i="11" s="1"/>
  <c r="F8" i="11"/>
  <c r="G45" i="11"/>
  <c r="G8" i="11"/>
  <c r="D44" i="11"/>
  <c r="I44" i="11"/>
  <c r="J44" i="11"/>
  <c r="H45" i="11"/>
  <c r="H8" i="11"/>
  <c r="K45" i="11"/>
  <c r="K8" i="11"/>
  <c r="I45" i="11"/>
  <c r="I8" i="11"/>
  <c r="J45" i="11"/>
  <c r="J8" i="11"/>
  <c r="H44" i="11"/>
  <c r="A8" i="29"/>
  <c r="A20" i="29" s="1"/>
  <c r="A31" i="29" s="1"/>
  <c r="D2" i="18"/>
  <c r="A7" i="29"/>
  <c r="A19" i="29" s="1"/>
  <c r="A30" i="29" s="1"/>
  <c r="C2" i="18"/>
  <c r="A6" i="29"/>
  <c r="A18" i="29" s="1"/>
  <c r="A29" i="29" s="1"/>
  <c r="F27" i="17"/>
  <c r="G3" i="23"/>
  <c r="H3" i="23" s="1"/>
  <c r="F16" i="23" s="1"/>
  <c r="F8" i="9"/>
  <c r="F15" i="9"/>
  <c r="F13" i="9"/>
  <c r="F10" i="9"/>
  <c r="F16" i="9"/>
  <c r="F14" i="9"/>
  <c r="F12" i="9"/>
  <c r="F11" i="9"/>
  <c r="F7" i="9"/>
  <c r="F9" i="9"/>
  <c r="F17" i="23"/>
  <c r="R6" i="23"/>
  <c r="T6" i="23" s="1"/>
  <c r="E3" i="23"/>
  <c r="F4" i="23"/>
  <c r="F6" i="23"/>
  <c r="P16" i="23"/>
  <c r="T12" i="23"/>
  <c r="K30" i="11"/>
  <c r="J158" i="19"/>
  <c r="I5" i="11" s="1"/>
  <c r="W17" i="27"/>
  <c r="V17" i="27"/>
  <c r="J155" i="19"/>
  <c r="F5" i="11" s="1"/>
  <c r="F56" i="11" s="1"/>
  <c r="J152" i="19"/>
  <c r="C5" i="11" s="1"/>
  <c r="C56" i="11" s="1"/>
  <c r="J156" i="19"/>
  <c r="G5" i="11" s="1"/>
  <c r="G56" i="11" s="1"/>
  <c r="J154" i="19"/>
  <c r="J153" i="19"/>
  <c r="J157" i="19"/>
  <c r="H5" i="11" s="1"/>
  <c r="H56" i="11" s="1"/>
  <c r="I56" i="11" l="1"/>
  <c r="A53" i="29"/>
  <c r="A64" i="29" s="1"/>
  <c r="A75" i="29" s="1"/>
  <c r="A86" i="29" s="1"/>
  <c r="A42" i="29"/>
  <c r="A52" i="29"/>
  <c r="A63" i="29" s="1"/>
  <c r="A74" i="29" s="1"/>
  <c r="A85" i="29" s="1"/>
  <c r="A41" i="29"/>
  <c r="A51" i="29"/>
  <c r="A62" i="29" s="1"/>
  <c r="A73" i="29" s="1"/>
  <c r="A84" i="29" s="1"/>
  <c r="A40" i="29"/>
  <c r="E51" i="11"/>
  <c r="G51" i="11"/>
  <c r="D51" i="11"/>
  <c r="C51" i="11"/>
  <c r="F49" i="11"/>
  <c r="B49" i="11"/>
  <c r="G49" i="11"/>
  <c r="E49" i="11"/>
  <c r="C49" i="11"/>
  <c r="C50" i="11"/>
  <c r="D49" i="11"/>
  <c r="F21" i="9"/>
  <c r="J151" i="19"/>
  <c r="B5" i="11" s="1"/>
  <c r="B56" i="11" s="1"/>
  <c r="F14" i="17"/>
  <c r="K153" i="19"/>
  <c r="L153" i="19" s="1"/>
  <c r="D5" i="11"/>
  <c r="D56" i="11" s="1"/>
  <c r="K154" i="19"/>
  <c r="L154" i="19" s="1"/>
  <c r="E5" i="11"/>
  <c r="E56" i="11" s="1"/>
  <c r="L30" i="11"/>
  <c r="K157" i="19"/>
  <c r="L157" i="19" s="1"/>
  <c r="F12" i="23"/>
  <c r="F18" i="23"/>
  <c r="C12" i="9"/>
  <c r="D12" i="9" s="1"/>
  <c r="E12" i="9" s="1"/>
  <c r="I51" i="11"/>
  <c r="H50" i="11"/>
  <c r="I50" i="11"/>
  <c r="I50" i="9"/>
  <c r="I36" i="9" s="1"/>
  <c r="M50" i="9"/>
  <c r="M36" i="9" s="1"/>
  <c r="G50" i="11"/>
  <c r="H51" i="11"/>
  <c r="J50" i="11"/>
  <c r="D50" i="11"/>
  <c r="J51" i="11"/>
  <c r="K155" i="19"/>
  <c r="L155" i="19" s="1"/>
  <c r="K156" i="19"/>
  <c r="L156" i="19" s="1"/>
  <c r="C8" i="9"/>
  <c r="D8" i="9" s="1"/>
  <c r="E8" i="9" s="1"/>
  <c r="K152" i="19"/>
  <c r="L152" i="19" s="1"/>
  <c r="K158" i="19"/>
  <c r="L158" i="19" s="1"/>
  <c r="F19" i="23"/>
  <c r="Q10" i="23"/>
  <c r="J49" i="11"/>
  <c r="H49" i="11"/>
  <c r="C27" i="17"/>
  <c r="B27" i="17"/>
  <c r="M25" i="11"/>
  <c r="D27" i="17"/>
  <c r="D14" i="17" s="1"/>
  <c r="I49" i="11"/>
  <c r="G27" i="17"/>
  <c r="C14" i="9"/>
  <c r="D14" i="9" s="1"/>
  <c r="E14" i="9" s="1"/>
  <c r="C11" i="9"/>
  <c r="D11" i="9" s="1"/>
  <c r="E11" i="9" s="1"/>
  <c r="C10" i="9"/>
  <c r="D10" i="9" s="1"/>
  <c r="E10" i="9" s="1"/>
  <c r="C13" i="9"/>
  <c r="D13" i="9" s="1"/>
  <c r="E13" i="9" s="1"/>
  <c r="C9" i="9"/>
  <c r="D9" i="9" s="1"/>
  <c r="E9" i="9" s="1"/>
  <c r="K151" i="19" l="1"/>
  <c r="L151" i="19" s="1"/>
  <c r="C7" i="9"/>
  <c r="D7" i="9" s="1"/>
  <c r="E7" i="9" s="1"/>
  <c r="B6" i="11"/>
  <c r="G14" i="17"/>
  <c r="M30" i="11"/>
  <c r="C14" i="17"/>
  <c r="B14" i="17"/>
  <c r="D6" i="11"/>
  <c r="M37" i="9"/>
  <c r="M56" i="9" s="1"/>
  <c r="M55" i="9"/>
  <c r="I37" i="9"/>
  <c r="I55" i="9"/>
  <c r="Q16" i="23"/>
  <c r="T7" i="23"/>
  <c r="R8" i="23" s="1"/>
  <c r="R10" i="23" s="1"/>
  <c r="F20" i="23"/>
  <c r="L50" i="9"/>
  <c r="L36" i="9" s="1"/>
  <c r="K50" i="9"/>
  <c r="K25" i="11"/>
  <c r="L25" i="11"/>
  <c r="K20" i="11"/>
  <c r="L20" i="11"/>
  <c r="J50" i="9"/>
  <c r="J36" i="9" s="1"/>
  <c r="J55" i="9" s="1"/>
  <c r="H50" i="9"/>
  <c r="H36" i="9" s="1"/>
  <c r="K35" i="11"/>
  <c r="L35" i="11"/>
  <c r="K12" i="11"/>
  <c r="H12" i="17"/>
  <c r="K16" i="11"/>
  <c r="L16" i="11"/>
  <c r="C6" i="11"/>
  <c r="I56" i="9" l="1"/>
  <c r="I65" i="9" s="1"/>
  <c r="K39" i="11"/>
  <c r="H14" i="17"/>
  <c r="M44" i="11" s="1"/>
  <c r="M12" i="11"/>
  <c r="M35" i="11"/>
  <c r="M20" i="11"/>
  <c r="M16" i="11"/>
  <c r="K44" i="11"/>
  <c r="R14" i="23"/>
  <c r="K73" i="9" s="1"/>
  <c r="S8" i="23"/>
  <c r="S9" i="23" s="1"/>
  <c r="T9" i="23" s="1"/>
  <c r="M65" i="9"/>
  <c r="J37" i="9"/>
  <c r="J56" i="9" s="1"/>
  <c r="K56" i="9"/>
  <c r="K55" i="9"/>
  <c r="L37" i="9"/>
  <c r="L56" i="9" s="1"/>
  <c r="L55" i="9"/>
  <c r="F21" i="23"/>
  <c r="H13" i="17"/>
  <c r="L44" i="11" s="1"/>
  <c r="L12" i="11"/>
  <c r="M64" i="9"/>
  <c r="M66" i="11" l="1"/>
  <c r="L39" i="11"/>
  <c r="M39" i="11"/>
  <c r="H73" i="9"/>
  <c r="J73" i="9"/>
  <c r="I73" i="9"/>
  <c r="R16" i="23"/>
  <c r="J65" i="9"/>
  <c r="L65" i="9"/>
  <c r="K65" i="9"/>
  <c r="H55" i="9"/>
  <c r="H37" i="9"/>
  <c r="H56" i="9" s="1"/>
  <c r="S10" i="23"/>
  <c r="T10" i="23" s="1"/>
  <c r="F22" i="23"/>
  <c r="T13" i="23"/>
  <c r="T8" i="23"/>
  <c r="S14" i="23"/>
  <c r="K49" i="11"/>
  <c r="K64" i="9"/>
  <c r="L64" i="9"/>
  <c r="I64" i="9"/>
  <c r="J64" i="9"/>
  <c r="M49" i="11" l="1"/>
  <c r="S15" i="23"/>
  <c r="H65" i="9"/>
  <c r="N65" i="9" s="1"/>
  <c r="H64" i="9"/>
  <c r="N64" i="9" s="1"/>
  <c r="G55" i="9"/>
  <c r="G56" i="9"/>
  <c r="T14" i="23"/>
  <c r="F23" i="23"/>
  <c r="L49" i="11"/>
  <c r="M74" i="9" l="1"/>
  <c r="I74" i="9"/>
  <c r="H74" i="9"/>
  <c r="L74" i="9"/>
  <c r="K74" i="9"/>
  <c r="J74" i="9"/>
  <c r="T15" i="23"/>
  <c r="S16" i="23"/>
  <c r="T16" i="23" s="1"/>
  <c r="F24" i="23"/>
  <c r="N74" i="9" l="1"/>
  <c r="F25" i="23"/>
  <c r="L73" i="9" l="1"/>
  <c r="F26" i="23"/>
  <c r="M73" i="9" l="1"/>
  <c r="F27" i="23"/>
  <c r="N73" i="9" l="1"/>
  <c r="H27" i="23"/>
  <c r="G4" i="23" s="1"/>
  <c r="H4" i="23" s="1"/>
  <c r="F28" i="23"/>
  <c r="G27" i="23"/>
  <c r="J3" i="23" s="1"/>
  <c r="K3" i="23" s="1"/>
  <c r="F29" i="23" l="1"/>
  <c r="E6" i="11" l="1"/>
  <c r="F30" i="23"/>
  <c r="F31" i="23" l="1"/>
  <c r="F32" i="23" l="1"/>
  <c r="F33" i="23" l="1"/>
  <c r="F34" i="23" l="1"/>
  <c r="F35" i="23" l="1"/>
  <c r="F36" i="23" l="1"/>
  <c r="F37" i="23" l="1"/>
  <c r="F38" i="23" l="1"/>
  <c r="F39" i="23" l="1"/>
  <c r="H39" i="23" l="1"/>
  <c r="G5" i="23" s="1"/>
  <c r="H5" i="23" s="1"/>
  <c r="F40" i="23" s="1"/>
  <c r="G39" i="23"/>
  <c r="J4" i="23" s="1"/>
  <c r="K4" i="23" s="1"/>
  <c r="F41" i="23" l="1"/>
  <c r="F6" i="11" l="1"/>
  <c r="F42" i="23"/>
  <c r="F43" i="23" l="1"/>
  <c r="F44" i="23" l="1"/>
  <c r="F45" i="23" l="1"/>
  <c r="F46" i="23" l="1"/>
  <c r="F47" i="23" l="1"/>
  <c r="F48" i="23" l="1"/>
  <c r="F49" i="23" l="1"/>
  <c r="F50" i="23" l="1"/>
  <c r="F51" i="23" l="1"/>
  <c r="H51" i="23" l="1"/>
  <c r="G6" i="23" s="1"/>
  <c r="H6" i="23" s="1"/>
  <c r="F52" i="23" s="1"/>
  <c r="G51" i="23"/>
  <c r="J5" i="23" s="1"/>
  <c r="K5" i="23" s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H63" i="23" l="1"/>
  <c r="G7" i="23" s="1"/>
  <c r="H7" i="23" s="1"/>
  <c r="F64" i="23" s="1"/>
  <c r="G63" i="23"/>
  <c r="J6" i="23" s="1"/>
  <c r="K6" i="23" s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H75" i="23" l="1"/>
  <c r="G8" i="23" s="1"/>
  <c r="H8" i="23" s="1"/>
  <c r="F76" i="23" s="1"/>
  <c r="G100" i="19" s="1"/>
  <c r="J100" i="19" s="1"/>
  <c r="G75" i="23"/>
  <c r="J7" i="23" s="1"/>
  <c r="K7" i="23" s="1"/>
  <c r="F77" i="23" l="1"/>
  <c r="G101" i="19" s="1"/>
  <c r="J101" i="19" s="1"/>
  <c r="F78" i="23" l="1"/>
  <c r="G102" i="19" s="1"/>
  <c r="J102" i="19" s="1"/>
  <c r="I6" i="11"/>
  <c r="F79" i="23" l="1"/>
  <c r="G103" i="19" s="1"/>
  <c r="J103" i="19" s="1"/>
  <c r="F80" i="23" l="1"/>
  <c r="G104" i="19" s="1"/>
  <c r="J104" i="19" s="1"/>
  <c r="F81" i="23" l="1"/>
  <c r="G105" i="19" s="1"/>
  <c r="J105" i="19" s="1"/>
  <c r="F82" i="23" l="1"/>
  <c r="G106" i="19" s="1"/>
  <c r="J106" i="19" s="1"/>
  <c r="F83" i="23" l="1"/>
  <c r="G107" i="19" s="1"/>
  <c r="J107" i="19" s="1"/>
  <c r="F84" i="23" l="1"/>
  <c r="G108" i="19" s="1"/>
  <c r="J108" i="19" s="1"/>
  <c r="F85" i="23" l="1"/>
  <c r="G109" i="19" s="1"/>
  <c r="J109" i="19" s="1"/>
  <c r="F86" i="23" l="1"/>
  <c r="G110" i="19" s="1"/>
  <c r="J110" i="19" s="1"/>
  <c r="F87" i="23" l="1"/>
  <c r="G111" i="19" s="1"/>
  <c r="J111" i="19" s="1"/>
  <c r="J159" i="19" l="1"/>
  <c r="H87" i="23"/>
  <c r="G9" i="23" s="1"/>
  <c r="H9" i="23" s="1"/>
  <c r="F88" i="23" s="1"/>
  <c r="G112" i="19" s="1"/>
  <c r="J112" i="19" s="1"/>
  <c r="G87" i="23"/>
  <c r="J8" i="23" s="1"/>
  <c r="C15" i="9" l="1"/>
  <c r="D15" i="9" s="1"/>
  <c r="E15" i="9" s="1"/>
  <c r="K159" i="19"/>
  <c r="L159" i="19" s="1"/>
  <c r="J5" i="11"/>
  <c r="K8" i="23"/>
  <c r="F89" i="23"/>
  <c r="G113" i="19" s="1"/>
  <c r="J113" i="19" s="1"/>
  <c r="J56" i="11" l="1"/>
  <c r="J6" i="11"/>
  <c r="F90" i="23"/>
  <c r="G114" i="19" s="1"/>
  <c r="J114" i="19" s="1"/>
  <c r="F91" i="23" l="1"/>
  <c r="G115" i="19" s="1"/>
  <c r="J115" i="19" s="1"/>
  <c r="F92" i="23" l="1"/>
  <c r="G116" i="19" s="1"/>
  <c r="J116" i="19" s="1"/>
  <c r="F93" i="23" l="1"/>
  <c r="G117" i="19" s="1"/>
  <c r="J117" i="19" s="1"/>
  <c r="F94" i="23" l="1"/>
  <c r="G118" i="19" s="1"/>
  <c r="J118" i="19" s="1"/>
  <c r="F95" i="23" l="1"/>
  <c r="G119" i="19" s="1"/>
  <c r="J119" i="19" s="1"/>
  <c r="F96" i="23" l="1"/>
  <c r="G120" i="19" s="1"/>
  <c r="J120" i="19" s="1"/>
  <c r="F97" i="23" l="1"/>
  <c r="G121" i="19" s="1"/>
  <c r="J121" i="19" s="1"/>
  <c r="F98" i="23" l="1"/>
  <c r="G122" i="19" s="1"/>
  <c r="J122" i="19" s="1"/>
  <c r="F99" i="23" l="1"/>
  <c r="G123" i="19" s="1"/>
  <c r="J123" i="19" s="1"/>
  <c r="J160" i="19" l="1"/>
  <c r="H99" i="23"/>
  <c r="G10" i="23" s="1"/>
  <c r="H10" i="23" s="1"/>
  <c r="F100" i="23" s="1"/>
  <c r="G124" i="19" s="1"/>
  <c r="J124" i="19" s="1"/>
  <c r="G99" i="23"/>
  <c r="J9" i="23" s="1"/>
  <c r="K5" i="11" l="1"/>
  <c r="C16" i="9"/>
  <c r="D16" i="9" s="1"/>
  <c r="E16" i="9" s="1"/>
  <c r="J164" i="19"/>
  <c r="K160" i="19"/>
  <c r="L160" i="19" s="1"/>
  <c r="K9" i="23"/>
  <c r="F101" i="23"/>
  <c r="G125" i="19" s="1"/>
  <c r="J125" i="19" s="1"/>
  <c r="K56" i="11" l="1"/>
  <c r="K6" i="11"/>
  <c r="F102" i="23"/>
  <c r="G126" i="19" s="1"/>
  <c r="J126" i="19" s="1"/>
  <c r="K164" i="19" l="1"/>
  <c r="F103" i="23"/>
  <c r="G127" i="19" s="1"/>
  <c r="J127" i="19" s="1"/>
  <c r="G6" i="11" l="1"/>
  <c r="F104" i="23"/>
  <c r="G128" i="19" s="1"/>
  <c r="J128" i="19" s="1"/>
  <c r="H6" i="11" l="1"/>
  <c r="K32" i="11"/>
  <c r="F105" i="23"/>
  <c r="G129" i="19" s="1"/>
  <c r="J129" i="19" s="1"/>
  <c r="K27" i="11"/>
  <c r="E12" i="18" l="1"/>
  <c r="K22" i="11"/>
  <c r="K41" i="11" s="1"/>
  <c r="F106" i="23"/>
  <c r="G130" i="19" s="1"/>
  <c r="J130" i="19" s="1"/>
  <c r="K46" i="11" l="1"/>
  <c r="F107" i="23"/>
  <c r="G131" i="19" s="1"/>
  <c r="J131" i="19" s="1"/>
  <c r="K50" i="11"/>
  <c r="F108" i="23" l="1"/>
  <c r="G132" i="19" s="1"/>
  <c r="J132" i="19" s="1"/>
  <c r="K51" i="11"/>
  <c r="F109" i="23" l="1"/>
  <c r="G133" i="19" s="1"/>
  <c r="J133" i="19" s="1"/>
  <c r="F110" i="23" l="1"/>
  <c r="G134" i="19" s="1"/>
  <c r="J134" i="19" s="1"/>
  <c r="F111" i="23" l="1"/>
  <c r="G135" i="19" s="1"/>
  <c r="J135" i="19" s="1"/>
  <c r="H111" i="23" l="1"/>
  <c r="G11" i="23" s="1"/>
  <c r="H11" i="23" s="1"/>
  <c r="F112" i="23" s="1"/>
  <c r="G136" i="19" s="1"/>
  <c r="G111" i="23"/>
  <c r="J10" i="23" s="1"/>
  <c r="J136" i="19" l="1"/>
  <c r="K10" i="23"/>
  <c r="F113" i="23"/>
  <c r="G137" i="19" s="1"/>
  <c r="J137" i="19" l="1"/>
  <c r="J174" i="19"/>
  <c r="F114" i="23"/>
  <c r="G138" i="19" s="1"/>
  <c r="J138" i="19" l="1"/>
  <c r="J175" i="19"/>
  <c r="F115" i="23"/>
  <c r="G139" i="19" s="1"/>
  <c r="J139" i="19" l="1"/>
  <c r="J176" i="19"/>
  <c r="F116" i="23"/>
  <c r="G140" i="19" s="1"/>
  <c r="J140" i="19" l="1"/>
  <c r="J177" i="19"/>
  <c r="F117" i="23"/>
  <c r="G141" i="19" s="1"/>
  <c r="J141" i="19" l="1"/>
  <c r="J178" i="19"/>
  <c r="F118" i="23"/>
  <c r="G142" i="19" s="1"/>
  <c r="J142" i="19" l="1"/>
  <c r="J179" i="19"/>
  <c r="F119" i="23"/>
  <c r="G143" i="19" s="1"/>
  <c r="J143" i="19" l="1"/>
  <c r="J180" i="19"/>
  <c r="F120" i="23"/>
  <c r="G144" i="19" s="1"/>
  <c r="J144" i="19" l="1"/>
  <c r="J181" i="19"/>
  <c r="F121" i="23"/>
  <c r="G145" i="19" s="1"/>
  <c r="J145" i="19" l="1"/>
  <c r="J182" i="19"/>
  <c r="F122" i="23"/>
  <c r="G146" i="19" s="1"/>
  <c r="J146" i="19" l="1"/>
  <c r="J183" i="19"/>
  <c r="F123" i="23"/>
  <c r="G147" i="19" s="1"/>
  <c r="J147" i="19" l="1"/>
  <c r="J184" i="19"/>
  <c r="H123" i="23"/>
  <c r="G123" i="23"/>
  <c r="J11" i="23" s="1"/>
  <c r="J185" i="19" l="1"/>
  <c r="K11" i="23"/>
  <c r="K12" i="23" s="1"/>
  <c r="J12" i="23"/>
  <c r="D50" i="29" l="1"/>
  <c r="F50" i="29" s="1"/>
  <c r="D61" i="29" l="1"/>
  <c r="F61" i="29" s="1"/>
  <c r="J162" i="19" l="1"/>
  <c r="C18" i="9" s="1"/>
  <c r="J161" i="19"/>
  <c r="C17" i="9" s="1"/>
  <c r="J149" i="19"/>
  <c r="K185" i="19" l="1"/>
  <c r="G18" i="9"/>
  <c r="M5" i="11"/>
  <c r="L5" i="11"/>
  <c r="J166" i="19"/>
  <c r="K166" i="19" s="1"/>
  <c r="G17" i="9"/>
  <c r="M56" i="11" l="1"/>
  <c r="H17" i="9"/>
  <c r="G59" i="9"/>
  <c r="G64" i="9" s="1"/>
  <c r="H68" i="9" s="1"/>
  <c r="L56" i="11"/>
  <c r="H18" i="9"/>
  <c r="G60" i="9"/>
  <c r="G65" i="9" s="1"/>
  <c r="H59" i="9" l="1"/>
  <c r="I69" i="9"/>
  <c r="J69" i="9"/>
  <c r="M69" i="9"/>
  <c r="H69" i="9"/>
  <c r="K69" i="9"/>
  <c r="L69" i="9"/>
  <c r="K68" i="9"/>
  <c r="J68" i="9"/>
  <c r="M68" i="9"/>
  <c r="L68" i="9"/>
  <c r="I68" i="9"/>
  <c r="K59" i="9" l="1"/>
  <c r="I59" i="9"/>
  <c r="L59" i="9"/>
  <c r="M59" i="9"/>
  <c r="L36" i="11" s="1"/>
  <c r="J59" i="9"/>
  <c r="H60" i="9"/>
  <c r="L60" i="9"/>
  <c r="D14" i="18" s="1"/>
  <c r="M32" i="11" s="1"/>
  <c r="J60" i="9"/>
  <c r="K60" i="9"/>
  <c r="C14" i="18" s="1"/>
  <c r="M27" i="11" s="1"/>
  <c r="M60" i="9"/>
  <c r="M36" i="11" s="1"/>
  <c r="I60" i="9"/>
  <c r="M17" i="11" s="1"/>
  <c r="B3" i="29" s="1"/>
  <c r="L17" i="11"/>
  <c r="N69" i="9"/>
  <c r="N68" i="9"/>
  <c r="M21" i="11"/>
  <c r="B14" i="18"/>
  <c r="M31" i="11" l="1"/>
  <c r="B8" i="29"/>
  <c r="B20" i="29" s="1"/>
  <c r="D20" i="29" s="1"/>
  <c r="F20" i="29" s="1"/>
  <c r="M26" i="11"/>
  <c r="B7" i="29"/>
  <c r="B4" i="29"/>
  <c r="C7" i="29"/>
  <c r="C6" i="29"/>
  <c r="B15" i="29"/>
  <c r="D15" i="29" s="1"/>
  <c r="F15" i="29" s="1"/>
  <c r="D13" i="18"/>
  <c r="L32" i="11" s="1"/>
  <c r="L31" i="11"/>
  <c r="L13" i="11"/>
  <c r="N59" i="9"/>
  <c r="M22" i="11"/>
  <c r="E14" i="18"/>
  <c r="M46" i="11" s="1"/>
  <c r="M68" i="11" s="1"/>
  <c r="C13" i="18"/>
  <c r="L27" i="11" s="1"/>
  <c r="L26" i="11"/>
  <c r="L21" i="11"/>
  <c r="B13" i="18"/>
  <c r="N60" i="9"/>
  <c r="M13" i="11"/>
  <c r="B6" i="29" l="1"/>
  <c r="B18" i="29"/>
  <c r="D18" i="29" s="1"/>
  <c r="F18" i="29" s="1"/>
  <c r="B16" i="29"/>
  <c r="D16" i="29" s="1"/>
  <c r="F16" i="29" s="1"/>
  <c r="B38" i="29"/>
  <c r="M41" i="11"/>
  <c r="C4" i="29"/>
  <c r="B42" i="29"/>
  <c r="B37" i="29"/>
  <c r="M40" i="11"/>
  <c r="B2" i="29"/>
  <c r="B19" i="29"/>
  <c r="D19" i="29" s="1"/>
  <c r="F19" i="29" s="1"/>
  <c r="L40" i="11"/>
  <c r="L45" i="11"/>
  <c r="O59" i="9"/>
  <c r="L8" i="11"/>
  <c r="E13" i="18"/>
  <c r="L46" i="11" s="1"/>
  <c r="L22" i="11"/>
  <c r="D51" i="29"/>
  <c r="F51" i="29" s="1"/>
  <c r="D52" i="29"/>
  <c r="F52" i="29" s="1"/>
  <c r="O60" i="9"/>
  <c r="M45" i="11"/>
  <c r="M67" i="11" s="1"/>
  <c r="M8" i="11"/>
  <c r="B41" i="29" l="1"/>
  <c r="L41" i="11"/>
  <c r="M51" i="11"/>
  <c r="B40" i="29"/>
  <c r="B14" i="29"/>
  <c r="D14" i="29" s="1"/>
  <c r="F14" i="29" s="1"/>
  <c r="B28" i="29"/>
  <c r="B31" i="29"/>
  <c r="M50" i="11"/>
  <c r="B26" i="29"/>
  <c r="D62" i="29"/>
  <c r="F62" i="29" s="1"/>
  <c r="L50" i="11"/>
  <c r="B9" i="29"/>
  <c r="D63" i="29"/>
  <c r="F63" i="29" s="1"/>
  <c r="B36" i="29" l="1"/>
  <c r="D26" i="29"/>
  <c r="F26" i="29" s="1"/>
  <c r="D37" i="29"/>
  <c r="F37" i="29" s="1"/>
  <c r="D31" i="29"/>
  <c r="F31" i="29" s="1"/>
  <c r="D42" i="29"/>
  <c r="F42" i="29" s="1"/>
  <c r="D28" i="29"/>
  <c r="F28" i="29" s="1"/>
  <c r="D39" i="29"/>
  <c r="F39" i="29" s="1"/>
  <c r="D70" i="29"/>
  <c r="F70" i="29" s="1"/>
  <c r="D48" i="29"/>
  <c r="F48" i="29" s="1"/>
  <c r="B29" i="29"/>
  <c r="B27" i="29"/>
  <c r="L51" i="11"/>
  <c r="B21" i="29"/>
  <c r="D49" i="29"/>
  <c r="F49" i="29" s="1"/>
  <c r="C9" i="29"/>
  <c r="B30" i="29"/>
  <c r="B25" i="29"/>
  <c r="D53" i="29" l="1"/>
  <c r="F53" i="29" s="1"/>
  <c r="D75" i="29"/>
  <c r="F75" i="29" s="1"/>
  <c r="D27" i="29"/>
  <c r="F27" i="29" s="1"/>
  <c r="D38" i="29"/>
  <c r="F38" i="29" s="1"/>
  <c r="D36" i="29"/>
  <c r="D29" i="29"/>
  <c r="F29" i="29" s="1"/>
  <c r="D40" i="29"/>
  <c r="F40" i="29" s="1"/>
  <c r="D30" i="29"/>
  <c r="F30" i="29" s="1"/>
  <c r="D41" i="29"/>
  <c r="F41" i="29" s="1"/>
  <c r="D72" i="29"/>
  <c r="F72" i="29" s="1"/>
  <c r="D86" i="29"/>
  <c r="F86" i="29" s="1"/>
  <c r="D64" i="29"/>
  <c r="F64" i="29" s="1"/>
  <c r="D81" i="29"/>
  <c r="F81" i="29" s="1"/>
  <c r="D59" i="29"/>
  <c r="F59" i="29" s="1"/>
  <c r="D60" i="29"/>
  <c r="F60" i="29" s="1"/>
  <c r="B32" i="29"/>
  <c r="D25" i="29"/>
  <c r="F25" i="29" s="1"/>
  <c r="D21" i="29"/>
  <c r="F21" i="29"/>
  <c r="D73" i="29" l="1"/>
  <c r="D74" i="29"/>
  <c r="F74" i="29" s="1"/>
  <c r="D43" i="29"/>
  <c r="F36" i="29"/>
  <c r="F43" i="29" s="1"/>
  <c r="B92" i="29" s="1"/>
  <c r="B43" i="29"/>
  <c r="D71" i="29"/>
  <c r="F71" i="29" s="1"/>
  <c r="D83" i="29"/>
  <c r="F83" i="29" s="1"/>
  <c r="D84" i="29"/>
  <c r="F84" i="29" s="1"/>
  <c r="F73" i="29"/>
  <c r="D32" i="29"/>
  <c r="F32" i="29"/>
  <c r="B91" i="29" s="1"/>
  <c r="D47" i="29"/>
  <c r="F47" i="29" s="1"/>
  <c r="D69" i="29"/>
  <c r="F69" i="29" s="1"/>
  <c r="D85" i="29" l="1"/>
  <c r="F85" i="29" s="1"/>
  <c r="D82" i="29"/>
  <c r="F82" i="29" s="1"/>
  <c r="D58" i="29"/>
  <c r="F54" i="29"/>
  <c r="B94" i="29" s="1"/>
  <c r="D76" i="29"/>
  <c r="F76" i="29"/>
  <c r="B93" i="29" s="1"/>
  <c r="D80" i="29"/>
  <c r="F80" i="29" s="1"/>
  <c r="F58" i="29" l="1"/>
  <c r="F65" i="29" s="1"/>
  <c r="B95" i="29" s="1"/>
  <c r="F87" i="29"/>
  <c r="B96" i="29" s="1"/>
  <c r="D87" i="29"/>
  <c r="B99" i="29" l="1"/>
</calcChain>
</file>

<file path=xl/comments1.xml><?xml version="1.0" encoding="utf-8"?>
<comments xmlns="http://schemas.openxmlformats.org/spreadsheetml/2006/main">
  <authors>
    <author>Sherry Graham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from July 1, 2013 level to end of 2014.  Therefore kWh consumption remains constant at 2012 usage per connection.</t>
        </r>
      </text>
    </comment>
    <comment ref="L5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Adjusted calculation to reflect more accurate forecast for 2013 - 2014.  Actual connections decreasing, therefore kWh and kW should be decreasing.</t>
        </r>
      </text>
    </comment>
  </commentList>
</comments>
</file>

<file path=xl/comments2.xml><?xml version="1.0" encoding="utf-8"?>
<comments xmlns="http://schemas.openxmlformats.org/spreadsheetml/2006/main">
  <authors>
    <author>Sherry Graham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Customer # reduced by estimated # of GS &gt; 50 kW to be trf to GS &lt;50 kW per 2006 EDR application. (amount trf per 2004 stats)
Completed in billing system early 2006.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account not corrected until August 2013.
Flat consumption of 679 actual kWh and 3.72 billed kW per month.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two removed services in 2012 - only two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nine removed services in 2012 - only nine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number of services removed after year-end - account was in Active status but no meter for period of time for various reasons.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Residential customers as at July 31, 2013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&lt; 50 kW customers as at July 31, 2013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&gt; 50 kW customers (including intervals) as at July 31, 2013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Streetlight connections as at July 31, 2013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Sentinel Light connections as at July 31, 2013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USL connections as at July 31, 2013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between August 1, 2013 and 2014.</t>
        </r>
      </text>
    </comment>
  </commentList>
</comments>
</file>

<file path=xl/comments3.xml><?xml version="1.0" encoding="utf-8"?>
<comments xmlns="http://schemas.openxmlformats.org/spreadsheetml/2006/main">
  <authors>
    <author>Sherry Graham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</commentList>
</comments>
</file>

<file path=xl/sharedStrings.xml><?xml version="1.0" encoding="utf-8"?>
<sst xmlns="http://schemas.openxmlformats.org/spreadsheetml/2006/main" count="351" uniqueCount="195">
  <si>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</si>
  <si>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</si>
  <si>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</si>
  <si>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</si>
  <si>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</si>
  <si>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</si>
  <si>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</si>
  <si>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</si>
  <si>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</si>
  <si>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</si>
  <si>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</si>
  <si>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</si>
  <si>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</si>
  <si>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</si>
  <si>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</si>
  <si>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</si>
  <si>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</si>
  <si>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</si>
  <si>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</si>
  <si>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</si>
  <si>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</si>
  <si>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</si>
  <si>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</si>
  <si>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</si>
  <si>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</si>
  <si>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</si>
  <si>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</si>
  <si>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</si>
  <si>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</si>
  <si>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</si>
  <si>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</si>
  <si>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</si>
  <si>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</si>
  <si>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</si>
  <si>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</si>
  <si>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</si>
  <si>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</si>
  <si>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</si>
  <si>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</si>
  <si>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</si>
  <si>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</si>
  <si>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</si>
  <si>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</si>
  <si>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</si>
  <si>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</si>
  <si>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</si>
  <si>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</si>
  <si>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</si>
  <si>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</si>
  <si>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</si>
  <si>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</si>
  <si>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</si>
  <si>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</si>
  <si>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</si>
  <si>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</si>
  <si>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</si>
  <si>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</si>
  <si>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</si>
  <si>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</si>
  <si>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</si>
  <si>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</si>
  <si>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</si>
  <si>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</si>
  <si>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</si>
  <si>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</si>
  <si>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</si>
  <si>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</si>
  <si>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</si>
  <si>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</si>
  <si>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</si>
  <si>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 xml:space="preserve">2010 Actual </t>
  </si>
  <si>
    <t>CDM Activity</t>
  </si>
  <si>
    <t xml:space="preserve">2011 Actual </t>
  </si>
  <si>
    <t>2013 Weather Normal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</si>
  <si>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</si>
  <si>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</si>
  <si>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</si>
  <si>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</si>
  <si>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</si>
  <si>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</si>
  <si>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</si>
  <si>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</si>
  <si>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</si>
  <si>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</si>
  <si>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</si>
  <si>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</si>
  <si>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</si>
  <si>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</si>
  <si>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</si>
  <si>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</si>
  <si>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</si>
  <si>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</si>
  <si>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</si>
  <si>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</si>
  <si>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</si>
  <si>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</si>
  <si>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</si>
  <si>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</si>
  <si>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Street Lighting</t>
  </si>
  <si>
    <t>kWh</t>
  </si>
  <si>
    <t>Residential</t>
  </si>
  <si>
    <t>20 Year Trend</t>
  </si>
  <si>
    <t>Station Name</t>
  </si>
  <si>
    <t>10  Year Avg</t>
  </si>
  <si>
    <t>20 Trend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</si>
  <si>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</si>
  <si>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</si>
  <si>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</si>
  <si>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</si>
  <si>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</si>
  <si>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</si>
  <si>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</si>
  <si>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</si>
  <si>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</si>
  <si>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</si>
  <si>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</si>
  <si>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</si>
  <si>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</si>
  <si>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</si>
  <si>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</si>
  <si>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</si>
  <si>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</si>
  <si>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</si>
  <si>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Actual 2011 Results and Presistence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</si>
  <si>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</si>
  <si>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</si>
  <si>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</si>
  <si>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</si>
  <si>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</si>
  <si>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2012 %RPP</t>
  </si>
  <si>
    <t>2014 Forecasted Metered kWhs</t>
  </si>
  <si>
    <t>2014  Loss Factor</t>
  </si>
  <si>
    <t>2014 Load Foreacst</t>
  </si>
  <si>
    <t>Hamilton</t>
  </si>
  <si>
    <t>Total to 2012</t>
  </si>
  <si>
    <t>Actual Purchases</t>
  </si>
  <si>
    <t>Predicted Purchases</t>
  </si>
  <si>
    <t>2010 Board Approved</t>
  </si>
  <si>
    <t>Unmetered Scattered Load</t>
  </si>
  <si>
    <t>Embedded Distributor - Hydro One Networks Inc.</t>
  </si>
  <si>
    <t>Sentinel Lighting</t>
  </si>
  <si>
    <t>General Service 
Less Than 50 kW</t>
  </si>
  <si>
    <t>General Service 
50 to 4,999 kW</t>
  </si>
  <si>
    <t>Embedded Distributor - 
Hydro One Networks Inc.</t>
  </si>
  <si>
    <t>2010 Actual</t>
  </si>
  <si>
    <t>2011 Actual</t>
  </si>
  <si>
    <t>2012 Actual</t>
  </si>
  <si>
    <t>2013 Bridge Year Forecast</t>
  </si>
  <si>
    <t>2014 Test Year Forecast</t>
  </si>
  <si>
    <t>%</t>
  </si>
  <si>
    <t>Total All Customer Classes</t>
  </si>
  <si>
    <t>Regression Analysis to Predict Purchases for 2013 and 2014 includes the following flags:</t>
  </si>
  <si>
    <t xml:space="preserve">    - Final Results from 2006 to 2010 OPA CDM Programs</t>
  </si>
  <si>
    <t xml:space="preserve">    - Final Results from 2011 OPA CDM Programs</t>
  </si>
  <si>
    <t>2.  Heating and Cooling Degree Days;</t>
  </si>
  <si>
    <t>6.  CDM kWh Savings for period 2006 to 2014 as follows:</t>
  </si>
  <si>
    <t>Load Forecast by Customer Class further reduced for the following:</t>
  </si>
  <si>
    <t>1.  Estimate of kWh savings from 2013 OPA CDM Programs in 2013 and 2014; and</t>
  </si>
  <si>
    <t>2.  Estimate of kWh savings from 2014 OPA CDM Programs in 2014.</t>
  </si>
  <si>
    <t>Estimates based on kWh savings from 2011 &amp; 2012 programs included above and reaching CDM target by end of 2014.</t>
  </si>
  <si>
    <t xml:space="preserve">   - No adjustment has been made in 2012 for Rosa Flora Load Displacement (kWh or kW)</t>
  </si>
  <si>
    <t>kWh Change
2010 Actual to 
2010 BA</t>
  </si>
  <si>
    <t>kWh Change
2011 Actual to 2010 Actual</t>
  </si>
  <si>
    <t>kWh Change
2012 Actual to 2011 Actual</t>
  </si>
  <si>
    <t>kWh Change
2013 Bridge to 2012 Actual</t>
  </si>
  <si>
    <t>kWh Change
2014 Test to 2013 Bridge</t>
  </si>
  <si>
    <t>Manual Adjustment to the Load Forecast from 2013 and 2014 Programs at a Net Level and Assuming Half-Year</t>
  </si>
  <si>
    <t>Average Number of Customers</t>
  </si>
  <si>
    <t>Average Number of Connections</t>
  </si>
  <si>
    <t>Summer Months Flag</t>
  </si>
  <si>
    <t>Average (5-year per Appendix 2-R)</t>
  </si>
  <si>
    <t>Total from Model (Excludes Embedded Distributor - Hydro One</t>
  </si>
  <si>
    <t>Annual kW for those classes that charge 
distribution volumetric charges on a kW basis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</si>
  <si>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 Hydro One Networks Inc. provided load forecast information (kWh &amp; kW) for both 2013 and 2014</t>
    </r>
  </si>
  <si>
    <t>Haldimand County Hydro Inc. Weather Normal Load Forecast for 2014 Rate Application</t>
  </si>
  <si>
    <t>Employment Hamilton-Niagara Peninsula (000's)</t>
  </si>
  <si>
    <t>Lower 95.0%</t>
  </si>
  <si>
    <t>Upper 95.0%</t>
  </si>
  <si>
    <t xml:space="preserve">Final Verified 2012 Results and Presistence </t>
  </si>
  <si>
    <t xml:space="preserve">    - Final Results from 2012 OPA CDM Programs</t>
  </si>
  <si>
    <t>1.  Actual Historical Purchases for period 2003 to 2012;</t>
  </si>
  <si>
    <t>4.  Number of days in month;</t>
  </si>
  <si>
    <t>5.  Spring / Fall flag and Summers months flag; and</t>
  </si>
  <si>
    <t>3.  Employment Hamilton-Niagara Peninsula;</t>
  </si>
  <si>
    <t>kWh Change
2014 Test to 2012 Actual</t>
  </si>
  <si>
    <t>n</t>
  </si>
  <si>
    <t>10 Year Average</t>
  </si>
  <si>
    <t>Unmetered Scattered Loads</t>
  </si>
  <si>
    <t>General Service Less Than 50 kW</t>
  </si>
  <si>
    <t>General Service 50 to 4999 kW</t>
  </si>
  <si>
    <t xml:space="preserve">Unmetered Scattered Loads </t>
  </si>
  <si>
    <t>4707-Global Adjustment</t>
  </si>
  <si>
    <t>Electricity - Global Adjustment Non-RPP</t>
  </si>
  <si>
    <t>4751-Smart Meter Entity Charge</t>
  </si>
  <si>
    <t>Calculations Per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</si>
</sst>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2" formatCode="_(* #,##0_);_(* \(#,##0\);_(* &quot;-&quot;??_);_(@_)"/>
    <numFmt numFmtId="173" formatCode="0.0"/>
    <numFmt numFmtId="174" formatCode="_-* #,##0_-;\-* #,##0_-;_-* &quot;-&quot;??_-;_-@_-"/>
    <numFmt numFmtId="175" formatCode="#,##0.000"/>
    <numFmt numFmtId="181" formatCode="#,##0.00000_);\(#,##0.00000\)"/>
    <numFmt numFmtId="182" formatCode="&quot;$&quot;#,##0.0000_);\(&quot;$&quot;#,##0.0000\)"/>
    <numFmt numFmtId="183" formatCode="#,##0.0000_);\(#,##0.0000\)"/>
    <numFmt numFmtId="184" formatCode="&quot;$&quot;#,##0.00000_);\(&quot;$&quot;#,##0.00000\)"/>
    <numFmt numFmtId="185" formatCode="#,##0.0_);\(#,##0.0\)"/>
    <numFmt numFmtId="186" formatCode="#,##0.0;\-#,##0.0"/>
    <numFmt numFmtId="187" formatCode="0.00%;\(0%\)"/>
    <numFmt numFmtId="188" formatCode="0.0000%;\(0.00%\)"/>
    <numFmt numFmtId="189" formatCode="_(* #,##0.0_);_(* \(#,##0.0\);_(* &quot;-&quot;??_);_(@_)"/>
  </numFmts>
  <fonts count="21" x14ac:knownFonts="1">
    <font>
      <sz val="10"/>
      <name val="Arial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D5FF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2" fillId="0" borderId="0"/>
    <xf numFmtId="0" fontId="2" fillId="2" borderId="18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4" fillId="0" borderId="0" xfId="0" applyNumberFormat="1" applyFont="1" applyFill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4" fontId="3" fillId="0" borderId="0" xfId="4" applyNumberFormat="1"/>
    <xf numFmtId="174" fontId="0" fillId="0" borderId="0" xfId="0" applyNumberFormat="1"/>
    <xf numFmtId="3" fontId="3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2" fontId="0" fillId="0" borderId="0" xfId="0" applyNumberFormat="1"/>
    <xf numFmtId="166" fontId="0" fillId="0" borderId="0" xfId="11" applyNumberFormat="1" applyFont="1"/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3" fillId="0" borderId="0" xfId="0" applyFont="1"/>
    <xf numFmtId="0" fontId="14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7" fontId="13" fillId="0" borderId="0" xfId="0" applyNumberFormat="1" applyFont="1"/>
    <xf numFmtId="3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11" xfId="0" applyFont="1" applyBorder="1"/>
    <xf numFmtId="0" fontId="0" fillId="0" borderId="16" xfId="0" applyBorder="1"/>
    <xf numFmtId="164" fontId="0" fillId="0" borderId="19" xfId="0" applyNumberFormat="1" applyBorder="1"/>
    <xf numFmtId="164" fontId="0" fillId="0" borderId="19" xfId="0" applyNumberFormat="1" applyFill="1" applyBorder="1"/>
    <xf numFmtId="37" fontId="0" fillId="0" borderId="20" xfId="0" applyNumberFormat="1" applyBorder="1"/>
    <xf numFmtId="0" fontId="0" fillId="0" borderId="14" xfId="0" applyBorder="1"/>
    <xf numFmtId="0" fontId="6" fillId="0" borderId="13" xfId="0" applyFont="1" applyBorder="1" applyAlignment="1">
      <alignment horizontal="center"/>
    </xf>
    <xf numFmtId="164" fontId="6" fillId="0" borderId="1" xfId="0" applyNumberFormat="1" applyFont="1" applyBorder="1"/>
    <xf numFmtId="181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83" fontId="0" fillId="0" borderId="1" xfId="0" applyNumberFormat="1" applyBorder="1" applyAlignment="1">
      <alignment horizontal="center"/>
    </xf>
    <xf numFmtId="3" fontId="0" fillId="0" borderId="19" xfId="0" applyNumberFormat="1" applyBorder="1"/>
    <xf numFmtId="0" fontId="6" fillId="0" borderId="22" xfId="0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5" xfId="0" applyFont="1" applyBorder="1"/>
    <xf numFmtId="0" fontId="6" fillId="0" borderId="14" xfId="0" applyFont="1" applyBorder="1"/>
    <xf numFmtId="0" fontId="6" fillId="0" borderId="20" xfId="0" applyFont="1" applyBorder="1" applyAlignment="1">
      <alignment horizontal="center"/>
    </xf>
    <xf numFmtId="0" fontId="15" fillId="0" borderId="20" xfId="0" applyFont="1" applyBorder="1"/>
    <xf numFmtId="0" fontId="6" fillId="0" borderId="2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6" fillId="0" borderId="1" xfId="0" applyNumberFormat="1" applyFont="1" applyFill="1" applyBorder="1"/>
    <xf numFmtId="183" fontId="0" fillId="0" borderId="1" xfId="0" applyNumberFormat="1" applyFill="1" applyBorder="1"/>
    <xf numFmtId="37" fontId="0" fillId="0" borderId="1" xfId="0" applyNumberFormat="1" applyFill="1" applyBorder="1"/>
    <xf numFmtId="3" fontId="0" fillId="0" borderId="16" xfId="0" applyNumberFormat="1" applyBorder="1"/>
    <xf numFmtId="0" fontId="6" fillId="0" borderId="13" xfId="0" applyFont="1" applyBorder="1"/>
    <xf numFmtId="0" fontId="6" fillId="0" borderId="12" xfId="0" applyFont="1" applyBorder="1"/>
    <xf numFmtId="0" fontId="15" fillId="0" borderId="1" xfId="0" applyFont="1" applyBorder="1"/>
    <xf numFmtId="164" fontId="6" fillId="0" borderId="0" xfId="0" applyNumberFormat="1" applyFont="1" applyFill="1" applyBorder="1"/>
    <xf numFmtId="181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2" fontId="3" fillId="0" borderId="1" xfId="1" applyNumberFormat="1" applyFill="1" applyBorder="1"/>
    <xf numFmtId="0" fontId="6" fillId="0" borderId="0" xfId="0" applyFont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185" fontId="3" fillId="3" borderId="0" xfId="0" applyNumberFormat="1" applyFont="1" applyFill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Fill="1" applyAlignment="1">
      <alignment horizontal="center"/>
    </xf>
    <xf numFmtId="174" fontId="3" fillId="4" borderId="0" xfId="4" applyNumberFormat="1" applyFill="1"/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86" fontId="13" fillId="4" borderId="0" xfId="0" applyNumberFormat="1" applyFont="1" applyFill="1" applyAlignment="1">
      <alignment horizontal="center"/>
    </xf>
    <xf numFmtId="186" fontId="13" fillId="4" borderId="0" xfId="1" applyNumberFormat="1" applyFont="1" applyFill="1" applyAlignment="1">
      <alignment horizontal="center"/>
    </xf>
    <xf numFmtId="186" fontId="13" fillId="4" borderId="12" xfId="0" applyNumberFormat="1" applyFont="1" applyFill="1" applyBorder="1" applyAlignment="1">
      <alignment horizontal="center"/>
    </xf>
    <xf numFmtId="173" fontId="4" fillId="0" borderId="0" xfId="0" applyNumberFormat="1" applyFont="1" applyFill="1" applyAlignment="1">
      <alignment horizontal="center"/>
    </xf>
    <xf numFmtId="186" fontId="3" fillId="4" borderId="0" xfId="0" applyNumberFormat="1" applyFont="1" applyFill="1" applyAlignment="1">
      <alignment horizontal="center"/>
    </xf>
    <xf numFmtId="37" fontId="0" fillId="0" borderId="12" xfId="0" applyNumberForma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86" fontId="3" fillId="4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3" fontId="4" fillId="5" borderId="0" xfId="0" applyNumberFormat="1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172" fontId="1" fillId="0" borderId="0" xfId="1" applyNumberFormat="1" applyFont="1"/>
    <xf numFmtId="187" fontId="1" fillId="0" borderId="0" xfId="11" applyNumberFormat="1" applyFont="1"/>
    <xf numFmtId="188" fontId="1" fillId="0" borderId="0" xfId="11" applyNumberFormat="1" applyFont="1"/>
    <xf numFmtId="172" fontId="1" fillId="0" borderId="0" xfId="1" applyNumberFormat="1" applyFont="1" applyBorder="1"/>
    <xf numFmtId="0" fontId="1" fillId="0" borderId="0" xfId="0" applyFont="1" applyAlignment="1">
      <alignment vertical="center"/>
    </xf>
    <xf numFmtId="187" fontId="1" fillId="0" borderId="0" xfId="11" applyNumberFormat="1" applyFont="1" applyBorder="1"/>
    <xf numFmtId="188" fontId="1" fillId="0" borderId="0" xfId="11" applyNumberFormat="1" applyFont="1" applyBorder="1"/>
    <xf numFmtId="0" fontId="1" fillId="0" borderId="0" xfId="0" applyFont="1" applyAlignment="1">
      <alignment horizontal="center" vertical="center"/>
    </xf>
    <xf numFmtId="172" fontId="7" fillId="0" borderId="12" xfId="1" applyNumberFormat="1" applyFont="1" applyBorder="1"/>
    <xf numFmtId="187" fontId="7" fillId="0" borderId="12" xfId="11" applyNumberFormat="1" applyFont="1" applyBorder="1"/>
    <xf numFmtId="188" fontId="7" fillId="0" borderId="12" xfId="11" applyNumberFormat="1" applyFont="1" applyBorder="1"/>
    <xf numFmtId="172" fontId="7" fillId="0" borderId="0" xfId="1" applyNumberFormat="1" applyFont="1"/>
    <xf numFmtId="188" fontId="7" fillId="0" borderId="0" xfId="11" applyNumberFormat="1" applyFont="1"/>
    <xf numFmtId="187" fontId="7" fillId="0" borderId="0" xfId="11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2" fontId="7" fillId="0" borderId="28" xfId="0" applyNumberFormat="1" applyFont="1" applyBorder="1"/>
    <xf numFmtId="188" fontId="7" fillId="0" borderId="28" xfId="11" applyNumberFormat="1" applyFont="1" applyBorder="1"/>
    <xf numFmtId="187" fontId="7" fillId="0" borderId="28" xfId="11" applyNumberFormat="1" applyFont="1" applyBorder="1"/>
    <xf numFmtId="0" fontId="18" fillId="0" borderId="0" xfId="0" applyFont="1" applyAlignment="1">
      <alignment vertical="top"/>
    </xf>
    <xf numFmtId="0" fontId="18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3" fillId="0" borderId="29" xfId="0" applyNumberFormat="1" applyFont="1" applyBorder="1" applyAlignment="1"/>
    <xf numFmtId="10" fontId="3" fillId="0" borderId="0" xfId="11" applyNumberFormat="1" applyFont="1" applyBorder="1" applyAlignment="1"/>
    <xf numFmtId="10" fontId="0" fillId="0" borderId="0" xfId="11" applyNumberFormat="1" applyFont="1" applyBorder="1" applyAlignment="1"/>
    <xf numFmtId="9" fontId="0" fillId="3" borderId="0" xfId="0" applyNumberForma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167" fontId="6" fillId="0" borderId="0" xfId="0" applyNumberFormat="1" applyFont="1" applyFill="1" applyAlignment="1">
      <alignment horizontal="right"/>
    </xf>
    <xf numFmtId="167" fontId="1" fillId="0" borderId="0" xfId="1" applyNumberFormat="1" applyFont="1"/>
    <xf numFmtId="3" fontId="1" fillId="0" borderId="0" xfId="1" applyNumberFormat="1" applyFont="1"/>
    <xf numFmtId="3" fontId="1" fillId="0" borderId="0" xfId="0" applyNumberFormat="1" applyFont="1"/>
    <xf numFmtId="189" fontId="1" fillId="0" borderId="0" xfId="1" applyNumberFormat="1" applyFont="1"/>
    <xf numFmtId="10" fontId="3" fillId="0" borderId="1" xfId="11" applyNumberFormat="1" applyFill="1" applyBorder="1"/>
    <xf numFmtId="182" fontId="0" fillId="0" borderId="1" xfId="0" applyNumberFormat="1" applyFill="1" applyBorder="1"/>
    <xf numFmtId="182" fontId="3" fillId="0" borderId="1" xfId="0" applyNumberFormat="1" applyFont="1" applyFill="1" applyBorder="1"/>
    <xf numFmtId="0" fontId="3" fillId="0" borderId="16" xfId="0" applyFont="1" applyBorder="1"/>
    <xf numFmtId="184" fontId="0" fillId="0" borderId="1" xfId="0" applyNumberFormat="1" applyFill="1" applyBorder="1"/>
    <xf numFmtId="37" fontId="4" fillId="6" borderId="0" xfId="0" applyNumberFormat="1" applyFont="1" applyFill="1" applyAlignment="1">
      <alignment horizontal="center"/>
    </xf>
    <xf numFmtId="37" fontId="4" fillId="7" borderId="0" xfId="0" applyNumberFormat="1" applyFont="1" applyFill="1" applyAlignment="1">
      <alignment horizontal="center"/>
    </xf>
    <xf numFmtId="164" fontId="0" fillId="0" borderId="0" xfId="0" applyNumberFormat="1"/>
    <xf numFmtId="167" fontId="0" fillId="4" borderId="0" xfId="0" applyNumberFormat="1" applyFill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7" fontId="3" fillId="0" borderId="25" xfId="0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0" fontId="3" fillId="0" borderId="25" xfId="11" applyNumberFormat="1" applyFont="1" applyBorder="1" applyAlignment="1">
      <alignment horizontal="center"/>
    </xf>
    <xf numFmtId="10" fontId="3" fillId="0" borderId="26" xfId="11" applyNumberFormat="1" applyFont="1" applyBorder="1" applyAlignment="1">
      <alignment horizontal="center"/>
    </xf>
    <xf numFmtId="10" fontId="3" fillId="0" borderId="27" xfId="11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0" fillId="0" borderId="27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 wrapText="1"/>
    </xf>
    <xf numFmtId="0" fontId="6" fillId="0" borderId="19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15">
    <cellStyle name="Comma" xfId="1" builtinId="3"/>
    <cellStyle name="Comma 2" xfId="2"/>
    <cellStyle name="Comma 2 2" xfId="13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3" xfId="12"/>
    <cellStyle name="Note 2" xfId="10"/>
    <cellStyle name="Percent" xfId="11" builtinId="5"/>
  </cellStyles>
  <dxfs count="0"/>
  <tableStyles count="0" defaultTableStyle="TableStyleMedium9" defaultPivotStyle="PivotStyleLight16"/>
  <colors>
    <mruColors>
      <color rgb="FFFFFFAB"/>
      <color rgb="FFFFDDFF"/>
      <color rgb="FFD5FFEE"/>
      <color rgb="FFBEFE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9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(GWh)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24709526800164E-2"/>
          <c:y val="7.396941232014323E-2"/>
          <c:w val="0.9200879765395894"/>
          <c:h val="0.823588893493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Summary!$A$55</c:f>
              <c:strCache>
                <c:ptCount val="1"/>
                <c:pt idx="0">
                  <c:v>Actual Purchases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Summary!$B$55:$M$55</c:f>
              <c:numCache>
                <c:formatCode>#,##0</c:formatCode>
                <c:ptCount val="12"/>
                <c:pt idx="0">
                  <c:v>377.32853495999984</c:v>
                </c:pt>
                <c:pt idx="1">
                  <c:v>382.25643904000015</c:v>
                </c:pt>
                <c:pt idx="2">
                  <c:v>397.94970699999999</c:v>
                </c:pt>
                <c:pt idx="3">
                  <c:v>378.53475700000001</c:v>
                </c:pt>
                <c:pt idx="4">
                  <c:v>385.1269103599999</c:v>
                </c:pt>
                <c:pt idx="5">
                  <c:v>376.48161395999983</c:v>
                </c:pt>
                <c:pt idx="6">
                  <c:v>357.88092279999995</c:v>
                </c:pt>
                <c:pt idx="7">
                  <c:v>371.9409587699999</c:v>
                </c:pt>
                <c:pt idx="8">
                  <c:v>374.15314851000005</c:v>
                </c:pt>
                <c:pt idx="9">
                  <c:v>368.11399029</c:v>
                </c:pt>
              </c:numCache>
            </c:numRef>
          </c:val>
        </c:ser>
        <c:ser>
          <c:idx val="1"/>
          <c:order val="1"/>
          <c:tx>
            <c:strRef>
              <c:f>Summary!$A$56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Summary!$B$56:$M$56</c:f>
              <c:numCache>
                <c:formatCode>#,##0</c:formatCode>
                <c:ptCount val="12"/>
                <c:pt idx="0">
                  <c:v>381.19253909012065</c:v>
                </c:pt>
                <c:pt idx="1">
                  <c:v>379.74795872484884</c:v>
                </c:pt>
                <c:pt idx="2">
                  <c:v>395.95154733419452</c:v>
                </c:pt>
                <c:pt idx="3">
                  <c:v>378.54892652945313</c:v>
                </c:pt>
                <c:pt idx="4">
                  <c:v>383.07897573446877</c:v>
                </c:pt>
                <c:pt idx="5">
                  <c:v>380.25361782511499</c:v>
                </c:pt>
                <c:pt idx="6">
                  <c:v>356.78493574513686</c:v>
                </c:pt>
                <c:pt idx="7">
                  <c:v>365.01131364342592</c:v>
                </c:pt>
                <c:pt idx="8">
                  <c:v>375.41740671614673</c:v>
                </c:pt>
                <c:pt idx="9">
                  <c:v>373.7797613470857</c:v>
                </c:pt>
                <c:pt idx="10">
                  <c:v>371.89273350283338</c:v>
                </c:pt>
                <c:pt idx="11">
                  <c:v>372.9703536876861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8114304"/>
        <c:axId val="108115840"/>
      </c:barChart>
      <c:catAx>
        <c:axId val="108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15840"/>
        <c:crosses val="autoZero"/>
        <c:auto val="1"/>
        <c:lblAlgn val="ctr"/>
        <c:lblOffset val="100"/>
        <c:noMultiLvlLbl val="0"/>
      </c:catAx>
      <c:valAx>
        <c:axId val="108115840"/>
        <c:scaling>
          <c:orientation val="minMax"/>
          <c:min val="2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1430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pane xSplit="1" ySplit="3" topLeftCell="F4" activePane="bottomRight" state="frozen"/>
      <selection activeCell="P66" sqref="P65:P66"/>
      <selection pane="topRight" activeCell="P66" sqref="P65:P66"/>
      <selection pane="bottomLeft" activeCell="P66" sqref="P65:P66"/>
      <selection pane="bottomRight" activeCell="H87" sqref="H87"/>
    </sheetView>
  </sheetViews>
  <sheetFormatPr defaultRowHeight="13.2" x14ac:dyDescent="0.25"/>
  <cols>
    <col min="1" max="1" width="34.6640625" customWidth="1"/>
    <col min="2" max="2" width="12.5546875" style="1" customWidth="1"/>
    <col min="3" max="3" width="12.6640625" style="1" bestFit="1" customWidth="1"/>
    <col min="4" max="4" width="13.5546875" style="1" customWidth="1"/>
    <col min="5" max="5" width="12.6640625" style="1" customWidth="1"/>
    <col min="6" max="6" width="13" style="1" customWidth="1"/>
    <col min="7" max="7" width="12.6640625" style="1" bestFit="1" customWidth="1"/>
    <col min="8" max="10" width="12.88671875" style="1" customWidth="1"/>
    <col min="11" max="11" width="12.6640625" style="22" bestFit="1" customWidth="1"/>
    <col min="12" max="12" width="13.109375" style="1" customWidth="1"/>
    <col min="13" max="13" width="13.109375" style="81" customWidth="1"/>
    <col min="14" max="16" width="12.6640625" bestFit="1" customWidth="1"/>
  </cols>
  <sheetData>
    <row r="1" spans="1:16" ht="15.6" x14ac:dyDescent="0.3">
      <c r="A1" s="39" t="s">
        <v>174</v>
      </c>
    </row>
    <row r="3" spans="1:16" ht="26.4" x14ac:dyDescent="0.25">
      <c r="B3" s="41" t="s">
        <v>50</v>
      </c>
      <c r="C3" s="41" t="s">
        <v>51</v>
      </c>
      <c r="D3" s="41" t="s">
        <v>52</v>
      </c>
      <c r="E3" s="41" t="s">
        <v>53</v>
      </c>
      <c r="F3" s="41" t="s">
        <v>54</v>
      </c>
      <c r="G3" s="41" t="s">
        <v>64</v>
      </c>
      <c r="H3" s="41" t="s">
        <v>66</v>
      </c>
      <c r="I3" s="41" t="s">
        <v>70</v>
      </c>
      <c r="J3" s="41" t="s">
        <v>72</v>
      </c>
      <c r="K3" s="41" t="s">
        <v>126</v>
      </c>
      <c r="L3" s="41" t="s">
        <v>73</v>
      </c>
      <c r="M3" s="41" t="s">
        <v>127</v>
      </c>
    </row>
    <row r="4" spans="1:16" x14ac:dyDescent="0.25">
      <c r="A4" s="19" t="s">
        <v>57</v>
      </c>
      <c r="B4" s="28">
        <f>'Purchased Power Model '!$B151</f>
        <v>377328534.95999986</v>
      </c>
      <c r="C4" s="28">
        <f>'Purchased Power Model '!$B152</f>
        <v>382256439.04000014</v>
      </c>
      <c r="D4" s="28">
        <f>'Purchased Power Model '!$B153</f>
        <v>397949707</v>
      </c>
      <c r="E4" s="28">
        <f>'Purchased Power Model '!$B154</f>
        <v>378534757</v>
      </c>
      <c r="F4" s="28">
        <f>'Purchased Power Model '!$B155</f>
        <v>385126910.3599999</v>
      </c>
      <c r="G4" s="28">
        <f>'Purchased Power Model '!$B156</f>
        <v>376481613.95999986</v>
      </c>
      <c r="H4" s="28">
        <f>'Purchased Power Model '!$B157</f>
        <v>357880922.79999995</v>
      </c>
      <c r="I4" s="28">
        <f>'Purchased Power Model '!$B158</f>
        <v>371940958.76999992</v>
      </c>
      <c r="J4" s="28">
        <f>'Purchased Power Model '!$B159</f>
        <v>374153148.51000005</v>
      </c>
      <c r="K4" s="28">
        <f>'Purchased Power Model '!$B160</f>
        <v>368113990.29000002</v>
      </c>
      <c r="N4" s="61"/>
    </row>
    <row r="5" spans="1:16" x14ac:dyDescent="0.25">
      <c r="A5" s="19" t="s">
        <v>58</v>
      </c>
      <c r="B5" s="28">
        <f>'Purchased Power Model '!$J151</f>
        <v>381192539.09012067</v>
      </c>
      <c r="C5" s="28">
        <f>'Purchased Power Model '!$J152</f>
        <v>379747958.72484887</v>
      </c>
      <c r="D5" s="28">
        <f>'Purchased Power Model '!$J153</f>
        <v>395951547.33419454</v>
      </c>
      <c r="E5" s="28">
        <f>'Purchased Power Model '!$J154</f>
        <v>378548926.5294531</v>
      </c>
      <c r="F5" s="28">
        <f>'Purchased Power Model '!$J155</f>
        <v>383078975.73446876</v>
      </c>
      <c r="G5" s="28">
        <f>'Purchased Power Model '!$J156</f>
        <v>380253617.82511497</v>
      </c>
      <c r="H5" s="28">
        <f>'Purchased Power Model '!$J157</f>
        <v>356784935.74513686</v>
      </c>
      <c r="I5" s="28">
        <f>'Purchased Power Model '!$J158</f>
        <v>365011313.64342594</v>
      </c>
      <c r="J5" s="28">
        <f>'Purchased Power Model '!$J159</f>
        <v>375417406.71614671</v>
      </c>
      <c r="K5" s="28">
        <f>'Purchased Power Model '!$J160</f>
        <v>373779761.34708571</v>
      </c>
      <c r="L5" s="28">
        <f>'Purchased Power Model '!J161</f>
        <v>371892733.50283337</v>
      </c>
      <c r="M5" s="28">
        <f>'Purchased Power Model '!J162</f>
        <v>372970353.68768609</v>
      </c>
      <c r="N5" s="61"/>
    </row>
    <row r="6" spans="1:16" x14ac:dyDescent="0.25">
      <c r="A6" s="19" t="s">
        <v>8</v>
      </c>
      <c r="B6" s="40">
        <f t="shared" ref="B6:K6" si="0">(B5-B4)/B4</f>
        <v>1.0240423853792114E-2</v>
      </c>
      <c r="C6" s="40">
        <f t="shared" si="0"/>
        <v>-6.5622970837354066E-3</v>
      </c>
      <c r="D6" s="40">
        <f t="shared" si="0"/>
        <v>-5.0211361653432728E-3</v>
      </c>
      <c r="E6" s="40">
        <f t="shared" si="0"/>
        <v>3.7432571754827718E-5</v>
      </c>
      <c r="F6" s="40">
        <f t="shared" si="0"/>
        <v>-5.3175578502598448E-3</v>
      </c>
      <c r="G6" s="40">
        <f t="shared" si="0"/>
        <v>1.0019091836755331E-2</v>
      </c>
      <c r="H6" s="40">
        <f t="shared" si="0"/>
        <v>-3.0624349749863097E-3</v>
      </c>
      <c r="I6" s="40">
        <f t="shared" si="0"/>
        <v>-1.8631035284444486E-2</v>
      </c>
      <c r="J6" s="40">
        <f t="shared" si="0"/>
        <v>3.378985880999121E-3</v>
      </c>
      <c r="K6" s="40">
        <f t="shared" si="0"/>
        <v>1.5391349436684548E-2</v>
      </c>
      <c r="L6" s="43"/>
      <c r="M6" s="43"/>
      <c r="N6" s="44"/>
      <c r="O6" s="31"/>
      <c r="P6" s="31"/>
    </row>
    <row r="7" spans="1:16" x14ac:dyDescent="0.25">
      <c r="B7"/>
      <c r="C7"/>
      <c r="D7"/>
      <c r="E7"/>
      <c r="F7"/>
      <c r="G7"/>
      <c r="H7"/>
      <c r="I7"/>
      <c r="J7"/>
      <c r="K7"/>
      <c r="L7"/>
      <c r="M7"/>
    </row>
    <row r="8" spans="1:16" x14ac:dyDescent="0.25">
      <c r="A8" s="19" t="s">
        <v>60</v>
      </c>
      <c r="B8" s="28">
        <f>'Rate Class Energy Model'!G7</f>
        <v>358594281</v>
      </c>
      <c r="C8" s="28">
        <f>'Rate Class Energy Model'!G8</f>
        <v>362334202</v>
      </c>
      <c r="D8" s="28">
        <f>'Rate Class Energy Model'!G9</f>
        <v>373431335</v>
      </c>
      <c r="E8" s="28">
        <f>'Rate Class Energy Model'!G10</f>
        <v>359311281</v>
      </c>
      <c r="F8" s="28">
        <f>'Rate Class Energy Model'!G11</f>
        <v>360337098</v>
      </c>
      <c r="G8" s="28">
        <f>'Rate Class Energy Model'!G12</f>
        <v>352084249</v>
      </c>
      <c r="H8" s="28">
        <f>'Rate Class Energy Model'!G13</f>
        <v>338521917</v>
      </c>
      <c r="I8" s="28">
        <f>'Rate Class Energy Model'!G14</f>
        <v>348409858</v>
      </c>
      <c r="J8" s="28">
        <f>'Rate Class Energy Model'!G15</f>
        <v>349951952</v>
      </c>
      <c r="K8" s="50">
        <f>'Rate Class Energy Model'!G16</f>
        <v>344590256</v>
      </c>
      <c r="L8" s="50">
        <f>'Rate Class Energy Model'!N59</f>
        <v>347591954.08886611</v>
      </c>
      <c r="M8" s="50">
        <f>'Rate Class Energy Model'!N60</f>
        <v>347249248.5732522</v>
      </c>
      <c r="N8" s="44"/>
      <c r="O8" s="61"/>
      <c r="P8" s="61"/>
    </row>
    <row r="9" spans="1:16" x14ac:dyDescent="0.25">
      <c r="A9" s="19"/>
      <c r="B9" s="37"/>
      <c r="C9" s="37"/>
      <c r="D9" s="37"/>
      <c r="E9" s="37"/>
      <c r="F9" s="37"/>
      <c r="H9" s="22"/>
      <c r="I9" s="22"/>
      <c r="J9" s="22"/>
    </row>
    <row r="10" spans="1:16" ht="15.6" x14ac:dyDescent="0.3">
      <c r="A10" s="39" t="s">
        <v>59</v>
      </c>
    </row>
    <row r="11" spans="1:16" x14ac:dyDescent="0.25">
      <c r="A11" s="38" t="str">
        <f>'Rate Class Energy Model'!H2</f>
        <v xml:space="preserve">Residential </v>
      </c>
    </row>
    <row r="12" spans="1:16" x14ac:dyDescent="0.25">
      <c r="A12" t="s">
        <v>47</v>
      </c>
      <c r="B12" s="6">
        <f>'Rate Class Customer Model'!B3</f>
        <v>17585</v>
      </c>
      <c r="C12" s="6">
        <f>'Rate Class Customer Model'!B4</f>
        <v>17776</v>
      </c>
      <c r="D12" s="6">
        <f>'Rate Class Customer Model'!B5</f>
        <v>17893</v>
      </c>
      <c r="E12" s="6">
        <f>'Rate Class Customer Model'!B6</f>
        <v>18026</v>
      </c>
      <c r="F12" s="6">
        <f>'Rate Class Customer Model'!B7</f>
        <v>18139</v>
      </c>
      <c r="G12" s="6">
        <f>'Rate Class Customer Model'!B8</f>
        <v>18245</v>
      </c>
      <c r="H12" s="6">
        <f>'Rate Class Customer Model'!B9</f>
        <v>18309</v>
      </c>
      <c r="I12" s="6">
        <f>'Rate Class Customer Model'!B10</f>
        <v>18465</v>
      </c>
      <c r="J12" s="6">
        <f>'Rate Class Customer Model'!B11</f>
        <v>18531</v>
      </c>
      <c r="K12" s="26">
        <f>'Rate Class Customer Model'!B12</f>
        <v>18617</v>
      </c>
      <c r="L12" s="6">
        <f>'Rate Class Customer Model'!B13</f>
        <v>18664</v>
      </c>
      <c r="M12" s="6">
        <f>'Rate Class Customer Model'!B14</f>
        <v>18772.157223639391</v>
      </c>
    </row>
    <row r="13" spans="1:16" x14ac:dyDescent="0.25">
      <c r="A13" t="s">
        <v>48</v>
      </c>
      <c r="B13" s="6">
        <f>'Rate Class Energy Model'!H7</f>
        <v>175021556</v>
      </c>
      <c r="C13" s="6">
        <f>'Rate Class Energy Model'!H8</f>
        <v>172248238</v>
      </c>
      <c r="D13" s="6">
        <f>'Rate Class Energy Model'!H9</f>
        <v>181464305</v>
      </c>
      <c r="E13" s="6">
        <f>'Rate Class Energy Model'!H10</f>
        <v>171538632</v>
      </c>
      <c r="F13" s="6">
        <f>'Rate Class Energy Model'!H11</f>
        <v>173795327</v>
      </c>
      <c r="G13" s="6">
        <f>'Rate Class Energy Model'!H12</f>
        <v>171781096</v>
      </c>
      <c r="H13" s="6">
        <f>'Rate Class Energy Model'!H13</f>
        <v>168226691</v>
      </c>
      <c r="I13" s="6">
        <f>'Rate Class Energy Model'!H14</f>
        <v>172161499</v>
      </c>
      <c r="J13" s="6">
        <f>'Rate Class Energy Model'!H15</f>
        <v>171241285</v>
      </c>
      <c r="K13" s="26">
        <f>'Rate Class Energy Model'!H16</f>
        <v>168308353</v>
      </c>
      <c r="L13" s="6">
        <f>'Rate Class Energy Model'!H59</f>
        <v>168180189.16628602</v>
      </c>
      <c r="M13" s="6">
        <f>'Rate Class Energy Model'!H60</f>
        <v>168647800.29162207</v>
      </c>
    </row>
    <row r="14" spans="1:16" x14ac:dyDescent="0.25">
      <c r="G14" s="44"/>
      <c r="H14" s="22"/>
      <c r="I14" s="22"/>
      <c r="J14" s="22"/>
      <c r="L14" s="43"/>
      <c r="M14" s="43"/>
    </row>
    <row r="15" spans="1:16" x14ac:dyDescent="0.25">
      <c r="A15" s="38" t="str">
        <f>'Rate Class Energy Model'!I2</f>
        <v>General Service Less Than 50 kW</v>
      </c>
    </row>
    <row r="16" spans="1:16" x14ac:dyDescent="0.25">
      <c r="A16" t="s">
        <v>47</v>
      </c>
      <c r="B16" s="6">
        <f>'Rate Class Customer Model'!C3</f>
        <v>2282</v>
      </c>
      <c r="C16" s="6">
        <f>'Rate Class Customer Model'!C4</f>
        <v>2296</v>
      </c>
      <c r="D16" s="6">
        <f>'Rate Class Customer Model'!C5</f>
        <v>2324</v>
      </c>
      <c r="E16" s="6">
        <f>'Rate Class Customer Model'!C6</f>
        <v>2311</v>
      </c>
      <c r="F16" s="6">
        <f>'Rate Class Customer Model'!C7</f>
        <v>2335</v>
      </c>
      <c r="G16" s="6">
        <f>'Rate Class Customer Model'!C8</f>
        <v>2343</v>
      </c>
      <c r="H16" s="6">
        <f>'Rate Class Customer Model'!C9</f>
        <v>2374</v>
      </c>
      <c r="I16" s="6">
        <f>'Rate Class Customer Model'!C10</f>
        <v>2363</v>
      </c>
      <c r="J16" s="6">
        <f>'Rate Class Customer Model'!C11</f>
        <v>2380</v>
      </c>
      <c r="K16" s="6">
        <f>'Rate Class Customer Model'!C12</f>
        <v>2344</v>
      </c>
      <c r="L16" s="6">
        <f>'Rate Class Customer Model'!C13</f>
        <v>2356</v>
      </c>
      <c r="M16" s="6">
        <f>'Rate Class Customer Model'!C14</f>
        <v>2363.0278385451584</v>
      </c>
    </row>
    <row r="17" spans="1:13" x14ac:dyDescent="0.25">
      <c r="A17" t="s">
        <v>48</v>
      </c>
      <c r="B17" s="6">
        <f>'Rate Class Energy Model'!I7</f>
        <v>58615935</v>
      </c>
      <c r="C17" s="6">
        <f>'Rate Class Energy Model'!I8</f>
        <v>56338992</v>
      </c>
      <c r="D17" s="6">
        <f>'Rate Class Energy Model'!I9</f>
        <v>58529570</v>
      </c>
      <c r="E17" s="6">
        <f>'Rate Class Energy Model'!I10</f>
        <v>56721884</v>
      </c>
      <c r="F17" s="6">
        <f>'Rate Class Energy Model'!I11</f>
        <v>57883394</v>
      </c>
      <c r="G17" s="6">
        <f>'Rate Class Energy Model'!I12</f>
        <v>57830016</v>
      </c>
      <c r="H17" s="6">
        <f>'Rate Class Energy Model'!I13</f>
        <v>56103918</v>
      </c>
      <c r="I17" s="6">
        <f>'Rate Class Energy Model'!I14</f>
        <v>56182092</v>
      </c>
      <c r="J17" s="6">
        <f>'Rate Class Energy Model'!I15</f>
        <v>55878781</v>
      </c>
      <c r="K17" s="6">
        <f>'Rate Class Energy Model'!I16</f>
        <v>54847744</v>
      </c>
      <c r="L17" s="6">
        <f>'Rate Class Energy Model'!I59</f>
        <v>54412059.119010121</v>
      </c>
      <c r="M17" s="6">
        <f>'Rate Class Energy Model'!I60</f>
        <v>53809636.535125509</v>
      </c>
    </row>
    <row r="18" spans="1:13" x14ac:dyDescent="0.25">
      <c r="G18" s="44"/>
      <c r="H18" s="22"/>
      <c r="I18" s="22"/>
      <c r="J18" s="22"/>
      <c r="L18" s="43"/>
      <c r="M18" s="43"/>
    </row>
    <row r="19" spans="1:13" x14ac:dyDescent="0.25">
      <c r="A19" s="38" t="str">
        <f>'Rate Class Energy Model'!J2</f>
        <v>General Service 
50 to 4,999 kW</v>
      </c>
      <c r="L19" s="6"/>
      <c r="M19" s="6"/>
    </row>
    <row r="20" spans="1:13" x14ac:dyDescent="0.25">
      <c r="A20" t="s">
        <v>47</v>
      </c>
      <c r="B20" s="6">
        <f>'Rate Class Customer Model'!D3</f>
        <v>157</v>
      </c>
      <c r="C20" s="6">
        <f>'Rate Class Customer Model'!D4</f>
        <v>157</v>
      </c>
      <c r="D20" s="6">
        <f>'Rate Class Customer Model'!D5</f>
        <v>157</v>
      </c>
      <c r="E20" s="6">
        <f>'Rate Class Customer Model'!D6</f>
        <v>157</v>
      </c>
      <c r="F20" s="6">
        <f>'Rate Class Customer Model'!D7</f>
        <v>143</v>
      </c>
      <c r="G20" s="6">
        <f>'Rate Class Customer Model'!D8</f>
        <v>145</v>
      </c>
      <c r="H20" s="6">
        <f>'Rate Class Customer Model'!D9</f>
        <v>144</v>
      </c>
      <c r="I20" s="6">
        <f>'Rate Class Customer Model'!D10</f>
        <v>143</v>
      </c>
      <c r="J20" s="26">
        <f>'Rate Class Customer Model'!D11</f>
        <v>145</v>
      </c>
      <c r="K20" s="6">
        <f>'Rate Class Customer Model'!D12</f>
        <v>150</v>
      </c>
      <c r="L20" s="6">
        <f>'Rate Class Customer Model'!D13</f>
        <v>154</v>
      </c>
      <c r="M20" s="6">
        <f>'Rate Class Customer Model'!D14</f>
        <v>153.22152772461249</v>
      </c>
    </row>
    <row r="21" spans="1:13" x14ac:dyDescent="0.25">
      <c r="A21" t="s">
        <v>48</v>
      </c>
      <c r="B21" s="6">
        <f>'Rate Class Energy Model'!J7</f>
        <v>121609060</v>
      </c>
      <c r="C21" s="6">
        <f>'Rate Class Energy Model'!J8</f>
        <v>130435490</v>
      </c>
      <c r="D21" s="6">
        <f>'Rate Class Energy Model'!J9</f>
        <v>130206284</v>
      </c>
      <c r="E21" s="6">
        <f>'Rate Class Energy Model'!J10</f>
        <v>127794169</v>
      </c>
      <c r="F21" s="6">
        <f>'Rate Class Energy Model'!J11</f>
        <v>125371477</v>
      </c>
      <c r="G21" s="6">
        <f>'Rate Class Energy Model'!J12</f>
        <v>119186522</v>
      </c>
      <c r="H21" s="6">
        <f>'Rate Class Energy Model'!J13</f>
        <v>110936100</v>
      </c>
      <c r="I21" s="6">
        <f>'Rate Class Energy Model'!J14</f>
        <v>116961012</v>
      </c>
      <c r="J21" s="6">
        <f>'Rate Class Energy Model'!J15</f>
        <v>119765784</v>
      </c>
      <c r="K21" s="6">
        <f>'Rate Class Energy Model'!J16</f>
        <v>118292323</v>
      </c>
      <c r="L21" s="6">
        <f>'Rate Class Energy Model'!J59</f>
        <v>121897862.69618136</v>
      </c>
      <c r="M21" s="6">
        <f>'Rate Class Energy Model'!J60</f>
        <v>121726855.55180077</v>
      </c>
    </row>
    <row r="22" spans="1:13" x14ac:dyDescent="0.25">
      <c r="A22" t="s">
        <v>49</v>
      </c>
      <c r="B22" s="6">
        <f>'Rate Class Load Model'!B3</f>
        <v>330004.86</v>
      </c>
      <c r="C22" s="6">
        <f>'Rate Class Load Model'!B4</f>
        <v>364630.07</v>
      </c>
      <c r="D22" s="6">
        <f>'Rate Class Load Model'!B5</f>
        <v>366007</v>
      </c>
      <c r="E22" s="6">
        <f>'Rate Class Load Model'!B6</f>
        <v>367812</v>
      </c>
      <c r="F22" s="6">
        <f>'Rate Class Load Model'!B7</f>
        <v>347081</v>
      </c>
      <c r="G22" s="6">
        <f>'Rate Class Load Model'!B8</f>
        <v>327985</v>
      </c>
      <c r="H22" s="6">
        <f>'Rate Class Load Model'!B9</f>
        <v>321434</v>
      </c>
      <c r="I22" s="26">
        <f>'Rate Class Load Model'!B10</f>
        <v>329361</v>
      </c>
      <c r="J22" s="26">
        <f>'Rate Class Load Model'!B11</f>
        <v>336851</v>
      </c>
      <c r="K22" s="6">
        <f>'Rate Class Load Model'!B12</f>
        <v>336349</v>
      </c>
      <c r="L22" s="6">
        <f>'Rate Class Load Model'!B13</f>
        <v>342374.52695476456</v>
      </c>
      <c r="M22" s="6">
        <f>'Rate Class Load Model'!B14</f>
        <v>341894.2191883428</v>
      </c>
    </row>
    <row r="23" spans="1:13" x14ac:dyDescent="0.25">
      <c r="G23" s="44"/>
      <c r="H23" s="22"/>
      <c r="I23" s="22"/>
      <c r="J23" s="22"/>
      <c r="L23" s="43"/>
      <c r="M23" s="43"/>
    </row>
    <row r="24" spans="1:13" x14ac:dyDescent="0.25">
      <c r="A24" s="38" t="str">
        <f>'Rate Class Energy Model'!K2</f>
        <v>Street Lighting</v>
      </c>
      <c r="L24" s="6"/>
      <c r="M24" s="6"/>
    </row>
    <row r="25" spans="1:13" x14ac:dyDescent="0.25">
      <c r="A25" t="s">
        <v>67</v>
      </c>
      <c r="B25" s="6">
        <f>'Rate Class Customer Model'!E3</f>
        <v>2713</v>
      </c>
      <c r="C25" s="6">
        <f>'Rate Class Customer Model'!E4</f>
        <v>2777</v>
      </c>
      <c r="D25" s="6">
        <f>'Rate Class Customer Model'!E5</f>
        <v>2764</v>
      </c>
      <c r="E25" s="6">
        <f>'Rate Class Customer Model'!E6</f>
        <v>2758</v>
      </c>
      <c r="F25" s="6">
        <f>'Rate Class Customer Model'!E7</f>
        <v>2794</v>
      </c>
      <c r="G25" s="6">
        <f>'Rate Class Customer Model'!E8</f>
        <v>2879</v>
      </c>
      <c r="H25" s="6">
        <f>'Rate Class Customer Model'!E9</f>
        <v>2872</v>
      </c>
      <c r="I25" s="26">
        <f>'Rate Class Customer Model'!E10</f>
        <v>3015</v>
      </c>
      <c r="J25" s="26">
        <f>'Rate Class Customer Model'!E11</f>
        <v>2963</v>
      </c>
      <c r="K25" s="6">
        <f>'Rate Class Customer Model'!E12</f>
        <v>2982</v>
      </c>
      <c r="L25" s="6">
        <f>'Rate Class Customer Model'!E13</f>
        <v>2979</v>
      </c>
      <c r="M25" s="6">
        <f>'Rate Class Customer Model'!E14</f>
        <v>2979</v>
      </c>
    </row>
    <row r="26" spans="1:13" x14ac:dyDescent="0.25">
      <c r="A26" t="s">
        <v>48</v>
      </c>
      <c r="B26" s="6">
        <f>'Rate Class Energy Model'!K7</f>
        <v>2220905</v>
      </c>
      <c r="C26" s="6">
        <f>'Rate Class Energy Model'!K8</f>
        <v>2191755</v>
      </c>
      <c r="D26" s="6">
        <f>'Rate Class Energy Model'!K9</f>
        <v>2177588</v>
      </c>
      <c r="E26" s="6">
        <f>'Rate Class Energy Model'!K10</f>
        <v>2232308</v>
      </c>
      <c r="F26" s="6">
        <f>'Rate Class Energy Model'!K11</f>
        <v>2297657</v>
      </c>
      <c r="G26" s="6">
        <f>'Rate Class Energy Model'!K12</f>
        <v>2328757</v>
      </c>
      <c r="H26" s="6">
        <f>'Rate Class Energy Model'!K13</f>
        <v>2305939</v>
      </c>
      <c r="I26" s="6">
        <f>'Rate Class Energy Model'!K14</f>
        <v>2249880</v>
      </c>
      <c r="J26" s="6">
        <f>'Rate Class Energy Model'!K15</f>
        <v>2273663</v>
      </c>
      <c r="K26" s="6">
        <f>'Rate Class Energy Model'!K16</f>
        <v>2389979</v>
      </c>
      <c r="L26" s="51">
        <f>'Rate Class Energy Model'!K59</f>
        <v>2387574.5945674046</v>
      </c>
      <c r="M26" s="51">
        <f>'Rate Class Energy Model'!K60</f>
        <v>2387574.5945674046</v>
      </c>
    </row>
    <row r="27" spans="1:13" x14ac:dyDescent="0.25">
      <c r="A27" t="s">
        <v>49</v>
      </c>
      <c r="B27" s="6">
        <f>'Rate Class Load Model'!C3</f>
        <v>6047</v>
      </c>
      <c r="C27" s="6">
        <f>'Rate Class Load Model'!C4</f>
        <v>6089</v>
      </c>
      <c r="D27" s="6">
        <f>'Rate Class Load Model'!C5</f>
        <v>5667.65</v>
      </c>
      <c r="E27" s="6">
        <f>'Rate Class Load Model'!C6</f>
        <v>6222</v>
      </c>
      <c r="F27" s="6">
        <f>'Rate Class Load Model'!C7</f>
        <v>6403</v>
      </c>
      <c r="G27" s="6">
        <f>'Rate Class Load Model'!C8</f>
        <v>6475</v>
      </c>
      <c r="H27" s="6">
        <f>'Rate Class Load Model'!C9</f>
        <v>6467.52</v>
      </c>
      <c r="I27" s="26">
        <f>'Rate Class Load Model'!C10</f>
        <v>6542.36</v>
      </c>
      <c r="J27" s="26">
        <f>'Rate Class Load Model'!C11</f>
        <v>6601.36</v>
      </c>
      <c r="K27" s="6">
        <f>'Rate Class Load Model'!C12</f>
        <v>6620.36</v>
      </c>
      <c r="L27" s="6">
        <f>'Rate Class Load Model'!C13</f>
        <v>6647.9627011134817</v>
      </c>
      <c r="M27" s="6">
        <f>'Rate Class Load Model'!C14</f>
        <v>6647.9627011134817</v>
      </c>
    </row>
    <row r="29" spans="1:13" x14ac:dyDescent="0.25">
      <c r="A29" s="38" t="str">
        <f>'Rate Class Energy Model'!L2</f>
        <v>Sentinel Lighting</v>
      </c>
    </row>
    <row r="30" spans="1:13" x14ac:dyDescent="0.25">
      <c r="A30" t="s">
        <v>67</v>
      </c>
      <c r="B30" s="6">
        <f>'Rate Class Customer Model'!F3</f>
        <v>857</v>
      </c>
      <c r="C30" s="6">
        <f>'Rate Class Customer Model'!F4</f>
        <v>729</v>
      </c>
      <c r="D30" s="6">
        <f>'Rate Class Customer Model'!F5</f>
        <v>705</v>
      </c>
      <c r="E30" s="6">
        <f>'Rate Class Customer Model'!F6</f>
        <v>693</v>
      </c>
      <c r="F30" s="6">
        <f>'Rate Class Customer Model'!F7</f>
        <v>665</v>
      </c>
      <c r="G30" s="6">
        <f>'Rate Class Customer Model'!F8</f>
        <v>647</v>
      </c>
      <c r="H30" s="6">
        <f>'Rate Class Customer Model'!F9</f>
        <v>656</v>
      </c>
      <c r="I30" s="26">
        <f>'Rate Class Customer Model'!F10</f>
        <v>594</v>
      </c>
      <c r="J30" s="26">
        <f>'Rate Class Customer Model'!F11</f>
        <v>567</v>
      </c>
      <c r="K30" s="6">
        <f>'Rate Class Customer Model'!F12</f>
        <v>535</v>
      </c>
      <c r="L30" s="6">
        <f>'Rate Class Customer Model'!F13</f>
        <v>529</v>
      </c>
      <c r="M30" s="6">
        <f>'Rate Class Customer Model'!F14</f>
        <v>502.01805212171456</v>
      </c>
    </row>
    <row r="31" spans="1:13" x14ac:dyDescent="0.25">
      <c r="A31" t="s">
        <v>48</v>
      </c>
      <c r="B31" s="6">
        <f>'Rate Class Energy Model'!L7</f>
        <v>587864</v>
      </c>
      <c r="C31" s="6">
        <f>'Rate Class Energy Model'!L8</f>
        <v>572369</v>
      </c>
      <c r="D31" s="6">
        <f>'Rate Class Energy Model'!L9</f>
        <v>539685</v>
      </c>
      <c r="E31" s="6">
        <f>'Rate Class Energy Model'!L10</f>
        <v>516624</v>
      </c>
      <c r="F31" s="6">
        <f>'Rate Class Energy Model'!L11</f>
        <v>489923</v>
      </c>
      <c r="G31" s="6">
        <f>'Rate Class Energy Model'!L12</f>
        <v>475594</v>
      </c>
      <c r="H31" s="6">
        <f>'Rate Class Energy Model'!L13</f>
        <v>467767</v>
      </c>
      <c r="I31" s="6">
        <f>'Rate Class Energy Model'!L14</f>
        <v>401194</v>
      </c>
      <c r="J31" s="6">
        <f>'Rate Class Energy Model'!L15</f>
        <v>385924</v>
      </c>
      <c r="K31" s="6">
        <f>'Rate Class Energy Model'!L16</f>
        <v>361875</v>
      </c>
      <c r="L31" s="6">
        <f>'Rate Class Energy Model'!L59</f>
        <v>351210.50619032129</v>
      </c>
      <c r="M31" s="6">
        <f>'Rate Class Energy Model'!L60</f>
        <v>327143.41972247319</v>
      </c>
    </row>
    <row r="32" spans="1:13" x14ac:dyDescent="0.25">
      <c r="A32" t="s">
        <v>49</v>
      </c>
      <c r="B32" s="6">
        <f>'Rate Class Load Model'!D3</f>
        <v>1718</v>
      </c>
      <c r="C32" s="6">
        <f>'Rate Class Load Model'!D4</f>
        <v>1578</v>
      </c>
      <c r="D32" s="6">
        <f>'Rate Class Load Model'!D5</f>
        <v>1482.21</v>
      </c>
      <c r="E32" s="6">
        <f>'Rate Class Load Model'!D6</f>
        <v>1423</v>
      </c>
      <c r="F32" s="6">
        <f>'Rate Class Load Model'!D7</f>
        <v>1361</v>
      </c>
      <c r="G32" s="6">
        <f>'Rate Class Load Model'!D8</f>
        <v>1313</v>
      </c>
      <c r="H32" s="6">
        <f>'Rate Class Load Model'!D9</f>
        <v>1293</v>
      </c>
      <c r="I32" s="6">
        <f>'Rate Class Load Model'!D10</f>
        <v>1110</v>
      </c>
      <c r="J32" s="6">
        <f>'Rate Class Load Model'!D11</f>
        <v>1069</v>
      </c>
      <c r="K32" s="26">
        <f>'Rate Class Load Model'!D12</f>
        <v>1003</v>
      </c>
      <c r="L32" s="6">
        <f>'Rate Class Load Model'!D13</f>
        <v>976.04911775352195</v>
      </c>
      <c r="M32" s="6">
        <f>'Rate Class Load Model'!D14</f>
        <v>909.16427775072532</v>
      </c>
    </row>
    <row r="33" spans="1:13" x14ac:dyDescent="0.25">
      <c r="L33" s="6"/>
      <c r="M33" s="6"/>
    </row>
    <row r="34" spans="1:13" x14ac:dyDescent="0.25">
      <c r="A34" s="38" t="str">
        <f>'Rate Class Energy Model'!M2</f>
        <v>Unmetered Scattered Loads</v>
      </c>
      <c r="L34" s="6"/>
      <c r="M34" s="6"/>
    </row>
    <row r="35" spans="1:13" x14ac:dyDescent="0.25">
      <c r="A35" t="s">
        <v>67</v>
      </c>
      <c r="B35" s="6">
        <f>'Rate Class Customer Model'!G3</f>
        <v>88</v>
      </c>
      <c r="C35" s="6">
        <f>'Rate Class Customer Model'!G4</f>
        <v>81</v>
      </c>
      <c r="D35" s="6">
        <f>'Rate Class Customer Model'!G5</f>
        <v>87</v>
      </c>
      <c r="E35" s="6">
        <f>'Rate Class Customer Model'!G6</f>
        <v>88</v>
      </c>
      <c r="F35" s="6">
        <f>'Rate Class Customer Model'!G7</f>
        <v>84</v>
      </c>
      <c r="G35" s="6">
        <f>'Rate Class Customer Model'!G8</f>
        <v>84</v>
      </c>
      <c r="H35" s="6">
        <f>'Rate Class Customer Model'!G9</f>
        <v>84</v>
      </c>
      <c r="I35" s="6">
        <f>'Rate Class Customer Model'!G10</f>
        <v>78</v>
      </c>
      <c r="J35" s="6">
        <f>'Rate Class Customer Model'!G11</f>
        <v>76</v>
      </c>
      <c r="K35" s="26">
        <f>'Rate Class Customer Model'!G12</f>
        <v>73</v>
      </c>
      <c r="L35" s="6">
        <f>'Rate Class Customer Model'!G13</f>
        <v>69</v>
      </c>
      <c r="M35" s="6">
        <f>'Rate Class Customer Model'!G14</f>
        <v>67.582045726146845</v>
      </c>
    </row>
    <row r="36" spans="1:13" x14ac:dyDescent="0.25">
      <c r="A36" t="s">
        <v>48</v>
      </c>
      <c r="B36" s="6">
        <f>'Rate Class Energy Model'!M7</f>
        <v>538961</v>
      </c>
      <c r="C36" s="6">
        <f>'Rate Class Energy Model'!M8</f>
        <v>547358</v>
      </c>
      <c r="D36" s="6">
        <f>'Rate Class Energy Model'!M9</f>
        <v>513903</v>
      </c>
      <c r="E36" s="6">
        <f>'Rate Class Energy Model'!M10</f>
        <v>507664</v>
      </c>
      <c r="F36" s="6">
        <f>'Rate Class Energy Model'!M11</f>
        <v>499320</v>
      </c>
      <c r="G36" s="6">
        <f>'Rate Class Energy Model'!M12</f>
        <v>482264</v>
      </c>
      <c r="H36" s="6">
        <f>'Rate Class Energy Model'!M13</f>
        <v>481502</v>
      </c>
      <c r="I36" s="6">
        <f>'Rate Class Energy Model'!M14</f>
        <v>454181</v>
      </c>
      <c r="J36" s="6">
        <f>'Rate Class Energy Model'!M15</f>
        <v>406515</v>
      </c>
      <c r="K36" s="6">
        <f>'Rate Class Energy Model'!M16</f>
        <v>389982</v>
      </c>
      <c r="L36" s="6">
        <f>'Rate Class Energy Model'!M59</f>
        <v>363058.00663088716</v>
      </c>
      <c r="M36" s="6">
        <f>'Rate Class Energy Model'!M60</f>
        <v>350238.18041388114</v>
      </c>
    </row>
    <row r="37" spans="1:13" x14ac:dyDescent="0.25">
      <c r="L37" s="6"/>
      <c r="M37" s="6"/>
    </row>
    <row r="38" spans="1:13" x14ac:dyDescent="0.25">
      <c r="A38" s="38" t="s">
        <v>68</v>
      </c>
      <c r="B38" s="6"/>
      <c r="C38" s="6"/>
      <c r="D38" s="6"/>
      <c r="E38" s="6"/>
      <c r="G38" s="6"/>
      <c r="H38" s="6"/>
      <c r="I38" s="6"/>
      <c r="J38" s="6"/>
      <c r="K38" s="26"/>
    </row>
    <row r="39" spans="1:13" x14ac:dyDescent="0.25">
      <c r="A39" t="s">
        <v>56</v>
      </c>
      <c r="B39" s="6">
        <f t="shared" ref="B39:M39" si="1">SUM(B12+B16+B20+B25+B30+B35)</f>
        <v>23682</v>
      </c>
      <c r="C39" s="6">
        <f t="shared" si="1"/>
        <v>23816</v>
      </c>
      <c r="D39" s="6">
        <f t="shared" si="1"/>
        <v>23930</v>
      </c>
      <c r="E39" s="6">
        <f t="shared" si="1"/>
        <v>24033</v>
      </c>
      <c r="F39" s="6">
        <f t="shared" si="1"/>
        <v>24160</v>
      </c>
      <c r="G39" s="6">
        <f t="shared" si="1"/>
        <v>24343</v>
      </c>
      <c r="H39" s="6">
        <f t="shared" si="1"/>
        <v>24439</v>
      </c>
      <c r="I39" s="6">
        <f t="shared" si="1"/>
        <v>24658</v>
      </c>
      <c r="J39" s="6">
        <f t="shared" si="1"/>
        <v>24662</v>
      </c>
      <c r="K39" s="6">
        <f t="shared" si="1"/>
        <v>24701</v>
      </c>
      <c r="L39" s="6">
        <f t="shared" si="1"/>
        <v>24751</v>
      </c>
      <c r="M39" s="6">
        <f t="shared" si="1"/>
        <v>24837.006687757028</v>
      </c>
    </row>
    <row r="40" spans="1:13" x14ac:dyDescent="0.25">
      <c r="A40" t="s">
        <v>48</v>
      </c>
      <c r="B40" s="6">
        <f t="shared" ref="B40:M40" si="2">SUM(B13+B17+B21+B26+B31+B36)</f>
        <v>358594281</v>
      </c>
      <c r="C40" s="6">
        <f t="shared" si="2"/>
        <v>362334202</v>
      </c>
      <c r="D40" s="6">
        <f t="shared" si="2"/>
        <v>373431335</v>
      </c>
      <c r="E40" s="6">
        <f t="shared" si="2"/>
        <v>359311281</v>
      </c>
      <c r="F40" s="6">
        <f t="shared" si="2"/>
        <v>360337098</v>
      </c>
      <c r="G40" s="6">
        <f t="shared" si="2"/>
        <v>352084249</v>
      </c>
      <c r="H40" s="6">
        <f t="shared" si="2"/>
        <v>338521917</v>
      </c>
      <c r="I40" s="6">
        <f t="shared" si="2"/>
        <v>348409858</v>
      </c>
      <c r="J40" s="6">
        <f t="shared" si="2"/>
        <v>349951952</v>
      </c>
      <c r="K40" s="6">
        <f t="shared" si="2"/>
        <v>344590256</v>
      </c>
      <c r="L40" s="6">
        <f t="shared" si="2"/>
        <v>347591954.08886611</v>
      </c>
      <c r="M40" s="6">
        <f t="shared" si="2"/>
        <v>347249248.5732522</v>
      </c>
    </row>
    <row r="41" spans="1:13" x14ac:dyDescent="0.25">
      <c r="A41" t="s">
        <v>55</v>
      </c>
      <c r="B41" s="6">
        <f t="shared" ref="B41:M41" si="3">SUM(B22+B27+B32)</f>
        <v>337769.86</v>
      </c>
      <c r="C41" s="6">
        <f t="shared" si="3"/>
        <v>372297.07</v>
      </c>
      <c r="D41" s="6">
        <f t="shared" si="3"/>
        <v>373156.86000000004</v>
      </c>
      <c r="E41" s="6">
        <f t="shared" si="3"/>
        <v>375457</v>
      </c>
      <c r="F41" s="6">
        <f t="shared" si="3"/>
        <v>354845</v>
      </c>
      <c r="G41" s="6">
        <f t="shared" si="3"/>
        <v>335773</v>
      </c>
      <c r="H41" s="6">
        <f t="shared" si="3"/>
        <v>329194.52</v>
      </c>
      <c r="I41" s="6">
        <f t="shared" si="3"/>
        <v>337013.36</v>
      </c>
      <c r="J41" s="6">
        <f t="shared" si="3"/>
        <v>344521.36</v>
      </c>
      <c r="K41" s="6">
        <f t="shared" si="3"/>
        <v>343972.36</v>
      </c>
      <c r="L41" s="6">
        <f t="shared" si="3"/>
        <v>349998.53877363156</v>
      </c>
      <c r="M41" s="6">
        <f t="shared" si="3"/>
        <v>349451.346167207</v>
      </c>
    </row>
    <row r="43" spans="1:13" x14ac:dyDescent="0.25">
      <c r="A43" s="38" t="s">
        <v>171</v>
      </c>
      <c r="L43" s="6"/>
      <c r="M43" s="6"/>
    </row>
    <row r="44" spans="1:13" x14ac:dyDescent="0.25">
      <c r="A44" t="s">
        <v>56</v>
      </c>
      <c r="B44" s="6">
        <f>'Rate Class Customer Model'!H3</f>
        <v>23682</v>
      </c>
      <c r="C44" s="6">
        <f>'Rate Class Customer Model'!H4</f>
        <v>23816</v>
      </c>
      <c r="D44" s="6">
        <f>'Rate Class Customer Model'!H5</f>
        <v>23930</v>
      </c>
      <c r="E44" s="6">
        <f>'Rate Class Customer Model'!H6</f>
        <v>24033</v>
      </c>
      <c r="F44" s="6">
        <f>'Rate Class Customer Model'!H7</f>
        <v>24160</v>
      </c>
      <c r="G44" s="6">
        <f>'Rate Class Customer Model'!H8</f>
        <v>24343</v>
      </c>
      <c r="H44" s="6">
        <f>'Rate Class Customer Model'!H9</f>
        <v>24439</v>
      </c>
      <c r="I44" s="6">
        <f>'Rate Class Customer Model'!H10</f>
        <v>24658</v>
      </c>
      <c r="J44" s="6">
        <f>'Rate Class Customer Model'!H11</f>
        <v>24662</v>
      </c>
      <c r="K44" s="6">
        <f>'Rate Class Customer Model'!H12</f>
        <v>24701</v>
      </c>
      <c r="L44" s="6">
        <f>'Rate Class Customer Model'!H13</f>
        <v>24751</v>
      </c>
      <c r="M44" s="6">
        <f>'Rate Class Customer Model'!H14</f>
        <v>24837.006687757028</v>
      </c>
    </row>
    <row r="45" spans="1:13" x14ac:dyDescent="0.25">
      <c r="A45" t="s">
        <v>48</v>
      </c>
      <c r="B45" s="6">
        <f>'Rate Class Energy Model'!G7</f>
        <v>358594281</v>
      </c>
      <c r="C45" s="6">
        <f>'Rate Class Energy Model'!G8</f>
        <v>362334202</v>
      </c>
      <c r="D45" s="6">
        <f>'Rate Class Energy Model'!G9</f>
        <v>373431335</v>
      </c>
      <c r="E45" s="6">
        <f>'Rate Class Energy Model'!G10</f>
        <v>359311281</v>
      </c>
      <c r="F45" s="6">
        <f>'Rate Class Energy Model'!G11</f>
        <v>360337098</v>
      </c>
      <c r="G45" s="6">
        <f>'Rate Class Energy Model'!G12</f>
        <v>352084249</v>
      </c>
      <c r="H45" s="6">
        <f>'Rate Class Energy Model'!G13</f>
        <v>338521917</v>
      </c>
      <c r="I45" s="6">
        <f>'Rate Class Energy Model'!G14</f>
        <v>348409858</v>
      </c>
      <c r="J45" s="6">
        <f>'Rate Class Energy Model'!G15</f>
        <v>349951952</v>
      </c>
      <c r="K45" s="26">
        <f>'Rate Class Energy Model'!G16</f>
        <v>344590256</v>
      </c>
      <c r="L45" s="6">
        <f>'Rate Class Energy Model'!N59</f>
        <v>347591954.08886611</v>
      </c>
      <c r="M45" s="6">
        <f>'Rate Class Energy Model'!N60</f>
        <v>347249248.5732522</v>
      </c>
    </row>
    <row r="46" spans="1:13" x14ac:dyDescent="0.25">
      <c r="A46" t="s">
        <v>55</v>
      </c>
      <c r="B46" s="6">
        <f>'Rate Class Load Model'!E3</f>
        <v>337769.86</v>
      </c>
      <c r="C46" s="6">
        <f>'Rate Class Load Model'!E4</f>
        <v>372297.07</v>
      </c>
      <c r="D46" s="6">
        <f>'Rate Class Load Model'!E5</f>
        <v>373156.86000000004</v>
      </c>
      <c r="E46" s="6">
        <f>'Rate Class Load Model'!E6</f>
        <v>375457</v>
      </c>
      <c r="F46" s="6">
        <f>'Rate Class Load Model'!E7</f>
        <v>354845</v>
      </c>
      <c r="G46" s="6">
        <f>'Rate Class Load Model'!E8</f>
        <v>335773</v>
      </c>
      <c r="H46" s="6">
        <f>'Rate Class Load Model'!E9</f>
        <v>329194.52</v>
      </c>
      <c r="I46" s="26">
        <f>'Rate Class Load Model'!E10</f>
        <v>337013.36</v>
      </c>
      <c r="J46" s="26">
        <f>'Rate Class Load Model'!E11</f>
        <v>344521.36</v>
      </c>
      <c r="K46" s="6">
        <f>'Rate Class Load Model'!E12</f>
        <v>343972.36</v>
      </c>
      <c r="L46" s="6">
        <f>'Rate Class Load Model'!E13</f>
        <v>349998.53877363156</v>
      </c>
      <c r="M46" s="6">
        <f>'Rate Class Load Model'!E14</f>
        <v>349451.346167207</v>
      </c>
    </row>
    <row r="48" spans="1:13" x14ac:dyDescent="0.25">
      <c r="A48" s="38" t="s">
        <v>69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6" x14ac:dyDescent="0.25">
      <c r="A49" t="s">
        <v>56</v>
      </c>
      <c r="B49" s="6">
        <f>B39-B44</f>
        <v>0</v>
      </c>
      <c r="C49" s="6">
        <f t="shared" ref="C49:L49" si="4">C39-C44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ref="M49" si="5">M39-M44</f>
        <v>0</v>
      </c>
    </row>
    <row r="50" spans="1:16" x14ac:dyDescent="0.25">
      <c r="A50" t="s">
        <v>48</v>
      </c>
      <c r="B50" s="6">
        <f>B40-B45</f>
        <v>0</v>
      </c>
      <c r="C50" s="6">
        <f t="shared" ref="C50:L50" si="6">C40-C45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ref="M50" si="7">M40-M45</f>
        <v>0</v>
      </c>
    </row>
    <row r="51" spans="1:16" x14ac:dyDescent="0.25">
      <c r="A51" t="s">
        <v>55</v>
      </c>
      <c r="B51" s="6">
        <f>B41-B46</f>
        <v>0</v>
      </c>
      <c r="C51" s="6">
        <f t="shared" ref="C51:L51" si="8">C41-C46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6">
        <f t="shared" ref="M51" si="9">M41-M46</f>
        <v>0</v>
      </c>
    </row>
    <row r="54" spans="1:16" x14ac:dyDescent="0.25">
      <c r="B54" s="78">
        <v>2003</v>
      </c>
      <c r="C54" s="78">
        <v>2004</v>
      </c>
      <c r="D54" s="78">
        <v>2005</v>
      </c>
      <c r="E54" s="78">
        <v>2006</v>
      </c>
      <c r="F54" s="78">
        <v>2007</v>
      </c>
      <c r="G54" s="78">
        <v>2008</v>
      </c>
      <c r="H54" s="78">
        <v>2009</v>
      </c>
      <c r="I54" s="78">
        <v>2010</v>
      </c>
      <c r="J54" s="78">
        <v>2011</v>
      </c>
      <c r="K54" s="78">
        <v>2012</v>
      </c>
      <c r="L54" s="78">
        <v>2013</v>
      </c>
      <c r="M54" s="78">
        <v>2014</v>
      </c>
      <c r="N54" s="78"/>
      <c r="P54" s="1"/>
    </row>
    <row r="55" spans="1:16" x14ac:dyDescent="0.25">
      <c r="A55" s="83" t="s">
        <v>135</v>
      </c>
      <c r="B55" s="79">
        <f t="shared" ref="B55:K55" si="10">B4/1000000</f>
        <v>377.32853495999984</v>
      </c>
      <c r="C55" s="79">
        <f t="shared" si="10"/>
        <v>382.25643904000015</v>
      </c>
      <c r="D55" s="79">
        <f t="shared" si="10"/>
        <v>397.94970699999999</v>
      </c>
      <c r="E55" s="79">
        <f t="shared" si="10"/>
        <v>378.53475700000001</v>
      </c>
      <c r="F55" s="79">
        <f t="shared" si="10"/>
        <v>385.1269103599999</v>
      </c>
      <c r="G55" s="79">
        <f t="shared" si="10"/>
        <v>376.48161395999983</v>
      </c>
      <c r="H55" s="79">
        <f t="shared" si="10"/>
        <v>357.88092279999995</v>
      </c>
      <c r="I55" s="79">
        <f t="shared" si="10"/>
        <v>371.9409587699999</v>
      </c>
      <c r="J55" s="79">
        <f t="shared" si="10"/>
        <v>374.15314851000005</v>
      </c>
      <c r="K55" s="79">
        <f t="shared" si="10"/>
        <v>368.11399029</v>
      </c>
      <c r="L55" s="79"/>
      <c r="M55" s="79"/>
      <c r="N55" s="79"/>
      <c r="P55" s="1"/>
    </row>
    <row r="56" spans="1:16" x14ac:dyDescent="0.25">
      <c r="A56" s="83" t="s">
        <v>136</v>
      </c>
      <c r="B56" s="79">
        <f t="shared" ref="B56:K56" si="11">B5/1000000</f>
        <v>381.19253909012065</v>
      </c>
      <c r="C56" s="79">
        <f t="shared" si="11"/>
        <v>379.74795872484884</v>
      </c>
      <c r="D56" s="79">
        <f t="shared" si="11"/>
        <v>395.95154733419452</v>
      </c>
      <c r="E56" s="79">
        <f t="shared" si="11"/>
        <v>378.54892652945313</v>
      </c>
      <c r="F56" s="79">
        <f t="shared" si="11"/>
        <v>383.07897573446877</v>
      </c>
      <c r="G56" s="79">
        <f t="shared" si="11"/>
        <v>380.25361782511499</v>
      </c>
      <c r="H56" s="79">
        <f t="shared" si="11"/>
        <v>356.78493574513686</v>
      </c>
      <c r="I56" s="79">
        <f t="shared" si="11"/>
        <v>365.01131364342592</v>
      </c>
      <c r="J56" s="79">
        <f t="shared" si="11"/>
        <v>375.41740671614673</v>
      </c>
      <c r="K56" s="79">
        <f t="shared" si="11"/>
        <v>373.7797613470857</v>
      </c>
      <c r="L56" s="79">
        <f>L5/1000000</f>
        <v>371.89273350283338</v>
      </c>
      <c r="M56" s="79">
        <f>M5/1000000</f>
        <v>372.9703536876861</v>
      </c>
      <c r="N56" s="79"/>
      <c r="P56" s="1"/>
    </row>
    <row r="58" spans="1:16" x14ac:dyDescent="0.25">
      <c r="G58" s="44"/>
      <c r="H58" s="22"/>
      <c r="I58" s="22"/>
      <c r="J58" s="22"/>
      <c r="L58" s="43"/>
      <c r="M58" s="43"/>
    </row>
    <row r="59" spans="1:16" x14ac:dyDescent="0.25">
      <c r="A59" s="38" t="s">
        <v>139</v>
      </c>
      <c r="L59" s="6"/>
      <c r="M59" s="6"/>
    </row>
    <row r="60" spans="1:16" x14ac:dyDescent="0.25">
      <c r="A60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</v>
      </c>
      <c r="I60" s="26">
        <v>8</v>
      </c>
      <c r="J60" s="26">
        <v>8</v>
      </c>
      <c r="K60" s="6">
        <v>8</v>
      </c>
      <c r="L60" s="6">
        <v>8</v>
      </c>
      <c r="M60" s="6">
        <v>8</v>
      </c>
    </row>
    <row r="61" spans="1:16" x14ac:dyDescent="0.25">
      <c r="A61" t="s">
        <v>48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56044835</v>
      </c>
      <c r="I61" s="6">
        <v>73870537</v>
      </c>
      <c r="J61" s="6">
        <v>74192250</v>
      </c>
      <c r="K61" s="6">
        <v>71831928</v>
      </c>
      <c r="L61" s="6">
        <v>72430489</v>
      </c>
      <c r="M61" s="6">
        <v>72629941</v>
      </c>
    </row>
    <row r="62" spans="1:16" x14ac:dyDescent="0.25">
      <c r="A62" t="s">
        <v>49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334545</v>
      </c>
      <c r="I62" s="26">
        <v>241211</v>
      </c>
      <c r="J62" s="26">
        <v>264787</v>
      </c>
      <c r="K62" s="6">
        <v>245804</v>
      </c>
      <c r="L62" s="6">
        <v>227250</v>
      </c>
      <c r="M62" s="6">
        <v>227715</v>
      </c>
    </row>
    <row r="64" spans="1:16" x14ac:dyDescent="0.25">
      <c r="A64" s="83" t="s">
        <v>173</v>
      </c>
    </row>
    <row r="66" spans="13:13" x14ac:dyDescent="0.25">
      <c r="M66" s="6">
        <f>M44+M60</f>
        <v>24845.006687757028</v>
      </c>
    </row>
    <row r="67" spans="13:13" x14ac:dyDescent="0.25">
      <c r="M67" s="6">
        <f t="shared" ref="M67:M68" si="12">M45+M61</f>
        <v>419879189.5732522</v>
      </c>
    </row>
    <row r="68" spans="13:13" x14ac:dyDescent="0.25">
      <c r="M68" s="6">
        <f t="shared" si="12"/>
        <v>577166.346167207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0" orientation="landscape" r:id="rId1"/>
  <headerFooter alignWithMargins="0">
    <oddFooter>&amp;L&amp;F
&amp;A&amp;RPage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87" sqref="H87"/>
    </sheetView>
  </sheetViews>
  <sheetFormatPr defaultRowHeight="13.2" x14ac:dyDescent="0.25"/>
  <sheetData/>
  <printOptions horizontalCentered="1" gridLines="1"/>
  <pageMargins left="0.39370078740157483" right="0.39370078740157483" top="0.59055118110236227" bottom="0.59055118110236227" header="0.31496062992125984" footer="0.31496062992125984"/>
  <pageSetup paperSize="17" orientation="landscape" r:id="rId1"/>
  <headerFooter alignWithMargins="0">
    <oddFooter>&amp;L&amp;F
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0"/>
  <sheetViews>
    <sheetView topLeftCell="A38" zoomScale="90" zoomScaleNormal="90" workbookViewId="0">
      <selection activeCell="H75" sqref="H75"/>
    </sheetView>
  </sheetViews>
  <sheetFormatPr defaultRowHeight="13.2" x14ac:dyDescent="0.25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0.109375" style="1" customWidth="1"/>
    <col min="6" max="6" width="12.44140625" style="1" customWidth="1"/>
    <col min="7" max="7" width="12.44140625" style="22" customWidth="1"/>
    <col min="8" max="8" width="12.44140625" style="183" customWidth="1"/>
    <col min="9" max="9" width="12.44140625" style="190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45" bestFit="1" customWidth="1"/>
    <col min="14" max="14" width="18" customWidth="1"/>
    <col min="15" max="15" width="13.6640625" bestFit="1" customWidth="1"/>
    <col min="16" max="16" width="12.5546875" bestFit="1" customWidth="1"/>
    <col min="17" max="17" width="17.109375" customWidth="1"/>
    <col min="18" max="19" width="15.6640625" customWidth="1"/>
    <col min="20" max="20" width="14.109375" bestFit="1" customWidth="1"/>
    <col min="21" max="21" width="25.88671875" bestFit="1" customWidth="1"/>
    <col min="22" max="22" width="19.33203125" bestFit="1" customWidth="1"/>
    <col min="23" max="23" width="45" bestFit="1" customWidth="1"/>
    <col min="24" max="24" width="26.109375" bestFit="1" customWidth="1"/>
    <col min="25" max="25" width="23" bestFit="1" customWidth="1"/>
    <col min="26" max="26" width="14.6640625" bestFit="1" customWidth="1"/>
    <col min="27" max="27" width="20.109375" bestFit="1" customWidth="1"/>
    <col min="28" max="28" width="12.109375" bestFit="1" customWidth="1"/>
    <col min="29" max="29" width="21" bestFit="1" customWidth="1"/>
    <col min="30" max="30" width="13.109375" bestFit="1" customWidth="1"/>
  </cols>
  <sheetData>
    <row r="1" spans="1:18" ht="27" customHeight="1" x14ac:dyDescent="0.25">
      <c r="G1" s="31"/>
      <c r="H1"/>
      <c r="I1"/>
    </row>
    <row r="2" spans="1:18" ht="66" x14ac:dyDescent="0.25">
      <c r="B2" s="189" t="s">
        <v>0</v>
      </c>
      <c r="C2" s="75" t="s">
        <v>3</v>
      </c>
      <c r="D2" s="75" t="s">
        <v>4</v>
      </c>
      <c r="E2" s="12" t="s">
        <v>5</v>
      </c>
      <c r="F2" s="12" t="s">
        <v>18</v>
      </c>
      <c r="G2" s="75" t="s">
        <v>71</v>
      </c>
      <c r="H2" s="75" t="s">
        <v>169</v>
      </c>
      <c r="I2" s="75" t="s">
        <v>175</v>
      </c>
      <c r="J2" s="12" t="s">
        <v>10</v>
      </c>
      <c r="K2" s="12" t="s">
        <v>11</v>
      </c>
      <c r="L2" s="12" t="s">
        <v>12</v>
      </c>
      <c r="M2" t="s">
        <v>19</v>
      </c>
    </row>
    <row r="3" spans="1:18" ht="13.5" customHeight="1" x14ac:dyDescent="0.25">
      <c r="B3" s="189"/>
      <c r="C3" s="75"/>
      <c r="D3" s="75"/>
      <c r="E3" s="12"/>
      <c r="F3" s="12"/>
      <c r="G3" s="75"/>
      <c r="H3" s="75"/>
      <c r="I3" s="75"/>
      <c r="J3" s="12"/>
      <c r="K3" s="12"/>
      <c r="L3" s="12"/>
    </row>
    <row r="4" spans="1:18" ht="13.5" customHeight="1" x14ac:dyDescent="0.25">
      <c r="A4" s="3">
        <v>37622</v>
      </c>
      <c r="B4" s="130">
        <v>36662668.579999998</v>
      </c>
      <c r="C4" s="131">
        <v>829.5</v>
      </c>
      <c r="D4" s="131">
        <v>0</v>
      </c>
      <c r="E4" s="132">
        <v>31</v>
      </c>
      <c r="F4" s="132">
        <v>0</v>
      </c>
      <c r="G4" s="18">
        <v>0</v>
      </c>
      <c r="H4" s="132">
        <v>0</v>
      </c>
      <c r="I4" s="133">
        <v>658.3</v>
      </c>
      <c r="J4" s="10">
        <f t="shared" ref="J4:J35" si="0">$N$22+C4*$N$23+D4*$N$24+E4*$N$25+F4*$N$26+G4*$N$27+H4*$N$28+I4*$N$29</f>
        <v>37352968.71009925</v>
      </c>
      <c r="K4" s="10"/>
      <c r="L4" s="10"/>
    </row>
    <row r="5" spans="1:18" x14ac:dyDescent="0.25">
      <c r="A5" s="3">
        <v>37653</v>
      </c>
      <c r="B5" s="130">
        <v>32216877.579999998</v>
      </c>
      <c r="C5" s="131">
        <v>699.2</v>
      </c>
      <c r="D5" s="131">
        <v>0</v>
      </c>
      <c r="E5" s="132">
        <v>28</v>
      </c>
      <c r="F5" s="132">
        <v>0</v>
      </c>
      <c r="G5" s="18">
        <v>0</v>
      </c>
      <c r="H5" s="132">
        <v>0</v>
      </c>
      <c r="I5" s="133">
        <v>658.9</v>
      </c>
      <c r="J5" s="10">
        <f t="shared" si="0"/>
        <v>32658355.2811676</v>
      </c>
      <c r="K5" s="10"/>
      <c r="L5" s="10"/>
    </row>
    <row r="6" spans="1:18" x14ac:dyDescent="0.25">
      <c r="A6" s="3">
        <v>37681</v>
      </c>
      <c r="B6" s="130">
        <v>32592425.579999998</v>
      </c>
      <c r="C6" s="131">
        <v>593.1</v>
      </c>
      <c r="D6" s="131">
        <v>0</v>
      </c>
      <c r="E6" s="132">
        <v>31</v>
      </c>
      <c r="F6" s="132">
        <v>1</v>
      </c>
      <c r="G6" s="18">
        <v>0</v>
      </c>
      <c r="H6" s="132">
        <v>0</v>
      </c>
      <c r="I6" s="133">
        <v>661.9</v>
      </c>
      <c r="J6" s="10">
        <f t="shared" si="0"/>
        <v>32512729.9426158</v>
      </c>
      <c r="K6" s="10"/>
      <c r="L6"/>
      <c r="M6" t="s">
        <v>19</v>
      </c>
    </row>
    <row r="7" spans="1:18" ht="13.8" thickBot="1" x14ac:dyDescent="0.3">
      <c r="A7" s="3">
        <v>37712</v>
      </c>
      <c r="B7" s="130">
        <v>28484457.579999998</v>
      </c>
      <c r="C7" s="131">
        <v>387.1</v>
      </c>
      <c r="D7" s="131">
        <v>0</v>
      </c>
      <c r="E7" s="132">
        <v>30</v>
      </c>
      <c r="F7" s="132">
        <v>1</v>
      </c>
      <c r="G7" s="18">
        <v>0</v>
      </c>
      <c r="H7" s="132">
        <v>0</v>
      </c>
      <c r="I7" s="133">
        <v>663.6</v>
      </c>
      <c r="J7" s="10">
        <f t="shared" si="0"/>
        <v>29161320.319596492</v>
      </c>
      <c r="K7" s="10"/>
      <c r="L7"/>
    </row>
    <row r="8" spans="1:18" x14ac:dyDescent="0.25">
      <c r="A8" s="3">
        <v>37742</v>
      </c>
      <c r="B8" s="130">
        <v>27549363.579999998</v>
      </c>
      <c r="C8" s="131">
        <v>215.8</v>
      </c>
      <c r="D8" s="131">
        <v>0</v>
      </c>
      <c r="E8" s="132">
        <v>31</v>
      </c>
      <c r="F8" s="132">
        <v>1</v>
      </c>
      <c r="G8" s="18">
        <v>0</v>
      </c>
      <c r="H8" s="132">
        <v>0</v>
      </c>
      <c r="I8" s="133">
        <v>668.5</v>
      </c>
      <c r="J8" s="10">
        <f t="shared" si="0"/>
        <v>28515137.372445274</v>
      </c>
      <c r="K8" s="10"/>
      <c r="L8"/>
      <c r="M8" s="49" t="s">
        <v>20</v>
      </c>
      <c r="N8" s="49"/>
    </row>
    <row r="9" spans="1:18" x14ac:dyDescent="0.25">
      <c r="A9" s="3">
        <v>37773</v>
      </c>
      <c r="B9" s="130">
        <v>28594489.579999998</v>
      </c>
      <c r="C9" s="131">
        <v>54.5</v>
      </c>
      <c r="D9" s="131">
        <v>41.4</v>
      </c>
      <c r="E9" s="132">
        <v>30</v>
      </c>
      <c r="F9" s="132">
        <v>0</v>
      </c>
      <c r="G9" s="18">
        <v>0</v>
      </c>
      <c r="H9" s="132">
        <v>1</v>
      </c>
      <c r="I9" s="133">
        <v>676.5</v>
      </c>
      <c r="J9" s="10">
        <f t="shared" si="0"/>
        <v>29342101.453390121</v>
      </c>
      <c r="K9" s="10"/>
      <c r="L9" s="14"/>
      <c r="M9" s="33" t="s">
        <v>21</v>
      </c>
      <c r="N9" s="33">
        <v>0.95496804890723919</v>
      </c>
    </row>
    <row r="10" spans="1:18" x14ac:dyDescent="0.25">
      <c r="A10" s="3">
        <v>37803</v>
      </c>
      <c r="B10" s="130">
        <v>33152863.579999998</v>
      </c>
      <c r="C10" s="131">
        <v>6.5</v>
      </c>
      <c r="D10" s="131">
        <v>83.9</v>
      </c>
      <c r="E10" s="132">
        <v>31</v>
      </c>
      <c r="F10" s="132">
        <v>0</v>
      </c>
      <c r="G10" s="18">
        <v>0</v>
      </c>
      <c r="H10" s="132">
        <v>1</v>
      </c>
      <c r="I10" s="133">
        <v>685.5</v>
      </c>
      <c r="J10" s="10">
        <f t="shared" si="0"/>
        <v>33242701.80778794</v>
      </c>
      <c r="K10" s="10"/>
      <c r="L10" s="14"/>
      <c r="M10" s="33" t="s">
        <v>22</v>
      </c>
      <c r="N10" s="33">
        <v>0.91196397443369925</v>
      </c>
    </row>
    <row r="11" spans="1:18" x14ac:dyDescent="0.25">
      <c r="A11" s="3">
        <v>37834</v>
      </c>
      <c r="B11" s="130">
        <v>33546963.579999998</v>
      </c>
      <c r="C11" s="131">
        <v>5.7</v>
      </c>
      <c r="D11" s="131">
        <v>102.6</v>
      </c>
      <c r="E11" s="132">
        <v>31</v>
      </c>
      <c r="F11" s="132">
        <v>0</v>
      </c>
      <c r="G11" s="18">
        <v>0</v>
      </c>
      <c r="H11" s="132">
        <v>1</v>
      </c>
      <c r="I11" s="133">
        <v>692.8</v>
      </c>
      <c r="J11" s="10">
        <f t="shared" si="0"/>
        <v>34876239.83557786</v>
      </c>
      <c r="K11" s="10"/>
      <c r="L11" s="14"/>
      <c r="M11" s="33" t="s">
        <v>23</v>
      </c>
      <c r="N11" s="33">
        <v>0.90646172283580551</v>
      </c>
    </row>
    <row r="12" spans="1:18" x14ac:dyDescent="0.25">
      <c r="A12" s="3">
        <v>37865</v>
      </c>
      <c r="B12" s="130">
        <v>28300068.579999998</v>
      </c>
      <c r="C12" s="131">
        <v>73.900000000000006</v>
      </c>
      <c r="D12" s="131">
        <v>14.8</v>
      </c>
      <c r="E12" s="132">
        <v>30</v>
      </c>
      <c r="F12" s="132">
        <v>1</v>
      </c>
      <c r="G12" s="18">
        <v>0</v>
      </c>
      <c r="H12" s="132">
        <v>0</v>
      </c>
      <c r="I12" s="133">
        <v>690.5</v>
      </c>
      <c r="J12" s="10">
        <f t="shared" si="0"/>
        <v>27889250.357056495</v>
      </c>
      <c r="K12" s="10"/>
      <c r="L12" s="14"/>
      <c r="M12" s="33" t="s">
        <v>24</v>
      </c>
      <c r="N12" s="33">
        <v>1009467.1461678306</v>
      </c>
    </row>
    <row r="13" spans="1:18" ht="13.8" thickBot="1" x14ac:dyDescent="0.3">
      <c r="A13" s="3">
        <v>37895</v>
      </c>
      <c r="B13" s="130">
        <v>29570747.579999998</v>
      </c>
      <c r="C13" s="131">
        <v>293.5</v>
      </c>
      <c r="D13" s="131">
        <v>0</v>
      </c>
      <c r="E13" s="132">
        <v>31</v>
      </c>
      <c r="F13" s="132">
        <v>1</v>
      </c>
      <c r="G13" s="18">
        <v>0</v>
      </c>
      <c r="H13" s="132">
        <v>0</v>
      </c>
      <c r="I13" s="133">
        <v>688</v>
      </c>
      <c r="J13" s="10">
        <f t="shared" si="0"/>
        <v>30333464.772099037</v>
      </c>
      <c r="K13" s="10"/>
      <c r="L13" s="14"/>
      <c r="M13" s="47" t="s">
        <v>25</v>
      </c>
      <c r="N13" s="47">
        <v>120</v>
      </c>
    </row>
    <row r="14" spans="1:18" x14ac:dyDescent="0.25">
      <c r="A14" s="3">
        <v>37926</v>
      </c>
      <c r="B14" s="130">
        <v>30816095.579999998</v>
      </c>
      <c r="C14" s="131">
        <v>391.5</v>
      </c>
      <c r="D14" s="131">
        <v>0</v>
      </c>
      <c r="E14" s="132">
        <v>30</v>
      </c>
      <c r="F14" s="132">
        <v>1</v>
      </c>
      <c r="G14" s="18">
        <v>0</v>
      </c>
      <c r="H14" s="132">
        <v>0</v>
      </c>
      <c r="I14" s="133">
        <v>679.7</v>
      </c>
      <c r="J14" s="10">
        <f t="shared" si="0"/>
        <v>29979652.532460906</v>
      </c>
      <c r="K14" s="10"/>
      <c r="L14" s="14"/>
    </row>
    <row r="15" spans="1:18" ht="13.8" thickBot="1" x14ac:dyDescent="0.3">
      <c r="A15" s="3">
        <v>37956</v>
      </c>
      <c r="B15" s="130">
        <v>35841513.579999998</v>
      </c>
      <c r="C15" s="131">
        <v>571</v>
      </c>
      <c r="D15" s="131">
        <v>0</v>
      </c>
      <c r="E15" s="132">
        <v>31</v>
      </c>
      <c r="F15" s="132">
        <v>0</v>
      </c>
      <c r="G15" s="18">
        <v>0</v>
      </c>
      <c r="H15" s="132">
        <v>0</v>
      </c>
      <c r="I15" s="133">
        <v>677.8</v>
      </c>
      <c r="J15" s="10">
        <f t="shared" si="0"/>
        <v>35328616.705823913</v>
      </c>
      <c r="K15" s="10"/>
      <c r="L15" s="14"/>
      <c r="M15" t="s">
        <v>26</v>
      </c>
    </row>
    <row r="16" spans="1:18" x14ac:dyDescent="0.25">
      <c r="A16" s="3">
        <v>37987</v>
      </c>
      <c r="B16" s="130">
        <v>38418883.920000002</v>
      </c>
      <c r="C16" s="131">
        <v>859.1</v>
      </c>
      <c r="D16" s="131">
        <v>0</v>
      </c>
      <c r="E16" s="132">
        <v>31</v>
      </c>
      <c r="F16" s="132">
        <v>0</v>
      </c>
      <c r="G16" s="18">
        <v>0</v>
      </c>
      <c r="H16" s="132">
        <v>0</v>
      </c>
      <c r="I16" s="133">
        <v>671.4</v>
      </c>
      <c r="J16" s="10">
        <f t="shared" si="0"/>
        <v>38316217.137801573</v>
      </c>
      <c r="K16" s="10"/>
      <c r="L16" s="14"/>
      <c r="M16" s="48"/>
      <c r="N16" s="48" t="s">
        <v>30</v>
      </c>
      <c r="O16" s="48" t="s">
        <v>31</v>
      </c>
      <c r="P16" s="48" t="s">
        <v>32</v>
      </c>
      <c r="Q16" s="48" t="s">
        <v>33</v>
      </c>
      <c r="R16" s="48" t="s">
        <v>34</v>
      </c>
    </row>
    <row r="17" spans="1:21" x14ac:dyDescent="0.25">
      <c r="A17" s="3">
        <v>38018</v>
      </c>
      <c r="B17" s="130">
        <v>33440257.920000002</v>
      </c>
      <c r="C17" s="131">
        <v>647.70000000000005</v>
      </c>
      <c r="D17" s="131">
        <v>0</v>
      </c>
      <c r="E17" s="132">
        <v>29</v>
      </c>
      <c r="F17" s="132">
        <v>0</v>
      </c>
      <c r="G17" s="18">
        <v>0</v>
      </c>
      <c r="H17" s="132">
        <v>0</v>
      </c>
      <c r="I17" s="133">
        <v>660.8</v>
      </c>
      <c r="J17" s="10">
        <f t="shared" si="0"/>
        <v>33238342.182440534</v>
      </c>
      <c r="K17" s="10"/>
      <c r="L17" s="14"/>
      <c r="M17" s="33" t="s">
        <v>27</v>
      </c>
      <c r="N17" s="33">
        <v>7</v>
      </c>
      <c r="O17" s="33">
        <v>1182278128869449.2</v>
      </c>
      <c r="P17" s="33">
        <v>168896875552778.47</v>
      </c>
      <c r="Q17" s="33">
        <v>165.74377928897124</v>
      </c>
      <c r="R17" s="33">
        <v>4.841725826280995E-56</v>
      </c>
    </row>
    <row r="18" spans="1:21" x14ac:dyDescent="0.25">
      <c r="A18" s="3">
        <v>38047</v>
      </c>
      <c r="B18" s="130">
        <v>32352925.920000002</v>
      </c>
      <c r="C18" s="131">
        <v>513.6</v>
      </c>
      <c r="D18" s="131">
        <v>0</v>
      </c>
      <c r="E18" s="132">
        <v>31</v>
      </c>
      <c r="F18" s="132">
        <v>1</v>
      </c>
      <c r="G18" s="18">
        <v>0</v>
      </c>
      <c r="H18" s="132">
        <v>0</v>
      </c>
      <c r="I18" s="133">
        <v>652.6</v>
      </c>
      <c r="J18" s="10">
        <f t="shared" si="0"/>
        <v>31160414.207282845</v>
      </c>
      <c r="K18" s="10"/>
      <c r="L18" s="14"/>
      <c r="M18" s="33" t="s">
        <v>28</v>
      </c>
      <c r="N18" s="33">
        <v>112</v>
      </c>
      <c r="O18" s="33">
        <v>114130678949529.11</v>
      </c>
      <c r="P18" s="33">
        <v>1019023919192.2242</v>
      </c>
      <c r="Q18" s="33"/>
      <c r="R18" s="33"/>
    </row>
    <row r="19" spans="1:21" ht="15" customHeight="1" thickBot="1" x14ac:dyDescent="0.3">
      <c r="A19" s="3">
        <v>38078</v>
      </c>
      <c r="B19" s="130">
        <v>28034856.920000002</v>
      </c>
      <c r="C19" s="131">
        <v>329.3</v>
      </c>
      <c r="D19" s="131">
        <v>0</v>
      </c>
      <c r="E19" s="132">
        <v>30</v>
      </c>
      <c r="F19" s="132">
        <v>1</v>
      </c>
      <c r="G19" s="18">
        <v>0</v>
      </c>
      <c r="H19" s="132">
        <v>0</v>
      </c>
      <c r="I19" s="133">
        <v>654</v>
      </c>
      <c r="J19" s="10">
        <f t="shared" si="0"/>
        <v>28042718.665495571</v>
      </c>
      <c r="K19" s="10"/>
      <c r="L19" s="14"/>
      <c r="M19" s="47" t="s">
        <v>9</v>
      </c>
      <c r="N19" s="47">
        <v>119</v>
      </c>
      <c r="O19" s="47">
        <v>1296408807818978.2</v>
      </c>
      <c r="P19" s="47"/>
      <c r="Q19" s="47"/>
      <c r="R19" s="47"/>
    </row>
    <row r="20" spans="1:21" ht="13.8" thickBot="1" x14ac:dyDescent="0.3">
      <c r="A20" s="3">
        <v>38108</v>
      </c>
      <c r="B20" s="130">
        <v>28679951.920000002</v>
      </c>
      <c r="C20" s="131">
        <v>164.1</v>
      </c>
      <c r="D20" s="131">
        <v>14.2</v>
      </c>
      <c r="E20" s="132">
        <v>31</v>
      </c>
      <c r="F20" s="132">
        <v>1</v>
      </c>
      <c r="G20" s="18">
        <v>0</v>
      </c>
      <c r="H20" s="132">
        <v>0</v>
      </c>
      <c r="I20" s="133">
        <v>667.3</v>
      </c>
      <c r="J20" s="10">
        <f t="shared" si="0"/>
        <v>28849917.713785872</v>
      </c>
      <c r="K20" s="10"/>
      <c r="L20" s="14"/>
    </row>
    <row r="21" spans="1:21" x14ac:dyDescent="0.25">
      <c r="A21" s="3">
        <v>38139</v>
      </c>
      <c r="B21" s="130">
        <v>28777311.920000002</v>
      </c>
      <c r="C21" s="131">
        <v>60.1</v>
      </c>
      <c r="D21" s="131">
        <v>29.2</v>
      </c>
      <c r="E21" s="132">
        <v>30</v>
      </c>
      <c r="F21" s="132">
        <v>0</v>
      </c>
      <c r="G21" s="18">
        <v>0</v>
      </c>
      <c r="H21" s="132">
        <v>1</v>
      </c>
      <c r="I21" s="133">
        <v>681.4</v>
      </c>
      <c r="J21" s="10">
        <f t="shared" si="0"/>
        <v>28795359.106798604</v>
      </c>
      <c r="K21" s="10"/>
      <c r="L21" s="14"/>
      <c r="M21" s="48"/>
      <c r="N21" s="48" t="s">
        <v>35</v>
      </c>
      <c r="O21" s="48" t="s">
        <v>24</v>
      </c>
      <c r="P21" s="48" t="s">
        <v>36</v>
      </c>
      <c r="Q21" s="48" t="s">
        <v>37</v>
      </c>
      <c r="R21" s="48" t="s">
        <v>38</v>
      </c>
      <c r="S21" s="48" t="s">
        <v>39</v>
      </c>
      <c r="T21" s="48" t="s">
        <v>176</v>
      </c>
      <c r="U21" s="48" t="s">
        <v>177</v>
      </c>
    </row>
    <row r="22" spans="1:21" x14ac:dyDescent="0.25">
      <c r="A22" s="3">
        <v>38169</v>
      </c>
      <c r="B22" s="130">
        <v>32245497.920000002</v>
      </c>
      <c r="C22" s="131">
        <v>7.7</v>
      </c>
      <c r="D22" s="131">
        <v>71.599999999999994</v>
      </c>
      <c r="E22" s="132">
        <v>31</v>
      </c>
      <c r="F22" s="132">
        <v>0</v>
      </c>
      <c r="G22" s="18">
        <v>0</v>
      </c>
      <c r="H22" s="132">
        <v>1</v>
      </c>
      <c r="I22" s="133">
        <v>694.9</v>
      </c>
      <c r="J22" s="10">
        <f t="shared" si="0"/>
        <v>32853416.399783481</v>
      </c>
      <c r="K22" s="10"/>
      <c r="L22" s="14"/>
      <c r="M22" s="33" t="s">
        <v>29</v>
      </c>
      <c r="N22" s="33">
        <v>-36949216.562269449</v>
      </c>
      <c r="O22" s="33">
        <v>6150110.3751925146</v>
      </c>
      <c r="P22" s="33">
        <v>-6.0078948682466278</v>
      </c>
      <c r="Q22" s="33">
        <v>2.3865433168884706E-8</v>
      </c>
      <c r="R22" s="33">
        <v>-49134871.918054223</v>
      </c>
      <c r="S22" s="33">
        <v>-24763561.206484675</v>
      </c>
      <c r="T22" s="33">
        <v>-49134871.918054223</v>
      </c>
      <c r="U22" s="33">
        <v>-24763561.206484675</v>
      </c>
    </row>
    <row r="23" spans="1:21" x14ac:dyDescent="0.25">
      <c r="A23" s="3">
        <v>38200</v>
      </c>
      <c r="B23" s="130">
        <v>31231983.920000002</v>
      </c>
      <c r="C23" s="131">
        <v>28.9</v>
      </c>
      <c r="D23" s="131">
        <v>40</v>
      </c>
      <c r="E23" s="132">
        <v>31</v>
      </c>
      <c r="F23" s="132">
        <v>0</v>
      </c>
      <c r="G23" s="18">
        <v>0</v>
      </c>
      <c r="H23" s="132">
        <v>1</v>
      </c>
      <c r="I23" s="133">
        <v>701</v>
      </c>
      <c r="J23" s="10">
        <f t="shared" si="0"/>
        <v>31199328.92705594</v>
      </c>
      <c r="K23" s="10"/>
      <c r="L23" s="14"/>
      <c r="M23" s="33" t="s">
        <v>3</v>
      </c>
      <c r="N23" s="33">
        <v>11429.742426915825</v>
      </c>
      <c r="O23" s="33">
        <v>863.45054140431682</v>
      </c>
      <c r="P23" s="33">
        <v>13.237286768419278</v>
      </c>
      <c r="Q23" s="33">
        <v>1.1939095786666335E-24</v>
      </c>
      <c r="R23" s="33">
        <v>9718.9258606376279</v>
      </c>
      <c r="S23" s="33">
        <v>13140.558993194023</v>
      </c>
      <c r="T23" s="33">
        <v>9718.9258606376279</v>
      </c>
      <c r="U23" s="33">
        <v>13140.558993194023</v>
      </c>
    </row>
    <row r="24" spans="1:21" x14ac:dyDescent="0.25">
      <c r="A24" s="3">
        <v>38231</v>
      </c>
      <c r="B24" s="130">
        <v>29977470.920000002</v>
      </c>
      <c r="C24" s="131">
        <v>43.9</v>
      </c>
      <c r="D24" s="131">
        <v>31.2</v>
      </c>
      <c r="E24" s="132">
        <v>30</v>
      </c>
      <c r="F24" s="132">
        <v>1</v>
      </c>
      <c r="G24" s="18">
        <v>0</v>
      </c>
      <c r="H24" s="132">
        <v>0</v>
      </c>
      <c r="I24" s="133">
        <v>702.2</v>
      </c>
      <c r="J24" s="10">
        <f t="shared" si="0"/>
        <v>29239730.271370359</v>
      </c>
      <c r="K24" s="10"/>
      <c r="L24" s="14"/>
      <c r="M24" s="33" t="s">
        <v>4</v>
      </c>
      <c r="N24" s="33">
        <v>69221.362150724875</v>
      </c>
      <c r="O24" s="33">
        <v>4745.5021925432102</v>
      </c>
      <c r="P24" s="33">
        <v>14.586730622418647</v>
      </c>
      <c r="Q24" s="33">
        <v>1.1856757836359704E-27</v>
      </c>
      <c r="R24" s="33">
        <v>59818.757858986057</v>
      </c>
      <c r="S24" s="33">
        <v>78623.966442463687</v>
      </c>
      <c r="T24" s="33">
        <v>59818.757858986057</v>
      </c>
      <c r="U24" s="33">
        <v>78623.966442463687</v>
      </c>
    </row>
    <row r="25" spans="1:21" x14ac:dyDescent="0.25">
      <c r="A25" s="3">
        <v>38261</v>
      </c>
      <c r="B25" s="130">
        <v>30210595.920000002</v>
      </c>
      <c r="C25" s="131">
        <v>253.5</v>
      </c>
      <c r="D25" s="131">
        <v>0</v>
      </c>
      <c r="E25" s="132">
        <v>31</v>
      </c>
      <c r="F25" s="132">
        <v>1</v>
      </c>
      <c r="G25" s="18">
        <v>0</v>
      </c>
      <c r="H25" s="132">
        <v>0</v>
      </c>
      <c r="I25" s="133">
        <v>700.2</v>
      </c>
      <c r="J25" s="10">
        <f t="shared" si="0"/>
        <v>30458269.138591912</v>
      </c>
      <c r="K25" s="10"/>
      <c r="L25" s="14"/>
      <c r="M25" s="33" t="s">
        <v>5</v>
      </c>
      <c r="N25" s="33">
        <v>1077980.2165228638</v>
      </c>
      <c r="O25" s="33">
        <v>122609.34633594411</v>
      </c>
      <c r="P25" s="33">
        <v>8.7919905679070052</v>
      </c>
      <c r="Q25" s="33">
        <v>2.001621107306016E-14</v>
      </c>
      <c r="R25" s="33">
        <v>835045.51345241698</v>
      </c>
      <c r="S25" s="33">
        <v>1320914.9195933107</v>
      </c>
      <c r="T25" s="33">
        <v>835045.51345241698</v>
      </c>
      <c r="U25" s="33">
        <v>1320914.9195933107</v>
      </c>
    </row>
    <row r="26" spans="1:21" x14ac:dyDescent="0.25">
      <c r="A26" s="3">
        <v>38292</v>
      </c>
      <c r="B26" s="130">
        <v>31443173.920000002</v>
      </c>
      <c r="C26" s="131">
        <v>396</v>
      </c>
      <c r="D26" s="131">
        <v>0</v>
      </c>
      <c r="E26" s="132">
        <v>30</v>
      </c>
      <c r="F26" s="132">
        <v>1</v>
      </c>
      <c r="G26" s="18">
        <v>0</v>
      </c>
      <c r="H26" s="132">
        <v>0</v>
      </c>
      <c r="I26" s="133">
        <v>694.2</v>
      </c>
      <c r="J26" s="10">
        <f t="shared" si="0"/>
        <v>30722800.629263818</v>
      </c>
      <c r="K26" s="10"/>
      <c r="L26" s="14"/>
      <c r="M26" s="33" t="s">
        <v>18</v>
      </c>
      <c r="N26" s="33">
        <v>-2309983.6109449929</v>
      </c>
      <c r="O26" s="33">
        <v>379554.38974978763</v>
      </c>
      <c r="P26" s="33">
        <v>-6.0860410874652136</v>
      </c>
      <c r="Q26" s="33">
        <v>1.6561264063716167E-8</v>
      </c>
      <c r="R26" s="33">
        <v>-3062021.9810077972</v>
      </c>
      <c r="S26" s="33">
        <v>-1557945.2408821885</v>
      </c>
      <c r="T26" s="33">
        <v>-3062021.9810077972</v>
      </c>
      <c r="U26" s="33">
        <v>-1557945.2408821885</v>
      </c>
    </row>
    <row r="27" spans="1:21" x14ac:dyDescent="0.25">
      <c r="A27" s="3">
        <v>38322</v>
      </c>
      <c r="B27" s="130">
        <v>37443527.920000002</v>
      </c>
      <c r="C27" s="131">
        <v>636.70000000000005</v>
      </c>
      <c r="D27" s="131">
        <v>0</v>
      </c>
      <c r="E27" s="132">
        <v>31</v>
      </c>
      <c r="F27" s="132">
        <v>0</v>
      </c>
      <c r="G27" s="18">
        <v>0</v>
      </c>
      <c r="H27" s="132">
        <v>0</v>
      </c>
      <c r="I27" s="133">
        <v>694.4</v>
      </c>
      <c r="J27" s="10">
        <f t="shared" si="0"/>
        <v>36871444.345178336</v>
      </c>
      <c r="K27" s="10"/>
      <c r="L27" s="14"/>
      <c r="M27" s="33" t="s">
        <v>71</v>
      </c>
      <c r="N27" s="33">
        <v>-3.2285633367569306</v>
      </c>
      <c r="O27" s="33">
        <v>0.39215560403640726</v>
      </c>
      <c r="P27" s="33">
        <v>-8.232862933809292</v>
      </c>
      <c r="Q27" s="33">
        <v>3.7392433201600061E-13</v>
      </c>
      <c r="R27" s="33">
        <v>-4.0055693976404596</v>
      </c>
      <c r="S27" s="33">
        <v>-2.4515572758734017</v>
      </c>
      <c r="T27" s="33">
        <v>-4.0055693976404596</v>
      </c>
      <c r="U27" s="33">
        <v>-2.4515572758734017</v>
      </c>
    </row>
    <row r="28" spans="1:21" x14ac:dyDescent="0.25">
      <c r="A28" s="3">
        <v>38353</v>
      </c>
      <c r="B28" s="130">
        <v>38588369.75</v>
      </c>
      <c r="C28" s="131">
        <v>765.8</v>
      </c>
      <c r="D28" s="131">
        <v>0</v>
      </c>
      <c r="E28" s="132">
        <v>31</v>
      </c>
      <c r="F28" s="132">
        <v>0</v>
      </c>
      <c r="G28" s="18">
        <v>0</v>
      </c>
      <c r="H28" s="132">
        <v>0</v>
      </c>
      <c r="I28" s="133">
        <v>683.8</v>
      </c>
      <c r="J28" s="10">
        <f t="shared" si="0"/>
        <v>37841357.119227856</v>
      </c>
      <c r="K28" s="10"/>
      <c r="L28" s="14"/>
      <c r="M28" s="33" t="s">
        <v>169</v>
      </c>
      <c r="N28" s="33">
        <v>-1808821.7045767605</v>
      </c>
      <c r="O28" s="33">
        <v>610068.84171644249</v>
      </c>
      <c r="P28" s="33">
        <v>-2.964946873024362</v>
      </c>
      <c r="Q28" s="33">
        <v>3.6999413071031094E-3</v>
      </c>
      <c r="R28" s="33">
        <v>-3017594.9126879522</v>
      </c>
      <c r="S28" s="33">
        <v>-600048.4964655689</v>
      </c>
      <c r="T28" s="33">
        <v>-3017594.9126879522</v>
      </c>
      <c r="U28" s="33">
        <v>-600048.4964655689</v>
      </c>
    </row>
    <row r="29" spans="1:21" ht="13.8" thickBot="1" x14ac:dyDescent="0.3">
      <c r="A29" s="3">
        <v>38384</v>
      </c>
      <c r="B29" s="130">
        <v>32788469.75</v>
      </c>
      <c r="C29" s="131">
        <v>641.70000000000005</v>
      </c>
      <c r="D29" s="131">
        <v>0</v>
      </c>
      <c r="E29" s="132">
        <v>28</v>
      </c>
      <c r="F29" s="132">
        <v>0</v>
      </c>
      <c r="G29" s="18">
        <v>0</v>
      </c>
      <c r="H29" s="132">
        <v>0</v>
      </c>
      <c r="I29" s="133">
        <v>681.8</v>
      </c>
      <c r="J29" s="10">
        <f t="shared" si="0"/>
        <v>33093576.571598768</v>
      </c>
      <c r="K29" s="10"/>
      <c r="L29" s="14"/>
      <c r="M29" s="47" t="s">
        <v>175</v>
      </c>
      <c r="N29" s="47">
        <v>47704.431440123415</v>
      </c>
      <c r="O29" s="47">
        <v>8090.7030688358918</v>
      </c>
      <c r="P29" s="47">
        <v>5.8962034614610115</v>
      </c>
      <c r="Q29" s="47">
        <v>4.0076910734659065E-8</v>
      </c>
      <c r="R29" s="47">
        <v>31673.740416998771</v>
      </c>
      <c r="S29" s="47">
        <v>63735.122463248059</v>
      </c>
      <c r="T29" s="47">
        <v>31673.740416998771</v>
      </c>
      <c r="U29" s="47">
        <v>63735.122463248059</v>
      </c>
    </row>
    <row r="30" spans="1:21" x14ac:dyDescent="0.25">
      <c r="A30" s="3">
        <v>38412</v>
      </c>
      <c r="B30" s="130">
        <v>33560528.75</v>
      </c>
      <c r="C30" s="131">
        <v>646.9</v>
      </c>
      <c r="D30" s="131">
        <v>0</v>
      </c>
      <c r="E30" s="132">
        <v>31</v>
      </c>
      <c r="F30" s="132">
        <v>1</v>
      </c>
      <c r="G30" s="18">
        <v>0</v>
      </c>
      <c r="H30" s="132">
        <v>0</v>
      </c>
      <c r="I30" s="133">
        <v>666.7</v>
      </c>
      <c r="J30" s="10">
        <f t="shared" si="0"/>
        <v>33356631.356096465</v>
      </c>
      <c r="K30" s="10"/>
      <c r="L30" s="14"/>
    </row>
    <row r="31" spans="1:21" x14ac:dyDescent="0.25">
      <c r="A31" s="3">
        <v>38443</v>
      </c>
      <c r="B31" s="130">
        <v>28067409.75</v>
      </c>
      <c r="C31" s="131">
        <v>339</v>
      </c>
      <c r="D31" s="131">
        <v>0</v>
      </c>
      <c r="E31" s="132">
        <v>30</v>
      </c>
      <c r="F31" s="132">
        <v>1</v>
      </c>
      <c r="G31" s="18">
        <v>0</v>
      </c>
      <c r="H31" s="132">
        <v>0</v>
      </c>
      <c r="I31" s="133">
        <v>668.5</v>
      </c>
      <c r="J31" s="10">
        <f t="shared" si="0"/>
        <v>28845301.422918443</v>
      </c>
      <c r="K31" s="10"/>
      <c r="L31" s="14"/>
    </row>
    <row r="32" spans="1:21" x14ac:dyDescent="0.25">
      <c r="A32" s="3">
        <v>38473</v>
      </c>
      <c r="B32" s="130">
        <v>28033375.75</v>
      </c>
      <c r="C32" s="131">
        <v>212.7</v>
      </c>
      <c r="D32" s="131">
        <v>0</v>
      </c>
      <c r="E32" s="132">
        <v>31</v>
      </c>
      <c r="F32" s="132">
        <v>1</v>
      </c>
      <c r="G32" s="18">
        <v>0</v>
      </c>
      <c r="H32" s="132">
        <v>0</v>
      </c>
      <c r="I32" s="133">
        <v>673.2</v>
      </c>
      <c r="J32" s="10">
        <f t="shared" si="0"/>
        <v>28703915.998690415</v>
      </c>
      <c r="K32" s="10"/>
      <c r="L32" s="14"/>
    </row>
    <row r="33" spans="1:12" x14ac:dyDescent="0.25">
      <c r="A33" s="3">
        <v>38504</v>
      </c>
      <c r="B33" s="130">
        <v>34051462.75</v>
      </c>
      <c r="C33" s="131">
        <v>13.1</v>
      </c>
      <c r="D33" s="131">
        <v>119.6</v>
      </c>
      <c r="E33" s="132">
        <v>30</v>
      </c>
      <c r="F33" s="132">
        <v>0</v>
      </c>
      <c r="G33" s="18">
        <v>0</v>
      </c>
      <c r="H33" s="132">
        <v>1</v>
      </c>
      <c r="I33" s="133">
        <v>689.8</v>
      </c>
      <c r="J33" s="10">
        <f t="shared" si="0"/>
        <v>34916489.575256132</v>
      </c>
      <c r="K33" s="10"/>
      <c r="L33" s="14"/>
    </row>
    <row r="34" spans="1:12" x14ac:dyDescent="0.25">
      <c r="A34" s="3">
        <v>38534</v>
      </c>
      <c r="B34" s="130">
        <v>38068286.75</v>
      </c>
      <c r="C34" s="131">
        <v>1.1000000000000001</v>
      </c>
      <c r="D34" s="131">
        <v>144.69999999999999</v>
      </c>
      <c r="E34" s="132">
        <v>31</v>
      </c>
      <c r="F34" s="132">
        <v>0</v>
      </c>
      <c r="G34" s="18">
        <v>0</v>
      </c>
      <c r="H34" s="132">
        <v>1</v>
      </c>
      <c r="I34" s="133">
        <v>697.3</v>
      </c>
      <c r="J34" s="10">
        <f t="shared" si="0"/>
        <v>37952552.308440119</v>
      </c>
      <c r="K34" s="10"/>
      <c r="L34" s="14"/>
    </row>
    <row r="35" spans="1:12" x14ac:dyDescent="0.25">
      <c r="A35" s="3">
        <v>38565</v>
      </c>
      <c r="B35" s="130">
        <v>35835109.75</v>
      </c>
      <c r="C35" s="131">
        <v>3.8</v>
      </c>
      <c r="D35" s="131">
        <v>102.5</v>
      </c>
      <c r="E35" s="132">
        <v>31</v>
      </c>
      <c r="F35" s="132">
        <v>0</v>
      </c>
      <c r="G35" s="18">
        <v>0</v>
      </c>
      <c r="H35" s="132">
        <v>1</v>
      </c>
      <c r="I35" s="133">
        <v>699.3</v>
      </c>
      <c r="J35" s="10">
        <f t="shared" si="0"/>
        <v>35157679.993112445</v>
      </c>
      <c r="K35" s="10"/>
      <c r="L35" s="14"/>
    </row>
    <row r="36" spans="1:12" x14ac:dyDescent="0.25">
      <c r="A36" s="3">
        <v>38596</v>
      </c>
      <c r="B36" s="130">
        <v>30006886.75</v>
      </c>
      <c r="C36" s="131">
        <v>32.799999999999997</v>
      </c>
      <c r="D36" s="131">
        <v>25.6</v>
      </c>
      <c r="E36" s="132">
        <v>30</v>
      </c>
      <c r="F36" s="132">
        <v>1</v>
      </c>
      <c r="G36" s="18">
        <v>0</v>
      </c>
      <c r="H36" s="132">
        <v>0</v>
      </c>
      <c r="I36" s="133">
        <v>694.4</v>
      </c>
      <c r="J36" s="10">
        <f t="shared" ref="J36:J67" si="1">$N$22+C36*$N$23+D36*$N$24+E36*$N$25+F36*$N$26+G36*$N$27+H36*$N$28+I36*$N$29</f>
        <v>28353125.937154565</v>
      </c>
      <c r="K36" s="10"/>
      <c r="L36" s="14"/>
    </row>
    <row r="37" spans="1:12" x14ac:dyDescent="0.25">
      <c r="A37" s="3">
        <v>38626</v>
      </c>
      <c r="B37" s="130">
        <v>29588398.75</v>
      </c>
      <c r="C37" s="131">
        <v>234.2</v>
      </c>
      <c r="D37" s="131">
        <v>7.6</v>
      </c>
      <c r="E37" s="132">
        <v>31</v>
      </c>
      <c r="F37" s="132">
        <v>1</v>
      </c>
      <c r="G37" s="18">
        <v>0</v>
      </c>
      <c r="H37" s="132">
        <v>0</v>
      </c>
      <c r="I37" s="133">
        <v>690.1</v>
      </c>
      <c r="J37" s="10">
        <f t="shared" si="1"/>
        <v>30281942.704552706</v>
      </c>
      <c r="K37" s="10"/>
      <c r="L37" s="14"/>
    </row>
    <row r="38" spans="1:12" x14ac:dyDescent="0.25">
      <c r="A38" s="3">
        <v>38657</v>
      </c>
      <c r="B38" s="130">
        <v>31614192.75</v>
      </c>
      <c r="C38" s="131">
        <v>396.3</v>
      </c>
      <c r="D38" s="131">
        <v>0</v>
      </c>
      <c r="E38" s="132">
        <v>30</v>
      </c>
      <c r="F38" s="132">
        <v>1</v>
      </c>
      <c r="G38" s="18">
        <v>0</v>
      </c>
      <c r="H38" s="132">
        <v>0</v>
      </c>
      <c r="I38" s="133">
        <v>687.2</v>
      </c>
      <c r="J38" s="10">
        <f t="shared" si="1"/>
        <v>30392298.531911027</v>
      </c>
      <c r="K38" s="10"/>
      <c r="L38" s="14"/>
    </row>
    <row r="39" spans="1:12" x14ac:dyDescent="0.25">
      <c r="A39" s="3">
        <v>38687</v>
      </c>
      <c r="B39" s="130">
        <v>37747215.75</v>
      </c>
      <c r="C39" s="131">
        <v>688.8</v>
      </c>
      <c r="D39" s="131">
        <v>0</v>
      </c>
      <c r="E39" s="132">
        <v>31</v>
      </c>
      <c r="F39" s="132">
        <v>0</v>
      </c>
      <c r="G39" s="18">
        <v>0</v>
      </c>
      <c r="H39" s="132">
        <v>0</v>
      </c>
      <c r="I39" s="133">
        <v>685.8</v>
      </c>
      <c r="J39" s="10">
        <f t="shared" si="1"/>
        <v>37056675.815235585</v>
      </c>
      <c r="K39" s="10"/>
      <c r="L39" s="14"/>
    </row>
    <row r="40" spans="1:12" x14ac:dyDescent="0.25">
      <c r="A40" s="3">
        <v>38718</v>
      </c>
      <c r="B40" s="130">
        <v>35087684.75</v>
      </c>
      <c r="C40" s="131">
        <v>554.70000000000005</v>
      </c>
      <c r="D40" s="131">
        <v>0</v>
      </c>
      <c r="E40" s="132">
        <v>31</v>
      </c>
      <c r="F40" s="132">
        <v>0</v>
      </c>
      <c r="G40" s="18">
        <f>'CDM Activity'!F16</f>
        <v>20705.128205128207</v>
      </c>
      <c r="H40" s="132">
        <v>0</v>
      </c>
      <c r="I40" s="133">
        <v>682.9</v>
      </c>
      <c r="J40" s="10">
        <f t="shared" si="1"/>
        <v>35318756.686803885</v>
      </c>
      <c r="K40" s="10"/>
      <c r="L40" s="14"/>
    </row>
    <row r="41" spans="1:12" x14ac:dyDescent="0.25">
      <c r="A41" s="3">
        <v>38749</v>
      </c>
      <c r="B41" s="130">
        <v>32387945.75</v>
      </c>
      <c r="C41" s="131">
        <v>602.79999999999995</v>
      </c>
      <c r="D41" s="131">
        <v>0</v>
      </c>
      <c r="E41" s="132">
        <v>28</v>
      </c>
      <c r="F41" s="132">
        <v>0</v>
      </c>
      <c r="G41" s="18">
        <f>'CDM Activity'!F17</f>
        <v>41410.256410256414</v>
      </c>
      <c r="H41" s="132">
        <v>0</v>
      </c>
      <c r="I41" s="133">
        <v>676.8</v>
      </c>
      <c r="J41" s="10">
        <f t="shared" si="1"/>
        <v>32276741.798379261</v>
      </c>
      <c r="K41" s="10"/>
      <c r="L41" s="14"/>
    </row>
    <row r="42" spans="1:12" x14ac:dyDescent="0.25">
      <c r="A42" s="3">
        <v>38777</v>
      </c>
      <c r="B42" s="130">
        <v>32659458.75</v>
      </c>
      <c r="C42" s="131">
        <v>530.4</v>
      </c>
      <c r="D42" s="131">
        <v>0</v>
      </c>
      <c r="E42" s="132">
        <v>31</v>
      </c>
      <c r="F42" s="132">
        <v>1</v>
      </c>
      <c r="G42" s="18">
        <f>'CDM Activity'!F18</f>
        <v>62115.384615384624</v>
      </c>
      <c r="H42" s="132">
        <v>0</v>
      </c>
      <c r="I42" s="133">
        <v>671.7</v>
      </c>
      <c r="J42" s="10">
        <f t="shared" si="1"/>
        <v>32063045.067143604</v>
      </c>
      <c r="K42" s="10"/>
      <c r="L42" s="14"/>
    </row>
    <row r="43" spans="1:12" x14ac:dyDescent="0.25">
      <c r="A43" s="3">
        <v>38808</v>
      </c>
      <c r="B43" s="130">
        <v>26787900.75</v>
      </c>
      <c r="C43" s="131">
        <v>314.60000000000002</v>
      </c>
      <c r="D43" s="131">
        <v>0</v>
      </c>
      <c r="E43" s="132">
        <v>30</v>
      </c>
      <c r="F43" s="132">
        <v>1</v>
      </c>
      <c r="G43" s="18">
        <f>'CDM Activity'!F19</f>
        <v>82820.512820512828</v>
      </c>
      <c r="H43" s="132">
        <v>0</v>
      </c>
      <c r="I43" s="133">
        <v>672.3</v>
      </c>
      <c r="J43" s="10">
        <f t="shared" si="1"/>
        <v>28480301.27595045</v>
      </c>
      <c r="K43" s="10"/>
      <c r="L43" s="14"/>
    </row>
    <row r="44" spans="1:12" x14ac:dyDescent="0.25">
      <c r="A44" s="3">
        <v>38838</v>
      </c>
      <c r="B44" s="130">
        <v>27503586.75</v>
      </c>
      <c r="C44" s="131">
        <v>155.5</v>
      </c>
      <c r="D44" s="131">
        <v>22.4</v>
      </c>
      <c r="E44" s="132">
        <v>31</v>
      </c>
      <c r="F44" s="132">
        <v>1</v>
      </c>
      <c r="G44" s="18">
        <f>'CDM Activity'!F20</f>
        <v>103525.64102564103</v>
      </c>
      <c r="H44" s="132">
        <v>0</v>
      </c>
      <c r="I44" s="133">
        <v>683.8</v>
      </c>
      <c r="J44" s="10">
        <f t="shared" si="1"/>
        <v>29772121.128282726</v>
      </c>
      <c r="K44" s="10"/>
      <c r="L44" s="14"/>
    </row>
    <row r="45" spans="1:12" x14ac:dyDescent="0.25">
      <c r="A45" s="3">
        <v>38869</v>
      </c>
      <c r="B45" s="130">
        <v>29952374.75</v>
      </c>
      <c r="C45" s="131">
        <v>26.7</v>
      </c>
      <c r="D45" s="131">
        <v>43.2</v>
      </c>
      <c r="E45" s="132">
        <v>30</v>
      </c>
      <c r="F45" s="132">
        <v>0</v>
      </c>
      <c r="G45" s="18">
        <f>'CDM Activity'!F21</f>
        <v>124230.76923076923</v>
      </c>
      <c r="H45" s="132">
        <v>1</v>
      </c>
      <c r="I45" s="133">
        <v>697.8</v>
      </c>
      <c r="J45" s="10">
        <f t="shared" si="1"/>
        <v>29763970.548632219</v>
      </c>
      <c r="K45" s="10"/>
      <c r="L45" s="14"/>
    </row>
    <row r="46" spans="1:12" x14ac:dyDescent="0.25">
      <c r="A46" s="3">
        <v>38899</v>
      </c>
      <c r="B46" s="130">
        <v>36277084.75</v>
      </c>
      <c r="C46" s="131">
        <v>1.9</v>
      </c>
      <c r="D46" s="131">
        <v>136.1</v>
      </c>
      <c r="E46" s="132">
        <v>31</v>
      </c>
      <c r="F46" s="132">
        <v>0</v>
      </c>
      <c r="G46" s="18">
        <f>'CDM Activity'!F22</f>
        <v>144935.89743589744</v>
      </c>
      <c r="H46" s="132">
        <v>1</v>
      </c>
      <c r="I46" s="133">
        <v>705.9</v>
      </c>
      <c r="J46" s="10">
        <f t="shared" si="1"/>
        <v>37308715.77362898</v>
      </c>
      <c r="K46" s="10"/>
      <c r="L46" s="14"/>
    </row>
    <row r="47" spans="1:12" x14ac:dyDescent="0.25">
      <c r="A47" s="3">
        <v>38930</v>
      </c>
      <c r="B47" s="130">
        <v>33329529.75</v>
      </c>
      <c r="C47" s="131">
        <v>8.1</v>
      </c>
      <c r="D47" s="131">
        <v>70.099999999999994</v>
      </c>
      <c r="E47" s="132">
        <v>31</v>
      </c>
      <c r="F47" s="132">
        <v>0</v>
      </c>
      <c r="G47" s="18">
        <f>'CDM Activity'!F23</f>
        <v>165641.02564102566</v>
      </c>
      <c r="H47" s="132">
        <v>1</v>
      </c>
      <c r="I47" s="133">
        <v>706.5</v>
      </c>
      <c r="J47" s="10">
        <f t="shared" si="1"/>
        <v>32772745.115786158</v>
      </c>
      <c r="K47" s="10"/>
      <c r="L47" s="14"/>
    </row>
    <row r="48" spans="1:12" x14ac:dyDescent="0.25">
      <c r="A48" s="3">
        <v>38961</v>
      </c>
      <c r="B48" s="130">
        <v>28064772.75</v>
      </c>
      <c r="C48" s="131">
        <v>105.3</v>
      </c>
      <c r="D48" s="131">
        <v>4.0999999999999996</v>
      </c>
      <c r="E48" s="132">
        <v>30</v>
      </c>
      <c r="F48" s="132">
        <v>1</v>
      </c>
      <c r="G48" s="18">
        <f>'CDM Activity'!F24</f>
        <v>186346.15384615387</v>
      </c>
      <c r="H48" s="132">
        <v>0</v>
      </c>
      <c r="I48" s="133">
        <v>699.3</v>
      </c>
      <c r="J48" s="10">
        <f t="shared" si="1"/>
        <v>27325644.330668621</v>
      </c>
      <c r="K48" s="10"/>
      <c r="L48" s="14"/>
    </row>
    <row r="49" spans="1:12" x14ac:dyDescent="0.25">
      <c r="A49" s="3">
        <v>38991</v>
      </c>
      <c r="B49" s="130">
        <v>30233030.75</v>
      </c>
      <c r="C49" s="131">
        <v>304.10000000000002</v>
      </c>
      <c r="D49" s="131">
        <v>0</v>
      </c>
      <c r="E49" s="132">
        <v>31</v>
      </c>
      <c r="F49" s="132">
        <v>1</v>
      </c>
      <c r="G49" s="18">
        <f>'CDM Activity'!F25</f>
        <v>207051.28205128209</v>
      </c>
      <c r="H49" s="132">
        <v>0</v>
      </c>
      <c r="I49" s="133">
        <v>693.6</v>
      </c>
      <c r="J49" s="10">
        <f t="shared" si="1"/>
        <v>30053286.679829754</v>
      </c>
      <c r="K49" s="10"/>
      <c r="L49" s="14"/>
    </row>
    <row r="50" spans="1:12" x14ac:dyDescent="0.25">
      <c r="A50" s="3">
        <v>39022</v>
      </c>
      <c r="B50" s="130">
        <v>31587657.75</v>
      </c>
      <c r="C50" s="131">
        <v>393.1</v>
      </c>
      <c r="D50" s="131">
        <v>0</v>
      </c>
      <c r="E50" s="132">
        <v>30</v>
      </c>
      <c r="F50" s="132">
        <v>1</v>
      </c>
      <c r="G50" s="18">
        <f>'CDM Activity'!F26</f>
        <v>227756.41025641031</v>
      </c>
      <c r="H50" s="132">
        <v>0</v>
      </c>
      <c r="I50" s="133">
        <v>683.4</v>
      </c>
      <c r="J50" s="10">
        <f t="shared" si="1"/>
        <v>29439120.52080721</v>
      </c>
      <c r="K50" s="10"/>
      <c r="L50" s="14"/>
    </row>
    <row r="51" spans="1:12" x14ac:dyDescent="0.25">
      <c r="A51" s="3">
        <v>39052</v>
      </c>
      <c r="B51" s="130">
        <v>34663729.75</v>
      </c>
      <c r="C51" s="131">
        <v>508.1</v>
      </c>
      <c r="D51" s="131">
        <v>0</v>
      </c>
      <c r="E51" s="132">
        <v>31</v>
      </c>
      <c r="F51" s="132">
        <v>0</v>
      </c>
      <c r="G51" s="18">
        <f>'CDM Activity'!F27</f>
        <v>248461.53846153853</v>
      </c>
      <c r="H51" s="132">
        <v>0</v>
      </c>
      <c r="I51" s="133">
        <v>681.3</v>
      </c>
      <c r="J51" s="10">
        <f t="shared" si="1"/>
        <v>33974477.603540197</v>
      </c>
      <c r="K51" s="10"/>
      <c r="L51" s="14"/>
    </row>
    <row r="52" spans="1:12" x14ac:dyDescent="0.25">
      <c r="A52" s="3">
        <v>39083</v>
      </c>
      <c r="B52" s="130">
        <v>35889157.579999998</v>
      </c>
      <c r="C52" s="131">
        <v>665.6</v>
      </c>
      <c r="D52" s="131">
        <v>0</v>
      </c>
      <c r="E52" s="132">
        <v>31</v>
      </c>
      <c r="F52" s="132">
        <v>0</v>
      </c>
      <c r="G52" s="18">
        <f>'CDM Activity'!F28</f>
        <v>264326.42998027621</v>
      </c>
      <c r="H52" s="132">
        <v>0</v>
      </c>
      <c r="I52" s="133">
        <v>674.2</v>
      </c>
      <c r="J52" s="10">
        <f t="shared" si="1"/>
        <v>35384739.765455544</v>
      </c>
      <c r="K52" s="10"/>
      <c r="L52" s="14"/>
    </row>
    <row r="53" spans="1:12" x14ac:dyDescent="0.25">
      <c r="A53" s="3">
        <v>39114</v>
      </c>
      <c r="B53" s="130">
        <v>34017543.579999998</v>
      </c>
      <c r="C53" s="131">
        <v>761.8</v>
      </c>
      <c r="D53" s="131">
        <v>0</v>
      </c>
      <c r="E53" s="132">
        <v>28</v>
      </c>
      <c r="F53" s="132">
        <v>0</v>
      </c>
      <c r="G53" s="18">
        <f>'CDM Activity'!F29</f>
        <v>280191.32149901387</v>
      </c>
      <c r="H53" s="132">
        <v>0</v>
      </c>
      <c r="I53" s="133">
        <v>672</v>
      </c>
      <c r="J53" s="10">
        <f t="shared" si="1"/>
        <v>33094169.781088956</v>
      </c>
      <c r="K53" s="10"/>
      <c r="L53" s="14"/>
    </row>
    <row r="54" spans="1:12" x14ac:dyDescent="0.25">
      <c r="A54" s="3">
        <v>39142</v>
      </c>
      <c r="B54" s="130">
        <v>32604793.579999998</v>
      </c>
      <c r="C54" s="131">
        <v>565.20000000000005</v>
      </c>
      <c r="D54" s="131">
        <v>0</v>
      </c>
      <c r="E54" s="132">
        <v>31</v>
      </c>
      <c r="F54" s="132">
        <v>1</v>
      </c>
      <c r="G54" s="18">
        <f>'CDM Activity'!F30</f>
        <v>296056.21301775152</v>
      </c>
      <c r="H54" s="132">
        <v>0</v>
      </c>
      <c r="I54" s="133">
        <v>670.7</v>
      </c>
      <c r="J54" s="10">
        <f t="shared" si="1"/>
        <v>31657802.890609726</v>
      </c>
      <c r="K54" s="10"/>
      <c r="L54" s="14"/>
    </row>
    <row r="55" spans="1:12" x14ac:dyDescent="0.25">
      <c r="A55" s="3">
        <v>39173</v>
      </c>
      <c r="B55" s="130">
        <v>28644658.579999998</v>
      </c>
      <c r="C55" s="131">
        <v>374.2</v>
      </c>
      <c r="D55" s="131">
        <v>0</v>
      </c>
      <c r="E55" s="132">
        <v>30</v>
      </c>
      <c r="F55" s="132">
        <v>1</v>
      </c>
      <c r="G55" s="18">
        <f>'CDM Activity'!F31</f>
        <v>311921.10453648918</v>
      </c>
      <c r="H55" s="132">
        <v>0</v>
      </c>
      <c r="I55" s="133">
        <v>679.7</v>
      </c>
      <c r="J55" s="10">
        <f t="shared" si="1"/>
        <v>28774860.94640803</v>
      </c>
      <c r="K55" s="10"/>
      <c r="L55" s="14"/>
    </row>
    <row r="56" spans="1:12" x14ac:dyDescent="0.25">
      <c r="A56" s="3">
        <v>39203</v>
      </c>
      <c r="B56" s="130">
        <v>27938155.579999998</v>
      </c>
      <c r="C56" s="131">
        <v>138.4</v>
      </c>
      <c r="D56" s="131">
        <v>23.3</v>
      </c>
      <c r="E56" s="132">
        <v>31</v>
      </c>
      <c r="F56" s="132">
        <v>1</v>
      </c>
      <c r="G56" s="18">
        <f>'CDM Activity'!F32</f>
        <v>327785.99605522683</v>
      </c>
      <c r="H56" s="132">
        <v>0</v>
      </c>
      <c r="I56" s="133">
        <v>694.3</v>
      </c>
      <c r="J56" s="10">
        <f t="shared" si="1"/>
        <v>29415829.528702803</v>
      </c>
      <c r="K56" s="10"/>
      <c r="L56" s="14"/>
    </row>
    <row r="57" spans="1:12" x14ac:dyDescent="0.25">
      <c r="A57" s="3">
        <v>39234</v>
      </c>
      <c r="B57" s="130">
        <v>32019208.579999998</v>
      </c>
      <c r="C57" s="131">
        <v>19.2</v>
      </c>
      <c r="D57" s="131">
        <v>74.2</v>
      </c>
      <c r="E57" s="132">
        <v>30</v>
      </c>
      <c r="F57" s="132">
        <v>0</v>
      </c>
      <c r="G57" s="18">
        <f>'CDM Activity'!F33</f>
        <v>343650.88757396449</v>
      </c>
      <c r="H57" s="132">
        <v>1</v>
      </c>
      <c r="I57" s="133">
        <v>705.6</v>
      </c>
      <c r="J57" s="10">
        <f t="shared" si="1"/>
        <v>31487792.52290608</v>
      </c>
      <c r="K57" s="10"/>
      <c r="L57" s="14"/>
    </row>
    <row r="58" spans="1:12" x14ac:dyDescent="0.25">
      <c r="A58" s="3">
        <v>39264</v>
      </c>
      <c r="B58" s="130">
        <v>32377215.579999998</v>
      </c>
      <c r="C58" s="131">
        <v>9.1999999999999993</v>
      </c>
      <c r="D58" s="131">
        <v>82</v>
      </c>
      <c r="E58" s="132">
        <v>31</v>
      </c>
      <c r="F58" s="132">
        <v>0</v>
      </c>
      <c r="G58" s="18">
        <f>'CDM Activity'!F34</f>
        <v>359515.77909270214</v>
      </c>
      <c r="H58" s="132">
        <v>1</v>
      </c>
      <c r="I58" s="133">
        <v>713.5</v>
      </c>
      <c r="J58" s="10">
        <f t="shared" si="1"/>
        <v>33317046.141213387</v>
      </c>
      <c r="K58" s="10"/>
      <c r="L58" s="14"/>
    </row>
    <row r="59" spans="1:12" x14ac:dyDescent="0.25">
      <c r="A59" s="3">
        <v>39295</v>
      </c>
      <c r="B59" s="130">
        <v>35026641.579999998</v>
      </c>
      <c r="C59" s="131">
        <v>8.4</v>
      </c>
      <c r="D59" s="131">
        <v>106</v>
      </c>
      <c r="E59" s="132">
        <v>31</v>
      </c>
      <c r="F59" s="132">
        <v>0</v>
      </c>
      <c r="G59" s="18">
        <f>'CDM Activity'!F35</f>
        <v>375380.6706114398</v>
      </c>
      <c r="H59" s="132">
        <v>1</v>
      </c>
      <c r="I59" s="133">
        <v>715</v>
      </c>
      <c r="J59" s="10">
        <f t="shared" si="1"/>
        <v>34989550.878950417</v>
      </c>
      <c r="K59" s="10"/>
      <c r="L59" s="14"/>
    </row>
    <row r="60" spans="1:12" x14ac:dyDescent="0.25">
      <c r="A60" s="3">
        <v>39326</v>
      </c>
      <c r="B60" s="130">
        <v>29896810.579999998</v>
      </c>
      <c r="C60" s="131">
        <v>55.2</v>
      </c>
      <c r="D60" s="131">
        <v>37.200000000000003</v>
      </c>
      <c r="E60" s="132">
        <v>30</v>
      </c>
      <c r="F60" s="132">
        <v>1</v>
      </c>
      <c r="G60" s="18">
        <f>'CDM Activity'!F36</f>
        <v>391245.56213017745</v>
      </c>
      <c r="H60" s="132">
        <v>0</v>
      </c>
      <c r="I60" s="133">
        <v>711</v>
      </c>
      <c r="J60" s="10">
        <f t="shared" si="1"/>
        <v>28940852.452809591</v>
      </c>
      <c r="K60" s="10"/>
      <c r="L60" s="14"/>
    </row>
    <row r="61" spans="1:12" x14ac:dyDescent="0.25">
      <c r="A61" s="3">
        <v>39356</v>
      </c>
      <c r="B61" s="130">
        <v>29518756.579999998</v>
      </c>
      <c r="C61" s="131">
        <v>157.80000000000001</v>
      </c>
      <c r="D61" s="131">
        <v>13</v>
      </c>
      <c r="E61" s="132">
        <v>31</v>
      </c>
      <c r="F61" s="132">
        <v>1</v>
      </c>
      <c r="G61" s="18">
        <f>'CDM Activity'!F37</f>
        <v>407110.45364891511</v>
      </c>
      <c r="H61" s="132">
        <v>0</v>
      </c>
      <c r="I61" s="133">
        <v>709.7</v>
      </c>
      <c r="J61" s="10">
        <f t="shared" si="1"/>
        <v>29403130.710315295</v>
      </c>
      <c r="K61" s="10"/>
      <c r="L61" s="14"/>
    </row>
    <row r="62" spans="1:12" x14ac:dyDescent="0.25">
      <c r="A62" s="3">
        <v>39387</v>
      </c>
      <c r="B62" s="130">
        <v>30921287.98</v>
      </c>
      <c r="C62" s="131">
        <v>467.5</v>
      </c>
      <c r="D62" s="131">
        <v>0</v>
      </c>
      <c r="E62" s="132">
        <v>30</v>
      </c>
      <c r="F62" s="132">
        <v>1</v>
      </c>
      <c r="G62" s="18">
        <f>'CDM Activity'!F38</f>
        <v>422975.34516765276</v>
      </c>
      <c r="H62" s="132">
        <v>0</v>
      </c>
      <c r="I62" s="133">
        <v>705.1</v>
      </c>
      <c r="J62" s="10">
        <f t="shared" si="1"/>
        <v>30694402.82372525</v>
      </c>
      <c r="K62" s="10"/>
      <c r="L62" s="30"/>
    </row>
    <row r="63" spans="1:12" x14ac:dyDescent="0.25">
      <c r="A63" s="3">
        <v>39417</v>
      </c>
      <c r="B63" s="130">
        <v>36272680.579999998</v>
      </c>
      <c r="C63" s="131">
        <v>641</v>
      </c>
      <c r="D63" s="131">
        <v>0</v>
      </c>
      <c r="E63" s="132">
        <v>31</v>
      </c>
      <c r="F63" s="132">
        <v>0</v>
      </c>
      <c r="G63" s="18">
        <f>'CDM Activity'!F39</f>
        <v>438840.23668639042</v>
      </c>
      <c r="H63" s="132">
        <v>0</v>
      </c>
      <c r="I63" s="133">
        <v>703.1</v>
      </c>
      <c r="J63" s="10">
        <f t="shared" si="1"/>
        <v>35918797.292283729</v>
      </c>
      <c r="K63" s="10"/>
      <c r="L63" s="14"/>
    </row>
    <row r="64" spans="1:12" x14ac:dyDescent="0.25">
      <c r="A64" s="3">
        <v>39448</v>
      </c>
      <c r="B64" s="130">
        <v>35810334.329999998</v>
      </c>
      <c r="C64" s="131">
        <v>633.6</v>
      </c>
      <c r="D64" s="131">
        <v>0</v>
      </c>
      <c r="E64" s="132">
        <v>31</v>
      </c>
      <c r="F64" s="132">
        <v>0</v>
      </c>
      <c r="G64" s="18">
        <f>'CDM Activity'!F40</f>
        <v>438390.45668335597</v>
      </c>
      <c r="H64" s="132">
        <v>0</v>
      </c>
      <c r="I64" s="133">
        <v>696.7</v>
      </c>
      <c r="J64" s="10">
        <f t="shared" si="1"/>
        <v>35530360.980335176</v>
      </c>
      <c r="K64" s="10"/>
      <c r="L64" s="14"/>
    </row>
    <row r="65" spans="1:42" x14ac:dyDescent="0.25">
      <c r="A65" s="3">
        <v>39479</v>
      </c>
      <c r="B65" s="130">
        <v>32883861.329999998</v>
      </c>
      <c r="C65" s="131">
        <v>678.8</v>
      </c>
      <c r="D65" s="131">
        <v>0</v>
      </c>
      <c r="E65" s="132">
        <v>29</v>
      </c>
      <c r="F65" s="132">
        <v>0</v>
      </c>
      <c r="G65" s="18">
        <f>'CDM Activity'!F41</f>
        <v>437940.67668032151</v>
      </c>
      <c r="H65" s="132">
        <v>0</v>
      </c>
      <c r="I65" s="133">
        <v>692.8</v>
      </c>
      <c r="J65" s="10">
        <f t="shared" si="1"/>
        <v>33706429.765596956</v>
      </c>
      <c r="K65" s="10"/>
      <c r="L65" s="14"/>
    </row>
    <row r="66" spans="1:42" x14ac:dyDescent="0.25">
      <c r="A66" s="3">
        <v>39508</v>
      </c>
      <c r="B66" s="130">
        <v>31938647.329999998</v>
      </c>
      <c r="C66" s="131">
        <v>620.70000000000005</v>
      </c>
      <c r="D66" s="131">
        <v>0</v>
      </c>
      <c r="E66" s="132">
        <v>31</v>
      </c>
      <c r="F66" s="132">
        <v>1</v>
      </c>
      <c r="G66" s="18">
        <f>'CDM Activity'!F42</f>
        <v>437490.89667728706</v>
      </c>
      <c r="H66" s="132">
        <v>0</v>
      </c>
      <c r="I66" s="133">
        <v>690</v>
      </c>
      <c r="J66" s="10">
        <f t="shared" si="1"/>
        <v>32756218.28788894</v>
      </c>
      <c r="K66" s="10"/>
      <c r="L66" s="14"/>
    </row>
    <row r="67" spans="1:42" x14ac:dyDescent="0.25">
      <c r="A67" s="3">
        <v>39539</v>
      </c>
      <c r="B67" s="130">
        <v>28132254.329999998</v>
      </c>
      <c r="C67" s="131">
        <v>288.10000000000002</v>
      </c>
      <c r="D67" s="131">
        <v>0</v>
      </c>
      <c r="E67" s="132">
        <v>30</v>
      </c>
      <c r="F67" s="132">
        <v>1</v>
      </c>
      <c r="G67" s="18">
        <f>'CDM Activity'!F43</f>
        <v>437041.11667425261</v>
      </c>
      <c r="H67" s="132">
        <v>0</v>
      </c>
      <c r="I67" s="133">
        <v>695.6</v>
      </c>
      <c r="J67" s="10">
        <f t="shared" si="1"/>
        <v>28145302.699465975</v>
      </c>
      <c r="K67" s="10"/>
      <c r="L67" s="14"/>
    </row>
    <row r="68" spans="1:42" x14ac:dyDescent="0.25">
      <c r="A68" s="3">
        <v>39569</v>
      </c>
      <c r="B68" s="130">
        <v>27152520.329999998</v>
      </c>
      <c r="C68" s="131">
        <v>214.1</v>
      </c>
      <c r="D68" s="131">
        <v>0.3</v>
      </c>
      <c r="E68" s="132">
        <v>31</v>
      </c>
      <c r="F68" s="132">
        <v>1</v>
      </c>
      <c r="G68" s="18">
        <f>'CDM Activity'!F44</f>
        <v>436591.33667121816</v>
      </c>
      <c r="H68" s="132">
        <v>0</v>
      </c>
      <c r="I68" s="133">
        <v>704.6</v>
      </c>
      <c r="J68" s="10">
        <f t="shared" ref="J68:J99" si="2">$N$22+C68*$N$23+D68*$N$24+E68*$N$25+F68*$N$26+G68*$N$27+H68*$N$28+I68*$N$29</f>
        <v>28829040.411230799</v>
      </c>
      <c r="K68" s="10"/>
      <c r="L68" s="14"/>
    </row>
    <row r="69" spans="1:42" x14ac:dyDescent="0.25">
      <c r="A69" s="3">
        <v>39600</v>
      </c>
      <c r="B69" s="130">
        <v>30002892.329999998</v>
      </c>
      <c r="C69" s="131">
        <v>34.200000000000003</v>
      </c>
      <c r="D69" s="131">
        <v>55</v>
      </c>
      <c r="E69" s="132">
        <v>30</v>
      </c>
      <c r="F69" s="132">
        <v>0</v>
      </c>
      <c r="G69" s="18">
        <f>'CDM Activity'!F45</f>
        <v>436141.55666818371</v>
      </c>
      <c r="H69" s="132">
        <v>1</v>
      </c>
      <c r="I69" s="133">
        <v>719.7</v>
      </c>
      <c r="J69" s="10">
        <f t="shared" si="2"/>
        <v>30704209.006091926</v>
      </c>
      <c r="K69" s="10"/>
      <c r="L69" s="14"/>
    </row>
    <row r="70" spans="1:42" x14ac:dyDescent="0.25">
      <c r="A70" s="3">
        <v>39630</v>
      </c>
      <c r="B70" s="130">
        <v>34123826.329999998</v>
      </c>
      <c r="C70" s="131">
        <v>3.7</v>
      </c>
      <c r="D70" s="131">
        <v>87.7</v>
      </c>
      <c r="E70" s="132">
        <v>31</v>
      </c>
      <c r="F70" s="132">
        <v>0</v>
      </c>
      <c r="G70" s="18">
        <f>'CDM Activity'!F46</f>
        <v>435691.77666514926</v>
      </c>
      <c r="H70" s="132">
        <v>1</v>
      </c>
      <c r="I70" s="133">
        <v>726.3</v>
      </c>
      <c r="J70" s="10">
        <f t="shared" si="2"/>
        <v>34013422.011654779</v>
      </c>
      <c r="K70" s="10"/>
      <c r="L70" s="14"/>
    </row>
    <row r="71" spans="1:42" x14ac:dyDescent="0.25">
      <c r="A71" s="3">
        <v>39661</v>
      </c>
      <c r="B71" s="130">
        <v>31806390.329999998</v>
      </c>
      <c r="C71" s="131">
        <v>20.2</v>
      </c>
      <c r="D71" s="131">
        <v>45.2</v>
      </c>
      <c r="E71" s="132">
        <v>31</v>
      </c>
      <c r="F71" s="132">
        <v>0</v>
      </c>
      <c r="G71" s="18">
        <f>'CDM Activity'!F47</f>
        <v>435241.99666211481</v>
      </c>
      <c r="H71" s="132">
        <v>1</v>
      </c>
      <c r="I71" s="133">
        <v>730.4</v>
      </c>
      <c r="J71" s="10">
        <f t="shared" si="2"/>
        <v>31457145.182424989</v>
      </c>
      <c r="K71" s="10"/>
      <c r="L71" s="14"/>
    </row>
    <row r="72" spans="1:42" x14ac:dyDescent="0.25">
      <c r="A72" s="3">
        <v>39692</v>
      </c>
      <c r="B72" s="130">
        <v>28611094.329999998</v>
      </c>
      <c r="C72" s="131">
        <v>70.5</v>
      </c>
      <c r="D72" s="131">
        <v>19.8</v>
      </c>
      <c r="E72" s="132">
        <v>30</v>
      </c>
      <c r="F72" s="132">
        <v>1</v>
      </c>
      <c r="G72" s="18">
        <f>'CDM Activity'!F48</f>
        <v>434792.21665908035</v>
      </c>
      <c r="H72" s="132">
        <v>0</v>
      </c>
      <c r="I72" s="133">
        <v>722.4</v>
      </c>
      <c r="J72" s="10">
        <f t="shared" si="2"/>
        <v>28314513.196685765</v>
      </c>
      <c r="K72" s="10"/>
      <c r="L72" s="14"/>
    </row>
    <row r="73" spans="1:42" x14ac:dyDescent="0.25">
      <c r="A73" s="3">
        <v>39722</v>
      </c>
      <c r="B73" s="130">
        <v>28851748.329999998</v>
      </c>
      <c r="C73" s="131">
        <v>297.5</v>
      </c>
      <c r="D73" s="131">
        <v>0</v>
      </c>
      <c r="E73" s="132">
        <v>31</v>
      </c>
      <c r="F73" s="132">
        <v>1</v>
      </c>
      <c r="G73" s="18">
        <f>'CDM Activity'!F49</f>
        <v>434342.4366560459</v>
      </c>
      <c r="H73" s="132">
        <v>0</v>
      </c>
      <c r="I73" s="133">
        <v>717.1</v>
      </c>
      <c r="J73" s="10">
        <f t="shared" si="2"/>
        <v>30365080.63012892</v>
      </c>
      <c r="K73" s="10"/>
      <c r="L73" s="14"/>
    </row>
    <row r="74" spans="1:42" x14ac:dyDescent="0.25">
      <c r="A74" s="3">
        <v>39753</v>
      </c>
      <c r="B74" s="130">
        <v>30694201.329999998</v>
      </c>
      <c r="C74" s="131">
        <v>460.6</v>
      </c>
      <c r="D74" s="131">
        <v>0</v>
      </c>
      <c r="E74" s="132">
        <v>30</v>
      </c>
      <c r="F74" s="132">
        <v>1</v>
      </c>
      <c r="G74" s="18">
        <f>'CDM Activity'!F50</f>
        <v>433892.65665301145</v>
      </c>
      <c r="H74" s="132">
        <v>0</v>
      </c>
      <c r="I74" s="133">
        <v>704.5</v>
      </c>
      <c r="J74" s="10">
        <f t="shared" si="2"/>
        <v>30551667.710517876</v>
      </c>
      <c r="K74" s="10"/>
      <c r="L74" s="14"/>
    </row>
    <row r="75" spans="1:42" x14ac:dyDescent="0.25">
      <c r="A75" s="3">
        <v>39783</v>
      </c>
      <c r="B75" s="130">
        <v>36473843.329999998</v>
      </c>
      <c r="C75" s="131">
        <v>655.29999999999995</v>
      </c>
      <c r="D75" s="131">
        <v>0</v>
      </c>
      <c r="E75" s="132">
        <v>31</v>
      </c>
      <c r="F75" s="132">
        <v>0</v>
      </c>
      <c r="G75" s="18">
        <f>'CDM Activity'!F51</f>
        <v>433442.876649977</v>
      </c>
      <c r="H75" s="132">
        <v>0</v>
      </c>
      <c r="I75" s="133">
        <v>698.5</v>
      </c>
      <c r="J75" s="10">
        <f t="shared" si="2"/>
        <v>35880227.943092898</v>
      </c>
      <c r="K75" s="10"/>
      <c r="L75" s="14"/>
    </row>
    <row r="76" spans="1:42" s="15" customFormat="1" x14ac:dyDescent="0.25">
      <c r="A76" s="3">
        <v>39814</v>
      </c>
      <c r="B76" s="130">
        <v>37800449.630000003</v>
      </c>
      <c r="C76" s="141">
        <v>852.3</v>
      </c>
      <c r="D76" s="144">
        <v>0</v>
      </c>
      <c r="E76" s="10">
        <v>31</v>
      </c>
      <c r="F76" s="10">
        <v>0</v>
      </c>
      <c r="G76" s="18">
        <f>'CDM Activity'!F52</f>
        <v>467618.3315243395</v>
      </c>
      <c r="H76" s="132">
        <v>0</v>
      </c>
      <c r="I76" s="133">
        <v>687.1</v>
      </c>
      <c r="J76" s="10">
        <f t="shared" si="2"/>
        <v>37477719.062153555</v>
      </c>
      <c r="K76" s="10"/>
      <c r="L76" s="1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x14ac:dyDescent="0.25">
      <c r="A77" s="3">
        <v>39845</v>
      </c>
      <c r="B77" s="130">
        <v>31014615.609999999</v>
      </c>
      <c r="C77" s="141">
        <v>616.6</v>
      </c>
      <c r="D77" s="144">
        <v>0</v>
      </c>
      <c r="E77" s="10">
        <v>28</v>
      </c>
      <c r="F77" s="10">
        <v>0</v>
      </c>
      <c r="G77" s="18">
        <f>'CDM Activity'!F53</f>
        <v>501793.78639870201</v>
      </c>
      <c r="H77" s="132">
        <v>0</v>
      </c>
      <c r="I77" s="133">
        <v>678.3</v>
      </c>
      <c r="J77" s="10">
        <f t="shared" si="2"/>
        <v>31019651.505263459</v>
      </c>
      <c r="K77" s="10"/>
      <c r="L77" s="14"/>
    </row>
    <row r="78" spans="1:42" x14ac:dyDescent="0.25">
      <c r="A78" s="3">
        <v>39873</v>
      </c>
      <c r="B78" s="130">
        <v>31556113.079999998</v>
      </c>
      <c r="C78" s="141">
        <v>540.9</v>
      </c>
      <c r="D78" s="144">
        <v>0</v>
      </c>
      <c r="E78" s="10">
        <v>31</v>
      </c>
      <c r="F78" s="10">
        <v>1</v>
      </c>
      <c r="G78" s="18">
        <f>'CDM Activity'!F54</f>
        <v>535969.24127306452</v>
      </c>
      <c r="H78" s="132">
        <v>0</v>
      </c>
      <c r="I78" s="133">
        <v>674.9</v>
      </c>
      <c r="J78" s="10">
        <f t="shared" si="2"/>
        <v>30805844.35464875</v>
      </c>
      <c r="K78" s="10"/>
      <c r="L78" s="14"/>
    </row>
    <row r="79" spans="1:42" x14ac:dyDescent="0.25">
      <c r="A79" s="3">
        <v>39904</v>
      </c>
      <c r="B79" s="130">
        <v>26612953.649999999</v>
      </c>
      <c r="C79" s="141">
        <v>334.7</v>
      </c>
      <c r="D79" s="144">
        <v>1.7</v>
      </c>
      <c r="E79" s="10">
        <v>30</v>
      </c>
      <c r="F79" s="10">
        <v>1</v>
      </c>
      <c r="G79" s="18">
        <f>'CDM Activity'!F55</f>
        <v>570144.69614742708</v>
      </c>
      <c r="H79" s="132">
        <v>0</v>
      </c>
      <c r="I79" s="133">
        <v>677.1</v>
      </c>
      <c r="J79" s="10">
        <f t="shared" si="2"/>
        <v>27483339.693895996</v>
      </c>
      <c r="K79" s="10"/>
      <c r="L79" s="14"/>
    </row>
    <row r="80" spans="1:42" x14ac:dyDescent="0.25">
      <c r="A80" s="3">
        <v>39934</v>
      </c>
      <c r="B80" s="130">
        <v>28595341.850000001</v>
      </c>
      <c r="C80" s="141">
        <v>178.1</v>
      </c>
      <c r="D80" s="144">
        <v>0</v>
      </c>
      <c r="E80" s="10">
        <v>31</v>
      </c>
      <c r="F80" s="10">
        <v>1</v>
      </c>
      <c r="G80" s="18">
        <f>'CDM Activity'!F56</f>
        <v>604320.15102178964</v>
      </c>
      <c r="H80" s="132">
        <v>0</v>
      </c>
      <c r="I80" s="133">
        <v>687.9</v>
      </c>
      <c r="J80" s="10">
        <f t="shared" si="2"/>
        <v>27058616.169636581</v>
      </c>
      <c r="K80" s="10"/>
      <c r="L80" s="14"/>
    </row>
    <row r="81" spans="1:32" x14ac:dyDescent="0.25">
      <c r="A81" s="3">
        <v>39965</v>
      </c>
      <c r="B81" s="130">
        <v>22744026.079999998</v>
      </c>
      <c r="C81" s="141">
        <v>58.5</v>
      </c>
      <c r="D81" s="144">
        <v>30.2</v>
      </c>
      <c r="E81" s="10">
        <v>30</v>
      </c>
      <c r="F81" s="10">
        <v>0</v>
      </c>
      <c r="G81" s="18">
        <f>'CDM Activity'!F57</f>
        <v>638495.60589615221</v>
      </c>
      <c r="H81" s="132">
        <v>1</v>
      </c>
      <c r="I81" s="133">
        <v>696.5</v>
      </c>
      <c r="J81" s="10">
        <f t="shared" si="2"/>
        <v>27505206.291935414</v>
      </c>
      <c r="K81" s="10"/>
      <c r="L81" s="14"/>
    </row>
    <row r="82" spans="1:32" x14ac:dyDescent="0.25">
      <c r="A82" s="3">
        <v>39995</v>
      </c>
      <c r="B82" s="130">
        <v>28883170.920000002</v>
      </c>
      <c r="C82" s="141">
        <v>18.899999999999999</v>
      </c>
      <c r="D82" s="144">
        <v>21.7</v>
      </c>
      <c r="E82" s="10">
        <v>31</v>
      </c>
      <c r="F82" s="10">
        <v>0</v>
      </c>
      <c r="G82" s="18">
        <f>'CDM Activity'!F58</f>
        <v>672671.06077051477</v>
      </c>
      <c r="H82" s="132">
        <v>1</v>
      </c>
      <c r="I82" s="133">
        <v>700.8</v>
      </c>
      <c r="J82" s="10">
        <f t="shared" si="2"/>
        <v>27636978.564639419</v>
      </c>
      <c r="K82" s="10"/>
      <c r="L82" s="14"/>
    </row>
    <row r="83" spans="1:32" x14ac:dyDescent="0.25">
      <c r="A83" s="3">
        <v>40026</v>
      </c>
      <c r="B83" s="130">
        <v>32377530.809999999</v>
      </c>
      <c r="C83" s="141">
        <v>18.100000000000001</v>
      </c>
      <c r="D83" s="144">
        <v>69.7</v>
      </c>
      <c r="E83" s="10">
        <v>31</v>
      </c>
      <c r="F83" s="10">
        <v>0</v>
      </c>
      <c r="G83" s="18">
        <f>'CDM Activity'!F59</f>
        <v>706846.51564487733</v>
      </c>
      <c r="H83" s="132">
        <v>1</v>
      </c>
      <c r="I83" s="133">
        <v>701.6</v>
      </c>
      <c r="J83" s="10">
        <f t="shared" si="2"/>
        <v>30878286.078460425</v>
      </c>
      <c r="K83" s="10"/>
      <c r="L83" s="14"/>
    </row>
    <row r="84" spans="1:32" x14ac:dyDescent="0.25">
      <c r="A84" s="3">
        <v>40057</v>
      </c>
      <c r="B84" s="130">
        <v>27558765.280000001</v>
      </c>
      <c r="C84" s="141">
        <v>67.900000000000006</v>
      </c>
      <c r="D84" s="144">
        <v>13.3</v>
      </c>
      <c r="E84" s="10">
        <v>30</v>
      </c>
      <c r="F84" s="10">
        <v>1</v>
      </c>
      <c r="G84" s="18">
        <f>'CDM Activity'!F60</f>
        <v>741021.9705192399</v>
      </c>
      <c r="H84" s="132">
        <v>0</v>
      </c>
      <c r="I84" s="133">
        <v>698.8</v>
      </c>
      <c r="J84" s="10">
        <f t="shared" si="2"/>
        <v>25720350.274472147</v>
      </c>
      <c r="K84" s="10"/>
      <c r="L84" s="14"/>
    </row>
    <row r="85" spans="1:32" x14ac:dyDescent="0.25">
      <c r="A85" s="3">
        <v>40087</v>
      </c>
      <c r="B85" s="130">
        <v>27805773.739999998</v>
      </c>
      <c r="C85" s="141">
        <v>310.39999999999998</v>
      </c>
      <c r="D85" s="144">
        <v>0</v>
      </c>
      <c r="E85" s="10">
        <v>31</v>
      </c>
      <c r="F85" s="10">
        <v>1</v>
      </c>
      <c r="G85" s="18">
        <f>'CDM Activity'!F61</f>
        <v>775197.42539360246</v>
      </c>
      <c r="H85" s="132">
        <v>0</v>
      </c>
      <c r="I85" s="133">
        <v>703.9</v>
      </c>
      <c r="J85" s="10">
        <f t="shared" si="2"/>
        <v>28782353.892637726</v>
      </c>
      <c r="K85" s="10"/>
      <c r="L85" s="14"/>
    </row>
    <row r="86" spans="1:32" x14ac:dyDescent="0.25">
      <c r="A86" s="3">
        <v>40118</v>
      </c>
      <c r="B86" s="130">
        <v>28184886.140000001</v>
      </c>
      <c r="C86" s="141">
        <v>371.7</v>
      </c>
      <c r="D86" s="144">
        <v>0</v>
      </c>
      <c r="E86" s="10">
        <v>30</v>
      </c>
      <c r="F86" s="10">
        <v>1</v>
      </c>
      <c r="G86" s="18">
        <f>'CDM Activity'!F62</f>
        <v>809372.88026796503</v>
      </c>
      <c r="H86" s="132">
        <v>0</v>
      </c>
      <c r="I86" s="133">
        <v>701.1</v>
      </c>
      <c r="J86" s="10">
        <f t="shared" si="2"/>
        <v>28161106.85822811</v>
      </c>
      <c r="K86" s="10"/>
      <c r="L86" s="14"/>
    </row>
    <row r="87" spans="1:32" s="31" customFormat="1" x14ac:dyDescent="0.25">
      <c r="A87" s="3">
        <v>40148</v>
      </c>
      <c r="B87" s="130">
        <v>34747296.009999998</v>
      </c>
      <c r="C87" s="141">
        <v>643.6</v>
      </c>
      <c r="D87" s="144">
        <v>0</v>
      </c>
      <c r="E87" s="10">
        <v>31</v>
      </c>
      <c r="F87" s="10">
        <v>0</v>
      </c>
      <c r="G87" s="18">
        <f>'CDM Activity'!F63</f>
        <v>843548.33514232759</v>
      </c>
      <c r="H87" s="132">
        <v>0</v>
      </c>
      <c r="I87" s="133">
        <v>695</v>
      </c>
      <c r="J87" s="10">
        <f t="shared" si="2"/>
        <v>34255482.999165267</v>
      </c>
      <c r="K87" s="10"/>
      <c r="L87" s="1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5">
      <c r="A88" s="3">
        <v>40179</v>
      </c>
      <c r="B88" s="130">
        <v>35055254.890000001</v>
      </c>
      <c r="C88" s="141">
        <v>728.7</v>
      </c>
      <c r="D88" s="144">
        <v>0</v>
      </c>
      <c r="E88" s="10">
        <v>31</v>
      </c>
      <c r="F88" s="10">
        <v>0</v>
      </c>
      <c r="G88" s="18">
        <f>'CDM Activity'!F64</f>
        <v>816951.15537684131</v>
      </c>
      <c r="H88" s="132">
        <v>0</v>
      </c>
      <c r="I88" s="133">
        <v>683.8</v>
      </c>
      <c r="J88" s="10">
        <f t="shared" si="2"/>
        <v>34779735.127018392</v>
      </c>
      <c r="K88" s="10"/>
      <c r="L88" s="14"/>
    </row>
    <row r="89" spans="1:32" x14ac:dyDescent="0.25">
      <c r="A89" s="3">
        <v>40210</v>
      </c>
      <c r="B89" s="130">
        <v>29919682.469999999</v>
      </c>
      <c r="C89" s="141">
        <v>618.4</v>
      </c>
      <c r="D89" s="144">
        <v>0</v>
      </c>
      <c r="E89" s="10">
        <v>28</v>
      </c>
      <c r="F89" s="10">
        <v>0</v>
      </c>
      <c r="G89" s="18">
        <f>'CDM Activity'!F65</f>
        <v>790353.97561135504</v>
      </c>
      <c r="H89" s="132">
        <v>0</v>
      </c>
      <c r="I89" s="133">
        <v>675.2</v>
      </c>
      <c r="J89" s="10">
        <f t="shared" si="2"/>
        <v>29960706.456827912</v>
      </c>
      <c r="K89" s="10"/>
      <c r="L89" s="14"/>
    </row>
    <row r="90" spans="1:32" x14ac:dyDescent="0.25">
      <c r="A90" s="3">
        <v>40238</v>
      </c>
      <c r="B90" s="130">
        <v>29292829.460000001</v>
      </c>
      <c r="C90" s="141">
        <v>456.8</v>
      </c>
      <c r="D90" s="144">
        <v>0</v>
      </c>
      <c r="E90" s="10">
        <v>31</v>
      </c>
      <c r="F90" s="10">
        <v>1</v>
      </c>
      <c r="G90" s="18">
        <f>'CDM Activity'!F66</f>
        <v>763756.79584586876</v>
      </c>
      <c r="H90" s="132">
        <v>0</v>
      </c>
      <c r="I90" s="133">
        <v>672.4</v>
      </c>
      <c r="J90" s="10">
        <f t="shared" si="2"/>
        <v>28989915.390681546</v>
      </c>
      <c r="K90" s="10"/>
      <c r="L90" s="14"/>
    </row>
    <row r="91" spans="1:32" x14ac:dyDescent="0.25">
      <c r="A91" s="3">
        <v>40269</v>
      </c>
      <c r="B91" s="130">
        <v>25438254.800000001</v>
      </c>
      <c r="C91" s="141">
        <v>235.8</v>
      </c>
      <c r="D91" s="144">
        <v>0.8</v>
      </c>
      <c r="E91" s="10">
        <v>30</v>
      </c>
      <c r="F91" s="10">
        <v>1</v>
      </c>
      <c r="G91" s="18">
        <f>'CDM Activity'!F67</f>
        <v>737159.61608038249</v>
      </c>
      <c r="H91" s="132">
        <v>0</v>
      </c>
      <c r="I91" s="133">
        <v>673</v>
      </c>
      <c r="J91" s="10">
        <f t="shared" si="2"/>
        <v>25555832.525846925</v>
      </c>
      <c r="K91" s="10"/>
      <c r="L91" s="14"/>
    </row>
    <row r="92" spans="1:32" x14ac:dyDescent="0.25">
      <c r="A92" s="3">
        <v>40299</v>
      </c>
      <c r="B92" s="130">
        <v>28347226.620000001</v>
      </c>
      <c r="C92" s="141">
        <v>128.4</v>
      </c>
      <c r="D92" s="144">
        <v>28.8</v>
      </c>
      <c r="E92" s="10">
        <v>31</v>
      </c>
      <c r="F92" s="10">
        <v>1</v>
      </c>
      <c r="G92" s="18">
        <f>'CDM Activity'!F68</f>
        <v>710562.43631489621</v>
      </c>
      <c r="H92" s="132">
        <v>0</v>
      </c>
      <c r="I92" s="133">
        <v>682.7</v>
      </c>
      <c r="J92" s="10">
        <f t="shared" si="2"/>
        <v>27893060.210360505</v>
      </c>
      <c r="K92" s="10"/>
      <c r="L92" s="14"/>
    </row>
    <row r="93" spans="1:32" x14ac:dyDescent="0.25">
      <c r="A93" s="3">
        <v>40330</v>
      </c>
      <c r="B93" s="130">
        <v>30191752.949999999</v>
      </c>
      <c r="C93" s="141">
        <v>27.2</v>
      </c>
      <c r="D93" s="144">
        <v>44.8</v>
      </c>
      <c r="E93" s="10">
        <v>30</v>
      </c>
      <c r="F93" s="10">
        <v>0</v>
      </c>
      <c r="G93" s="18">
        <f>'CDM Activity'!F69</f>
        <v>683965.25654940994</v>
      </c>
      <c r="H93" s="132">
        <v>1</v>
      </c>
      <c r="I93" s="133">
        <v>699.2</v>
      </c>
      <c r="J93" s="10">
        <f t="shared" si="2"/>
        <v>28140087.559227612</v>
      </c>
      <c r="K93" s="10"/>
      <c r="L93" s="14"/>
    </row>
    <row r="94" spans="1:32" x14ac:dyDescent="0.25">
      <c r="A94" s="3">
        <v>40360</v>
      </c>
      <c r="B94" s="130">
        <v>36390486.810000002</v>
      </c>
      <c r="C94" s="141">
        <v>5.7</v>
      </c>
      <c r="D94" s="144">
        <v>121.6</v>
      </c>
      <c r="E94" s="10">
        <v>31</v>
      </c>
      <c r="F94" s="10">
        <v>0</v>
      </c>
      <c r="G94" s="18">
        <f>'CDM Activity'!F70</f>
        <v>657368.07678392367</v>
      </c>
      <c r="H94" s="132">
        <v>1</v>
      </c>
      <c r="I94" s="133">
        <v>706.9</v>
      </c>
      <c r="J94" s="10">
        <f t="shared" si="2"/>
        <v>34741723.728288375</v>
      </c>
      <c r="K94" s="10"/>
      <c r="L94" s="14"/>
    </row>
    <row r="95" spans="1:32" x14ac:dyDescent="0.25">
      <c r="A95" s="3">
        <v>40391</v>
      </c>
      <c r="B95" s="130">
        <v>34769306.909999996</v>
      </c>
      <c r="C95" s="141">
        <v>6.9</v>
      </c>
      <c r="D95" s="144">
        <v>95.6</v>
      </c>
      <c r="E95" s="10">
        <v>31</v>
      </c>
      <c r="F95" s="10">
        <v>0</v>
      </c>
      <c r="G95" s="18">
        <f>'CDM Activity'!F71</f>
        <v>630770.89701843739</v>
      </c>
      <c r="H95" s="132">
        <v>1</v>
      </c>
      <c r="I95" s="133">
        <v>711.5</v>
      </c>
      <c r="J95" s="10">
        <f t="shared" si="2"/>
        <v>33260995.067358382</v>
      </c>
      <c r="K95" s="10"/>
      <c r="L95" s="14"/>
    </row>
    <row r="96" spans="1:32" x14ac:dyDescent="0.25">
      <c r="A96" s="3">
        <v>40422</v>
      </c>
      <c r="B96" s="130">
        <v>28631797.66</v>
      </c>
      <c r="C96" s="141">
        <v>97.2</v>
      </c>
      <c r="D96" s="144">
        <v>24.2</v>
      </c>
      <c r="E96" s="10">
        <v>30</v>
      </c>
      <c r="F96" s="10">
        <v>1</v>
      </c>
      <c r="G96" s="18">
        <f>'CDM Activity'!F72</f>
        <v>604173.71725295112</v>
      </c>
      <c r="H96" s="132">
        <v>0</v>
      </c>
      <c r="I96" s="133">
        <v>705</v>
      </c>
      <c r="J96" s="10">
        <f t="shared" si="2"/>
        <v>27547345.303147219</v>
      </c>
      <c r="K96" s="10"/>
      <c r="L96" s="14"/>
    </row>
    <row r="97" spans="1:12" x14ac:dyDescent="0.25">
      <c r="A97" s="3">
        <v>40452</v>
      </c>
      <c r="B97" s="130">
        <v>28407067.149999999</v>
      </c>
      <c r="C97" s="141">
        <v>260.8</v>
      </c>
      <c r="D97" s="144">
        <v>0</v>
      </c>
      <c r="E97" s="10">
        <v>31</v>
      </c>
      <c r="F97" s="10">
        <v>1</v>
      </c>
      <c r="G97" s="18">
        <f>'CDM Activity'!F73</f>
        <v>577576.53748746484</v>
      </c>
      <c r="H97" s="132">
        <v>0</v>
      </c>
      <c r="I97" s="133">
        <v>702.8</v>
      </c>
      <c r="J97" s="10">
        <f t="shared" si="2"/>
        <v>28800995.34694967</v>
      </c>
      <c r="K97" s="10"/>
      <c r="L97" s="14"/>
    </row>
    <row r="98" spans="1:12" x14ac:dyDescent="0.25">
      <c r="A98" s="3">
        <v>40483</v>
      </c>
      <c r="B98" s="130">
        <v>29515328.84</v>
      </c>
      <c r="C98" s="141">
        <v>416.7</v>
      </c>
      <c r="D98" s="144">
        <v>0</v>
      </c>
      <c r="E98" s="10">
        <v>30</v>
      </c>
      <c r="F98" s="10">
        <v>1</v>
      </c>
      <c r="G98" s="18">
        <f>'CDM Activity'!F74</f>
        <v>550979.35772197857</v>
      </c>
      <c r="H98" s="132">
        <v>0</v>
      </c>
      <c r="I98" s="133">
        <v>698.8</v>
      </c>
      <c r="J98" s="10">
        <f t="shared" si="2"/>
        <v>29399964.928474478</v>
      </c>
      <c r="K98" s="10"/>
      <c r="L98" s="14"/>
    </row>
    <row r="99" spans="1:12" x14ac:dyDescent="0.25">
      <c r="A99" s="3">
        <v>40513</v>
      </c>
      <c r="B99" s="130">
        <v>35981970.210000001</v>
      </c>
      <c r="C99" s="141">
        <v>695.9</v>
      </c>
      <c r="D99" s="144">
        <v>0</v>
      </c>
      <c r="E99" s="10">
        <v>31</v>
      </c>
      <c r="F99" s="10">
        <v>0</v>
      </c>
      <c r="G99" s="18">
        <f>'CDM Activity'!F75</f>
        <v>524382.17795649229</v>
      </c>
      <c r="H99" s="132">
        <v>0</v>
      </c>
      <c r="I99" s="133">
        <v>696.2</v>
      </c>
      <c r="J99" s="10">
        <f t="shared" si="2"/>
        <v>35940951.999244899</v>
      </c>
      <c r="K99" s="10"/>
      <c r="L99" s="14"/>
    </row>
    <row r="100" spans="1:12" x14ac:dyDescent="0.25">
      <c r="A100" s="3">
        <v>40544</v>
      </c>
      <c r="B100" s="130">
        <v>35989667.369999997</v>
      </c>
      <c r="C100" s="141">
        <v>804.3</v>
      </c>
      <c r="D100" s="144">
        <v>0</v>
      </c>
      <c r="E100" s="10">
        <v>31</v>
      </c>
      <c r="F100" s="10">
        <v>0</v>
      </c>
      <c r="G100" s="18">
        <f>'CDM Activity'!F76</f>
        <v>548512.39416831394</v>
      </c>
      <c r="H100" s="132">
        <v>0</v>
      </c>
      <c r="I100" s="133">
        <v>692.1</v>
      </c>
      <c r="J100" s="10">
        <f t="shared" ref="J100:J131" si="3">$N$22+C100*$N$23+D100*$N$24+E100*$N$25+F100*$N$26+G100*$N$27+H100*$N$28+I100*$N$29</f>
        <v>36906441.978048556</v>
      </c>
      <c r="K100" s="10"/>
      <c r="L100" s="14"/>
    </row>
    <row r="101" spans="1:12" x14ac:dyDescent="0.25">
      <c r="A101" s="3">
        <v>40575</v>
      </c>
      <c r="B101" s="130">
        <v>31141596.280000001</v>
      </c>
      <c r="C101" s="141">
        <v>660.1</v>
      </c>
      <c r="D101" s="144">
        <v>0</v>
      </c>
      <c r="E101" s="10">
        <v>28</v>
      </c>
      <c r="F101" s="10">
        <v>0</v>
      </c>
      <c r="G101" s="18">
        <f>'CDM Activity'!F77</f>
        <v>572642.61038013559</v>
      </c>
      <c r="H101" s="132">
        <v>0</v>
      </c>
      <c r="I101" s="133">
        <v>685.6</v>
      </c>
      <c r="J101" s="10">
        <f t="shared" si="3"/>
        <v>31636347.734788399</v>
      </c>
      <c r="K101" s="10"/>
      <c r="L101" s="14"/>
    </row>
    <row r="102" spans="1:12" x14ac:dyDescent="0.25">
      <c r="A102" s="3">
        <v>40603</v>
      </c>
      <c r="B102" s="130">
        <v>31649296.84</v>
      </c>
      <c r="C102" s="141">
        <v>596.70000000000005</v>
      </c>
      <c r="D102" s="144">
        <v>0</v>
      </c>
      <c r="E102" s="10">
        <v>31</v>
      </c>
      <c r="F102" s="10">
        <v>1</v>
      </c>
      <c r="G102" s="18">
        <f>'CDM Activity'!F78</f>
        <v>596772.82659195724</v>
      </c>
      <c r="H102" s="132">
        <v>0</v>
      </c>
      <c r="I102" s="133">
        <v>684.6</v>
      </c>
      <c r="J102" s="10">
        <f t="shared" si="3"/>
        <v>31710048.740735903</v>
      </c>
      <c r="K102" s="10"/>
      <c r="L102" s="14"/>
    </row>
    <row r="103" spans="1:12" x14ac:dyDescent="0.25">
      <c r="A103" s="3">
        <v>40634</v>
      </c>
      <c r="B103" s="130">
        <v>27185313.100000001</v>
      </c>
      <c r="C103" s="141">
        <v>354</v>
      </c>
      <c r="D103" s="144">
        <v>0</v>
      </c>
      <c r="E103" s="10">
        <v>30</v>
      </c>
      <c r="F103" s="10">
        <v>1</v>
      </c>
      <c r="G103" s="18">
        <f>'CDM Activity'!F79</f>
        <v>620903.0428037789</v>
      </c>
      <c r="H103" s="132">
        <v>0</v>
      </c>
      <c r="I103" s="133">
        <v>691.5</v>
      </c>
      <c r="J103" s="10">
        <f t="shared" si="3"/>
        <v>28109324.682767916</v>
      </c>
      <c r="K103" s="10"/>
      <c r="L103" s="14"/>
    </row>
    <row r="104" spans="1:12" x14ac:dyDescent="0.25">
      <c r="A104" s="3">
        <v>40664</v>
      </c>
      <c r="B104" s="130">
        <v>27343106.68</v>
      </c>
      <c r="C104" s="141">
        <v>158.6</v>
      </c>
      <c r="D104" s="144">
        <v>13.3</v>
      </c>
      <c r="E104" s="10">
        <v>31</v>
      </c>
      <c r="F104" s="10">
        <v>1</v>
      </c>
      <c r="G104" s="18">
        <f>'CDM Activity'!F80</f>
        <v>645033.25901560055</v>
      </c>
      <c r="H104" s="132">
        <v>0</v>
      </c>
      <c r="I104" s="133">
        <v>706.2</v>
      </c>
      <c r="J104" s="10">
        <f t="shared" si="3"/>
        <v>28497926.556476384</v>
      </c>
      <c r="K104" s="10"/>
      <c r="L104" s="14"/>
    </row>
    <row r="105" spans="1:12" x14ac:dyDescent="0.25">
      <c r="A105" s="3">
        <v>40695</v>
      </c>
      <c r="B105" s="130">
        <v>29398937.16</v>
      </c>
      <c r="C105" s="141">
        <v>25</v>
      </c>
      <c r="D105" s="144">
        <v>40</v>
      </c>
      <c r="E105" s="10">
        <v>30</v>
      </c>
      <c r="F105" s="10">
        <v>0</v>
      </c>
      <c r="G105" s="18">
        <f>'CDM Activity'!F81</f>
        <v>669163.4752274222</v>
      </c>
      <c r="H105" s="132">
        <v>1</v>
      </c>
      <c r="I105" s="133">
        <v>719.4</v>
      </c>
      <c r="J105" s="10">
        <f t="shared" si="3"/>
        <v>28794097.591150261</v>
      </c>
      <c r="K105" s="10"/>
      <c r="L105" s="14"/>
    </row>
    <row r="106" spans="1:12" x14ac:dyDescent="0.25">
      <c r="A106" s="3">
        <v>40725</v>
      </c>
      <c r="B106" s="130">
        <v>37223618.07</v>
      </c>
      <c r="C106" s="141">
        <v>0</v>
      </c>
      <c r="D106" s="144">
        <v>163.69999999999999</v>
      </c>
      <c r="E106" s="10">
        <v>31</v>
      </c>
      <c r="F106" s="10">
        <v>0</v>
      </c>
      <c r="G106" s="18">
        <f>'CDM Activity'!F82</f>
        <v>693293.69143924385</v>
      </c>
      <c r="H106" s="132">
        <v>1</v>
      </c>
      <c r="I106" s="133">
        <v>724.3</v>
      </c>
      <c r="J106" s="10">
        <f t="shared" si="3"/>
        <v>38304862.527732</v>
      </c>
      <c r="K106" s="10"/>
      <c r="L106" s="14"/>
    </row>
    <row r="107" spans="1:12" x14ac:dyDescent="0.25">
      <c r="A107" s="3">
        <v>40756</v>
      </c>
      <c r="B107" s="130">
        <v>33862516.780000001</v>
      </c>
      <c r="C107" s="141">
        <v>2.4</v>
      </c>
      <c r="D107" s="144">
        <v>83.2</v>
      </c>
      <c r="E107" s="10">
        <v>31</v>
      </c>
      <c r="F107" s="10">
        <v>0</v>
      </c>
      <c r="G107" s="18">
        <f>'CDM Activity'!F83</f>
        <v>717423.9076510655</v>
      </c>
      <c r="H107" s="132">
        <v>1</v>
      </c>
      <c r="I107" s="133">
        <v>718.2</v>
      </c>
      <c r="J107" s="10">
        <f t="shared" si="3"/>
        <v>32391071.293268997</v>
      </c>
      <c r="K107" s="10"/>
      <c r="L107" s="14"/>
    </row>
    <row r="108" spans="1:12" x14ac:dyDescent="0.25">
      <c r="A108" s="3">
        <v>40787</v>
      </c>
      <c r="B108" s="130">
        <v>28854388.719999999</v>
      </c>
      <c r="C108" s="141">
        <v>68.7</v>
      </c>
      <c r="D108" s="144">
        <v>26.8</v>
      </c>
      <c r="E108" s="10">
        <v>30</v>
      </c>
      <c r="F108" s="10">
        <v>1</v>
      </c>
      <c r="G108" s="18">
        <f>'CDM Activity'!F84</f>
        <v>741554.12386288715</v>
      </c>
      <c r="H108" s="132">
        <v>0</v>
      </c>
      <c r="I108" s="133">
        <v>714.7</v>
      </c>
      <c r="J108" s="10">
        <f t="shared" si="3"/>
        <v>27420764.826571606</v>
      </c>
      <c r="K108" s="10"/>
      <c r="L108" s="14"/>
    </row>
    <row r="109" spans="1:12" x14ac:dyDescent="0.25">
      <c r="A109" s="3">
        <v>40817</v>
      </c>
      <c r="B109" s="130">
        <v>28619487.32</v>
      </c>
      <c r="C109" s="141">
        <v>256</v>
      </c>
      <c r="D109" s="144">
        <v>0</v>
      </c>
      <c r="E109" s="10">
        <v>31</v>
      </c>
      <c r="F109" s="10">
        <v>1</v>
      </c>
      <c r="G109" s="18">
        <f>'CDM Activity'!F85</f>
        <v>765684.3400747088</v>
      </c>
      <c r="H109" s="132">
        <v>0</v>
      </c>
      <c r="I109" s="133">
        <v>715.4</v>
      </c>
      <c r="J109" s="10">
        <f t="shared" si="3"/>
        <v>28739890.464654945</v>
      </c>
      <c r="K109" s="10"/>
      <c r="L109" s="14"/>
    </row>
    <row r="110" spans="1:12" x14ac:dyDescent="0.25">
      <c r="A110" s="3">
        <v>40848</v>
      </c>
      <c r="B110" s="130">
        <v>29539702.280000001</v>
      </c>
      <c r="C110" s="141">
        <v>349.2</v>
      </c>
      <c r="D110" s="144">
        <v>0</v>
      </c>
      <c r="E110" s="10">
        <v>30</v>
      </c>
      <c r="F110" s="10">
        <v>1</v>
      </c>
      <c r="G110" s="18">
        <f>'CDM Activity'!F86</f>
        <v>789814.55628653045</v>
      </c>
      <c r="H110" s="132">
        <v>0</v>
      </c>
      <c r="I110" s="133">
        <v>718.8</v>
      </c>
      <c r="J110" s="10">
        <f t="shared" si="3"/>
        <v>28811451.377847552</v>
      </c>
      <c r="K110" s="10"/>
      <c r="L110" s="14"/>
    </row>
    <row r="111" spans="1:12" x14ac:dyDescent="0.25">
      <c r="A111" s="3">
        <v>40878</v>
      </c>
      <c r="B111" s="130">
        <v>33345517.91</v>
      </c>
      <c r="C111" s="141">
        <v>524.79999999999995</v>
      </c>
      <c r="D111" s="144">
        <v>0</v>
      </c>
      <c r="E111" s="10">
        <v>31</v>
      </c>
      <c r="F111" s="10">
        <v>0</v>
      </c>
      <c r="G111" s="18">
        <f>'CDM Activity'!F87</f>
        <v>813944.7724983521</v>
      </c>
      <c r="H111" s="132">
        <v>0</v>
      </c>
      <c r="I111" s="133">
        <v>718.1</v>
      </c>
      <c r="J111" s="10">
        <f t="shared" si="3"/>
        <v>34095178.942104235</v>
      </c>
      <c r="K111" s="10"/>
      <c r="L111" s="14"/>
    </row>
    <row r="112" spans="1:12" x14ac:dyDescent="0.25">
      <c r="A112" s="3">
        <v>40909</v>
      </c>
      <c r="B112" s="130">
        <v>33953549.299999997</v>
      </c>
      <c r="C112" s="141">
        <v>631.70000000000005</v>
      </c>
      <c r="D112" s="144">
        <v>0</v>
      </c>
      <c r="E112" s="10">
        <v>31</v>
      </c>
      <c r="F112" s="10">
        <v>0</v>
      </c>
      <c r="G112" s="18">
        <f>'CDM Activity'!F88</f>
        <v>804848.0126268107</v>
      </c>
      <c r="H112" s="132">
        <v>0</v>
      </c>
      <c r="I112" s="133">
        <v>712.3</v>
      </c>
      <c r="J112" s="10">
        <f t="shared" si="3"/>
        <v>35069702.170593366</v>
      </c>
      <c r="K112" s="10"/>
      <c r="L112" s="14"/>
    </row>
    <row r="113" spans="1:12" x14ac:dyDescent="0.25">
      <c r="A113" s="3">
        <v>40940</v>
      </c>
      <c r="B113" s="130">
        <v>30344155.68</v>
      </c>
      <c r="C113" s="141">
        <v>550.5</v>
      </c>
      <c r="D113" s="144">
        <v>0</v>
      </c>
      <c r="E113" s="10">
        <v>29</v>
      </c>
      <c r="F113" s="10">
        <v>0</v>
      </c>
      <c r="G113" s="18">
        <f>'CDM Activity'!F89</f>
        <v>795751.25275526929</v>
      </c>
      <c r="H113" s="132">
        <v>0</v>
      </c>
      <c r="I113" s="133">
        <v>709.6</v>
      </c>
      <c r="J113" s="10">
        <f t="shared" si="3"/>
        <v>31886214.15299828</v>
      </c>
      <c r="K113" s="10"/>
      <c r="L113" s="14"/>
    </row>
    <row r="114" spans="1:12" x14ac:dyDescent="0.25">
      <c r="A114" s="3">
        <v>40969</v>
      </c>
      <c r="B114" s="130">
        <v>28753453.760000002</v>
      </c>
      <c r="C114" s="141">
        <v>351.4</v>
      </c>
      <c r="D114" s="144">
        <v>0.2</v>
      </c>
      <c r="E114" s="10">
        <v>31</v>
      </c>
      <c r="F114" s="10">
        <v>1</v>
      </c>
      <c r="G114" s="18">
        <f>'CDM Activity'!F90</f>
        <v>786654.49288372789</v>
      </c>
      <c r="H114" s="132">
        <v>0</v>
      </c>
      <c r="I114" s="133">
        <v>702.8</v>
      </c>
      <c r="J114" s="10">
        <f t="shared" si="3"/>
        <v>29175352.861941915</v>
      </c>
      <c r="K114" s="10"/>
      <c r="L114" s="14"/>
    </row>
    <row r="115" spans="1:12" x14ac:dyDescent="0.25">
      <c r="A115" s="3">
        <v>41000</v>
      </c>
      <c r="B115" s="130">
        <v>26394365.489999998</v>
      </c>
      <c r="C115" s="141">
        <v>335.9</v>
      </c>
      <c r="D115" s="144">
        <v>0</v>
      </c>
      <c r="E115" s="10">
        <v>30</v>
      </c>
      <c r="F115" s="10">
        <v>1</v>
      </c>
      <c r="G115" s="18">
        <f>'CDM Activity'!F91</f>
        <v>777557.73301218648</v>
      </c>
      <c r="H115" s="132">
        <v>0</v>
      </c>
      <c r="I115" s="133">
        <v>704.9</v>
      </c>
      <c r="J115" s="10">
        <f t="shared" si="3"/>
        <v>28035916.136800516</v>
      </c>
      <c r="K115" s="10"/>
      <c r="L115" s="14"/>
    </row>
    <row r="116" spans="1:12" x14ac:dyDescent="0.25">
      <c r="A116" s="3">
        <v>41030</v>
      </c>
      <c r="B116" s="130">
        <v>27582029.329999998</v>
      </c>
      <c r="C116" s="141">
        <v>89.4</v>
      </c>
      <c r="D116" s="144">
        <v>26.5</v>
      </c>
      <c r="E116" s="10">
        <v>31</v>
      </c>
      <c r="F116" s="10">
        <v>1</v>
      </c>
      <c r="G116" s="18">
        <f>'CDM Activity'!F92</f>
        <v>768460.97314064507</v>
      </c>
      <c r="H116" s="132">
        <v>0</v>
      </c>
      <c r="I116" s="133">
        <v>709.7</v>
      </c>
      <c r="J116" s="10">
        <f t="shared" si="3"/>
        <v>28389181.678399969</v>
      </c>
      <c r="K116" s="10"/>
      <c r="L116" s="14"/>
    </row>
    <row r="117" spans="1:12" x14ac:dyDescent="0.25">
      <c r="A117" s="3">
        <v>41061</v>
      </c>
      <c r="B117" s="130">
        <v>30181640.640000001</v>
      </c>
      <c r="C117" s="141">
        <v>32.4</v>
      </c>
      <c r="D117" s="144">
        <v>74.8</v>
      </c>
      <c r="E117" s="10">
        <v>30</v>
      </c>
      <c r="F117" s="10">
        <v>0</v>
      </c>
      <c r="G117" s="18">
        <f>'CDM Activity'!F93</f>
        <v>759364.21326910367</v>
      </c>
      <c r="H117" s="132">
        <v>1</v>
      </c>
      <c r="I117" s="133">
        <v>716.9</v>
      </c>
      <c r="J117" s="10">
        <f t="shared" si="3"/>
        <v>30877101.213564578</v>
      </c>
      <c r="K117" s="10"/>
      <c r="L117" s="14"/>
    </row>
    <row r="118" spans="1:12" x14ac:dyDescent="0.25">
      <c r="A118" s="3">
        <v>41091</v>
      </c>
      <c r="B118" s="130">
        <v>37000777.939999998</v>
      </c>
      <c r="C118" s="141">
        <v>0</v>
      </c>
      <c r="D118" s="144">
        <v>160.19999999999999</v>
      </c>
      <c r="E118" s="10">
        <v>31</v>
      </c>
      <c r="F118" s="10">
        <v>0</v>
      </c>
      <c r="G118" s="18">
        <f>'CDM Activity'!F94</f>
        <v>750267.45339756226</v>
      </c>
      <c r="H118" s="132">
        <v>1</v>
      </c>
      <c r="I118" s="133">
        <v>722.2</v>
      </c>
      <c r="J118" s="10">
        <f t="shared" si="3"/>
        <v>37778465.055164464</v>
      </c>
      <c r="K118" s="10"/>
      <c r="L118" s="14"/>
    </row>
    <row r="119" spans="1:12" x14ac:dyDescent="0.25">
      <c r="A119" s="3">
        <v>41122</v>
      </c>
      <c r="B119" s="130">
        <v>32929453.609999999</v>
      </c>
      <c r="C119" s="141">
        <v>8.4</v>
      </c>
      <c r="D119" s="144">
        <v>72</v>
      </c>
      <c r="E119" s="10">
        <v>31</v>
      </c>
      <c r="F119" s="10">
        <v>0</v>
      </c>
      <c r="G119" s="18">
        <f>'CDM Activity'!F95</f>
        <v>741170.69352602086</v>
      </c>
      <c r="H119" s="132">
        <v>1</v>
      </c>
      <c r="I119" s="133">
        <v>724.6</v>
      </c>
      <c r="J119" s="10">
        <f t="shared" si="3"/>
        <v>31913010.850717459</v>
      </c>
      <c r="K119" s="10"/>
      <c r="L119" s="14"/>
    </row>
    <row r="120" spans="1:12" x14ac:dyDescent="0.25">
      <c r="A120" s="3">
        <v>41153</v>
      </c>
      <c r="B120" s="130">
        <v>28295170.850000001</v>
      </c>
      <c r="C120" s="141">
        <v>101.8</v>
      </c>
      <c r="D120" s="144">
        <v>26.4</v>
      </c>
      <c r="E120" s="10">
        <v>30</v>
      </c>
      <c r="F120" s="10">
        <v>1</v>
      </c>
      <c r="G120" s="18">
        <f>'CDM Activity'!F96</f>
        <v>732073.93365447945</v>
      </c>
      <c r="H120" s="132">
        <v>0</v>
      </c>
      <c r="I120" s="133">
        <v>727.4</v>
      </c>
      <c r="J120" s="10">
        <f t="shared" si="3"/>
        <v>28407854.429864131</v>
      </c>
      <c r="K120" s="10"/>
      <c r="L120" s="14"/>
    </row>
    <row r="121" spans="1:12" x14ac:dyDescent="0.25">
      <c r="A121" s="3">
        <v>41183</v>
      </c>
      <c r="B121" s="130">
        <v>28553832.039999999</v>
      </c>
      <c r="C121" s="141">
        <v>243</v>
      </c>
      <c r="D121" s="144">
        <v>0.6</v>
      </c>
      <c r="E121" s="10">
        <v>31</v>
      </c>
      <c r="F121" s="10">
        <v>1</v>
      </c>
      <c r="G121" s="18">
        <f>'CDM Activity'!F97</f>
        <v>722977.17378293804</v>
      </c>
      <c r="H121" s="132">
        <v>0</v>
      </c>
      <c r="I121" s="133">
        <v>724.6</v>
      </c>
      <c r="J121" s="10">
        <f t="shared" si="3"/>
        <v>29209600.190951001</v>
      </c>
      <c r="K121" s="10"/>
      <c r="L121" s="14"/>
    </row>
    <row r="122" spans="1:12" x14ac:dyDescent="0.25">
      <c r="A122" s="3">
        <v>41214</v>
      </c>
      <c r="B122" s="130">
        <v>31003875.760000002</v>
      </c>
      <c r="C122" s="141">
        <v>433.9</v>
      </c>
      <c r="D122" s="144">
        <v>0</v>
      </c>
      <c r="E122" s="10">
        <v>30</v>
      </c>
      <c r="F122" s="10">
        <v>1</v>
      </c>
      <c r="G122" s="18">
        <f>'CDM Activity'!F98</f>
        <v>713880.41391139664</v>
      </c>
      <c r="H122" s="132">
        <v>0</v>
      </c>
      <c r="I122" s="133">
        <v>715.3</v>
      </c>
      <c r="J122" s="10">
        <f t="shared" si="3"/>
        <v>29857743.239447329</v>
      </c>
      <c r="K122" s="10"/>
    </row>
    <row r="123" spans="1:12" x14ac:dyDescent="0.25">
      <c r="A123" s="3">
        <v>41244</v>
      </c>
      <c r="B123" s="130">
        <v>33121685.890000001</v>
      </c>
      <c r="C123" s="141">
        <v>436.4</v>
      </c>
      <c r="D123" s="144">
        <v>0</v>
      </c>
      <c r="E123" s="10">
        <v>31</v>
      </c>
      <c r="F123" s="10">
        <v>0</v>
      </c>
      <c r="G123" s="18">
        <f>'CDM Activity'!F99</f>
        <v>704783.65403985523</v>
      </c>
      <c r="H123" s="132">
        <v>0</v>
      </c>
      <c r="I123" s="133">
        <v>712.7</v>
      </c>
      <c r="J123" s="10">
        <f t="shared" si="3"/>
        <v>33179619.366642691</v>
      </c>
      <c r="K123" s="10"/>
    </row>
    <row r="124" spans="1:12" x14ac:dyDescent="0.25">
      <c r="A124" s="3">
        <v>41275</v>
      </c>
      <c r="C124" s="140">
        <v>708.50819548872141</v>
      </c>
      <c r="D124" s="140">
        <v>0</v>
      </c>
      <c r="E124" s="10">
        <v>31</v>
      </c>
      <c r="F124" s="10">
        <v>0</v>
      </c>
      <c r="G124" s="18">
        <f>'CDM Activity'!F100</f>
        <v>711722.33546962112</v>
      </c>
      <c r="H124" s="132">
        <v>0</v>
      </c>
      <c r="I124" s="132">
        <f>I123</f>
        <v>712.7</v>
      </c>
      <c r="J124" s="204">
        <f t="shared" si="3"/>
        <v>36267343.980862059</v>
      </c>
      <c r="K124" s="10"/>
    </row>
    <row r="125" spans="1:12" x14ac:dyDescent="0.25">
      <c r="A125" s="3">
        <v>41306</v>
      </c>
      <c r="C125" s="140">
        <v>611.0720300751882</v>
      </c>
      <c r="D125" s="140">
        <v>0</v>
      </c>
      <c r="E125" s="10">
        <v>28</v>
      </c>
      <c r="F125" s="10">
        <v>0</v>
      </c>
      <c r="G125" s="18">
        <f>'CDM Activity'!F101</f>
        <v>718661.016899387</v>
      </c>
      <c r="H125" s="132">
        <v>0</v>
      </c>
      <c r="I125" s="132">
        <f t="shared" ref="I125:I147" si="4">I124</f>
        <v>712.7</v>
      </c>
      <c r="J125" s="204">
        <f t="shared" si="3"/>
        <v>31897331.08508084</v>
      </c>
      <c r="K125" s="10"/>
    </row>
    <row r="126" spans="1:12" x14ac:dyDescent="0.25">
      <c r="A126" s="3">
        <v>41334</v>
      </c>
      <c r="C126" s="140">
        <v>498.75616541353338</v>
      </c>
      <c r="D126" s="140">
        <v>4.2857142857142705E-2</v>
      </c>
      <c r="E126" s="10">
        <v>31</v>
      </c>
      <c r="F126" s="10">
        <v>1</v>
      </c>
      <c r="G126" s="18">
        <f>'CDM Activity'!F102</f>
        <v>725599.69832915289</v>
      </c>
      <c r="H126" s="132">
        <v>0</v>
      </c>
      <c r="I126" s="132">
        <f t="shared" si="4"/>
        <v>712.7</v>
      </c>
      <c r="J126" s="204">
        <f t="shared" si="3"/>
        <v>31518111.37750227</v>
      </c>
      <c r="K126" s="10"/>
    </row>
    <row r="127" spans="1:12" x14ac:dyDescent="0.25">
      <c r="A127" s="3">
        <v>41365</v>
      </c>
      <c r="C127" s="140">
        <v>305.68796992481293</v>
      </c>
      <c r="D127" s="140">
        <v>0.75067669172931772</v>
      </c>
      <c r="E127" s="10">
        <v>30</v>
      </c>
      <c r="F127" s="10">
        <v>1</v>
      </c>
      <c r="G127" s="18">
        <f>'CDM Activity'!F103</f>
        <v>732538.37975891877</v>
      </c>
      <c r="H127" s="132">
        <v>0</v>
      </c>
      <c r="I127" s="132">
        <f t="shared" si="4"/>
        <v>712.7</v>
      </c>
      <c r="J127" s="204">
        <f t="shared" si="3"/>
        <v>28260005.676574167</v>
      </c>
      <c r="K127" s="10"/>
    </row>
    <row r="128" spans="1:12" x14ac:dyDescent="0.25">
      <c r="A128" s="3">
        <v>41395</v>
      </c>
      <c r="C128" s="140">
        <v>144.22443609022594</v>
      </c>
      <c r="D128" s="140">
        <v>17.989323308270741</v>
      </c>
      <c r="E128" s="10">
        <v>31</v>
      </c>
      <c r="F128" s="10">
        <v>1</v>
      </c>
      <c r="G128" s="18">
        <f>'CDM Activity'!F104</f>
        <v>739477.06118868466</v>
      </c>
      <c r="H128" s="132">
        <v>0</v>
      </c>
      <c r="I128" s="132">
        <f t="shared" si="4"/>
        <v>712.7</v>
      </c>
      <c r="J128" s="204">
        <f t="shared" si="3"/>
        <v>28663379.917990498</v>
      </c>
      <c r="K128" s="10"/>
    </row>
    <row r="129" spans="1:11" x14ac:dyDescent="0.25">
      <c r="A129" s="3">
        <v>41426</v>
      </c>
      <c r="C129" s="140">
        <v>31.214060150375872</v>
      </c>
      <c r="D129" s="140">
        <v>55.697368421052659</v>
      </c>
      <c r="E129" s="10">
        <v>30</v>
      </c>
      <c r="F129" s="10">
        <v>0</v>
      </c>
      <c r="G129" s="18">
        <f>'CDM Activity'!F105</f>
        <v>746415.74261845055</v>
      </c>
      <c r="H129" s="132">
        <v>1</v>
      </c>
      <c r="I129" s="132">
        <f t="shared" si="4"/>
        <v>712.7</v>
      </c>
      <c r="J129" s="204">
        <f t="shared" si="3"/>
        <v>29382682.393552624</v>
      </c>
      <c r="K129" s="10"/>
    </row>
    <row r="130" spans="1:11" x14ac:dyDescent="0.25">
      <c r="A130" s="3">
        <v>41456</v>
      </c>
      <c r="C130" s="140">
        <v>4.5744360902255607</v>
      </c>
      <c r="D130" s="140">
        <v>120.15263157894742</v>
      </c>
      <c r="E130" s="10">
        <v>31</v>
      </c>
      <c r="F130" s="10">
        <v>0</v>
      </c>
      <c r="G130" s="18">
        <f>'CDM Activity'!F106</f>
        <v>753354.42404821643</v>
      </c>
      <c r="H130" s="132">
        <v>1</v>
      </c>
      <c r="I130" s="132">
        <f t="shared" si="4"/>
        <v>712.7</v>
      </c>
      <c r="J130" s="204">
        <f t="shared" si="3"/>
        <v>34595457.709821433</v>
      </c>
      <c r="K130" s="10"/>
    </row>
    <row r="131" spans="1:11" x14ac:dyDescent="0.25">
      <c r="A131" s="3">
        <v>41487</v>
      </c>
      <c r="C131" s="140">
        <v>8.9651127819549288</v>
      </c>
      <c r="D131" s="140">
        <v>78.358045112781952</v>
      </c>
      <c r="E131" s="10">
        <v>31</v>
      </c>
      <c r="F131" s="10">
        <v>0</v>
      </c>
      <c r="G131" s="18">
        <f>'CDM Activity'!F107</f>
        <v>760293.10547798232</v>
      </c>
      <c r="H131" s="132">
        <v>1</v>
      </c>
      <c r="I131" s="132">
        <f t="shared" si="4"/>
        <v>712.7</v>
      </c>
      <c r="J131" s="204">
        <f t="shared" si="3"/>
        <v>31730161.835303951</v>
      </c>
      <c r="K131" s="10"/>
    </row>
    <row r="132" spans="1:11" x14ac:dyDescent="0.25">
      <c r="A132" s="3">
        <v>41518</v>
      </c>
      <c r="C132" s="140">
        <v>60.835112781954649</v>
      </c>
      <c r="D132" s="140">
        <v>27.688421052631611</v>
      </c>
      <c r="E132" s="10">
        <v>30</v>
      </c>
      <c r="F132" s="10">
        <v>1</v>
      </c>
      <c r="G132" s="18">
        <f>'CDM Activity'!F108</f>
        <v>767231.7869077482</v>
      </c>
      <c r="H132" s="132">
        <v>0</v>
      </c>
      <c r="I132" s="132">
        <f t="shared" si="4"/>
        <v>712.7</v>
      </c>
      <c r="J132" s="204">
        <f t="shared" ref="J132:J163" si="5">$N$22+C132*$N$23+D132*$N$24+E132*$N$25+F132*$N$26+G132*$N$27+H132*$N$28+I132*$N$29</f>
        <v>27214058.082518652</v>
      </c>
      <c r="K132" s="10"/>
    </row>
    <row r="133" spans="1:11" x14ac:dyDescent="0.25">
      <c r="A133" s="3">
        <v>41548</v>
      </c>
      <c r="C133" s="140">
        <v>257.33511278195488</v>
      </c>
      <c r="D133" s="140">
        <v>2.5963157894736923</v>
      </c>
      <c r="E133" s="10">
        <v>31</v>
      </c>
      <c r="F133" s="10">
        <v>1</v>
      </c>
      <c r="G133" s="18">
        <f>'CDM Activity'!F109</f>
        <v>774170.46833751409</v>
      </c>
      <c r="H133" s="132">
        <v>0</v>
      </c>
      <c r="I133" s="132">
        <f t="shared" si="4"/>
        <v>712.7</v>
      </c>
      <c r="J133" s="204">
        <f t="shared" si="5"/>
        <v>28778671.007915735</v>
      </c>
      <c r="K133" s="10"/>
    </row>
    <row r="134" spans="1:11" x14ac:dyDescent="0.25">
      <c r="A134" s="3">
        <v>41579</v>
      </c>
      <c r="C134" s="140">
        <v>388.12639097744341</v>
      </c>
      <c r="D134" s="140">
        <v>0</v>
      </c>
      <c r="E134" s="10">
        <v>30</v>
      </c>
      <c r="F134" s="10">
        <v>1</v>
      </c>
      <c r="G134" s="18">
        <f>'CDM Activity'!F110</f>
        <v>781109.14976727997</v>
      </c>
      <c r="H134" s="132">
        <v>0</v>
      </c>
      <c r="I134" s="132">
        <f t="shared" si="4"/>
        <v>712.7</v>
      </c>
      <c r="J134" s="204">
        <f t="shared" si="5"/>
        <v>28993478.924864016</v>
      </c>
      <c r="K134" s="10"/>
    </row>
    <row r="135" spans="1:11" x14ac:dyDescent="0.25">
      <c r="A135" s="3">
        <v>41609</v>
      </c>
      <c r="C135" s="140">
        <v>583.49481203007599</v>
      </c>
      <c r="D135" s="140">
        <v>0</v>
      </c>
      <c r="E135" s="10">
        <v>31</v>
      </c>
      <c r="F135" s="10">
        <v>0</v>
      </c>
      <c r="G135" s="18">
        <f>'CDM Activity'!F111</f>
        <v>788047.83119704586</v>
      </c>
      <c r="H135" s="132">
        <v>0</v>
      </c>
      <c r="I135" s="132">
        <f t="shared" si="4"/>
        <v>712.7</v>
      </c>
      <c r="J135" s="204">
        <f t="shared" si="5"/>
        <v>34592051.510847121</v>
      </c>
      <c r="K135" s="10"/>
    </row>
    <row r="136" spans="1:11" x14ac:dyDescent="0.25">
      <c r="A136" s="3">
        <v>41640</v>
      </c>
      <c r="C136" s="140">
        <f>C124</f>
        <v>708.50819548872141</v>
      </c>
      <c r="D136" s="140">
        <f>D124</f>
        <v>0</v>
      </c>
      <c r="E136" s="10">
        <v>31</v>
      </c>
      <c r="F136" s="10">
        <v>0</v>
      </c>
      <c r="G136" s="18">
        <f>'CDM Activity'!F112</f>
        <v>777897.4469103209</v>
      </c>
      <c r="H136" s="132">
        <v>0</v>
      </c>
      <c r="I136" s="132">
        <f t="shared" si="4"/>
        <v>712.7</v>
      </c>
      <c r="J136" s="203">
        <f t="shared" si="5"/>
        <v>36053693.442258812</v>
      </c>
      <c r="K136" s="10"/>
    </row>
    <row r="137" spans="1:11" x14ac:dyDescent="0.25">
      <c r="A137" s="3">
        <v>41671</v>
      </c>
      <c r="C137" s="140">
        <f t="shared" ref="C137:D147" si="6">C125</f>
        <v>611.0720300751882</v>
      </c>
      <c r="D137" s="140">
        <f t="shared" si="6"/>
        <v>0</v>
      </c>
      <c r="E137" s="10">
        <v>28</v>
      </c>
      <c r="F137" s="10">
        <v>0</v>
      </c>
      <c r="G137" s="18">
        <f>'CDM Activity'!F113</f>
        <v>767747.06262359594</v>
      </c>
      <c r="H137" s="132">
        <v>0</v>
      </c>
      <c r="I137" s="132">
        <f t="shared" si="4"/>
        <v>712.7</v>
      </c>
      <c r="J137" s="203">
        <f t="shared" si="5"/>
        <v>31738853.677509286</v>
      </c>
      <c r="K137" s="10"/>
    </row>
    <row r="138" spans="1:11" x14ac:dyDescent="0.25">
      <c r="A138" s="3">
        <v>41699</v>
      </c>
      <c r="C138" s="140">
        <f t="shared" si="6"/>
        <v>498.75616541353338</v>
      </c>
      <c r="D138" s="140">
        <f t="shared" si="6"/>
        <v>4.2857142857142705E-2</v>
      </c>
      <c r="E138" s="10">
        <v>31</v>
      </c>
      <c r="F138" s="10">
        <v>1</v>
      </c>
      <c r="G138" s="18">
        <f>'CDM Activity'!F114</f>
        <v>757596.67833687097</v>
      </c>
      <c r="H138" s="132">
        <v>0</v>
      </c>
      <c r="I138" s="132">
        <f t="shared" si="4"/>
        <v>712.7</v>
      </c>
      <c r="J138" s="203">
        <f t="shared" si="5"/>
        <v>31414807.100962408</v>
      </c>
      <c r="K138" s="10"/>
    </row>
    <row r="139" spans="1:11" x14ac:dyDescent="0.25">
      <c r="A139" s="3">
        <v>41730</v>
      </c>
      <c r="C139" s="140">
        <f t="shared" si="6"/>
        <v>305.68796992481293</v>
      </c>
      <c r="D139" s="140">
        <f t="shared" si="6"/>
        <v>0.75067669172931772</v>
      </c>
      <c r="E139" s="10">
        <v>30</v>
      </c>
      <c r="F139" s="10">
        <v>1</v>
      </c>
      <c r="G139" s="18">
        <f>'CDM Activity'!F115</f>
        <v>747446.29405014601</v>
      </c>
      <c r="H139" s="132">
        <v>0</v>
      </c>
      <c r="I139" s="132">
        <f t="shared" si="4"/>
        <v>712.7</v>
      </c>
      <c r="J139" s="203">
        <f t="shared" si="5"/>
        <v>28211874.531065997</v>
      </c>
      <c r="K139" s="10"/>
    </row>
    <row r="140" spans="1:11" x14ac:dyDescent="0.25">
      <c r="A140" s="3">
        <v>41760</v>
      </c>
      <c r="C140" s="140">
        <f t="shared" si="6"/>
        <v>144.22443609022594</v>
      </c>
      <c r="D140" s="140">
        <f t="shared" si="6"/>
        <v>17.989323308270741</v>
      </c>
      <c r="E140" s="10">
        <v>31</v>
      </c>
      <c r="F140" s="10">
        <v>1</v>
      </c>
      <c r="G140" s="18">
        <f>'CDM Activity'!F116</f>
        <v>737295.90976342105</v>
      </c>
      <c r="H140" s="132">
        <v>0</v>
      </c>
      <c r="I140" s="132">
        <f t="shared" si="4"/>
        <v>712.7</v>
      </c>
      <c r="J140" s="203">
        <f t="shared" si="5"/>
        <v>28670421.903514016</v>
      </c>
      <c r="K140" s="10"/>
    </row>
    <row r="141" spans="1:11" x14ac:dyDescent="0.25">
      <c r="A141" s="3">
        <v>41791</v>
      </c>
      <c r="C141" s="140">
        <f t="shared" si="6"/>
        <v>31.214060150375872</v>
      </c>
      <c r="D141" s="140">
        <f t="shared" si="6"/>
        <v>55.697368421052659</v>
      </c>
      <c r="E141" s="10">
        <v>30</v>
      </c>
      <c r="F141" s="10">
        <v>0</v>
      </c>
      <c r="G141" s="18">
        <f>'CDM Activity'!F117</f>
        <v>727145.52547669609</v>
      </c>
      <c r="H141" s="132">
        <v>1</v>
      </c>
      <c r="I141" s="132">
        <f t="shared" si="4"/>
        <v>712.7</v>
      </c>
      <c r="J141" s="203">
        <f t="shared" si="5"/>
        <v>29444897.510107834</v>
      </c>
      <c r="K141" s="10"/>
    </row>
    <row r="142" spans="1:11" x14ac:dyDescent="0.25">
      <c r="A142" s="3">
        <v>41821</v>
      </c>
      <c r="C142" s="140">
        <f t="shared" si="6"/>
        <v>4.5744360902255607</v>
      </c>
      <c r="D142" s="140">
        <f t="shared" si="6"/>
        <v>120.15263157894742</v>
      </c>
      <c r="E142" s="10">
        <v>31</v>
      </c>
      <c r="F142" s="10">
        <v>0</v>
      </c>
      <c r="G142" s="18">
        <f>'CDM Activity'!F118</f>
        <v>716995.14118997112</v>
      </c>
      <c r="H142" s="132">
        <v>1</v>
      </c>
      <c r="I142" s="132">
        <f t="shared" si="4"/>
        <v>712.7</v>
      </c>
      <c r="J142" s="203">
        <f t="shared" si="5"/>
        <v>34712845.957408339</v>
      </c>
      <c r="K142" s="10"/>
    </row>
    <row r="143" spans="1:11" x14ac:dyDescent="0.25">
      <c r="A143" s="3">
        <v>41852</v>
      </c>
      <c r="C143" s="140">
        <f t="shared" si="6"/>
        <v>8.9651127819549288</v>
      </c>
      <c r="D143" s="140">
        <f t="shared" si="6"/>
        <v>78.358045112781952</v>
      </c>
      <c r="E143" s="10">
        <v>31</v>
      </c>
      <c r="F143" s="10">
        <v>0</v>
      </c>
      <c r="G143" s="18">
        <f>'CDM Activity'!F119</f>
        <v>706844.75690324616</v>
      </c>
      <c r="H143" s="132">
        <v>1</v>
      </c>
      <c r="I143" s="132">
        <f t="shared" si="4"/>
        <v>712.7</v>
      </c>
      <c r="J143" s="203">
        <f t="shared" si="5"/>
        <v>31902723.213922549</v>
      </c>
      <c r="K143" s="10"/>
    </row>
    <row r="144" spans="1:11" x14ac:dyDescent="0.25">
      <c r="A144" s="3">
        <v>41883</v>
      </c>
      <c r="C144" s="140">
        <f t="shared" si="6"/>
        <v>60.835112781954649</v>
      </c>
      <c r="D144" s="140">
        <f t="shared" si="6"/>
        <v>27.688421052631611</v>
      </c>
      <c r="E144" s="10">
        <v>30</v>
      </c>
      <c r="F144" s="10">
        <v>1</v>
      </c>
      <c r="G144" s="18">
        <f>'CDM Activity'!F120</f>
        <v>696694.3726165212</v>
      </c>
      <c r="H144" s="132">
        <v>0</v>
      </c>
      <c r="I144" s="132">
        <f t="shared" si="4"/>
        <v>712.7</v>
      </c>
      <c r="J144" s="203">
        <f t="shared" si="5"/>
        <v>27441792.592168942</v>
      </c>
      <c r="K144" s="10"/>
    </row>
    <row r="145" spans="1:12" x14ac:dyDescent="0.25">
      <c r="A145" s="3">
        <v>41913</v>
      </c>
      <c r="C145" s="140">
        <f t="shared" si="6"/>
        <v>257.33511278195488</v>
      </c>
      <c r="D145" s="140">
        <f t="shared" si="6"/>
        <v>2.5963157894736923</v>
      </c>
      <c r="E145" s="10">
        <v>31</v>
      </c>
      <c r="F145" s="10">
        <v>1</v>
      </c>
      <c r="G145" s="18">
        <f>'CDM Activity'!F121</f>
        <v>686543.98832979624</v>
      </c>
      <c r="H145" s="132">
        <v>0</v>
      </c>
      <c r="I145" s="132">
        <f t="shared" si="4"/>
        <v>712.7</v>
      </c>
      <c r="J145" s="203">
        <f t="shared" si="5"/>
        <v>29061578.648597717</v>
      </c>
      <c r="K145" s="10"/>
    </row>
    <row r="146" spans="1:12" x14ac:dyDescent="0.25">
      <c r="A146" s="3">
        <v>41944</v>
      </c>
      <c r="C146" s="140">
        <f t="shared" si="6"/>
        <v>388.12639097744341</v>
      </c>
      <c r="D146" s="140">
        <f t="shared" si="6"/>
        <v>0</v>
      </c>
      <c r="E146" s="10">
        <v>30</v>
      </c>
      <c r="F146" s="10">
        <v>1</v>
      </c>
      <c r="G146" s="18">
        <f>'CDM Activity'!F122</f>
        <v>676393.60404307127</v>
      </c>
      <c r="H146" s="132">
        <v>0</v>
      </c>
      <c r="I146" s="132">
        <f t="shared" si="4"/>
        <v>712.7</v>
      </c>
      <c r="J146" s="203">
        <f t="shared" si="5"/>
        <v>29331559.696577691</v>
      </c>
      <c r="K146" s="10"/>
    </row>
    <row r="147" spans="1:12" x14ac:dyDescent="0.25">
      <c r="A147" s="3">
        <v>41974</v>
      </c>
      <c r="C147" s="140">
        <f t="shared" si="6"/>
        <v>583.49481203007599</v>
      </c>
      <c r="D147" s="140">
        <f t="shared" si="6"/>
        <v>0</v>
      </c>
      <c r="E147" s="10">
        <v>31</v>
      </c>
      <c r="F147" s="10">
        <v>0</v>
      </c>
      <c r="G147" s="18">
        <f>'CDM Activity'!F123</f>
        <v>666243.21975634631</v>
      </c>
      <c r="H147" s="132">
        <v>0</v>
      </c>
      <c r="I147" s="132">
        <f t="shared" si="4"/>
        <v>712.7</v>
      </c>
      <c r="J147" s="203">
        <f t="shared" si="5"/>
        <v>34985305.413592488</v>
      </c>
      <c r="K147" s="10"/>
    </row>
    <row r="148" spans="1:12" x14ac:dyDescent="0.25">
      <c r="A148" s="3"/>
      <c r="G148" s="18"/>
      <c r="J148" s="10"/>
      <c r="K148" s="10"/>
    </row>
    <row r="149" spans="1:12" x14ac:dyDescent="0.25">
      <c r="A149" s="3"/>
      <c r="C149" s="145"/>
      <c r="D149" s="1" t="s">
        <v>65</v>
      </c>
      <c r="H149" s="42"/>
      <c r="I149" s="42"/>
      <c r="J149" s="42">
        <f>SUM(J4:J148)</f>
        <v>4514630069.8805132</v>
      </c>
    </row>
    <row r="150" spans="1:12" x14ac:dyDescent="0.25">
      <c r="A150" s="3"/>
    </row>
    <row r="151" spans="1:12" x14ac:dyDescent="0.25">
      <c r="A151" s="17">
        <v>2003</v>
      </c>
      <c r="B151" s="6">
        <f>SUM(B4:B15)</f>
        <v>377328534.95999986</v>
      </c>
      <c r="J151" s="6">
        <f>SUM(J4:J15)</f>
        <v>381192539.09012067</v>
      </c>
      <c r="K151" s="34">
        <f t="shared" ref="K151:K160" si="7">J151-B151</f>
        <v>3864004.1301208138</v>
      </c>
      <c r="L151" s="5">
        <f t="shared" ref="L151:L160" si="8">K151/B151</f>
        <v>1.0240423853792114E-2</v>
      </c>
    </row>
    <row r="152" spans="1:12" x14ac:dyDescent="0.25">
      <c r="A152">
        <v>2004</v>
      </c>
      <c r="B152" s="6">
        <f>SUM(B16:B27)</f>
        <v>382256439.04000014</v>
      </c>
      <c r="J152" s="6">
        <f>SUM(J16:J27)</f>
        <v>379747958.72484887</v>
      </c>
      <c r="K152" s="34">
        <f t="shared" si="7"/>
        <v>-2508480.3151512742</v>
      </c>
      <c r="L152" s="5">
        <f t="shared" si="8"/>
        <v>-6.5622970837354066E-3</v>
      </c>
    </row>
    <row r="153" spans="1:12" x14ac:dyDescent="0.25">
      <c r="A153" s="17">
        <v>2005</v>
      </c>
      <c r="B153" s="6">
        <f>SUM(B28:B39)</f>
        <v>397949707</v>
      </c>
      <c r="J153" s="6">
        <f>SUM(J28:J39)</f>
        <v>395951547.33419454</v>
      </c>
      <c r="K153" s="34">
        <f t="shared" si="7"/>
        <v>-1998159.665805459</v>
      </c>
      <c r="L153" s="5">
        <f t="shared" si="8"/>
        <v>-5.0211361653432728E-3</v>
      </c>
    </row>
    <row r="154" spans="1:12" x14ac:dyDescent="0.25">
      <c r="A154">
        <v>2006</v>
      </c>
      <c r="B154" s="6">
        <f>SUM(B40:B51)</f>
        <v>378534757</v>
      </c>
      <c r="J154" s="6">
        <f>SUM(J40:J51)</f>
        <v>378548926.5294531</v>
      </c>
      <c r="K154" s="34">
        <f t="shared" si="7"/>
        <v>14169.529453098774</v>
      </c>
      <c r="L154" s="5">
        <f t="shared" si="8"/>
        <v>3.7432571754827718E-5</v>
      </c>
    </row>
    <row r="155" spans="1:12" x14ac:dyDescent="0.25">
      <c r="A155" s="17">
        <v>2007</v>
      </c>
      <c r="B155" s="6">
        <f>SUM(B52:B63)</f>
        <v>385126910.3599999</v>
      </c>
      <c r="J155" s="6">
        <f>SUM(J52:J63)</f>
        <v>383078975.73446876</v>
      </c>
      <c r="K155" s="34">
        <f t="shared" si="7"/>
        <v>-2047934.625531137</v>
      </c>
      <c r="L155" s="5">
        <f t="shared" si="8"/>
        <v>-5.3175578502598448E-3</v>
      </c>
    </row>
    <row r="156" spans="1:12" x14ac:dyDescent="0.25">
      <c r="A156">
        <v>2008</v>
      </c>
      <c r="B156" s="6">
        <f>SUM(B64:B75)</f>
        <v>376481613.95999986</v>
      </c>
      <c r="J156" s="6">
        <f>SUM(J64:J75)</f>
        <v>380253617.82511497</v>
      </c>
      <c r="K156" s="34">
        <f t="shared" si="7"/>
        <v>3772003.8651151061</v>
      </c>
      <c r="L156" s="5">
        <f t="shared" si="8"/>
        <v>1.0019091836755331E-2</v>
      </c>
    </row>
    <row r="157" spans="1:12" x14ac:dyDescent="0.25">
      <c r="A157" s="17">
        <v>2009</v>
      </c>
      <c r="B157" s="6">
        <f>SUM(B76:B87)</f>
        <v>357880922.79999995</v>
      </c>
      <c r="J157" s="6">
        <f>SUM(J76:J87)</f>
        <v>356784935.74513686</v>
      </c>
      <c r="K157" s="34">
        <f t="shared" si="7"/>
        <v>-1095987.0548630953</v>
      </c>
      <c r="L157" s="5">
        <f t="shared" si="8"/>
        <v>-3.0624349749863097E-3</v>
      </c>
    </row>
    <row r="158" spans="1:12" x14ac:dyDescent="0.25">
      <c r="A158">
        <v>2010</v>
      </c>
      <c r="B158" s="6">
        <f>SUM(B88:B99)</f>
        <v>371940958.76999992</v>
      </c>
      <c r="J158" s="6">
        <f>SUM(J88:J99)</f>
        <v>365011313.64342594</v>
      </c>
      <c r="K158" s="34">
        <f t="shared" si="7"/>
        <v>-6929645.1265739799</v>
      </c>
      <c r="L158" s="5">
        <f t="shared" si="8"/>
        <v>-1.8631035284444486E-2</v>
      </c>
    </row>
    <row r="159" spans="1:12" x14ac:dyDescent="0.25">
      <c r="A159">
        <v>2011</v>
      </c>
      <c r="B159" s="6">
        <f>SUM(B100:B111)</f>
        <v>374153148.51000005</v>
      </c>
      <c r="J159" s="6">
        <f>SUM(J100:J111)</f>
        <v>375417406.71614671</v>
      </c>
      <c r="K159" s="34">
        <f t="shared" si="7"/>
        <v>1264258.2061466575</v>
      </c>
      <c r="L159" s="5">
        <f t="shared" si="8"/>
        <v>3.378985880999121E-3</v>
      </c>
    </row>
    <row r="160" spans="1:12" x14ac:dyDescent="0.25">
      <c r="A160">
        <v>2012</v>
      </c>
      <c r="B160" s="6">
        <f>SUM(B112:B123)</f>
        <v>368113990.29000002</v>
      </c>
      <c r="J160" s="6">
        <f>SUM(J112:J123)</f>
        <v>373779761.34708571</v>
      </c>
      <c r="K160" s="34">
        <f t="shared" si="7"/>
        <v>5665771.0570856929</v>
      </c>
      <c r="L160" s="5">
        <f t="shared" si="8"/>
        <v>1.5391349436684548E-2</v>
      </c>
    </row>
    <row r="161" spans="1:12" x14ac:dyDescent="0.25">
      <c r="A161">
        <v>2013</v>
      </c>
      <c r="J161" s="6">
        <f>SUM(J124:J135)</f>
        <v>371892733.50283337</v>
      </c>
      <c r="K161" s="34"/>
      <c r="L161" s="5"/>
    </row>
    <row r="162" spans="1:12" x14ac:dyDescent="0.25">
      <c r="A162" s="17">
        <v>2014</v>
      </c>
      <c r="J162" s="6">
        <f>SUM(J136:J147)</f>
        <v>372970353.68768609</v>
      </c>
      <c r="K162" s="34"/>
      <c r="L162" s="5"/>
    </row>
    <row r="163" spans="1:12" x14ac:dyDescent="0.25">
      <c r="J163" s="6"/>
    </row>
    <row r="164" spans="1:12" x14ac:dyDescent="0.25">
      <c r="A164" s="83" t="s">
        <v>134</v>
      </c>
      <c r="B164" s="6">
        <f>SUM(B151:B160)</f>
        <v>3769766982.6900001</v>
      </c>
      <c r="J164" s="6">
        <f>SUM(J151:J160)</f>
        <v>3769766982.6899967</v>
      </c>
      <c r="K164" s="6">
        <f>J164-B164</f>
        <v>0</v>
      </c>
    </row>
    <row r="166" spans="1:12" x14ac:dyDescent="0.25">
      <c r="J166" s="6">
        <f>SUM(J151:J162)</f>
        <v>4514630069.8805161</v>
      </c>
      <c r="K166" s="42">
        <f>J149-J166</f>
        <v>0</v>
      </c>
    </row>
    <row r="167" spans="1:12" x14ac:dyDescent="0.25">
      <c r="J167" s="146"/>
      <c r="K167" s="146" t="s">
        <v>63</v>
      </c>
      <c r="L167" s="146"/>
    </row>
    <row r="170" spans="1:12" x14ac:dyDescent="0.25">
      <c r="J170" s="10"/>
    </row>
    <row r="173" spans="1:12" x14ac:dyDescent="0.25">
      <c r="B173" s="6" t="s">
        <v>101</v>
      </c>
    </row>
    <row r="174" spans="1:12" x14ac:dyDescent="0.25">
      <c r="C174" s="147">
        <f>'HDD and CDD'!W5</f>
        <v>708.50819548872141</v>
      </c>
      <c r="D174" s="147">
        <f>'HDD and CDD'!W19</f>
        <v>0</v>
      </c>
      <c r="E174" s="10">
        <v>31</v>
      </c>
      <c r="F174" s="10">
        <v>0</v>
      </c>
      <c r="G174" s="10">
        <v>777897.4469103209</v>
      </c>
      <c r="H174" s="10">
        <v>0</v>
      </c>
      <c r="I174" s="132">
        <v>712.7</v>
      </c>
      <c r="J174" s="10">
        <f t="shared" ref="J174:J185" si="9">$N$22+C174*$N$23+D174*$N$24+E174*$N$25+F174*$N$26+G174*$N$27+H174*$N$28+I174*$N$29</f>
        <v>36053693.442258812</v>
      </c>
    </row>
    <row r="175" spans="1:12" x14ac:dyDescent="0.25">
      <c r="C175" s="147">
        <f>'HDD and CDD'!W6</f>
        <v>611.0720300751882</v>
      </c>
      <c r="D175" s="147">
        <f>'HDD and CDD'!W20</f>
        <v>0</v>
      </c>
      <c r="E175" s="10">
        <v>28</v>
      </c>
      <c r="F175" s="10">
        <v>0</v>
      </c>
      <c r="G175" s="10">
        <v>767747.06262359594</v>
      </c>
      <c r="H175" s="10">
        <v>0</v>
      </c>
      <c r="I175" s="132">
        <v>712.7</v>
      </c>
      <c r="J175" s="10">
        <f t="shared" si="9"/>
        <v>31738853.677509286</v>
      </c>
    </row>
    <row r="176" spans="1:12" x14ac:dyDescent="0.25">
      <c r="C176" s="147">
        <f>'HDD and CDD'!W7</f>
        <v>498.75616541353338</v>
      </c>
      <c r="D176" s="147">
        <f>'HDD and CDD'!W21</f>
        <v>4.2857142857142705E-2</v>
      </c>
      <c r="E176" s="10">
        <v>31</v>
      </c>
      <c r="F176" s="10">
        <v>1</v>
      </c>
      <c r="G176" s="10">
        <v>757596.67833687097</v>
      </c>
      <c r="H176" s="10">
        <v>0</v>
      </c>
      <c r="I176" s="132">
        <v>712.7</v>
      </c>
      <c r="J176" s="10">
        <f t="shared" si="9"/>
        <v>31414807.100962408</v>
      </c>
    </row>
    <row r="177" spans="2:11" x14ac:dyDescent="0.25">
      <c r="C177" s="147">
        <f>'HDD and CDD'!W8</f>
        <v>305.68796992481293</v>
      </c>
      <c r="D177" s="147">
        <f>'HDD and CDD'!W22</f>
        <v>0.75067669172931772</v>
      </c>
      <c r="E177" s="10">
        <v>30</v>
      </c>
      <c r="F177" s="10">
        <v>1</v>
      </c>
      <c r="G177" s="10">
        <v>747446.29405014601</v>
      </c>
      <c r="H177" s="10">
        <v>0</v>
      </c>
      <c r="I177" s="132">
        <v>712.7</v>
      </c>
      <c r="J177" s="10">
        <f t="shared" si="9"/>
        <v>28211874.531065997</v>
      </c>
    </row>
    <row r="178" spans="2:11" x14ac:dyDescent="0.25">
      <c r="C178" s="147">
        <f>'HDD and CDD'!W9</f>
        <v>144.22443609022594</v>
      </c>
      <c r="D178" s="147">
        <f>'HDD and CDD'!W23</f>
        <v>17.989323308270741</v>
      </c>
      <c r="E178" s="10">
        <v>31</v>
      </c>
      <c r="F178" s="10">
        <v>1</v>
      </c>
      <c r="G178" s="10">
        <v>737295.90976342105</v>
      </c>
      <c r="H178" s="10">
        <v>0</v>
      </c>
      <c r="I178" s="132">
        <v>712.7</v>
      </c>
      <c r="J178" s="10">
        <f t="shared" si="9"/>
        <v>28670421.903514016</v>
      </c>
    </row>
    <row r="179" spans="2:11" x14ac:dyDescent="0.25">
      <c r="C179" s="147">
        <f>'HDD and CDD'!W10</f>
        <v>31.214060150375872</v>
      </c>
      <c r="D179" s="147">
        <f>'HDD and CDD'!W24</f>
        <v>55.697368421052659</v>
      </c>
      <c r="E179" s="10">
        <v>30</v>
      </c>
      <c r="F179" s="10">
        <v>0</v>
      </c>
      <c r="G179" s="10">
        <v>727145.52547669609</v>
      </c>
      <c r="H179" s="10">
        <v>1</v>
      </c>
      <c r="I179" s="132">
        <v>712.7</v>
      </c>
      <c r="J179" s="10">
        <f t="shared" si="9"/>
        <v>29444897.510107834</v>
      </c>
    </row>
    <row r="180" spans="2:11" x14ac:dyDescent="0.25">
      <c r="C180" s="147">
        <f>'HDD and CDD'!W11</f>
        <v>4.5744360902255607</v>
      </c>
      <c r="D180" s="147">
        <f>'HDD and CDD'!W25</f>
        <v>120.15263157894742</v>
      </c>
      <c r="E180" s="10">
        <v>31</v>
      </c>
      <c r="F180" s="10">
        <v>0</v>
      </c>
      <c r="G180" s="10">
        <v>716995.14118997112</v>
      </c>
      <c r="H180" s="10">
        <v>1</v>
      </c>
      <c r="I180" s="132">
        <v>712.7</v>
      </c>
      <c r="J180" s="10">
        <f t="shared" si="9"/>
        <v>34712845.957408339</v>
      </c>
    </row>
    <row r="181" spans="2:11" x14ac:dyDescent="0.25">
      <c r="C181" s="147">
        <f>'HDD and CDD'!W12</f>
        <v>8.9651127819549288</v>
      </c>
      <c r="D181" s="147">
        <f>'HDD and CDD'!W26</f>
        <v>78.358045112781952</v>
      </c>
      <c r="E181" s="10">
        <v>31</v>
      </c>
      <c r="F181" s="10">
        <v>0</v>
      </c>
      <c r="G181" s="10">
        <v>706844.75690324616</v>
      </c>
      <c r="H181" s="10">
        <v>1</v>
      </c>
      <c r="I181" s="132">
        <v>712.7</v>
      </c>
      <c r="J181" s="10">
        <f t="shared" si="9"/>
        <v>31902723.213922549</v>
      </c>
    </row>
    <row r="182" spans="2:11" x14ac:dyDescent="0.25">
      <c r="C182" s="147">
        <f>'HDD and CDD'!W13</f>
        <v>60.835112781954649</v>
      </c>
      <c r="D182" s="147">
        <f>'HDD and CDD'!W27</f>
        <v>27.688421052631611</v>
      </c>
      <c r="E182" s="10">
        <v>30</v>
      </c>
      <c r="F182" s="10">
        <v>1</v>
      </c>
      <c r="G182" s="10">
        <v>696694.3726165212</v>
      </c>
      <c r="H182" s="10">
        <v>0</v>
      </c>
      <c r="I182" s="132">
        <v>712.7</v>
      </c>
      <c r="J182" s="10">
        <f t="shared" si="9"/>
        <v>27441792.592168942</v>
      </c>
    </row>
    <row r="183" spans="2:11" x14ac:dyDescent="0.25">
      <c r="C183" s="147">
        <f>'HDD and CDD'!W14</f>
        <v>257.33511278195488</v>
      </c>
      <c r="D183" s="147">
        <f>'HDD and CDD'!W28</f>
        <v>2.5963157894736923</v>
      </c>
      <c r="E183" s="10">
        <v>31</v>
      </c>
      <c r="F183" s="10">
        <v>1</v>
      </c>
      <c r="G183" s="10">
        <v>686543.98832979624</v>
      </c>
      <c r="H183" s="10">
        <v>0</v>
      </c>
      <c r="I183" s="132">
        <v>712.7</v>
      </c>
      <c r="J183" s="10">
        <f t="shared" si="9"/>
        <v>29061578.648597717</v>
      </c>
    </row>
    <row r="184" spans="2:11" x14ac:dyDescent="0.25">
      <c r="C184" s="147">
        <f>'HDD and CDD'!W15</f>
        <v>388.12639097744341</v>
      </c>
      <c r="D184" s="147">
        <f>'HDD and CDD'!W29</f>
        <v>0</v>
      </c>
      <c r="E184" s="10">
        <v>30</v>
      </c>
      <c r="F184" s="10">
        <v>1</v>
      </c>
      <c r="G184" s="10">
        <v>676393.60404307127</v>
      </c>
      <c r="H184" s="10">
        <v>0</v>
      </c>
      <c r="I184" s="132">
        <v>712.7</v>
      </c>
      <c r="J184" s="10">
        <f t="shared" si="9"/>
        <v>29331559.696577691</v>
      </c>
    </row>
    <row r="185" spans="2:11" x14ac:dyDescent="0.25">
      <c r="C185" s="147">
        <f>'HDD and CDD'!W16</f>
        <v>583.49481203007599</v>
      </c>
      <c r="D185" s="147">
        <f>'HDD and CDD'!W30</f>
        <v>0</v>
      </c>
      <c r="E185" s="10">
        <v>31</v>
      </c>
      <c r="F185" s="10">
        <v>0</v>
      </c>
      <c r="G185" s="10">
        <v>666243.21975634631</v>
      </c>
      <c r="H185" s="10">
        <v>0</v>
      </c>
      <c r="I185" s="132">
        <v>712.7</v>
      </c>
      <c r="J185" s="10">
        <f t="shared" si="9"/>
        <v>34985305.413592488</v>
      </c>
      <c r="K185" s="42">
        <f>SUM(J174:J185)</f>
        <v>372970353.68768609</v>
      </c>
    </row>
    <row r="188" spans="2:11" x14ac:dyDescent="0.25">
      <c r="B188" s="6" t="s">
        <v>186</v>
      </c>
      <c r="C188" s="191"/>
      <c r="D188" s="191"/>
      <c r="E188" s="191"/>
      <c r="F188" s="191"/>
      <c r="H188" s="191"/>
      <c r="I188" s="191"/>
      <c r="J188" s="191"/>
      <c r="K188" s="191"/>
    </row>
    <row r="189" spans="2:11" x14ac:dyDescent="0.25">
      <c r="C189" s="147">
        <f>'HDD and CDD'!V5</f>
        <v>732.53</v>
      </c>
      <c r="D189" s="147">
        <f>'HDD and CDD'!V19</f>
        <v>0</v>
      </c>
      <c r="E189" s="10">
        <v>31</v>
      </c>
      <c r="F189" s="10">
        <v>0</v>
      </c>
      <c r="G189" s="10">
        <v>777897.4469103209</v>
      </c>
      <c r="H189" s="10">
        <v>0</v>
      </c>
      <c r="I189" s="132">
        <v>712.7</v>
      </c>
      <c r="J189" s="10">
        <f t="shared" ref="J189:J200" si="10">$N$22+C189*$N$23+D189*$N$24+E189*$N$25+F189*$N$26+G189*$N$27+H189*$N$28+I189*$N$29</f>
        <v>36328256.480452456</v>
      </c>
      <c r="K189" s="191"/>
    </row>
    <row r="190" spans="2:11" x14ac:dyDescent="0.25">
      <c r="C190" s="147">
        <f>'HDD and CDD'!V6</f>
        <v>647.76</v>
      </c>
      <c r="D190" s="147">
        <f>'HDD and CDD'!V20</f>
        <v>0</v>
      </c>
      <c r="E190" s="10">
        <v>28</v>
      </c>
      <c r="F190" s="10">
        <v>0</v>
      </c>
      <c r="G190" s="10">
        <v>767747.06262359594</v>
      </c>
      <c r="H190" s="10">
        <v>0</v>
      </c>
      <c r="I190" s="132">
        <v>712.7</v>
      </c>
      <c r="J190" s="10">
        <f t="shared" si="10"/>
        <v>32158187.723916322</v>
      </c>
      <c r="K190" s="191"/>
    </row>
    <row r="191" spans="2:11" x14ac:dyDescent="0.25">
      <c r="C191" s="147">
        <f>'HDD and CDD'!V7</f>
        <v>541.56999999999994</v>
      </c>
      <c r="D191" s="147">
        <f>'HDD and CDD'!V21</f>
        <v>0.02</v>
      </c>
      <c r="E191" s="10">
        <v>31</v>
      </c>
      <c r="F191" s="10">
        <v>1</v>
      </c>
      <c r="G191" s="10">
        <v>757596.67833687097</v>
      </c>
      <c r="H191" s="10">
        <v>0</v>
      </c>
      <c r="I191" s="132">
        <v>712.7</v>
      </c>
      <c r="J191" s="10">
        <f t="shared" si="10"/>
        <v>31902576.000030853</v>
      </c>
      <c r="K191" s="191"/>
    </row>
    <row r="192" spans="2:11" x14ac:dyDescent="0.25">
      <c r="C192" s="147">
        <f>'HDD and CDD'!V8</f>
        <v>329.27000000000004</v>
      </c>
      <c r="D192" s="147">
        <f>'HDD and CDD'!V22</f>
        <v>0.25</v>
      </c>
      <c r="E192" s="10">
        <v>30</v>
      </c>
      <c r="F192" s="10">
        <v>1</v>
      </c>
      <c r="G192" s="10">
        <v>747446.29405014601</v>
      </c>
      <c r="H192" s="10">
        <v>0</v>
      </c>
      <c r="I192" s="132">
        <v>712.7</v>
      </c>
      <c r="J192" s="10">
        <f t="shared" si="10"/>
        <v>28446753.538130548</v>
      </c>
      <c r="K192" s="191"/>
    </row>
    <row r="193" spans="3:11" x14ac:dyDescent="0.25">
      <c r="C193" s="147">
        <f>'HDD and CDD'!V9</f>
        <v>165.51</v>
      </c>
      <c r="D193" s="147">
        <f>'HDD and CDD'!V23</f>
        <v>12.879999999999999</v>
      </c>
      <c r="E193" s="10">
        <v>31</v>
      </c>
      <c r="F193" s="10">
        <v>1</v>
      </c>
      <c r="G193" s="10">
        <v>737295.90976342105</v>
      </c>
      <c r="H193" s="10">
        <v>0</v>
      </c>
      <c r="I193" s="132">
        <v>712.7</v>
      </c>
      <c r="J193" s="10">
        <f t="shared" si="10"/>
        <v>28560036.097347442</v>
      </c>
      <c r="K193" s="191"/>
    </row>
    <row r="194" spans="3:11" x14ac:dyDescent="0.25">
      <c r="C194" s="147">
        <f>'HDD and CDD'!V10</f>
        <v>35.089999999999989</v>
      </c>
      <c r="D194" s="147">
        <f>'HDD and CDD'!V24</f>
        <v>55.239999999999995</v>
      </c>
      <c r="E194" s="10">
        <v>30</v>
      </c>
      <c r="F194" s="10">
        <v>0</v>
      </c>
      <c r="G194" s="10">
        <v>727145.52547669609</v>
      </c>
      <c r="H194" s="10">
        <v>1</v>
      </c>
      <c r="I194" s="132">
        <v>712.7</v>
      </c>
      <c r="J194" s="10">
        <f t="shared" si="10"/>
        <v>29457538.839141268</v>
      </c>
      <c r="K194" s="191"/>
    </row>
    <row r="195" spans="3:11" x14ac:dyDescent="0.25">
      <c r="C195" s="147">
        <f>'HDD and CDD'!V11</f>
        <v>5.4700000000000006</v>
      </c>
      <c r="D195" s="147">
        <f>'HDD and CDD'!V25</f>
        <v>107.32000000000001</v>
      </c>
      <c r="E195" s="10">
        <v>31</v>
      </c>
      <c r="F195" s="10">
        <v>0</v>
      </c>
      <c r="G195" s="10">
        <v>716995.14118997112</v>
      </c>
      <c r="H195" s="10">
        <v>1</v>
      </c>
      <c r="I195" s="132">
        <v>712.7</v>
      </c>
      <c r="J195" s="10">
        <f t="shared" si="10"/>
        <v>33834789.784350745</v>
      </c>
      <c r="K195" s="191"/>
    </row>
    <row r="196" spans="3:11" x14ac:dyDescent="0.25">
      <c r="C196" s="147">
        <f>'HDD and CDD'!V12</f>
        <v>11.09</v>
      </c>
      <c r="D196" s="147">
        <f>'HDD and CDD'!V26</f>
        <v>78.690000000000012</v>
      </c>
      <c r="E196" s="10">
        <v>31</v>
      </c>
      <c r="F196" s="10">
        <v>0</v>
      </c>
      <c r="G196" s="10">
        <v>706844.75690324616</v>
      </c>
      <c r="H196" s="10">
        <v>1</v>
      </c>
      <c r="I196" s="132">
        <v>712.7</v>
      </c>
      <c r="J196" s="10">
        <f t="shared" si="10"/>
        <v>31949988.496976875</v>
      </c>
      <c r="K196" s="191"/>
    </row>
    <row r="197" spans="3:11" x14ac:dyDescent="0.25">
      <c r="C197" s="147">
        <f>'HDD and CDD'!V13</f>
        <v>71.72</v>
      </c>
      <c r="D197" s="147">
        <f>'HDD and CDD'!V27</f>
        <v>22.34</v>
      </c>
      <c r="E197" s="10">
        <v>30</v>
      </c>
      <c r="F197" s="10">
        <v>1</v>
      </c>
      <c r="G197" s="10">
        <v>696694.3726165212</v>
      </c>
      <c r="H197" s="10">
        <v>0</v>
      </c>
      <c r="I197" s="132">
        <v>712.7</v>
      </c>
      <c r="J197" s="10">
        <f t="shared" si="10"/>
        <v>27195979.058798462</v>
      </c>
      <c r="K197" s="191"/>
    </row>
    <row r="198" spans="3:11" x14ac:dyDescent="0.25">
      <c r="C198" s="147">
        <f>'HDD and CDD'!V14</f>
        <v>261.08000000000004</v>
      </c>
      <c r="D198" s="147">
        <f>'HDD and CDD'!V28</f>
        <v>2.12</v>
      </c>
      <c r="E198" s="10">
        <v>31</v>
      </c>
      <c r="F198" s="10">
        <v>1</v>
      </c>
      <c r="G198" s="10">
        <v>686543.98832979624</v>
      </c>
      <c r="H198" s="10">
        <v>0</v>
      </c>
      <c r="I198" s="132">
        <v>712.7</v>
      </c>
      <c r="J198" s="10">
        <f t="shared" si="10"/>
        <v>29071410.517156556</v>
      </c>
      <c r="K198" s="191"/>
    </row>
    <row r="199" spans="3:11" x14ac:dyDescent="0.25">
      <c r="C199" s="147">
        <f>'HDD and CDD'!V15</f>
        <v>407.65</v>
      </c>
      <c r="D199" s="147">
        <f>'HDD and CDD'!V29</f>
        <v>0</v>
      </c>
      <c r="E199" s="10">
        <v>30</v>
      </c>
      <c r="F199" s="10">
        <v>1</v>
      </c>
      <c r="G199" s="10">
        <v>676393.60404307127</v>
      </c>
      <c r="H199" s="10">
        <v>0</v>
      </c>
      <c r="I199" s="132">
        <v>712.7</v>
      </c>
      <c r="J199" s="10">
        <f t="shared" si="10"/>
        <v>29554709.518949322</v>
      </c>
      <c r="K199" s="191"/>
    </row>
    <row r="200" spans="3:11" x14ac:dyDescent="0.25">
      <c r="C200" s="147">
        <f>'HDD and CDD'!V16</f>
        <v>600.16</v>
      </c>
      <c r="D200" s="147">
        <f>'HDD and CDD'!V30</f>
        <v>0</v>
      </c>
      <c r="E200" s="10">
        <v>31</v>
      </c>
      <c r="F200" s="10">
        <v>0</v>
      </c>
      <c r="G200" s="10">
        <v>666243.21975634631</v>
      </c>
      <c r="H200" s="10">
        <v>0</v>
      </c>
      <c r="I200" s="132">
        <v>712.7</v>
      </c>
      <c r="J200" s="10">
        <f t="shared" si="10"/>
        <v>35175784.21958486</v>
      </c>
      <c r="K200" s="42">
        <f>SUM(J189:J200)</f>
        <v>373636010.27483577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scale="55" orientation="landscape" r:id="rId1"/>
  <headerFooter alignWithMargins="0">
    <oddFooter>&amp;L&amp;F
&amp;A&amp;RPage &amp;P of &amp;N</oddFooter>
  </headerFooter>
  <rowBreaks count="2" manualBreakCount="2">
    <brk id="63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74"/>
  <sheetViews>
    <sheetView zoomScale="90" zoomScaleNormal="90" workbookViewId="0">
      <pane xSplit="1" ySplit="2" topLeftCell="B24" activePane="bottomRight" state="frozen"/>
      <selection activeCell="H87" sqref="H87"/>
      <selection pane="topRight" activeCell="H87" sqref="H87"/>
      <selection pane="bottomLeft" activeCell="H87" sqref="H87"/>
      <selection pane="bottomRight" activeCell="H87" sqref="H87"/>
    </sheetView>
  </sheetViews>
  <sheetFormatPr defaultRowHeight="13.2" x14ac:dyDescent="0.25"/>
  <cols>
    <col min="1" max="1" width="11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9" width="14.109375" style="6" bestFit="1" customWidth="1"/>
    <col min="10" max="10" width="16.33203125" style="6" customWidth="1"/>
    <col min="11" max="11" width="14.6640625" style="6" customWidth="1"/>
    <col min="12" max="13" width="13.88671875" style="6" bestFit="1" customWidth="1"/>
    <col min="14" max="15" width="12.6640625" style="6" bestFit="1" customWidth="1"/>
    <col min="16" max="16" width="10.6640625" style="6" bestFit="1" customWidth="1"/>
    <col min="17" max="17" width="9.109375" style="6"/>
    <col min="18" max="18" width="11.109375" style="6" bestFit="1" customWidth="1"/>
  </cols>
  <sheetData>
    <row r="2" spans="1:18" ht="42" customHeight="1" x14ac:dyDescent="0.25">
      <c r="B2" s="2" t="s">
        <v>6</v>
      </c>
      <c r="C2" s="2" t="s">
        <v>7</v>
      </c>
      <c r="D2" s="2" t="s">
        <v>40</v>
      </c>
      <c r="E2" s="2" t="s">
        <v>8</v>
      </c>
      <c r="F2" s="2" t="s">
        <v>1</v>
      </c>
      <c r="G2" s="7" t="s">
        <v>2</v>
      </c>
      <c r="H2" s="9" t="s">
        <v>91</v>
      </c>
      <c r="I2" s="9" t="s">
        <v>188</v>
      </c>
      <c r="J2" s="9" t="s">
        <v>142</v>
      </c>
      <c r="K2" s="9" t="s">
        <v>98</v>
      </c>
      <c r="L2" s="9" t="s">
        <v>140</v>
      </c>
      <c r="M2" s="9" t="s">
        <v>187</v>
      </c>
    </row>
    <row r="4" spans="1:18" x14ac:dyDescent="0.25">
      <c r="A4" s="146"/>
      <c r="B4" s="36" t="s">
        <v>42</v>
      </c>
    </row>
    <row r="5" spans="1:18" ht="13.8" thickBot="1" x14ac:dyDescent="0.3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8" thickBot="1" x14ac:dyDescent="0.3">
      <c r="H6" s="207" t="s">
        <v>125</v>
      </c>
      <c r="I6" s="208"/>
      <c r="J6" s="208"/>
      <c r="K6" s="208"/>
      <c r="L6" s="208"/>
      <c r="M6" s="209"/>
    </row>
    <row r="7" spans="1:18" x14ac:dyDescent="0.25">
      <c r="A7">
        <f>'Purchased Power Model '!A151</f>
        <v>2003</v>
      </c>
      <c r="B7" s="6">
        <f>'Purchased Power Model '!B151</f>
        <v>377328534.95999986</v>
      </c>
      <c r="C7" s="6">
        <f>'Purchased Power Model '!J151</f>
        <v>381192539.09012067</v>
      </c>
      <c r="D7" s="34">
        <f t="shared" ref="D7:D16" si="0">C7-B7</f>
        <v>3864004.1301208138</v>
      </c>
      <c r="E7" s="5">
        <f t="shared" ref="E7:E16" si="1">D7/B7</f>
        <v>1.0240423853792114E-2</v>
      </c>
      <c r="F7" s="46">
        <f t="shared" ref="F7:F11" si="2">1 +(B7-G7)/G7</f>
        <v>1.0522435938123615</v>
      </c>
      <c r="G7" s="57">
        <f t="shared" ref="G7:G16" si="3">SUM(H7:M7)</f>
        <v>358594281</v>
      </c>
      <c r="H7" s="130">
        <f>94104295+80917261</f>
        <v>175021556</v>
      </c>
      <c r="I7" s="130">
        <f>58877719+429600-691384</f>
        <v>58615935</v>
      </c>
      <c r="J7" s="130">
        <f>121347276-429600+691384</f>
        <v>121609060</v>
      </c>
      <c r="K7" s="130">
        <f>2220905</f>
        <v>2220905</v>
      </c>
      <c r="L7" s="130">
        <v>587864</v>
      </c>
      <c r="M7" s="130">
        <f>538961</f>
        <v>538961</v>
      </c>
      <c r="P7" s="24"/>
      <c r="Q7" s="80"/>
      <c r="R7" s="32"/>
    </row>
    <row r="8" spans="1:18" x14ac:dyDescent="0.25">
      <c r="A8">
        <f>'Purchased Power Model '!A152</f>
        <v>2004</v>
      </c>
      <c r="B8" s="6">
        <f>'Purchased Power Model '!B152</f>
        <v>382256439.04000014</v>
      </c>
      <c r="C8" s="6">
        <f>'Purchased Power Model '!J152</f>
        <v>379747958.72484887</v>
      </c>
      <c r="D8" s="34">
        <f t="shared" si="0"/>
        <v>-2508480.3151512742</v>
      </c>
      <c r="E8" s="5">
        <f t="shared" si="1"/>
        <v>-6.5622970837354066E-3</v>
      </c>
      <c r="F8" s="46">
        <f t="shared" si="2"/>
        <v>1.0549830430857314</v>
      </c>
      <c r="G8" s="57">
        <f t="shared" si="3"/>
        <v>362334202</v>
      </c>
      <c r="H8" s="130">
        <f>93420201+78828037</f>
        <v>172248238</v>
      </c>
      <c r="I8" s="130">
        <f>56982950+290640-934598</f>
        <v>56338992</v>
      </c>
      <c r="J8" s="130">
        <f>129791532-290640+934598</f>
        <v>130435490</v>
      </c>
      <c r="K8" s="130">
        <f>2191755</f>
        <v>2191755</v>
      </c>
      <c r="L8" s="130">
        <v>572369</v>
      </c>
      <c r="M8" s="130">
        <f>547358</f>
        <v>547358</v>
      </c>
      <c r="P8" s="24"/>
      <c r="Q8" s="80"/>
      <c r="R8" s="32"/>
    </row>
    <row r="9" spans="1:18" x14ac:dyDescent="0.25">
      <c r="A9">
        <f>'Purchased Power Model '!A153</f>
        <v>2005</v>
      </c>
      <c r="B9" s="6">
        <f>'Purchased Power Model '!B153</f>
        <v>397949707</v>
      </c>
      <c r="C9" s="6">
        <f>'Purchased Power Model '!J153</f>
        <v>395951547.33419454</v>
      </c>
      <c r="D9" s="34">
        <f t="shared" si="0"/>
        <v>-1998159.665805459</v>
      </c>
      <c r="E9" s="5">
        <f t="shared" si="1"/>
        <v>-5.0211361653432728E-3</v>
      </c>
      <c r="F9" s="46">
        <f t="shared" si="2"/>
        <v>1.0656569754651146</v>
      </c>
      <c r="G9" s="57">
        <f t="shared" si="3"/>
        <v>373431335</v>
      </c>
      <c r="H9" s="130">
        <f>100150217+81314088</f>
        <v>181464305</v>
      </c>
      <c r="I9" s="130">
        <f>25037041+30102089+4667767-264154-249749+205440-968864</f>
        <v>58529570</v>
      </c>
      <c r="J9" s="130">
        <f>30778778+27095233-4667767+76236616-205440+968864</f>
        <v>130206284</v>
      </c>
      <c r="K9" s="130">
        <f>2177588</f>
        <v>2177588</v>
      </c>
      <c r="L9" s="130">
        <v>539685</v>
      </c>
      <c r="M9" s="130">
        <f>264154+249749</f>
        <v>513903</v>
      </c>
      <c r="P9" s="24"/>
      <c r="Q9" s="80"/>
      <c r="R9" s="32"/>
    </row>
    <row r="10" spans="1:18" x14ac:dyDescent="0.25">
      <c r="A10">
        <f>'Purchased Power Model '!A154</f>
        <v>2006</v>
      </c>
      <c r="B10" s="6">
        <f>'Purchased Power Model '!B154</f>
        <v>378534757</v>
      </c>
      <c r="C10" s="6">
        <f>'Purchased Power Model '!J154</f>
        <v>378548926.5294531</v>
      </c>
      <c r="D10" s="34">
        <f t="shared" si="0"/>
        <v>14169.529453098774</v>
      </c>
      <c r="E10" s="5">
        <f t="shared" si="1"/>
        <v>3.7432571754827718E-5</v>
      </c>
      <c r="F10" s="46">
        <f t="shared" si="2"/>
        <v>1.0535008974572106</v>
      </c>
      <c r="G10" s="57">
        <f t="shared" si="3"/>
        <v>359311281</v>
      </c>
      <c r="H10" s="130">
        <f>94857940+76680692</f>
        <v>171538632</v>
      </c>
      <c r="I10" s="130">
        <f>56022743+1457794-178345+411240-991548</f>
        <v>56721884</v>
      </c>
      <c r="J10" s="130">
        <f>35765479+10255059+9021034-1457794+73630083-411240+991548</f>
        <v>127794169</v>
      </c>
      <c r="K10" s="130">
        <v>2232308</v>
      </c>
      <c r="L10" s="130">
        <v>516624</v>
      </c>
      <c r="M10" s="130">
        <f>329319+178345</f>
        <v>507664</v>
      </c>
      <c r="P10" s="24"/>
      <c r="Q10" s="80"/>
      <c r="R10" s="32"/>
    </row>
    <row r="11" spans="1:18" x14ac:dyDescent="0.25">
      <c r="A11">
        <f>'Purchased Power Model '!A155</f>
        <v>2007</v>
      </c>
      <c r="B11" s="6">
        <f>'Purchased Power Model '!B155</f>
        <v>385126910.3599999</v>
      </c>
      <c r="C11" s="6">
        <f>'Purchased Power Model '!J155</f>
        <v>383078975.73446876</v>
      </c>
      <c r="D11" s="34">
        <f t="shared" si="0"/>
        <v>-2047934.625531137</v>
      </c>
      <c r="E11" s="5">
        <f t="shared" si="1"/>
        <v>-5.3175578502598448E-3</v>
      </c>
      <c r="F11" s="46">
        <f t="shared" si="2"/>
        <v>1.0687961703016211</v>
      </c>
      <c r="G11" s="57">
        <f t="shared" si="3"/>
        <v>360337098</v>
      </c>
      <c r="H11" s="130">
        <f>96426388+77368939</f>
        <v>173795327</v>
      </c>
      <c r="I11" s="130">
        <f>58537616+470700-1124922</f>
        <v>57883394</v>
      </c>
      <c r="J11" s="130">
        <f>45432558+79284697-470700+1124922</f>
        <v>125371477</v>
      </c>
      <c r="K11" s="130">
        <v>2297657</v>
      </c>
      <c r="L11" s="130">
        <v>489923</v>
      </c>
      <c r="M11" s="130">
        <v>499320</v>
      </c>
      <c r="P11" s="24"/>
      <c r="Q11" s="80"/>
      <c r="R11" s="32"/>
    </row>
    <row r="12" spans="1:18" x14ac:dyDescent="0.25">
      <c r="A12">
        <f>'Purchased Power Model '!A156</f>
        <v>2008</v>
      </c>
      <c r="B12" s="6">
        <f>'Purchased Power Model '!B156</f>
        <v>376481613.95999986</v>
      </c>
      <c r="C12" s="6">
        <f>'Purchased Power Model '!J156</f>
        <v>380253617.82511497</v>
      </c>
      <c r="D12" s="34">
        <f t="shared" si="0"/>
        <v>3772003.8651151061</v>
      </c>
      <c r="E12" s="5">
        <f t="shared" si="1"/>
        <v>1.0019091836755331E-2</v>
      </c>
      <c r="F12" s="46">
        <f t="shared" ref="F12:F16" si="4">1 +(B12-G12)/G12</f>
        <v>1.0692941107967595</v>
      </c>
      <c r="G12" s="57">
        <f t="shared" si="3"/>
        <v>352084249</v>
      </c>
      <c r="H12" s="130">
        <f>95289153+76491943</f>
        <v>171781096</v>
      </c>
      <c r="I12" s="130">
        <f>58711522+444780-1326286</f>
        <v>57830016</v>
      </c>
      <c r="J12" s="130">
        <f>31081627+87223389-444780+1326286</f>
        <v>119186522</v>
      </c>
      <c r="K12" s="130">
        <v>2328757</v>
      </c>
      <c r="L12" s="130">
        <v>475594</v>
      </c>
      <c r="M12" s="130">
        <v>482264</v>
      </c>
      <c r="P12" s="24"/>
      <c r="Q12" s="80"/>
      <c r="R12" s="32"/>
    </row>
    <row r="13" spans="1:18" x14ac:dyDescent="0.25">
      <c r="A13">
        <f>'Purchased Power Model '!A157</f>
        <v>2009</v>
      </c>
      <c r="B13" s="6">
        <f>'Purchased Power Model '!B157</f>
        <v>357880922.79999995</v>
      </c>
      <c r="C13" s="6">
        <f>'Purchased Power Model '!J157</f>
        <v>356784935.74513686</v>
      </c>
      <c r="D13" s="34">
        <f t="shared" si="0"/>
        <v>-1095987.0548630953</v>
      </c>
      <c r="E13" s="5">
        <f t="shared" si="1"/>
        <v>-3.0624349749863097E-3</v>
      </c>
      <c r="F13" s="46">
        <f t="shared" si="4"/>
        <v>1.0571868609617969</v>
      </c>
      <c r="G13" s="57">
        <f t="shared" si="3"/>
        <v>338521917</v>
      </c>
      <c r="H13" s="149">
        <v>168226691</v>
      </c>
      <c r="I13" s="149">
        <f>57269262+374576-1539920</f>
        <v>56103918</v>
      </c>
      <c r="J13" s="149">
        <f>29526000+80244756-374576+1539920</f>
        <v>110936100</v>
      </c>
      <c r="K13" s="149">
        <f>2312050-(679*9)</f>
        <v>2305939</v>
      </c>
      <c r="L13" s="149">
        <v>467767</v>
      </c>
      <c r="M13" s="149">
        <v>481502</v>
      </c>
      <c r="P13" s="24"/>
      <c r="Q13" s="80"/>
      <c r="R13" s="32"/>
    </row>
    <row r="14" spans="1:18" x14ac:dyDescent="0.25">
      <c r="A14">
        <f>'Purchased Power Model '!A158</f>
        <v>2010</v>
      </c>
      <c r="B14" s="6">
        <f>'Purchased Power Model '!B158</f>
        <v>371940958.76999992</v>
      </c>
      <c r="C14" s="6">
        <f>'Purchased Power Model '!J158</f>
        <v>365011313.64342594</v>
      </c>
      <c r="D14" s="34">
        <f t="shared" si="0"/>
        <v>-6929645.1265739799</v>
      </c>
      <c r="E14" s="5">
        <f t="shared" si="1"/>
        <v>-1.8631035284444486E-2</v>
      </c>
      <c r="F14" s="46">
        <f t="shared" si="4"/>
        <v>1.0675385619255351</v>
      </c>
      <c r="G14" s="57">
        <f t="shared" si="3"/>
        <v>348409858</v>
      </c>
      <c r="H14" s="149">
        <v>172161499</v>
      </c>
      <c r="I14" s="149">
        <f>57658761+339971-1816640</f>
        <v>56182092</v>
      </c>
      <c r="J14" s="149">
        <f>28844795+86639548-339971+1816640</f>
        <v>116961012</v>
      </c>
      <c r="K14" s="149">
        <f>2258028-(679*12)</f>
        <v>2249880</v>
      </c>
      <c r="L14" s="149">
        <v>401194</v>
      </c>
      <c r="M14" s="149">
        <v>454181</v>
      </c>
      <c r="P14" s="24"/>
      <c r="Q14" s="80"/>
      <c r="R14" s="32"/>
    </row>
    <row r="15" spans="1:18" x14ac:dyDescent="0.25">
      <c r="A15">
        <f>'Purchased Power Model '!A159</f>
        <v>2011</v>
      </c>
      <c r="B15" s="6">
        <f>'Purchased Power Model '!B159</f>
        <v>374153148.51000005</v>
      </c>
      <c r="C15" s="6">
        <f>'Purchased Power Model '!J159</f>
        <v>375417406.71614671</v>
      </c>
      <c r="D15" s="34">
        <f t="shared" si="0"/>
        <v>1264258.2061466575</v>
      </c>
      <c r="E15" s="5">
        <f t="shared" si="1"/>
        <v>3.378985880999121E-3</v>
      </c>
      <c r="F15" s="46">
        <f t="shared" si="4"/>
        <v>1.0691557694468869</v>
      </c>
      <c r="G15" s="57">
        <f t="shared" si="3"/>
        <v>349951952</v>
      </c>
      <c r="H15" s="149">
        <v>171241285</v>
      </c>
      <c r="I15" s="149">
        <f>57101452+682037-1904708</f>
        <v>55878781</v>
      </c>
      <c r="J15" s="149">
        <f>29326720+89216393-682037+1904708</f>
        <v>119765784</v>
      </c>
      <c r="K15" s="149">
        <f>2281811-(679*12)</f>
        <v>2273663</v>
      </c>
      <c r="L15" s="149">
        <v>385924</v>
      </c>
      <c r="M15" s="149">
        <v>406515</v>
      </c>
      <c r="P15" s="24"/>
      <c r="Q15" s="80"/>
      <c r="R15" s="32"/>
    </row>
    <row r="16" spans="1:18" x14ac:dyDescent="0.25">
      <c r="A16">
        <f>'Purchased Power Model '!A160</f>
        <v>2012</v>
      </c>
      <c r="B16" s="6">
        <f>'Purchased Power Model '!B160</f>
        <v>368113990.29000002</v>
      </c>
      <c r="C16" s="6">
        <f>'Purchased Power Model '!J160</f>
        <v>373779761.34708571</v>
      </c>
      <c r="D16" s="34">
        <f t="shared" si="0"/>
        <v>5665771.0570856929</v>
      </c>
      <c r="E16" s="5">
        <f t="shared" si="1"/>
        <v>1.5391349436684548E-2</v>
      </c>
      <c r="F16" s="46">
        <f t="shared" si="4"/>
        <v>1.0682658139062413</v>
      </c>
      <c r="G16" s="57">
        <f t="shared" si="3"/>
        <v>344590256</v>
      </c>
      <c r="H16" s="149">
        <v>168308353</v>
      </c>
      <c r="I16" s="149">
        <f>56019870+813048-1985174</f>
        <v>54847744</v>
      </c>
      <c r="J16" s="149">
        <f>27720179+89400018-813048+1985174</f>
        <v>118292323</v>
      </c>
      <c r="K16" s="149">
        <f>2398127-(679*12)</f>
        <v>2389979</v>
      </c>
      <c r="L16" s="149">
        <v>361875</v>
      </c>
      <c r="M16" s="149">
        <v>389982</v>
      </c>
      <c r="P16" s="24"/>
      <c r="Q16" s="80"/>
      <c r="R16" s="32"/>
    </row>
    <row r="17" spans="1:18" x14ac:dyDescent="0.25">
      <c r="A17">
        <f>'Purchased Power Model '!A161</f>
        <v>2013</v>
      </c>
      <c r="B17" s="6"/>
      <c r="C17" s="6">
        <f>'Purchased Power Model '!J161</f>
        <v>371892733.50283337</v>
      </c>
      <c r="D17" s="34"/>
      <c r="E17" s="5"/>
      <c r="F17" s="46"/>
      <c r="G17" s="151">
        <f>C17/$F$21</f>
        <v>348773179.08886611</v>
      </c>
      <c r="H17" s="76">
        <f>(G17-$G$16)/$G$16</f>
        <v>1.2138831600816115E-2</v>
      </c>
      <c r="I17" s="26"/>
      <c r="J17" s="26"/>
      <c r="K17" s="26"/>
      <c r="L17" s="26"/>
      <c r="M17" s="26"/>
      <c r="P17" s="24"/>
      <c r="Q17" s="80"/>
      <c r="R17" s="32"/>
    </row>
    <row r="18" spans="1:18" x14ac:dyDescent="0.25">
      <c r="A18">
        <f>'Purchased Power Model '!A162</f>
        <v>2014</v>
      </c>
      <c r="B18" s="6"/>
      <c r="C18" s="6">
        <f>'Purchased Power Model '!J162</f>
        <v>372970353.68768609</v>
      </c>
      <c r="D18" s="34"/>
      <c r="E18" s="5"/>
      <c r="F18" s="46"/>
      <c r="G18" s="151">
        <f>C18/$F$21</f>
        <v>349783806.57325214</v>
      </c>
      <c r="H18" s="76">
        <f>(G18-$G$16)/$G$16</f>
        <v>1.5071669853752747E-2</v>
      </c>
      <c r="I18" s="26"/>
      <c r="J18" s="26"/>
      <c r="K18" s="26"/>
      <c r="L18" s="26"/>
      <c r="M18" s="26"/>
      <c r="P18" s="24"/>
      <c r="Q18" s="80"/>
      <c r="R18" s="32"/>
    </row>
    <row r="19" spans="1:18" x14ac:dyDescent="0.25">
      <c r="B19" s="6"/>
      <c r="C19" s="6"/>
    </row>
    <row r="21" spans="1:18" x14ac:dyDescent="0.25">
      <c r="A21" s="19" t="s">
        <v>170</v>
      </c>
      <c r="F21" s="46">
        <f>AVERAGE(F12:F16)</f>
        <v>1.066288223407444</v>
      </c>
    </row>
    <row r="22" spans="1:18" x14ac:dyDescent="0.25">
      <c r="E22"/>
      <c r="F22"/>
      <c r="G22"/>
    </row>
    <row r="24" spans="1:18" x14ac:dyDescent="0.25">
      <c r="A24" s="21" t="s">
        <v>15</v>
      </c>
      <c r="B24" s="13"/>
      <c r="H24" s="26"/>
      <c r="I24" s="26"/>
      <c r="J24" s="26"/>
      <c r="K24" s="26"/>
      <c r="L24" s="26"/>
    </row>
    <row r="25" spans="1:18" x14ac:dyDescent="0.25">
      <c r="H25" s="26"/>
      <c r="I25" s="26"/>
      <c r="J25" s="26"/>
      <c r="K25" s="26"/>
      <c r="L25" s="26"/>
    </row>
    <row r="26" spans="1:18" x14ac:dyDescent="0.25">
      <c r="A26">
        <f t="shared" ref="A26:A37" si="5">A7</f>
        <v>2003</v>
      </c>
      <c r="H26" s="26">
        <f>H7/'Rate Class Customer Model'!B3</f>
        <v>9952.8891669036111</v>
      </c>
      <c r="I26" s="26">
        <f>I7/'Rate Class Customer Model'!C3</f>
        <v>25686.211656441719</v>
      </c>
      <c r="J26" s="26">
        <f>J7/'Rate Class Customer Model'!D3</f>
        <v>774580</v>
      </c>
      <c r="K26" s="26">
        <f>K7/'Rate Class Customer Model'!E3</f>
        <v>818.61592333210467</v>
      </c>
      <c r="L26" s="26">
        <f>L7/'Rate Class Customer Model'!F3</f>
        <v>685.95565927654604</v>
      </c>
      <c r="M26" s="26">
        <f>M7/'Rate Class Customer Model'!G3</f>
        <v>6124.556818181818</v>
      </c>
    </row>
    <row r="27" spans="1:18" x14ac:dyDescent="0.25">
      <c r="A27">
        <f t="shared" si="5"/>
        <v>2004</v>
      </c>
      <c r="H27" s="26">
        <f>H8/'Rate Class Customer Model'!B4</f>
        <v>9689.9323807380733</v>
      </c>
      <c r="I27" s="26">
        <f>I8/'Rate Class Customer Model'!C4</f>
        <v>24537.88850174216</v>
      </c>
      <c r="J27" s="26">
        <f>J8/'Rate Class Customer Model'!D4</f>
        <v>830799.29936305736</v>
      </c>
      <c r="K27" s="26">
        <f>K8/'Rate Class Customer Model'!E4</f>
        <v>789.25279078141875</v>
      </c>
      <c r="L27" s="26">
        <f>L8/'Rate Class Customer Model'!F4</f>
        <v>785.14266117969817</v>
      </c>
      <c r="M27" s="26">
        <f>M8/'Rate Class Customer Model'!G4</f>
        <v>6757.5061728395058</v>
      </c>
    </row>
    <row r="28" spans="1:18" x14ac:dyDescent="0.25">
      <c r="A28">
        <f t="shared" si="5"/>
        <v>2005</v>
      </c>
      <c r="H28" s="26">
        <f>H9/'Rate Class Customer Model'!B5</f>
        <v>10141.636673559493</v>
      </c>
      <c r="I28" s="26">
        <f>I9/'Rate Class Customer Model'!C5</f>
        <v>25184.840791738381</v>
      </c>
      <c r="J28" s="26">
        <f>J9/'Rate Class Customer Model'!D5</f>
        <v>829339.38853503182</v>
      </c>
      <c r="K28" s="26">
        <f>K9/'Rate Class Customer Model'!E5</f>
        <v>787.83936324167871</v>
      </c>
      <c r="L28" s="26">
        <f>L9/'Rate Class Customer Model'!F5</f>
        <v>765.51063829787233</v>
      </c>
      <c r="M28" s="26">
        <f>M9/'Rate Class Customer Model'!G5</f>
        <v>5906.9310344827591</v>
      </c>
    </row>
    <row r="29" spans="1:18" x14ac:dyDescent="0.25">
      <c r="A29">
        <f t="shared" si="5"/>
        <v>2006</v>
      </c>
      <c r="H29" s="26">
        <f>H10/'Rate Class Customer Model'!B6</f>
        <v>9516.1784089648281</v>
      </c>
      <c r="I29" s="26">
        <f>I10/'Rate Class Customer Model'!C6</f>
        <v>24544.302899177845</v>
      </c>
      <c r="J29" s="26">
        <f>J10/'Rate Class Customer Model'!D6</f>
        <v>813975.59872611461</v>
      </c>
      <c r="K29" s="26">
        <f>K10/'Rate Class Customer Model'!E6</f>
        <v>809.39376359680932</v>
      </c>
      <c r="L29" s="26">
        <f>L10/'Rate Class Customer Model'!F6</f>
        <v>745.48917748917745</v>
      </c>
      <c r="M29" s="26">
        <f>M10/'Rate Class Customer Model'!G6</f>
        <v>5768.909090909091</v>
      </c>
    </row>
    <row r="30" spans="1:18" x14ac:dyDescent="0.25">
      <c r="A30">
        <f t="shared" si="5"/>
        <v>2007</v>
      </c>
      <c r="D30" s="6"/>
      <c r="H30" s="26">
        <f>H11/'Rate Class Customer Model'!B7</f>
        <v>9581.3069628976245</v>
      </c>
      <c r="I30" s="26">
        <f>I11/'Rate Class Customer Model'!C7</f>
        <v>24789.46209850107</v>
      </c>
      <c r="J30" s="26">
        <f>J11/'Rate Class Customer Model'!D7</f>
        <v>876723.61538461538</v>
      </c>
      <c r="K30" s="26">
        <f>K11/'Rate Class Customer Model'!E7</f>
        <v>822.35397279885467</v>
      </c>
      <c r="L30" s="26">
        <f>L11/'Rate Class Customer Model'!F7</f>
        <v>736.72631578947369</v>
      </c>
      <c r="M30" s="26">
        <f>M11/'Rate Class Customer Model'!G7</f>
        <v>5944.2857142857147</v>
      </c>
    </row>
    <row r="31" spans="1:18" x14ac:dyDescent="0.25">
      <c r="A31">
        <f t="shared" si="5"/>
        <v>2008</v>
      </c>
      <c r="H31" s="26">
        <f>H12/'Rate Class Customer Model'!B8</f>
        <v>9415.2423129624549</v>
      </c>
      <c r="I31" s="26">
        <f>I12/'Rate Class Customer Model'!C8</f>
        <v>24682.038412291935</v>
      </c>
      <c r="J31" s="26">
        <f>J12/'Rate Class Customer Model'!D8</f>
        <v>821976.0137931034</v>
      </c>
      <c r="K31" s="26">
        <f>K12/'Rate Class Customer Model'!E8</f>
        <v>808.87704063911076</v>
      </c>
      <c r="L31" s="26">
        <f>L12/'Rate Class Customer Model'!F8</f>
        <v>735.07573415765069</v>
      </c>
      <c r="M31" s="26">
        <f>M12/'Rate Class Customer Model'!G8</f>
        <v>5741.2380952380954</v>
      </c>
    </row>
    <row r="32" spans="1:18" x14ac:dyDescent="0.25">
      <c r="A32">
        <f t="shared" si="5"/>
        <v>2009</v>
      </c>
      <c r="H32" s="26">
        <f>H13/'Rate Class Customer Model'!B9</f>
        <v>9188.1965699929005</v>
      </c>
      <c r="I32" s="26">
        <f>I13/'Rate Class Customer Model'!C9</f>
        <v>23632.652906486943</v>
      </c>
      <c r="J32" s="26">
        <f>J13/'Rate Class Customer Model'!D9</f>
        <v>770389.58333333337</v>
      </c>
      <c r="K32" s="26">
        <f>K13/'Rate Class Customer Model'!E9</f>
        <v>802.90355153203348</v>
      </c>
      <c r="L32" s="26">
        <f>L13/'Rate Class Customer Model'!F9</f>
        <v>713.0594512195122</v>
      </c>
      <c r="M32" s="26">
        <f>M13/'Rate Class Customer Model'!G9</f>
        <v>5732.166666666667</v>
      </c>
    </row>
    <row r="33" spans="1:23" x14ac:dyDescent="0.25">
      <c r="A33">
        <f t="shared" si="5"/>
        <v>2010</v>
      </c>
      <c r="H33" s="26">
        <f>H14/'Rate Class Customer Model'!B10</f>
        <v>9323.6663417275922</v>
      </c>
      <c r="I33" s="26">
        <f>I14/'Rate Class Customer Model'!C10</f>
        <v>23775.747778247991</v>
      </c>
      <c r="J33" s="26">
        <f>J14/'Rate Class Customer Model'!D10</f>
        <v>817909.17482517485</v>
      </c>
      <c r="K33" s="26">
        <f>K14/'Rate Class Customer Model'!E10</f>
        <v>746.22885572139307</v>
      </c>
      <c r="L33" s="26">
        <f>L14/'Rate Class Customer Model'!F10</f>
        <v>675.41077441077437</v>
      </c>
      <c r="M33" s="26">
        <f>M14/'Rate Class Customer Model'!G10</f>
        <v>5822.833333333333</v>
      </c>
    </row>
    <row r="34" spans="1:23" x14ac:dyDescent="0.25">
      <c r="A34">
        <f t="shared" si="5"/>
        <v>2011</v>
      </c>
      <c r="H34" s="26">
        <f>H15/'Rate Class Customer Model'!B11</f>
        <v>9240.8010900652953</v>
      </c>
      <c r="I34" s="26">
        <f>I15/'Rate Class Customer Model'!C11</f>
        <v>23478.479411764707</v>
      </c>
      <c r="J34" s="26">
        <f>J15/'Rate Class Customer Model'!D11</f>
        <v>825970.92413793108</v>
      </c>
      <c r="K34" s="26">
        <f>K15/'Rate Class Customer Model'!E11</f>
        <v>767.35167060411743</v>
      </c>
      <c r="L34" s="26">
        <f>L15/'Rate Class Customer Model'!F11</f>
        <v>680.64197530864203</v>
      </c>
      <c r="M34" s="26">
        <f>M15/'Rate Class Customer Model'!G11</f>
        <v>5348.8815789473683</v>
      </c>
    </row>
    <row r="35" spans="1:23" x14ac:dyDescent="0.25">
      <c r="A35">
        <f t="shared" si="5"/>
        <v>2012</v>
      </c>
      <c r="H35" s="26">
        <f>H16/'Rate Class Customer Model'!B12</f>
        <v>9040.5732932266201</v>
      </c>
      <c r="I35" s="26">
        <f>I16/'Rate Class Customer Model'!C12</f>
        <v>23399.208191126279</v>
      </c>
      <c r="J35" s="26">
        <f>J16/'Rate Class Customer Model'!D12</f>
        <v>788615.48666666669</v>
      </c>
      <c r="K35" s="26">
        <f>K16/'Rate Class Customer Model'!E12</f>
        <v>801.46847753185784</v>
      </c>
      <c r="L35" s="26">
        <f>L16/'Rate Class Customer Model'!F12</f>
        <v>676.40186915887853</v>
      </c>
      <c r="M35" s="26">
        <f>M16/'Rate Class Customer Model'!G12</f>
        <v>5342.2191780821922</v>
      </c>
    </row>
    <row r="36" spans="1:23" x14ac:dyDescent="0.25">
      <c r="A36">
        <f t="shared" si="5"/>
        <v>2013</v>
      </c>
      <c r="H36" s="151">
        <f>H35*H50</f>
        <v>8962.5248855789978</v>
      </c>
      <c r="I36" s="151">
        <f>I35*I50</f>
        <v>23158.012512618574</v>
      </c>
      <c r="J36" s="151">
        <f>J35*J50</f>
        <v>790190.60067217483</v>
      </c>
      <c r="K36" s="151">
        <f>K35</f>
        <v>801.46847753185784</v>
      </c>
      <c r="L36" s="151">
        <f>L35*L50</f>
        <v>663.91400035977563</v>
      </c>
      <c r="M36" s="151">
        <f>M35*M50</f>
        <v>5261.7102410273501</v>
      </c>
    </row>
    <row r="37" spans="1:23" x14ac:dyDescent="0.25">
      <c r="A37">
        <f t="shared" si="5"/>
        <v>2014</v>
      </c>
      <c r="B37" s="81"/>
      <c r="C37" s="81"/>
      <c r="D37" s="81"/>
      <c r="E37" s="81"/>
      <c r="F37" s="81"/>
      <c r="H37" s="151">
        <f>H36*H50</f>
        <v>8885.15027966261</v>
      </c>
      <c r="I37" s="151">
        <f>I36*I50</f>
        <v>22919.303044535409</v>
      </c>
      <c r="J37" s="151">
        <f>J36*J50</f>
        <v>791768.86067744123</v>
      </c>
      <c r="K37" s="151">
        <f>K36</f>
        <v>801.46847753185784</v>
      </c>
      <c r="L37" s="151">
        <f>L36*L50</f>
        <v>651.65668513282287</v>
      </c>
      <c r="M37" s="151">
        <f>M36*M50</f>
        <v>5182.4145991836613</v>
      </c>
    </row>
    <row r="39" spans="1:23" x14ac:dyDescent="0.25">
      <c r="A39" s="35">
        <v>2003</v>
      </c>
      <c r="D39" s="6"/>
      <c r="H39" s="24"/>
      <c r="I39" s="24"/>
      <c r="J39" s="24"/>
      <c r="K39" s="24"/>
      <c r="L39" s="24"/>
      <c r="M39" s="24"/>
      <c r="O39" s="76"/>
      <c r="P39" s="76"/>
      <c r="Q39" s="76"/>
      <c r="R39" s="76"/>
      <c r="S39" s="76"/>
      <c r="T39" s="76"/>
      <c r="U39" s="76"/>
      <c r="V39" s="76"/>
      <c r="W39" s="76"/>
    </row>
    <row r="40" spans="1:23" x14ac:dyDescent="0.25">
      <c r="A40" s="35">
        <v>2004</v>
      </c>
      <c r="D40" s="6"/>
      <c r="H40" s="24">
        <f t="shared" ref="H40:M48" si="6">H27/H26</f>
        <v>0.97357985387399382</v>
      </c>
      <c r="I40" s="24">
        <f t="shared" si="6"/>
        <v>0.95529418000370725</v>
      </c>
      <c r="J40" s="24">
        <f t="shared" si="6"/>
        <v>1.0725803653115977</v>
      </c>
      <c r="K40" s="24">
        <f t="shared" si="6"/>
        <v>0.96413075813237803</v>
      </c>
      <c r="L40" s="24">
        <f t="shared" si="6"/>
        <v>1.1445968125808033</v>
      </c>
      <c r="M40" s="24">
        <f t="shared" si="6"/>
        <v>1.1033461478843116</v>
      </c>
      <c r="O40" s="76"/>
      <c r="P40" s="76"/>
      <c r="Q40" s="76"/>
      <c r="R40" s="76"/>
      <c r="S40" s="76"/>
      <c r="T40" s="76"/>
      <c r="U40" s="76"/>
      <c r="V40" s="76"/>
      <c r="W40" s="76"/>
    </row>
    <row r="41" spans="1:23" x14ac:dyDescent="0.25">
      <c r="A41" s="35">
        <v>2005</v>
      </c>
      <c r="D41" s="6"/>
      <c r="H41" s="24">
        <f t="shared" si="6"/>
        <v>1.0466158353921364</v>
      </c>
      <c r="I41" s="24">
        <f t="shared" si="6"/>
        <v>1.0263654425665145</v>
      </c>
      <c r="J41" s="24">
        <f t="shared" si="6"/>
        <v>0.99824276353007901</v>
      </c>
      <c r="K41" s="24">
        <f t="shared" si="6"/>
        <v>0.9982091573748626</v>
      </c>
      <c r="L41" s="24">
        <f t="shared" si="6"/>
        <v>0.97499559780342571</v>
      </c>
      <c r="M41" s="24">
        <f t="shared" si="6"/>
        <v>0.87412884034416871</v>
      </c>
      <c r="O41" s="76"/>
      <c r="P41" s="76"/>
      <c r="Q41" s="76"/>
      <c r="R41" s="76"/>
      <c r="S41" s="76"/>
      <c r="T41" s="76"/>
      <c r="U41" s="76"/>
      <c r="V41" s="76"/>
      <c r="W41" s="76"/>
    </row>
    <row r="42" spans="1:23" x14ac:dyDescent="0.25">
      <c r="A42" s="35">
        <v>2006</v>
      </c>
      <c r="D42" s="6"/>
      <c r="H42" s="24">
        <f t="shared" si="6"/>
        <v>0.93832767976935005</v>
      </c>
      <c r="I42" s="24">
        <f t="shared" si="6"/>
        <v>0.9745665300067865</v>
      </c>
      <c r="J42" s="24">
        <f t="shared" si="6"/>
        <v>0.98147466523197913</v>
      </c>
      <c r="K42" s="24">
        <f t="shared" si="6"/>
        <v>1.0273588771528779</v>
      </c>
      <c r="L42" s="24">
        <f t="shared" si="6"/>
        <v>0.97384561388563717</v>
      </c>
      <c r="M42" s="24">
        <f t="shared" si="6"/>
        <v>0.97663389960574443</v>
      </c>
      <c r="O42" s="76"/>
      <c r="P42" s="76"/>
      <c r="Q42" s="76"/>
      <c r="R42" s="76"/>
      <c r="S42" s="76"/>
      <c r="T42" s="76"/>
      <c r="U42" s="76"/>
      <c r="V42" s="76"/>
      <c r="W42" s="76"/>
    </row>
    <row r="43" spans="1:23" x14ac:dyDescent="0.25">
      <c r="A43" s="35">
        <v>2007</v>
      </c>
      <c r="D43" s="6"/>
      <c r="H43" s="24">
        <f t="shared" si="6"/>
        <v>1.0068439820202868</v>
      </c>
      <c r="I43" s="24">
        <f t="shared" si="6"/>
        <v>1.0099884360264897</v>
      </c>
      <c r="J43" s="24">
        <f t="shared" si="6"/>
        <v>1.0770883264273554</v>
      </c>
      <c r="K43" s="24">
        <f t="shared" si="6"/>
        <v>1.0160122424769527</v>
      </c>
      <c r="L43" s="24">
        <f t="shared" si="6"/>
        <v>0.98824548770886622</v>
      </c>
      <c r="M43" s="24">
        <f t="shared" si="6"/>
        <v>1.0304003097661896</v>
      </c>
      <c r="O43" s="76"/>
      <c r="P43" s="76"/>
      <c r="Q43" s="76"/>
      <c r="R43" s="76"/>
      <c r="S43" s="76"/>
      <c r="T43" s="76"/>
      <c r="U43" s="76"/>
      <c r="V43" s="76"/>
      <c r="W43" s="76"/>
    </row>
    <row r="44" spans="1:23" x14ac:dyDescent="0.25">
      <c r="A44" s="35">
        <v>2008</v>
      </c>
      <c r="D44" s="6"/>
      <c r="H44" s="24">
        <f t="shared" si="6"/>
        <v>0.98266784995217937</v>
      </c>
      <c r="I44" s="24">
        <f t="shared" si="6"/>
        <v>0.99566655840363594</v>
      </c>
      <c r="J44" s="24">
        <f t="shared" si="6"/>
        <v>0.93755432084774581</v>
      </c>
      <c r="K44" s="24">
        <f t="shared" si="6"/>
        <v>0.98361176256755278</v>
      </c>
      <c r="L44" s="24">
        <f t="shared" si="6"/>
        <v>0.99775957286111838</v>
      </c>
      <c r="M44" s="24">
        <f t="shared" si="6"/>
        <v>0.96584154450052062</v>
      </c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25">
      <c r="A45" s="35">
        <v>2009</v>
      </c>
      <c r="D45" s="6"/>
      <c r="H45" s="24">
        <f t="shared" si="6"/>
        <v>0.97588530008866914</v>
      </c>
      <c r="I45" s="24">
        <f t="shared" si="6"/>
        <v>0.95748383953237892</v>
      </c>
      <c r="J45" s="24">
        <f t="shared" si="6"/>
        <v>0.93724095400093432</v>
      </c>
      <c r="K45" s="24">
        <f t="shared" si="6"/>
        <v>0.99261508386694042</v>
      </c>
      <c r="L45" s="24">
        <f t="shared" si="6"/>
        <v>0.97004895969887006</v>
      </c>
      <c r="M45" s="24">
        <f t="shared" si="6"/>
        <v>0.99841995255710569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 x14ac:dyDescent="0.25">
      <c r="A46" s="35">
        <v>2010</v>
      </c>
      <c r="D46" s="6"/>
      <c r="H46" s="24">
        <f t="shared" si="6"/>
        <v>1.0147438913286981</v>
      </c>
      <c r="I46" s="24">
        <f t="shared" si="6"/>
        <v>1.0060549643887746</v>
      </c>
      <c r="J46" s="24">
        <f t="shared" si="6"/>
        <v>1.0616825467528168</v>
      </c>
      <c r="K46" s="24">
        <f t="shared" si="6"/>
        <v>0.92941282212228549</v>
      </c>
      <c r="L46" s="24">
        <f t="shared" si="6"/>
        <v>0.94720120917779149</v>
      </c>
      <c r="M46" s="24">
        <f t="shared" si="6"/>
        <v>1.0158171720989735</v>
      </c>
      <c r="O46" s="76"/>
      <c r="P46" s="76"/>
      <c r="Q46" s="76"/>
      <c r="R46" s="76"/>
      <c r="S46" s="76"/>
      <c r="T46" s="76"/>
      <c r="U46" s="76"/>
      <c r="V46" s="76"/>
      <c r="W46" s="76"/>
    </row>
    <row r="47" spans="1:23" x14ac:dyDescent="0.25">
      <c r="A47" s="35">
        <v>2011</v>
      </c>
      <c r="D47" s="6"/>
      <c r="H47" s="24">
        <f t="shared" si="6"/>
        <v>0.9911123748292624</v>
      </c>
      <c r="I47" s="24">
        <f t="shared" si="6"/>
        <v>0.98749699192404583</v>
      </c>
      <c r="J47" s="24">
        <f t="shared" si="6"/>
        <v>1.0098565336603289</v>
      </c>
      <c r="K47" s="24">
        <f t="shared" si="6"/>
        <v>1.028306081600536</v>
      </c>
      <c r="L47" s="24">
        <f t="shared" si="6"/>
        <v>1.0077452138699317</v>
      </c>
      <c r="M47" s="24">
        <f t="shared" si="6"/>
        <v>0.91860461612858035</v>
      </c>
      <c r="O47" s="76"/>
      <c r="P47" s="76"/>
      <c r="Q47" s="76"/>
      <c r="R47" s="76"/>
      <c r="S47" s="76"/>
      <c r="T47" s="76"/>
      <c r="U47" s="76"/>
      <c r="V47" s="76"/>
      <c r="W47" s="76"/>
    </row>
    <row r="48" spans="1:23" x14ac:dyDescent="0.25">
      <c r="A48" s="35">
        <v>2012</v>
      </c>
      <c r="B48" s="81"/>
      <c r="C48" s="81"/>
      <c r="D48" s="6"/>
      <c r="E48" s="81"/>
      <c r="F48" s="81"/>
      <c r="H48" s="24">
        <f t="shared" si="6"/>
        <v>0.97833220357335271</v>
      </c>
      <c r="I48" s="24">
        <f t="shared" si="6"/>
        <v>0.9966236646229012</v>
      </c>
      <c r="J48" s="24">
        <f t="shared" si="6"/>
        <v>0.95477390743475332</v>
      </c>
      <c r="K48" s="24">
        <f t="shared" si="6"/>
        <v>1.0444604582679557</v>
      </c>
      <c r="L48" s="24">
        <f t="shared" si="6"/>
        <v>0.99377043099958562</v>
      </c>
      <c r="M48" s="24">
        <f t="shared" si="6"/>
        <v>0.99875443104005168</v>
      </c>
      <c r="O48" s="76"/>
      <c r="P48" s="76"/>
      <c r="Q48" s="76"/>
      <c r="R48" s="76"/>
      <c r="S48" s="76"/>
      <c r="T48" s="76"/>
      <c r="U48" s="76"/>
      <c r="V48" s="76"/>
      <c r="W48" s="76"/>
    </row>
    <row r="49" spans="1:23" x14ac:dyDescent="0.25">
      <c r="A49" s="3"/>
      <c r="D49" s="6"/>
      <c r="E49" s="6"/>
      <c r="F49" s="6"/>
    </row>
    <row r="50" spans="1:23" x14ac:dyDescent="0.25">
      <c r="A50" t="s">
        <v>17</v>
      </c>
      <c r="D50" s="6"/>
      <c r="H50" s="150">
        <f t="shared" ref="H50:L50" si="7">H52</f>
        <v>0.99136687407798607</v>
      </c>
      <c r="I50" s="150">
        <f t="shared" si="7"/>
        <v>0.98969214357436353</v>
      </c>
      <c r="J50" s="150">
        <f t="shared" si="7"/>
        <v>1.0019973155893322</v>
      </c>
      <c r="K50" s="150">
        <f t="shared" si="7"/>
        <v>0.99765061149407219</v>
      </c>
      <c r="L50" s="150">
        <f t="shared" si="7"/>
        <v>0.98153779673224173</v>
      </c>
      <c r="M50" s="150">
        <f>M52</f>
        <v>0.98492968289561189</v>
      </c>
    </row>
    <row r="51" spans="1:23" x14ac:dyDescent="0.25">
      <c r="A51" s="3"/>
      <c r="D51" s="6"/>
      <c r="H51" s="13"/>
      <c r="I51" s="13"/>
      <c r="K51" s="11"/>
      <c r="L51" s="11"/>
      <c r="M51" s="11"/>
    </row>
    <row r="52" spans="1:23" x14ac:dyDescent="0.25">
      <c r="A52" t="s">
        <v>14</v>
      </c>
      <c r="D52" s="6"/>
      <c r="H52" s="24">
        <f>GEOMEAN(H41:H48)</f>
        <v>0.99136687407798607</v>
      </c>
      <c r="I52" s="24">
        <f t="shared" ref="I52:M52" si="8">GEOMEAN(I39:I48)</f>
        <v>0.98969214357436353</v>
      </c>
      <c r="J52" s="24">
        <f t="shared" si="8"/>
        <v>1.0019973155893322</v>
      </c>
      <c r="K52" s="24">
        <f t="shared" si="8"/>
        <v>0.99765061149407219</v>
      </c>
      <c r="L52" s="24">
        <f>GEOMEAN(L41:L48)</f>
        <v>0.98153779673224173</v>
      </c>
      <c r="M52" s="24">
        <f t="shared" si="8"/>
        <v>0.98492968289561189</v>
      </c>
      <c r="O52" s="76"/>
      <c r="P52" s="76"/>
      <c r="Q52" s="76"/>
      <c r="R52" s="76"/>
      <c r="S52" s="76"/>
      <c r="T52" s="76"/>
      <c r="U52" s="76"/>
      <c r="V52" s="76"/>
      <c r="W52" s="76"/>
    </row>
    <row r="53" spans="1:23" x14ac:dyDescent="0.25">
      <c r="D53" s="6"/>
      <c r="H53" s="24"/>
      <c r="I53" s="24"/>
      <c r="J53" s="24"/>
      <c r="K53" s="24"/>
      <c r="L53" s="24"/>
      <c r="M53" s="24"/>
    </row>
    <row r="54" spans="1:23" x14ac:dyDescent="0.25">
      <c r="A54" s="19" t="s">
        <v>44</v>
      </c>
    </row>
    <row r="55" spans="1:23" x14ac:dyDescent="0.25">
      <c r="A55">
        <v>2013</v>
      </c>
      <c r="B55"/>
      <c r="C55"/>
      <c r="D55"/>
      <c r="G55" s="34">
        <f>SUM(H55:M55)</f>
        <v>346628037.55507934</v>
      </c>
      <c r="H55" s="34">
        <f>H36*'Rate Class Customer Model'!B13</f>
        <v>167276564.46444643</v>
      </c>
      <c r="I55" s="34">
        <f>I36*'Rate Class Customer Model'!C13</f>
        <v>54560277.479729362</v>
      </c>
      <c r="J55" s="34">
        <f>(J36*'Rate Class Customer Model'!D13)</f>
        <v>121689352.50351493</v>
      </c>
      <c r="K55" s="34">
        <f>K36*'Rate Class Customer Model'!E13</f>
        <v>2387574.5945674046</v>
      </c>
      <c r="L55" s="34">
        <f>L36*'Rate Class Customer Model'!F13</f>
        <v>351210.50619032129</v>
      </c>
      <c r="M55" s="34">
        <f>M36*'Rate Class Customer Model'!G13</f>
        <v>363058.00663088716</v>
      </c>
    </row>
    <row r="56" spans="1:23" x14ac:dyDescent="0.25">
      <c r="A56">
        <v>2014</v>
      </c>
      <c r="B56" s="81"/>
      <c r="C56" s="81"/>
      <c r="D56" s="81"/>
      <c r="E56" s="81"/>
      <c r="F56" s="81"/>
      <c r="G56" s="34">
        <f>SUM(H56:M56)</f>
        <v>345333379.77225721</v>
      </c>
      <c r="H56" s="34">
        <f>H37*'Rate Class Customer Model'!B14</f>
        <v>166793438.00549003</v>
      </c>
      <c r="I56" s="34">
        <f>I37*'Rate Class Customer Model'!C14</f>
        <v>54158951.134289972</v>
      </c>
      <c r="J56" s="34">
        <f>(J37*'Rate Class Customer Model'!D14)</f>
        <v>121316034.43777341</v>
      </c>
      <c r="K56" s="34">
        <f>K37*'Rate Class Customer Model'!E14</f>
        <v>2387574.5945674046</v>
      </c>
      <c r="L56" s="34">
        <f>L37*'Rate Class Customer Model'!F14</f>
        <v>327143.41972247319</v>
      </c>
      <c r="M56" s="34">
        <f>M37*'Rate Class Customer Model'!G14</f>
        <v>350238.18041388114</v>
      </c>
    </row>
    <row r="57" spans="1:23" x14ac:dyDescent="0.25">
      <c r="G57" s="34"/>
      <c r="H57" s="34"/>
      <c r="I57" s="34"/>
      <c r="J57" s="34"/>
      <c r="K57" s="34"/>
      <c r="L57" s="34"/>
      <c r="M57" s="34"/>
    </row>
    <row r="58" spans="1:23" x14ac:dyDescent="0.25">
      <c r="A58" s="19" t="s">
        <v>43</v>
      </c>
      <c r="G58" s="34"/>
      <c r="H58" s="34"/>
      <c r="I58" s="34"/>
      <c r="J58" s="34"/>
      <c r="K58" s="34"/>
      <c r="L58" s="34"/>
      <c r="N58" s="34" t="s">
        <v>16</v>
      </c>
    </row>
    <row r="59" spans="1:23" x14ac:dyDescent="0.25">
      <c r="A59">
        <v>2013</v>
      </c>
      <c r="G59" s="153">
        <f>G17</f>
        <v>348773179.08886611</v>
      </c>
      <c r="H59" s="34">
        <f>H55+H68+H73</f>
        <v>168180189.16628602</v>
      </c>
      <c r="I59" s="34">
        <f t="shared" ref="I59:M59" si="9">I55+I68+I73</f>
        <v>54412059.119010121</v>
      </c>
      <c r="J59" s="34">
        <f t="shared" si="9"/>
        <v>121897862.69618136</v>
      </c>
      <c r="K59" s="34">
        <f t="shared" si="9"/>
        <v>2387574.5945674046</v>
      </c>
      <c r="L59" s="34">
        <f t="shared" si="9"/>
        <v>351210.50619032129</v>
      </c>
      <c r="M59" s="34">
        <f t="shared" si="9"/>
        <v>363058.00663088716</v>
      </c>
      <c r="N59" s="34">
        <f>SUM(H59:M59)</f>
        <v>347591954.08886611</v>
      </c>
      <c r="O59" s="34">
        <f>N59-G59</f>
        <v>-1181225</v>
      </c>
    </row>
    <row r="60" spans="1:23" x14ac:dyDescent="0.25">
      <c r="A60">
        <v>2014</v>
      </c>
      <c r="B60" s="81"/>
      <c r="C60" s="81"/>
      <c r="D60" s="81"/>
      <c r="E60" s="81"/>
      <c r="F60" s="81"/>
      <c r="G60" s="153">
        <f>G18</f>
        <v>349783806.57325214</v>
      </c>
      <c r="H60" s="34">
        <f>H56+H69+H74</f>
        <v>168647800.29162207</v>
      </c>
      <c r="I60" s="34">
        <f t="shared" ref="I60:M60" si="10">I56+I69+I74</f>
        <v>53809636.535125509</v>
      </c>
      <c r="J60" s="34">
        <f t="shared" si="10"/>
        <v>121726855.55180077</v>
      </c>
      <c r="K60" s="34">
        <f t="shared" si="10"/>
        <v>2387574.5945674046</v>
      </c>
      <c r="L60" s="34">
        <f t="shared" si="10"/>
        <v>327143.41972247319</v>
      </c>
      <c r="M60" s="34">
        <f t="shared" si="10"/>
        <v>350238.18041388114</v>
      </c>
      <c r="N60" s="34">
        <f>SUM(H60:M60)</f>
        <v>347249248.5732522</v>
      </c>
      <c r="O60" s="34">
        <f>N60-G60</f>
        <v>-2534557.9999999404</v>
      </c>
    </row>
    <row r="61" spans="1:23" ht="13.8" thickBot="1" x14ac:dyDescent="0.3">
      <c r="B61" s="81"/>
      <c r="C61" s="81"/>
      <c r="D61" s="81"/>
      <c r="E61" s="81"/>
      <c r="F61" s="81"/>
      <c r="G61" s="153"/>
      <c r="H61" s="34"/>
      <c r="I61" s="34"/>
      <c r="J61" s="34"/>
      <c r="K61" s="34"/>
      <c r="L61" s="34"/>
      <c r="M61" s="34"/>
      <c r="N61" s="34"/>
      <c r="O61" s="34"/>
    </row>
    <row r="62" spans="1:23" ht="13.8" thickBot="1" x14ac:dyDescent="0.3">
      <c r="E62" s="22"/>
      <c r="F62" s="22"/>
      <c r="G62" s="193"/>
      <c r="H62" s="210" t="s">
        <v>128</v>
      </c>
      <c r="I62" s="211"/>
      <c r="J62" s="211"/>
      <c r="K62" s="211"/>
      <c r="L62" s="211"/>
      <c r="M62" s="212"/>
      <c r="N62" s="34"/>
    </row>
    <row r="63" spans="1:23" x14ac:dyDescent="0.25">
      <c r="A63" s="45" t="s">
        <v>45</v>
      </c>
      <c r="G63" s="34"/>
      <c r="H63" s="156">
        <f>(100%+42%)/2</f>
        <v>0.71</v>
      </c>
      <c r="I63" s="156">
        <f>(100%+42%)/2</f>
        <v>0.71</v>
      </c>
      <c r="J63" s="156">
        <v>0.42</v>
      </c>
      <c r="K63" s="156">
        <v>0</v>
      </c>
      <c r="L63" s="156">
        <v>0</v>
      </c>
      <c r="M63" s="156">
        <v>0</v>
      </c>
      <c r="N63" s="34" t="s">
        <v>16</v>
      </c>
    </row>
    <row r="64" spans="1:23" x14ac:dyDescent="0.25">
      <c r="A64">
        <v>2013</v>
      </c>
      <c r="G64" s="34">
        <f>G59-G55</f>
        <v>2145141.5337867737</v>
      </c>
      <c r="H64" s="34">
        <f t="shared" ref="H64:M64" si="11">H55*H63</f>
        <v>118766360.76975696</v>
      </c>
      <c r="I64" s="34">
        <f t="shared" si="11"/>
        <v>38737797.010607846</v>
      </c>
      <c r="J64" s="34">
        <f t="shared" si="11"/>
        <v>51109528.05147627</v>
      </c>
      <c r="K64" s="34">
        <f t="shared" si="11"/>
        <v>0</v>
      </c>
      <c r="L64" s="34">
        <f t="shared" si="11"/>
        <v>0</v>
      </c>
      <c r="M64" s="34">
        <f t="shared" si="11"/>
        <v>0</v>
      </c>
      <c r="N64" s="34">
        <f>SUM(H64:M64)</f>
        <v>208613685.83184108</v>
      </c>
    </row>
    <row r="65" spans="1:18" x14ac:dyDescent="0.25">
      <c r="A65">
        <v>2014</v>
      </c>
      <c r="B65" s="81"/>
      <c r="C65" s="81"/>
      <c r="D65" s="81"/>
      <c r="E65" s="81"/>
      <c r="F65" s="81"/>
      <c r="G65" s="34">
        <f>G60-G56</f>
        <v>4450426.8009949327</v>
      </c>
      <c r="H65" s="34">
        <f>H56*H63</f>
        <v>118423340.98389792</v>
      </c>
      <c r="I65" s="34">
        <f t="shared" ref="I65:M65" si="12">I56*I63</f>
        <v>38452855.305345878</v>
      </c>
      <c r="J65" s="34">
        <f t="shared" si="12"/>
        <v>50952734.463864826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>SUM(H65:M65)</f>
        <v>207828930.75310865</v>
      </c>
    </row>
    <row r="66" spans="1:18" ht="12" customHeight="1" x14ac:dyDescent="0.25">
      <c r="G66" s="34"/>
      <c r="H66" s="34"/>
      <c r="I66" s="34"/>
      <c r="J66" s="34"/>
      <c r="K66" s="34"/>
      <c r="L66" s="34"/>
      <c r="N66" s="34"/>
    </row>
    <row r="67" spans="1:18" x14ac:dyDescent="0.25">
      <c r="A67" t="s">
        <v>46</v>
      </c>
      <c r="G67" s="34"/>
      <c r="H67" s="34"/>
      <c r="I67" s="34"/>
      <c r="J67" s="34"/>
      <c r="K67" s="34"/>
      <c r="L67" s="34"/>
      <c r="N67" s="34"/>
    </row>
    <row r="68" spans="1:18" x14ac:dyDescent="0.25">
      <c r="A68">
        <v>2013</v>
      </c>
      <c r="B68"/>
      <c r="C68"/>
      <c r="D68"/>
      <c r="E68"/>
      <c r="H68" s="34">
        <f t="shared" ref="H68:M68" si="13">H64/$N$64*$G$64</f>
        <v>1221255.7018395944</v>
      </c>
      <c r="I68" s="34">
        <f t="shared" si="13"/>
        <v>398334.63928075909</v>
      </c>
      <c r="J68" s="34">
        <f t="shared" si="13"/>
        <v>525551.19266642013</v>
      </c>
      <c r="K68" s="34">
        <f t="shared" si="13"/>
        <v>0</v>
      </c>
      <c r="L68" s="34">
        <f t="shared" si="13"/>
        <v>0</v>
      </c>
      <c r="M68" s="34">
        <f t="shared" si="13"/>
        <v>0</v>
      </c>
      <c r="N68" s="34">
        <f>SUM(H68:M68)</f>
        <v>2145141.5337867737</v>
      </c>
    </row>
    <row r="69" spans="1:18" x14ac:dyDescent="0.25">
      <c r="A69">
        <v>2014</v>
      </c>
      <c r="B69" s="81"/>
      <c r="C69" s="81"/>
      <c r="D69" s="81"/>
      <c r="E69" s="81"/>
      <c r="F69" s="81"/>
      <c r="H69" s="34">
        <f t="shared" ref="H69:M69" si="14">H65/$N$65*$G$65</f>
        <v>2535904.9323320338</v>
      </c>
      <c r="I69" s="34">
        <f t="shared" si="14"/>
        <v>823425.38743553497</v>
      </c>
      <c r="J69" s="34">
        <f t="shared" si="14"/>
        <v>1091096.4812273632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34">
        <f>SUM(H69:M69)</f>
        <v>4450426.8009949317</v>
      </c>
    </row>
    <row r="70" spans="1:18" ht="13.8" thickBot="1" x14ac:dyDescent="0.3"/>
    <row r="71" spans="1:18" ht="13.8" thickBot="1" x14ac:dyDescent="0.3">
      <c r="B71" s="184"/>
      <c r="C71" s="184"/>
      <c r="D71" s="184"/>
      <c r="E71" s="184"/>
      <c r="F71" s="184"/>
      <c r="G71" s="213" t="s">
        <v>166</v>
      </c>
      <c r="H71" s="214"/>
      <c r="I71" s="214"/>
      <c r="J71" s="214"/>
      <c r="K71" s="214"/>
      <c r="L71" s="214"/>
      <c r="M71" s="215"/>
      <c r="N71" s="187"/>
    </row>
    <row r="72" spans="1:18" x14ac:dyDescent="0.25">
      <c r="A72" t="s">
        <v>96</v>
      </c>
      <c r="G72" s="186"/>
      <c r="H72" s="156">
        <v>0.26889999999999997</v>
      </c>
      <c r="I72" s="156">
        <v>0.4627</v>
      </c>
      <c r="J72" s="188">
        <v>0.26840000000000003</v>
      </c>
      <c r="K72" s="156">
        <v>0</v>
      </c>
      <c r="L72" s="156">
        <v>0</v>
      </c>
      <c r="M72" s="156">
        <v>0</v>
      </c>
      <c r="N72" s="34" t="s">
        <v>16</v>
      </c>
      <c r="R72"/>
    </row>
    <row r="73" spans="1:18" x14ac:dyDescent="0.25">
      <c r="A73">
        <v>2013</v>
      </c>
      <c r="E73" s="34"/>
      <c r="F73" s="34"/>
      <c r="G73" s="206">
        <f>-('CDM Activity'!R14*0.5+'CDM Activity'!R13*0.5)</f>
        <v>-1181224.5</v>
      </c>
      <c r="H73" s="34">
        <f>ROUND(H72*G73,0)</f>
        <v>-317631</v>
      </c>
      <c r="I73" s="34">
        <f>ROUND(I72*G73,0)</f>
        <v>-546553</v>
      </c>
      <c r="J73" s="34">
        <f>ROUND(J72*G73,0)</f>
        <v>-317041</v>
      </c>
      <c r="K73" s="34">
        <f>ROUND(K72*G73,0)</f>
        <v>0</v>
      </c>
      <c r="L73" s="34">
        <f t="shared" ref="L73:M73" si="15">ROUND(L72*K73,0)</f>
        <v>0</v>
      </c>
      <c r="M73" s="34">
        <f t="shared" si="15"/>
        <v>0</v>
      </c>
      <c r="N73" s="34">
        <f>SUM(H73:M73)</f>
        <v>-1181225</v>
      </c>
      <c r="R73"/>
    </row>
    <row r="74" spans="1:18" x14ac:dyDescent="0.25">
      <c r="A74">
        <v>2014</v>
      </c>
      <c r="G74" s="206">
        <f>-('CDM Activity'!S15*0.5+'CDM Activity'!S14+'CDM Activity'!S13*0.5)</f>
        <v>-2534557.9999999995</v>
      </c>
      <c r="H74" s="34">
        <f>$G$74*H72</f>
        <v>-681542.64619999984</v>
      </c>
      <c r="I74" s="34">
        <f t="shared" ref="I74:J74" si="16">$G$74*I72</f>
        <v>-1172739.9865999997</v>
      </c>
      <c r="J74" s="34">
        <f t="shared" si="16"/>
        <v>-680275.36719999998</v>
      </c>
      <c r="K74" s="34">
        <f t="shared" ref="K74:M74" si="17">$G$74*K72</f>
        <v>0</v>
      </c>
      <c r="L74" s="34">
        <f t="shared" si="17"/>
        <v>0</v>
      </c>
      <c r="M74" s="34">
        <f t="shared" si="17"/>
        <v>0</v>
      </c>
      <c r="N74" s="34">
        <f>SUM(H74:M74)</f>
        <v>-2534557.9999999995</v>
      </c>
      <c r="R74"/>
    </row>
  </sheetData>
  <mergeCells count="3">
    <mergeCell ref="H6:M6"/>
    <mergeCell ref="H62:M62"/>
    <mergeCell ref="G71:M7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0" orientation="landscape" r:id="rId1"/>
  <headerFooter alignWithMargins="0">
    <oddFooter>&amp;L&amp;F
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xSplit="1" ySplit="2" topLeftCell="B3" activePane="bottomRight" state="frozen"/>
      <selection activeCell="H87" sqref="H87"/>
      <selection pane="topRight" activeCell="H87" sqref="H87"/>
      <selection pane="bottomLeft" activeCell="H87" sqref="H87"/>
      <selection pane="bottomRight" activeCell="H87" sqref="H87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6" style="6" customWidth="1"/>
    <col min="5" max="5" width="17.5546875" style="6" customWidth="1"/>
    <col min="6" max="7" width="12.5546875" style="6" customWidth="1"/>
    <col min="8" max="8" width="12.6640625" style="6" bestFit="1" customWidth="1"/>
  </cols>
  <sheetData>
    <row r="1" spans="1:9" ht="13.8" thickBot="1" x14ac:dyDescent="0.3">
      <c r="B1" s="207" t="s">
        <v>167</v>
      </c>
      <c r="C1" s="216"/>
      <c r="D1" s="216"/>
      <c r="E1" s="207" t="s">
        <v>168</v>
      </c>
      <c r="F1" s="216"/>
      <c r="G1" s="217"/>
      <c r="H1" s="185"/>
    </row>
    <row r="2" spans="1:9" ht="42" customHeight="1" x14ac:dyDescent="0.25">
      <c r="B2" s="9" t="s">
        <v>91</v>
      </c>
      <c r="C2" s="9" t="s">
        <v>188</v>
      </c>
      <c r="D2" s="9" t="s">
        <v>189</v>
      </c>
      <c r="E2" s="9" t="s">
        <v>98</v>
      </c>
      <c r="F2" s="9" t="s">
        <v>140</v>
      </c>
      <c r="G2" s="9" t="s">
        <v>190</v>
      </c>
      <c r="H2" s="6" t="s">
        <v>9</v>
      </c>
    </row>
    <row r="3" spans="1:9" x14ac:dyDescent="0.25">
      <c r="A3" s="4">
        <v>2003</v>
      </c>
      <c r="B3" s="152">
        <f>11954+5631</f>
        <v>17585</v>
      </c>
      <c r="C3" s="152">
        <f>2288+1-7</f>
        <v>2282</v>
      </c>
      <c r="D3" s="152">
        <f>151-1+7</f>
        <v>157</v>
      </c>
      <c r="E3" s="152">
        <v>2713</v>
      </c>
      <c r="F3" s="152">
        <v>857</v>
      </c>
      <c r="G3" s="152">
        <v>88</v>
      </c>
      <c r="H3" s="149">
        <f t="shared" ref="H3:H14" si="0">SUM(B3:G3)</f>
        <v>23682</v>
      </c>
      <c r="I3" s="61"/>
    </row>
    <row r="4" spans="1:9" x14ac:dyDescent="0.25">
      <c r="A4" s="4">
        <v>2004</v>
      </c>
      <c r="B4" s="152">
        <f>12109+5667</f>
        <v>17776</v>
      </c>
      <c r="C4" s="152">
        <f>2303+1-8</f>
        <v>2296</v>
      </c>
      <c r="D4" s="152">
        <f>150-1+8</f>
        <v>157</v>
      </c>
      <c r="E4" s="152">
        <v>2777</v>
      </c>
      <c r="F4" s="152">
        <v>729</v>
      </c>
      <c r="G4" s="152">
        <v>81</v>
      </c>
      <c r="H4" s="149">
        <f t="shared" si="0"/>
        <v>23816</v>
      </c>
      <c r="I4" s="61"/>
    </row>
    <row r="5" spans="1:9" x14ac:dyDescent="0.25">
      <c r="A5" s="4">
        <v>2005</v>
      </c>
      <c r="B5" s="152">
        <f>12197+5696</f>
        <v>17893</v>
      </c>
      <c r="C5" s="152">
        <f>903+1375+52+2-8</f>
        <v>2324</v>
      </c>
      <c r="D5" s="152">
        <f>88+90-52+25-2+8</f>
        <v>157</v>
      </c>
      <c r="E5" s="152">
        <v>2764</v>
      </c>
      <c r="F5" s="152">
        <v>705</v>
      </c>
      <c r="G5" s="152">
        <f>87</f>
        <v>87</v>
      </c>
      <c r="H5" s="149">
        <f t="shared" si="0"/>
        <v>23930</v>
      </c>
      <c r="I5" s="61"/>
    </row>
    <row r="6" spans="1:9" x14ac:dyDescent="0.25">
      <c r="A6" s="4">
        <v>2006</v>
      </c>
      <c r="B6" s="152">
        <f>12300+5726</f>
        <v>18026</v>
      </c>
      <c r="C6" s="152">
        <f>2318+2-9</f>
        <v>2311</v>
      </c>
      <c r="D6" s="152">
        <f>126+24-2+9</f>
        <v>157</v>
      </c>
      <c r="E6" s="152">
        <v>2758</v>
      </c>
      <c r="F6" s="152">
        <v>693</v>
      </c>
      <c r="G6" s="152">
        <v>88</v>
      </c>
      <c r="H6" s="149">
        <f t="shared" si="0"/>
        <v>24033</v>
      </c>
      <c r="I6" s="61"/>
    </row>
    <row r="7" spans="1:9" x14ac:dyDescent="0.25">
      <c r="A7" s="4">
        <v>2007</v>
      </c>
      <c r="B7" s="152">
        <f>12396+5743</f>
        <v>18139</v>
      </c>
      <c r="C7" s="152">
        <f>2343+2-10</f>
        <v>2335</v>
      </c>
      <c r="D7" s="152">
        <f>93+42-2+10</f>
        <v>143</v>
      </c>
      <c r="E7" s="152">
        <v>2794</v>
      </c>
      <c r="F7" s="152">
        <v>665</v>
      </c>
      <c r="G7" s="152">
        <v>84</v>
      </c>
      <c r="H7" s="149">
        <f t="shared" si="0"/>
        <v>24160</v>
      </c>
      <c r="I7" s="61"/>
    </row>
    <row r="8" spans="1:9" x14ac:dyDescent="0.25">
      <c r="A8" s="4">
        <v>2008</v>
      </c>
      <c r="B8" s="152">
        <f>12493+5752</f>
        <v>18245</v>
      </c>
      <c r="C8" s="152">
        <f>2351+2-10</f>
        <v>2343</v>
      </c>
      <c r="D8" s="152">
        <f>87+50-2+10</f>
        <v>145</v>
      </c>
      <c r="E8" s="152">
        <v>2879</v>
      </c>
      <c r="F8" s="152">
        <v>647</v>
      </c>
      <c r="G8" s="152">
        <v>84</v>
      </c>
      <c r="H8" s="149">
        <f t="shared" si="0"/>
        <v>24343</v>
      </c>
      <c r="I8" s="61"/>
    </row>
    <row r="9" spans="1:9" x14ac:dyDescent="0.25">
      <c r="A9" s="4">
        <v>2009</v>
      </c>
      <c r="B9" s="149">
        <v>18309</v>
      </c>
      <c r="C9" s="149">
        <f>2381+3-10</f>
        <v>2374</v>
      </c>
      <c r="D9" s="149">
        <f>87+50-3+10</f>
        <v>144</v>
      </c>
      <c r="E9" s="149">
        <f>2878-6</f>
        <v>2872</v>
      </c>
      <c r="F9" s="149">
        <v>656</v>
      </c>
      <c r="G9" s="149">
        <v>84</v>
      </c>
      <c r="H9" s="149">
        <f t="shared" si="0"/>
        <v>24439</v>
      </c>
      <c r="I9" s="61"/>
    </row>
    <row r="10" spans="1:9" x14ac:dyDescent="0.25">
      <c r="A10" s="4">
        <v>2010</v>
      </c>
      <c r="B10" s="148">
        <v>18465</v>
      </c>
      <c r="C10" s="148">
        <f>2369+4-10</f>
        <v>2363</v>
      </c>
      <c r="D10" s="148">
        <f>86+51-4+10</f>
        <v>143</v>
      </c>
      <c r="E10" s="148">
        <f>3021-6</f>
        <v>3015</v>
      </c>
      <c r="F10" s="148">
        <v>594</v>
      </c>
      <c r="G10" s="148">
        <v>78</v>
      </c>
      <c r="H10" s="149">
        <f t="shared" si="0"/>
        <v>24658</v>
      </c>
      <c r="I10" s="61"/>
    </row>
    <row r="11" spans="1:9" x14ac:dyDescent="0.25">
      <c r="A11" s="4">
        <v>2011</v>
      </c>
      <c r="B11" s="148">
        <f>18554-22-1</f>
        <v>18531</v>
      </c>
      <c r="C11" s="148">
        <f>2376+5-1</f>
        <v>2380</v>
      </c>
      <c r="D11" s="148">
        <f>84+56-5+10</f>
        <v>145</v>
      </c>
      <c r="E11" s="148">
        <f>2969-6</f>
        <v>2963</v>
      </c>
      <c r="F11" s="148">
        <v>567</v>
      </c>
      <c r="G11" s="148">
        <v>76</v>
      </c>
      <c r="H11" s="149">
        <f t="shared" si="0"/>
        <v>24662</v>
      </c>
      <c r="I11" s="61"/>
    </row>
    <row r="12" spans="1:9" x14ac:dyDescent="0.25">
      <c r="A12" s="4">
        <v>2012</v>
      </c>
      <c r="B12" s="149">
        <f>18640-2-8-13</f>
        <v>18617</v>
      </c>
      <c r="C12" s="149">
        <f>2371+6-10-9-14</f>
        <v>2344</v>
      </c>
      <c r="D12" s="149">
        <f>91-1+56-6+10</f>
        <v>150</v>
      </c>
      <c r="E12" s="149">
        <f>2988-6</f>
        <v>2982</v>
      </c>
      <c r="F12" s="149">
        <v>535</v>
      </c>
      <c r="G12" s="149">
        <v>73</v>
      </c>
      <c r="H12" s="149">
        <f t="shared" si="0"/>
        <v>24701</v>
      </c>
      <c r="I12" s="61"/>
    </row>
    <row r="13" spans="1:9" x14ac:dyDescent="0.25">
      <c r="A13" s="4">
        <v>2013</v>
      </c>
      <c r="B13" s="151">
        <v>18664</v>
      </c>
      <c r="C13" s="151">
        <v>2356</v>
      </c>
      <c r="D13" s="151">
        <v>154</v>
      </c>
      <c r="E13" s="151">
        <f>2973+6</f>
        <v>2979</v>
      </c>
      <c r="F13" s="151">
        <v>529</v>
      </c>
      <c r="G13" s="151">
        <v>69</v>
      </c>
      <c r="H13" s="151">
        <f t="shared" si="0"/>
        <v>24751</v>
      </c>
    </row>
    <row r="14" spans="1:9" x14ac:dyDescent="0.25">
      <c r="A14" s="4">
        <v>2014</v>
      </c>
      <c r="B14" s="151">
        <f t="shared" ref="B14:G14" si="1">B13*B27</f>
        <v>18772.157223639391</v>
      </c>
      <c r="C14" s="151">
        <f t="shared" si="1"/>
        <v>2363.0278385451584</v>
      </c>
      <c r="D14" s="151">
        <f t="shared" si="1"/>
        <v>153.22152772461249</v>
      </c>
      <c r="E14" s="151">
        <f t="shared" si="1"/>
        <v>2979</v>
      </c>
      <c r="F14" s="151">
        <f t="shared" si="1"/>
        <v>502.01805212171456</v>
      </c>
      <c r="G14" s="151">
        <f t="shared" si="1"/>
        <v>67.582045726146845</v>
      </c>
      <c r="H14" s="151">
        <f t="shared" si="0"/>
        <v>24837.006687757028</v>
      </c>
    </row>
    <row r="15" spans="1:9" x14ac:dyDescent="0.25">
      <c r="A15" s="20"/>
    </row>
    <row r="16" spans="1:9" x14ac:dyDescent="0.25">
      <c r="A16" s="19" t="s">
        <v>41</v>
      </c>
      <c r="B16" s="5"/>
      <c r="C16" s="5"/>
      <c r="D16" s="5"/>
      <c r="E16" s="5"/>
      <c r="F16" s="5"/>
      <c r="G16" s="5"/>
    </row>
    <row r="17" spans="1:10" x14ac:dyDescent="0.25">
      <c r="A17" s="4">
        <v>2004</v>
      </c>
      <c r="B17" s="23">
        <f t="shared" ref="B17:G25" si="2">B4/B3</f>
        <v>1.0108615297128234</v>
      </c>
      <c r="C17" s="23">
        <f t="shared" si="2"/>
        <v>1.0061349693251533</v>
      </c>
      <c r="D17" s="23">
        <f t="shared" si="2"/>
        <v>1</v>
      </c>
      <c r="E17" s="23">
        <f t="shared" si="2"/>
        <v>1.0235901216365646</v>
      </c>
      <c r="F17" s="23">
        <f t="shared" si="2"/>
        <v>0.85064177362893811</v>
      </c>
      <c r="G17" s="23">
        <f t="shared" si="2"/>
        <v>0.92045454545454541</v>
      </c>
      <c r="I17" s="76"/>
      <c r="J17" s="76"/>
    </row>
    <row r="18" spans="1:10" x14ac:dyDescent="0.25">
      <c r="A18" s="4">
        <v>2005</v>
      </c>
      <c r="B18" s="23">
        <f t="shared" si="2"/>
        <v>1.0065819081908192</v>
      </c>
      <c r="C18" s="23">
        <f t="shared" si="2"/>
        <v>1.0121951219512195</v>
      </c>
      <c r="D18" s="23">
        <f t="shared" si="2"/>
        <v>1</v>
      </c>
      <c r="E18" s="23">
        <f t="shared" si="2"/>
        <v>0.99531868923298528</v>
      </c>
      <c r="F18" s="23">
        <f t="shared" si="2"/>
        <v>0.96707818930041156</v>
      </c>
      <c r="G18" s="23">
        <f t="shared" si="2"/>
        <v>1.0740740740740742</v>
      </c>
      <c r="I18" s="76"/>
      <c r="J18" s="76"/>
    </row>
    <row r="19" spans="1:10" x14ac:dyDescent="0.25">
      <c r="A19" s="4">
        <v>2006</v>
      </c>
      <c r="B19" s="23">
        <f t="shared" si="2"/>
        <v>1.0074330743866315</v>
      </c>
      <c r="C19" s="23">
        <f t="shared" si="2"/>
        <v>0.99440619621342508</v>
      </c>
      <c r="D19" s="23">
        <f t="shared" si="2"/>
        <v>1</v>
      </c>
      <c r="E19" s="23">
        <f t="shared" si="2"/>
        <v>0.99782923299565851</v>
      </c>
      <c r="F19" s="23">
        <f t="shared" si="2"/>
        <v>0.98297872340425529</v>
      </c>
      <c r="G19" s="23">
        <f t="shared" si="2"/>
        <v>1.0114942528735633</v>
      </c>
      <c r="I19" s="76"/>
      <c r="J19" s="76"/>
    </row>
    <row r="20" spans="1:10" x14ac:dyDescent="0.25">
      <c r="A20" s="4">
        <v>2007</v>
      </c>
      <c r="B20" s="23">
        <f t="shared" si="2"/>
        <v>1.0062687229557306</v>
      </c>
      <c r="C20" s="23">
        <f t="shared" si="2"/>
        <v>1.0103851146689744</v>
      </c>
      <c r="D20" s="23">
        <f t="shared" si="2"/>
        <v>0.91082802547770703</v>
      </c>
      <c r="E20" s="23">
        <f t="shared" si="2"/>
        <v>1.013052936910805</v>
      </c>
      <c r="F20" s="23">
        <f t="shared" si="2"/>
        <v>0.95959595959595956</v>
      </c>
      <c r="G20" s="23">
        <f t="shared" si="2"/>
        <v>0.95454545454545459</v>
      </c>
      <c r="I20" s="76"/>
      <c r="J20" s="76"/>
    </row>
    <row r="21" spans="1:10" x14ac:dyDescent="0.25">
      <c r="A21" s="4">
        <v>2008</v>
      </c>
      <c r="B21" s="23">
        <f t="shared" si="2"/>
        <v>1.0058437620596505</v>
      </c>
      <c r="C21" s="23">
        <f t="shared" si="2"/>
        <v>1.0034261241970022</v>
      </c>
      <c r="D21" s="23">
        <f t="shared" si="2"/>
        <v>1.013986013986014</v>
      </c>
      <c r="E21" s="23">
        <f t="shared" si="2"/>
        <v>1.0304223335719398</v>
      </c>
      <c r="F21" s="23">
        <f t="shared" si="2"/>
        <v>0.97293233082706765</v>
      </c>
      <c r="G21" s="23">
        <f t="shared" si="2"/>
        <v>1</v>
      </c>
      <c r="I21" s="76"/>
      <c r="J21" s="76"/>
    </row>
    <row r="22" spans="1:10" x14ac:dyDescent="0.25">
      <c r="A22" s="4">
        <v>2009</v>
      </c>
      <c r="B22" s="23">
        <f t="shared" si="2"/>
        <v>1.0035078103590025</v>
      </c>
      <c r="C22" s="23">
        <f t="shared" si="2"/>
        <v>1.0132309005548443</v>
      </c>
      <c r="D22" s="23">
        <f t="shared" si="2"/>
        <v>0.99310344827586206</v>
      </c>
      <c r="E22" s="23">
        <f t="shared" si="2"/>
        <v>0.99756860020840565</v>
      </c>
      <c r="F22" s="23">
        <f t="shared" si="2"/>
        <v>1.0139103554868625</v>
      </c>
      <c r="G22" s="23">
        <f t="shared" si="2"/>
        <v>1</v>
      </c>
      <c r="I22" s="76"/>
      <c r="J22" s="76"/>
    </row>
    <row r="23" spans="1:10" x14ac:dyDescent="0.25">
      <c r="A23" s="4">
        <v>2010</v>
      </c>
      <c r="B23" s="23">
        <f t="shared" si="2"/>
        <v>1.0085203998033754</v>
      </c>
      <c r="C23" s="23">
        <f t="shared" si="2"/>
        <v>0.99536647009267065</v>
      </c>
      <c r="D23" s="23">
        <f t="shared" si="2"/>
        <v>0.99305555555555558</v>
      </c>
      <c r="E23" s="23">
        <f t="shared" si="2"/>
        <v>1.049791086350975</v>
      </c>
      <c r="F23" s="23">
        <f t="shared" si="2"/>
        <v>0.90548780487804881</v>
      </c>
      <c r="G23" s="23">
        <f t="shared" si="2"/>
        <v>0.9285714285714286</v>
      </c>
      <c r="I23" s="76"/>
      <c r="J23" s="76"/>
    </row>
    <row r="24" spans="1:10" x14ac:dyDescent="0.25">
      <c r="A24" s="4">
        <v>2011</v>
      </c>
      <c r="B24" s="23">
        <f t="shared" si="2"/>
        <v>1.0035743298131601</v>
      </c>
      <c r="C24" s="23">
        <f t="shared" si="2"/>
        <v>1.0071942446043165</v>
      </c>
      <c r="D24" s="23">
        <f t="shared" si="2"/>
        <v>1.013986013986014</v>
      </c>
      <c r="E24" s="23">
        <f t="shared" si="2"/>
        <v>0.98275290215588718</v>
      </c>
      <c r="F24" s="23">
        <f t="shared" si="2"/>
        <v>0.95454545454545459</v>
      </c>
      <c r="G24" s="23">
        <f t="shared" si="2"/>
        <v>0.97435897435897434</v>
      </c>
      <c r="I24" s="76"/>
      <c r="J24" s="76"/>
    </row>
    <row r="25" spans="1:10" x14ac:dyDescent="0.25">
      <c r="A25" s="4">
        <v>2012</v>
      </c>
      <c r="B25" s="23">
        <f t="shared" si="2"/>
        <v>1.0046408720522368</v>
      </c>
      <c r="C25" s="23">
        <f t="shared" si="2"/>
        <v>0.98487394957983199</v>
      </c>
      <c r="D25" s="23">
        <f t="shared" si="2"/>
        <v>1.0344827586206897</v>
      </c>
      <c r="E25" s="23">
        <f t="shared" si="2"/>
        <v>1.0064124198447519</v>
      </c>
      <c r="F25" s="23">
        <f t="shared" si="2"/>
        <v>0.9435626102292769</v>
      </c>
      <c r="G25" s="23">
        <f t="shared" si="2"/>
        <v>0.96052631578947367</v>
      </c>
      <c r="I25" s="76"/>
      <c r="J25" s="76"/>
    </row>
    <row r="27" spans="1:10" x14ac:dyDescent="0.25">
      <c r="A27" t="s">
        <v>61</v>
      </c>
      <c r="B27" s="150">
        <f t="shared" ref="B27:F27" si="3">B29</f>
        <v>1.0057949648328006</v>
      </c>
      <c r="C27" s="150">
        <f t="shared" si="3"/>
        <v>1.0029829535420876</v>
      </c>
      <c r="D27" s="150">
        <f t="shared" si="3"/>
        <v>0.99494498522475638</v>
      </c>
      <c r="E27" s="150">
        <v>1</v>
      </c>
      <c r="F27" s="150">
        <f t="shared" si="3"/>
        <v>0.94899442745125628</v>
      </c>
      <c r="G27" s="150">
        <f>G29</f>
        <v>0.97944993806009917</v>
      </c>
    </row>
    <row r="28" spans="1:10" x14ac:dyDescent="0.25">
      <c r="B28" s="24"/>
      <c r="C28" s="24"/>
      <c r="D28" s="24"/>
      <c r="E28" s="24"/>
      <c r="F28" s="24"/>
      <c r="G28" s="24"/>
    </row>
    <row r="29" spans="1:10" x14ac:dyDescent="0.25">
      <c r="A29" t="s">
        <v>14</v>
      </c>
      <c r="B29" s="24">
        <f>GEOMEAN(B18:B25)</f>
        <v>1.0057949648328006</v>
      </c>
      <c r="C29" s="24">
        <f>GEOMEAN(C17:C25)</f>
        <v>1.0029829535420876</v>
      </c>
      <c r="D29" s="24">
        <f>GEOMEAN(D17:D25)</f>
        <v>0.99494498522475638</v>
      </c>
      <c r="E29" s="24">
        <f>GEOMEAN(E17:E25)</f>
        <v>1.0105597180380774</v>
      </c>
      <c r="F29" s="24">
        <f>GEOMEAN(F17:F25)</f>
        <v>0.94899442745125628</v>
      </c>
      <c r="G29" s="24">
        <f>GEOMEAN(G17:G25)</f>
        <v>0.97944993806009917</v>
      </c>
    </row>
    <row r="30" spans="1:10" x14ac:dyDescent="0.25">
      <c r="A30" s="4"/>
      <c r="B30" s="24"/>
      <c r="C30" s="24"/>
      <c r="D30" s="24"/>
      <c r="E30" s="24"/>
      <c r="F30" s="24"/>
      <c r="G30" s="24"/>
    </row>
    <row r="31" spans="1:10" x14ac:dyDescent="0.25">
      <c r="A31" s="4"/>
      <c r="B31" s="24"/>
      <c r="C31" s="24"/>
      <c r="D31" s="24"/>
      <c r="E31" s="24"/>
      <c r="F31" s="24"/>
      <c r="G31" s="24"/>
    </row>
    <row r="32" spans="1:10" x14ac:dyDescent="0.25">
      <c r="B32" s="24"/>
      <c r="C32" s="24"/>
      <c r="D32" s="24"/>
      <c r="E32" s="24"/>
      <c r="F32" s="24"/>
      <c r="G32" s="24"/>
    </row>
    <row r="33" spans="2:7" x14ac:dyDescent="0.25">
      <c r="B33" s="24"/>
      <c r="C33" s="24"/>
      <c r="E33" s="24"/>
      <c r="F33" s="24"/>
      <c r="G33" s="24"/>
    </row>
    <row r="39" spans="2:7" x14ac:dyDescent="0.25">
      <c r="D39" s="25"/>
    </row>
    <row r="40" spans="2:7" x14ac:dyDescent="0.25">
      <c r="B40" s="25"/>
      <c r="C40" s="25"/>
      <c r="D40" s="25"/>
      <c r="E40" s="25"/>
      <c r="F40" s="25"/>
      <c r="G40" s="25"/>
    </row>
    <row r="41" spans="2:7" x14ac:dyDescent="0.25">
      <c r="B41" s="25"/>
      <c r="C41" s="25"/>
      <c r="E41" s="25"/>
      <c r="F41" s="25"/>
      <c r="G41" s="25"/>
    </row>
    <row r="59" spans="2:7" x14ac:dyDescent="0.25">
      <c r="D59" s="16"/>
    </row>
    <row r="60" spans="2:7" x14ac:dyDescent="0.25">
      <c r="B60" s="16"/>
      <c r="C60" s="16"/>
      <c r="D60" s="16"/>
      <c r="E60" s="16"/>
      <c r="F60" s="16"/>
      <c r="G60" s="16"/>
    </row>
    <row r="61" spans="2:7" x14ac:dyDescent="0.25">
      <c r="B61" s="16"/>
      <c r="C61" s="16"/>
      <c r="E61" s="16"/>
      <c r="F61" s="16"/>
      <c r="G61" s="16"/>
    </row>
  </sheetData>
  <mergeCells count="2">
    <mergeCell ref="B1:D1"/>
    <mergeCell ref="E1:G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alignWithMargins="0">
    <oddFooter>&amp;L&amp;F
&amp;A&amp;RPage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pane xSplit="1" ySplit="2" topLeftCell="B3" activePane="bottomRight" state="frozen"/>
      <selection activeCell="H87" sqref="H87"/>
      <selection pane="topRight" activeCell="H87" sqref="H87"/>
      <selection pane="bottomLeft" activeCell="H87" sqref="H87"/>
      <selection pane="bottomRight" activeCell="H87" sqref="H87"/>
    </sheetView>
  </sheetViews>
  <sheetFormatPr defaultRowHeight="13.2" x14ac:dyDescent="0.25"/>
  <cols>
    <col min="1" max="1" width="11" customWidth="1"/>
    <col min="2" max="2" width="15.88671875" style="6" customWidth="1"/>
    <col min="3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29.25" customHeight="1" thickBot="1" x14ac:dyDescent="0.3">
      <c r="B1" s="218" t="s">
        <v>172</v>
      </c>
      <c r="C1" s="219"/>
      <c r="D1" s="219"/>
      <c r="E1" s="220"/>
    </row>
    <row r="2" spans="1:5" ht="42" customHeight="1" x14ac:dyDescent="0.25">
      <c r="B2" s="8" t="str">
        <f>'Rate Class Customer Model'!D2</f>
        <v>General Service 50 to 4999 kW</v>
      </c>
      <c r="C2" s="8" t="str">
        <f>'Rate Class Customer Model'!E2</f>
        <v>Street Lighting</v>
      </c>
      <c r="D2" s="8" t="str">
        <f>'Rate Class Customer Model'!F2</f>
        <v>Sentinel Lighting</v>
      </c>
      <c r="E2" s="6" t="s">
        <v>9</v>
      </c>
    </row>
    <row r="3" spans="1:5" x14ac:dyDescent="0.25">
      <c r="A3" s="29">
        <v>2003</v>
      </c>
      <c r="B3" s="155">
        <f>157813.86+171981-1628+1838</f>
        <v>330004.86</v>
      </c>
      <c r="C3" s="155">
        <v>6047</v>
      </c>
      <c r="D3" s="155">
        <v>1718</v>
      </c>
      <c r="E3" s="6">
        <f t="shared" ref="E3:E14" si="0">SUM(B3:D3)</f>
        <v>337769.86</v>
      </c>
    </row>
    <row r="4" spans="1:5" x14ac:dyDescent="0.25">
      <c r="A4" s="29">
        <v>2004</v>
      </c>
      <c r="B4" s="155">
        <f>169896.07+192883-831+2682</f>
        <v>364630.07</v>
      </c>
      <c r="C4" s="155">
        <v>6089</v>
      </c>
      <c r="D4" s="155">
        <v>1578</v>
      </c>
      <c r="E4" s="6">
        <f t="shared" si="0"/>
        <v>372297.07</v>
      </c>
    </row>
    <row r="5" spans="1:5" x14ac:dyDescent="0.25">
      <c r="A5" s="29">
        <v>2005</v>
      </c>
      <c r="B5" s="155">
        <f>165075+198805-742+2869</f>
        <v>366007</v>
      </c>
      <c r="C5" s="155">
        <v>5667.65</v>
      </c>
      <c r="D5" s="155">
        <v>1482.21</v>
      </c>
      <c r="E5" s="6">
        <f t="shared" si="0"/>
        <v>373156.86000000004</v>
      </c>
    </row>
    <row r="6" spans="1:5" x14ac:dyDescent="0.25">
      <c r="A6" s="29">
        <v>2006</v>
      </c>
      <c r="B6" s="155">
        <f>165575+200336-1426+3327</f>
        <v>367812</v>
      </c>
      <c r="C6" s="155">
        <v>6222</v>
      </c>
      <c r="D6" s="155">
        <v>1423</v>
      </c>
      <c r="E6" s="6">
        <f t="shared" si="0"/>
        <v>375457</v>
      </c>
    </row>
    <row r="7" spans="1:5" x14ac:dyDescent="0.25">
      <c r="A7" s="29">
        <v>2007</v>
      </c>
      <c r="B7" s="155">
        <f>143204+201563-1538+3852</f>
        <v>347081</v>
      </c>
      <c r="C7" s="155">
        <v>6403</v>
      </c>
      <c r="D7" s="155">
        <v>1361</v>
      </c>
      <c r="E7" s="6">
        <f t="shared" si="0"/>
        <v>354845</v>
      </c>
    </row>
    <row r="8" spans="1:5" x14ac:dyDescent="0.25">
      <c r="A8" s="29">
        <v>2008</v>
      </c>
      <c r="B8" s="155">
        <f>99340+225497-1628+4776</f>
        <v>327985</v>
      </c>
      <c r="C8" s="155">
        <v>6475</v>
      </c>
      <c r="D8" s="155">
        <v>1313</v>
      </c>
      <c r="E8" s="6">
        <f t="shared" si="0"/>
        <v>335773</v>
      </c>
    </row>
    <row r="9" spans="1:5" x14ac:dyDescent="0.25">
      <c r="A9" s="29">
        <v>2009</v>
      </c>
      <c r="B9" s="155">
        <f>96852+220380-1364+5566</f>
        <v>321434</v>
      </c>
      <c r="C9" s="155">
        <f>6501-(3.72*9)</f>
        <v>6467.52</v>
      </c>
      <c r="D9" s="155">
        <v>1293</v>
      </c>
      <c r="E9" s="6">
        <f t="shared" si="0"/>
        <v>329194.52</v>
      </c>
    </row>
    <row r="10" spans="1:5" x14ac:dyDescent="0.25">
      <c r="A10" s="29">
        <v>2010</v>
      </c>
      <c r="B10" s="155">
        <f>94165+230337-1162+6021</f>
        <v>329361</v>
      </c>
      <c r="C10" s="155">
        <f>6587-(3.72*12)</f>
        <v>6542.36</v>
      </c>
      <c r="D10" s="155">
        <v>1110</v>
      </c>
      <c r="E10" s="6">
        <f t="shared" si="0"/>
        <v>337013.36</v>
      </c>
    </row>
    <row r="11" spans="1:5" x14ac:dyDescent="0.25">
      <c r="A11" s="29">
        <v>2011</v>
      </c>
      <c r="B11" s="155">
        <f>95668+237050-2079+6212</f>
        <v>336851</v>
      </c>
      <c r="C11" s="155">
        <f>6646-(3.72*12)</f>
        <v>6601.36</v>
      </c>
      <c r="D11" s="155">
        <v>1069</v>
      </c>
      <c r="E11" s="6">
        <f t="shared" si="0"/>
        <v>344521.36</v>
      </c>
    </row>
    <row r="12" spans="1:5" x14ac:dyDescent="0.25">
      <c r="A12" s="29">
        <v>2012</v>
      </c>
      <c r="B12" s="155">
        <f>91666+240823-2403+6263</f>
        <v>336349</v>
      </c>
      <c r="C12" s="155">
        <f>6665-(3.72*12)</f>
        <v>6620.36</v>
      </c>
      <c r="D12" s="155">
        <v>1003</v>
      </c>
      <c r="E12" s="6">
        <f t="shared" si="0"/>
        <v>343972.36</v>
      </c>
    </row>
    <row r="13" spans="1:5" x14ac:dyDescent="0.25">
      <c r="A13" s="29">
        <v>2013</v>
      </c>
      <c r="B13" s="154">
        <f>'Rate Class Energy Model'!J59*$B$28</f>
        <v>342374.52695476456</v>
      </c>
      <c r="C13" s="154">
        <f>'Rate Class Energy Model'!K59*C28</f>
        <v>6647.9627011134817</v>
      </c>
      <c r="D13" s="154">
        <f>'Rate Class Energy Model'!L59*D28</f>
        <v>976.04911775352195</v>
      </c>
      <c r="E13" s="6">
        <f t="shared" si="0"/>
        <v>349998.53877363156</v>
      </c>
    </row>
    <row r="14" spans="1:5" x14ac:dyDescent="0.25">
      <c r="A14" s="29">
        <v>2014</v>
      </c>
      <c r="B14" s="154">
        <f>'Rate Class Energy Model'!J60*B28</f>
        <v>341894.2191883428</v>
      </c>
      <c r="C14" s="154">
        <f>'Rate Class Energy Model'!K60*C28</f>
        <v>6647.9627011134817</v>
      </c>
      <c r="D14" s="154">
        <f>'Rate Class Energy Model'!L60*D28</f>
        <v>909.16427775072532</v>
      </c>
      <c r="E14" s="6">
        <f t="shared" si="0"/>
        <v>349451.346167207</v>
      </c>
    </row>
    <row r="15" spans="1:5" x14ac:dyDescent="0.25">
      <c r="A15" s="20"/>
    </row>
    <row r="16" spans="1:5" x14ac:dyDescent="0.25">
      <c r="A16" s="19" t="s">
        <v>62</v>
      </c>
      <c r="B16" s="5"/>
      <c r="C16" s="5"/>
      <c r="D16" s="5"/>
    </row>
    <row r="17" spans="1:4" x14ac:dyDescent="0.25">
      <c r="A17" s="4">
        <v>2003</v>
      </c>
      <c r="B17" s="27">
        <f>ROUND(B3/'Rate Class Energy Model'!J7,6)</f>
        <v>2.7139999999999998E-3</v>
      </c>
      <c r="C17" s="27">
        <f>ROUND(C3/'Rate Class Energy Model'!K7,6)</f>
        <v>2.7230000000000002E-3</v>
      </c>
      <c r="D17" s="27">
        <f>ROUND(D3/'Rate Class Energy Model'!L7,6)</f>
        <v>2.9220000000000001E-3</v>
      </c>
    </row>
    <row r="18" spans="1:4" x14ac:dyDescent="0.25">
      <c r="A18" s="4">
        <v>2004</v>
      </c>
      <c r="B18" s="27">
        <f>ROUND(B4/'Rate Class Energy Model'!J8,6)</f>
        <v>2.7950000000000002E-3</v>
      </c>
      <c r="C18" s="27">
        <f>ROUND(C4/'Rate Class Energy Model'!K8,6)</f>
        <v>2.7780000000000001E-3</v>
      </c>
      <c r="D18" s="27">
        <f>ROUND(D4/'Rate Class Energy Model'!L8,6)</f>
        <v>2.7569999999999999E-3</v>
      </c>
    </row>
    <row r="19" spans="1:4" x14ac:dyDescent="0.25">
      <c r="A19" s="4">
        <v>2005</v>
      </c>
      <c r="B19" s="27">
        <f>ROUND(B5/'Rate Class Energy Model'!J9,6)</f>
        <v>2.8110000000000001E-3</v>
      </c>
      <c r="C19" s="27">
        <f>ROUND(C5/'Rate Class Energy Model'!K9,6)</f>
        <v>2.6029999999999998E-3</v>
      </c>
      <c r="D19" s="27">
        <f>ROUND(D5/'Rate Class Energy Model'!L9,6)</f>
        <v>2.7460000000000002E-3</v>
      </c>
    </row>
    <row r="20" spans="1:4" x14ac:dyDescent="0.25">
      <c r="A20" s="4">
        <v>2006</v>
      </c>
      <c r="B20" s="27">
        <f>ROUND(B6/'Rate Class Energy Model'!J10,6)</f>
        <v>2.8779999999999999E-3</v>
      </c>
      <c r="C20" s="27">
        <f>ROUND(C6/'Rate Class Energy Model'!K10,6)</f>
        <v>2.787E-3</v>
      </c>
      <c r="D20" s="27">
        <f>ROUND(D6/'Rate Class Energy Model'!L10,6)</f>
        <v>2.7539999999999999E-3</v>
      </c>
    </row>
    <row r="21" spans="1:4" x14ac:dyDescent="0.25">
      <c r="A21" s="4">
        <v>2007</v>
      </c>
      <c r="B21" s="27">
        <f>ROUND(B7/'Rate Class Energy Model'!J11,6)</f>
        <v>2.7680000000000001E-3</v>
      </c>
      <c r="C21" s="27">
        <f>ROUND(C7/'Rate Class Energy Model'!K11,6)</f>
        <v>2.787E-3</v>
      </c>
      <c r="D21" s="27">
        <f>ROUND(D7/'Rate Class Energy Model'!L11,6)</f>
        <v>2.7780000000000001E-3</v>
      </c>
    </row>
    <row r="22" spans="1:4" x14ac:dyDescent="0.25">
      <c r="A22" s="4">
        <v>2008</v>
      </c>
      <c r="B22" s="27">
        <f>ROUND(B8/'Rate Class Energy Model'!J12,6)</f>
        <v>2.7520000000000001E-3</v>
      </c>
      <c r="C22" s="27">
        <f>ROUND(C8/'Rate Class Energy Model'!K12,6)</f>
        <v>2.7799999999999999E-3</v>
      </c>
      <c r="D22" s="27">
        <f>ROUND(D8/'Rate Class Energy Model'!L12,6)</f>
        <v>2.761E-3</v>
      </c>
    </row>
    <row r="23" spans="1:4" x14ac:dyDescent="0.25">
      <c r="A23" s="4">
        <v>2009</v>
      </c>
      <c r="B23" s="27">
        <f>ROUND(B9/'Rate Class Energy Model'!J13,6)</f>
        <v>2.8969999999999998E-3</v>
      </c>
      <c r="C23" s="27">
        <f>ROUND(C9/'Rate Class Energy Model'!K13,6)</f>
        <v>2.8050000000000002E-3</v>
      </c>
      <c r="D23" s="27">
        <f>ROUND(D9/'Rate Class Energy Model'!L13,6)</f>
        <v>2.764E-3</v>
      </c>
    </row>
    <row r="24" spans="1:4" x14ac:dyDescent="0.25">
      <c r="A24" s="4">
        <v>2010</v>
      </c>
      <c r="B24" s="27">
        <f>ROUND(B10/'Rate Class Energy Model'!J14,6)</f>
        <v>2.8159999999999999E-3</v>
      </c>
      <c r="C24" s="27">
        <f>ROUND(C10/'Rate Class Energy Model'!K14,6)</f>
        <v>2.908E-3</v>
      </c>
      <c r="D24" s="27">
        <f>ROUND(D10/'Rate Class Energy Model'!L14,6)</f>
        <v>2.7669999999999999E-3</v>
      </c>
    </row>
    <row r="25" spans="1:4" x14ac:dyDescent="0.25">
      <c r="A25" s="4">
        <v>2011</v>
      </c>
      <c r="B25" s="27">
        <f>ROUND(B11/'Rate Class Energy Model'!J15,6)</f>
        <v>2.813E-3</v>
      </c>
      <c r="C25" s="27">
        <f>ROUND(C11/'Rate Class Energy Model'!K15,6)</f>
        <v>2.9030000000000002E-3</v>
      </c>
      <c r="D25" s="27">
        <f>ROUND(D11/'Rate Class Energy Model'!L15,6)</f>
        <v>2.7699999999999999E-3</v>
      </c>
    </row>
    <row r="26" spans="1:4" x14ac:dyDescent="0.25">
      <c r="A26" s="4">
        <v>2012</v>
      </c>
      <c r="B26" s="27">
        <f>ROUND(B12/'Rate Class Energy Model'!J16,6)</f>
        <v>2.843E-3</v>
      </c>
      <c r="C26" s="27">
        <f>ROUND(C12/'Rate Class Energy Model'!K16,6)</f>
        <v>2.7699999999999999E-3</v>
      </c>
      <c r="D26" s="27">
        <f>ROUND(D12/'Rate Class Energy Model'!L16,6)</f>
        <v>2.7720000000000002E-3</v>
      </c>
    </row>
    <row r="28" spans="1:4" x14ac:dyDescent="0.25">
      <c r="A28" t="s">
        <v>13</v>
      </c>
      <c r="B28" s="27">
        <f>AVERAGE(B17:B26)</f>
        <v>2.8086999999999999E-3</v>
      </c>
      <c r="C28" s="27">
        <f>AVERAGE(C17:C26)</f>
        <v>2.7844000000000002E-3</v>
      </c>
      <c r="D28" s="27">
        <f>AVERAGE(D17:D26)</f>
        <v>2.7791000000000001E-3</v>
      </c>
    </row>
    <row r="35" spans="2:4" x14ac:dyDescent="0.25">
      <c r="B35" s="25"/>
      <c r="C35" s="25"/>
      <c r="D35" s="25"/>
    </row>
    <row r="36" spans="2:4" x14ac:dyDescent="0.25">
      <c r="B36" s="25"/>
      <c r="C36" s="25"/>
      <c r="D36" s="25"/>
    </row>
    <row r="55" spans="2:4" x14ac:dyDescent="0.25">
      <c r="B55" s="16"/>
      <c r="C55" s="16"/>
      <c r="D55" s="16"/>
    </row>
    <row r="56" spans="2:4" x14ac:dyDescent="0.25">
      <c r="B56" s="16"/>
      <c r="C56" s="16"/>
      <c r="D56" s="16"/>
    </row>
  </sheetData>
  <mergeCells count="1">
    <mergeCell ref="B1:E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alignWithMargins="0">
    <oddFooter>&amp;L&amp;F
&amp;A&amp;RPage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5"/>
  <sheetViews>
    <sheetView zoomScale="80" zoomScaleNormal="80" workbookViewId="0">
      <selection activeCell="F17" sqref="F17"/>
    </sheetView>
  </sheetViews>
  <sheetFormatPr defaultRowHeight="13.2" x14ac:dyDescent="0.25"/>
  <cols>
    <col min="2" max="5" width="13.6640625" customWidth="1"/>
    <col min="6" max="6" width="12.88671875" bestFit="1" customWidth="1"/>
    <col min="7" max="7" width="13" bestFit="1" customWidth="1"/>
    <col min="8" max="8" width="12.88671875" bestFit="1" customWidth="1"/>
    <col min="10" max="10" width="12.6640625" customWidth="1"/>
    <col min="16" max="16" width="11.33203125" customWidth="1"/>
    <col min="17" max="17" width="10.109375" bestFit="1" customWidth="1"/>
    <col min="18" max="18" width="11.44140625" customWidth="1"/>
    <col min="19" max="19" width="11" customWidth="1"/>
    <col min="20" max="20" width="11.109375" bestFit="1" customWidth="1"/>
    <col min="25" max="25" width="13.109375" customWidth="1"/>
  </cols>
  <sheetData>
    <row r="1" spans="1:21" ht="39.6" x14ac:dyDescent="0.25">
      <c r="B1" s="52" t="s">
        <v>92</v>
      </c>
      <c r="C1" s="52" t="s">
        <v>93</v>
      </c>
      <c r="D1" s="52" t="s">
        <v>94</v>
      </c>
      <c r="E1" s="52" t="s">
        <v>95</v>
      </c>
      <c r="F1" s="52" t="s">
        <v>74</v>
      </c>
      <c r="G1" s="52" t="s">
        <v>75</v>
      </c>
      <c r="P1" s="222" t="s">
        <v>76</v>
      </c>
      <c r="Q1" s="222"/>
      <c r="R1" s="222"/>
    </row>
    <row r="2" spans="1:21" x14ac:dyDescent="0.25">
      <c r="A2">
        <v>2005</v>
      </c>
      <c r="F2" s="54"/>
      <c r="G2" s="55">
        <f>F2</f>
        <v>0</v>
      </c>
      <c r="H2" s="55">
        <f t="shared" ref="H2:H11" si="0">G2/$N$14</f>
        <v>0</v>
      </c>
      <c r="J2" s="221" t="s">
        <v>77</v>
      </c>
      <c r="K2" s="221"/>
      <c r="M2" s="53" t="s">
        <v>78</v>
      </c>
      <c r="N2" s="53">
        <v>1</v>
      </c>
      <c r="P2" s="223">
        <f>13.3*1000*1000</f>
        <v>13300000</v>
      </c>
      <c r="Q2" s="224"/>
      <c r="R2" s="224"/>
    </row>
    <row r="3" spans="1:21" ht="13.8" thickBot="1" x14ac:dyDescent="0.3">
      <c r="A3">
        <v>2006</v>
      </c>
      <c r="B3" s="134">
        <v>1804000</v>
      </c>
      <c r="C3" s="134">
        <v>1615000</v>
      </c>
      <c r="D3" s="59">
        <f>B3-C3</f>
        <v>189000</v>
      </c>
      <c r="E3" s="60">
        <f>D3/C3</f>
        <v>0.11702786377708978</v>
      </c>
      <c r="F3" s="55">
        <f>C3</f>
        <v>1615000</v>
      </c>
      <c r="G3" s="55">
        <f>F3</f>
        <v>1615000</v>
      </c>
      <c r="H3" s="55">
        <f t="shared" si="0"/>
        <v>20705.128205128207</v>
      </c>
      <c r="J3" s="56">
        <f>G27</f>
        <v>1615000</v>
      </c>
      <c r="K3" s="56">
        <f t="shared" ref="K3:K11" si="1">F3-J3</f>
        <v>0</v>
      </c>
      <c r="M3" s="53" t="s">
        <v>79</v>
      </c>
      <c r="N3" s="53">
        <v>2</v>
      </c>
    </row>
    <row r="4" spans="1:21" x14ac:dyDescent="0.25">
      <c r="A4">
        <v>2007</v>
      </c>
      <c r="B4" s="134">
        <v>9975000</v>
      </c>
      <c r="C4" s="134">
        <v>4219000</v>
      </c>
      <c r="D4" s="59">
        <f t="shared" ref="D4:D11" si="2">B4-C4</f>
        <v>5756000</v>
      </c>
      <c r="E4" s="60">
        <f t="shared" ref="E4:E12" si="3">D4/C4</f>
        <v>1.3643043375207395</v>
      </c>
      <c r="F4" s="55">
        <f>C4</f>
        <v>4219000</v>
      </c>
      <c r="G4" s="55">
        <f>F4-H27</f>
        <v>1237461.5384615376</v>
      </c>
      <c r="H4" s="55">
        <f t="shared" si="0"/>
        <v>15864.891518737661</v>
      </c>
      <c r="J4" s="56">
        <f>G39</f>
        <v>4219000</v>
      </c>
      <c r="K4" s="56">
        <f t="shared" si="1"/>
        <v>0</v>
      </c>
      <c r="M4" s="53" t="s">
        <v>80</v>
      </c>
      <c r="N4" s="53">
        <v>3</v>
      </c>
      <c r="P4" s="225" t="s">
        <v>124</v>
      </c>
      <c r="Q4" s="226"/>
      <c r="R4" s="226"/>
      <c r="S4" s="226"/>
      <c r="T4" s="227"/>
    </row>
    <row r="5" spans="1:21" x14ac:dyDescent="0.25">
      <c r="A5">
        <v>2008</v>
      </c>
      <c r="B5" s="134">
        <v>7964000</v>
      </c>
      <c r="C5" s="134">
        <v>5231000</v>
      </c>
      <c r="D5" s="59">
        <f t="shared" si="2"/>
        <v>2733000</v>
      </c>
      <c r="E5" s="60">
        <f t="shared" si="3"/>
        <v>0.5224622443127509</v>
      </c>
      <c r="F5" s="55">
        <f>C5</f>
        <v>5231000</v>
      </c>
      <c r="G5" s="55">
        <f>F5-H39</f>
        <v>-35082.840236685239</v>
      </c>
      <c r="H5" s="55">
        <f t="shared" si="0"/>
        <v>-449.78000303442616</v>
      </c>
      <c r="J5" s="56">
        <f>G51</f>
        <v>5230999.9999999972</v>
      </c>
      <c r="K5" s="56">
        <f t="shared" si="1"/>
        <v>0</v>
      </c>
      <c r="M5" s="53" t="s">
        <v>81</v>
      </c>
      <c r="N5" s="53">
        <v>4</v>
      </c>
      <c r="P5" s="62">
        <v>2011</v>
      </c>
      <c r="Q5" s="53">
        <v>2012</v>
      </c>
      <c r="R5" s="53">
        <v>2013</v>
      </c>
      <c r="S5" s="53">
        <v>2014</v>
      </c>
      <c r="T5" s="63" t="s">
        <v>9</v>
      </c>
    </row>
    <row r="6" spans="1:21" x14ac:dyDescent="0.25">
      <c r="A6">
        <v>2009</v>
      </c>
      <c r="B6" s="134">
        <v>11381000</v>
      </c>
      <c r="C6" s="134">
        <v>7867000</v>
      </c>
      <c r="D6" s="59">
        <f t="shared" si="2"/>
        <v>3514000</v>
      </c>
      <c r="E6" s="60">
        <f t="shared" si="3"/>
        <v>0.44667598830558025</v>
      </c>
      <c r="F6" s="55">
        <f>C6</f>
        <v>7867000</v>
      </c>
      <c r="G6" s="55">
        <f>F6-H51</f>
        <v>2665685.4802002758</v>
      </c>
      <c r="H6" s="55">
        <f t="shared" si="0"/>
        <v>34175.454874362513</v>
      </c>
      <c r="J6" s="56">
        <f>G63</f>
        <v>7867000.0000000019</v>
      </c>
      <c r="K6" s="56">
        <f t="shared" si="1"/>
        <v>0</v>
      </c>
      <c r="M6" s="53" t="s">
        <v>82</v>
      </c>
      <c r="N6" s="53">
        <v>5</v>
      </c>
      <c r="P6" s="128">
        <f>P12/$P$2</f>
        <v>0.11757466165413534</v>
      </c>
      <c r="Q6" s="77">
        <f>Q12/$P$2</f>
        <v>0.11748165413533834</v>
      </c>
      <c r="R6" s="77">
        <f>R12/$P$2</f>
        <v>0.11748165413533834</v>
      </c>
      <c r="S6" s="77">
        <f>S12/$P$2</f>
        <v>0.1143406015037594</v>
      </c>
      <c r="T6" s="65">
        <f>SUM(P6:S6)</f>
        <v>0.46687857142857142</v>
      </c>
    </row>
    <row r="7" spans="1:21" x14ac:dyDescent="0.25">
      <c r="A7">
        <v>2010</v>
      </c>
      <c r="B7" s="134">
        <v>12532000</v>
      </c>
      <c r="C7" s="134">
        <v>8048000</v>
      </c>
      <c r="D7" s="59">
        <f t="shared" si="2"/>
        <v>4484000</v>
      </c>
      <c r="E7" s="60">
        <f t="shared" si="3"/>
        <v>0.55715705765407553</v>
      </c>
      <c r="F7" s="55">
        <f>C7</f>
        <v>8048000</v>
      </c>
      <c r="G7" s="55">
        <f>F7-H63</f>
        <v>-2074580.0217079315</v>
      </c>
      <c r="H7" s="55">
        <f t="shared" si="0"/>
        <v>-26597.1797654863</v>
      </c>
      <c r="J7" s="56">
        <f>G75</f>
        <v>8048000.0000000019</v>
      </c>
      <c r="K7" s="56">
        <f t="shared" si="1"/>
        <v>0</v>
      </c>
      <c r="M7" s="53" t="s">
        <v>83</v>
      </c>
      <c r="N7" s="53">
        <v>6</v>
      </c>
      <c r="P7" s="66"/>
      <c r="Q7" s="64">
        <f>Q13/$P$2</f>
        <v>7.6111578947368419E-2</v>
      </c>
      <c r="R7" s="64">
        <f t="shared" ref="R7:S7" si="4">R13/$P$2</f>
        <v>7.587330827067669E-2</v>
      </c>
      <c r="S7" s="64">
        <f t="shared" si="4"/>
        <v>7.587323308270677E-2</v>
      </c>
      <c r="T7" s="65">
        <f>SUM(P7:S7)</f>
        <v>0.22785812030075187</v>
      </c>
    </row>
    <row r="8" spans="1:21" x14ac:dyDescent="0.25">
      <c r="A8">
        <v>2011</v>
      </c>
      <c r="B8" s="134">
        <v>11103000</v>
      </c>
      <c r="C8" s="134">
        <v>6611000</v>
      </c>
      <c r="D8" s="59">
        <f t="shared" si="2"/>
        <v>4492000</v>
      </c>
      <c r="E8" s="60">
        <f t="shared" si="3"/>
        <v>0.67947360459839656</v>
      </c>
      <c r="F8" s="55">
        <f>C8+P12</f>
        <v>8174743</v>
      </c>
      <c r="G8" s="55">
        <f>F8-H75</f>
        <v>1882156.864522092</v>
      </c>
      <c r="H8" s="55">
        <f t="shared" si="0"/>
        <v>24130.216211821691</v>
      </c>
      <c r="J8" s="56">
        <f>G87</f>
        <v>8174742.9999999963</v>
      </c>
      <c r="K8" s="56">
        <f t="shared" si="1"/>
        <v>0</v>
      </c>
      <c r="M8" s="53" t="s">
        <v>84</v>
      </c>
      <c r="N8" s="53">
        <v>7</v>
      </c>
      <c r="P8" s="67"/>
      <c r="Q8" s="64"/>
      <c r="R8" s="64">
        <f>(100%-T6-T7)/3</f>
        <v>0.10175443609022555</v>
      </c>
      <c r="S8" s="64">
        <f>R8</f>
        <v>0.10175443609022555</v>
      </c>
      <c r="T8" s="65">
        <f>SUM(P8:S8)</f>
        <v>0.20350887218045111</v>
      </c>
    </row>
    <row r="9" spans="1:21" x14ac:dyDescent="0.25">
      <c r="A9">
        <v>2012</v>
      </c>
      <c r="B9" s="134">
        <v>10804000</v>
      </c>
      <c r="C9" s="134">
        <v>6483000</v>
      </c>
      <c r="D9" s="59">
        <f t="shared" si="2"/>
        <v>4321000</v>
      </c>
      <c r="E9" s="60">
        <f t="shared" si="3"/>
        <v>0.66651241709085296</v>
      </c>
      <c r="F9" s="55">
        <f>C9+Q12+Q13</f>
        <v>9057790</v>
      </c>
      <c r="G9" s="55">
        <f>F9-H87</f>
        <v>-709547.26998022571</v>
      </c>
      <c r="H9" s="55">
        <f t="shared" si="0"/>
        <v>-9096.7598715413551</v>
      </c>
      <c r="J9" s="56">
        <f>G99</f>
        <v>9057789.9999999963</v>
      </c>
      <c r="K9" s="56">
        <f t="shared" si="1"/>
        <v>0</v>
      </c>
      <c r="M9" s="53" t="s">
        <v>85</v>
      </c>
      <c r="N9" s="53">
        <v>8</v>
      </c>
      <c r="P9" s="67"/>
      <c r="Q9" s="68"/>
      <c r="R9" s="64"/>
      <c r="S9" s="64">
        <f>S8</f>
        <v>0.10175443609022555</v>
      </c>
      <c r="T9" s="65">
        <f>SUM(P9:S9)</f>
        <v>0.10175443609022555</v>
      </c>
    </row>
    <row r="10" spans="1:21" x14ac:dyDescent="0.25">
      <c r="A10">
        <v>2013</v>
      </c>
      <c r="B10" s="134">
        <v>10693000</v>
      </c>
      <c r="C10" s="134">
        <v>6427000</v>
      </c>
      <c r="D10" s="59">
        <f t="shared" si="2"/>
        <v>4266000</v>
      </c>
      <c r="E10" s="60">
        <f t="shared" si="3"/>
        <v>0.66376225299517655</v>
      </c>
      <c r="F10" s="55">
        <f>C10+R12+R13</f>
        <v>8998621</v>
      </c>
      <c r="G10" s="55">
        <f>F10-H99</f>
        <v>541217.15152173676</v>
      </c>
      <c r="H10" s="55">
        <f t="shared" si="0"/>
        <v>6938.6814297658557</v>
      </c>
      <c r="J10" s="56">
        <f>G111</f>
        <v>8998621.0000000019</v>
      </c>
      <c r="K10" s="56">
        <f t="shared" si="1"/>
        <v>0</v>
      </c>
      <c r="M10" s="53" t="s">
        <v>86</v>
      </c>
      <c r="N10" s="53">
        <v>9</v>
      </c>
      <c r="P10" s="66">
        <f>SUM(P6:P9)</f>
        <v>0.11757466165413534</v>
      </c>
      <c r="Q10" s="64">
        <f>SUM(Q6:Q9)</f>
        <v>0.19359323308270676</v>
      </c>
      <c r="R10" s="64">
        <f>SUM(R6:R9)</f>
        <v>0.29510939849624057</v>
      </c>
      <c r="S10" s="64">
        <f>SUM(S6:S9)</f>
        <v>0.39372270676691729</v>
      </c>
      <c r="T10" s="65">
        <f>SUM(P10:S10)</f>
        <v>1</v>
      </c>
    </row>
    <row r="11" spans="1:21" x14ac:dyDescent="0.25">
      <c r="A11">
        <v>2014</v>
      </c>
      <c r="B11" s="134">
        <v>10125000</v>
      </c>
      <c r="C11" s="134">
        <v>6135000</v>
      </c>
      <c r="D11" s="59">
        <f t="shared" si="2"/>
        <v>3990000</v>
      </c>
      <c r="E11" s="60">
        <f t="shared" si="3"/>
        <v>0.65036674816625917</v>
      </c>
      <c r="F11" s="55">
        <f>C11+S12+S13</f>
        <v>8664844</v>
      </c>
      <c r="G11" s="55">
        <f>F11-H111</f>
        <v>-791729.97436455078</v>
      </c>
      <c r="H11" s="55">
        <f t="shared" si="0"/>
        <v>-10150.38428672501</v>
      </c>
      <c r="J11" s="56">
        <f>G123</f>
        <v>8664844.0000000037</v>
      </c>
      <c r="K11" s="56">
        <f t="shared" si="1"/>
        <v>0</v>
      </c>
      <c r="M11" s="53" t="s">
        <v>87</v>
      </c>
      <c r="N11" s="53">
        <v>10</v>
      </c>
      <c r="P11" s="228"/>
      <c r="Q11" s="222"/>
      <c r="R11" s="222"/>
      <c r="S11" s="222"/>
      <c r="T11" s="229"/>
    </row>
    <row r="12" spans="1:21" x14ac:dyDescent="0.25">
      <c r="A12" t="s">
        <v>9</v>
      </c>
      <c r="B12" s="55">
        <f>SUM(B3:B11)</f>
        <v>86381000</v>
      </c>
      <c r="C12" s="55">
        <f>SUM(C3:C11)</f>
        <v>52636000</v>
      </c>
      <c r="D12" s="55">
        <f>SUM(D3:D11)</f>
        <v>33745000</v>
      </c>
      <c r="E12" s="60">
        <f t="shared" si="3"/>
        <v>0.64110114750360969</v>
      </c>
      <c r="F12" s="55">
        <f>SUM(F3:F11)</f>
        <v>61875998</v>
      </c>
      <c r="G12" s="55"/>
      <c r="H12" s="55"/>
      <c r="J12" s="55">
        <f>SUM(J3:J11)</f>
        <v>61875998</v>
      </c>
      <c r="K12" s="56">
        <f>SUM(K3:K11)</f>
        <v>0</v>
      </c>
      <c r="M12" s="53" t="s">
        <v>88</v>
      </c>
      <c r="N12" s="53">
        <v>11</v>
      </c>
      <c r="P12" s="135">
        <v>1563743</v>
      </c>
      <c r="Q12" s="136">
        <v>1562506</v>
      </c>
      <c r="R12" s="136">
        <v>1562506</v>
      </c>
      <c r="S12" s="136">
        <v>1520730</v>
      </c>
      <c r="T12" s="70">
        <f>SUM(P12:S12)</f>
        <v>6209485</v>
      </c>
      <c r="U12" s="83" t="s">
        <v>123</v>
      </c>
    </row>
    <row r="13" spans="1:21" x14ac:dyDescent="0.25">
      <c r="F13" s="55"/>
      <c r="H13" s="55"/>
      <c r="M13" s="53" t="s">
        <v>90</v>
      </c>
      <c r="N13" s="53">
        <v>12</v>
      </c>
      <c r="P13" s="69"/>
      <c r="Q13" s="136">
        <v>1012284</v>
      </c>
      <c r="R13" s="136">
        <v>1009115</v>
      </c>
      <c r="S13" s="136">
        <f>1009117-3</f>
        <v>1009114</v>
      </c>
      <c r="T13" s="70">
        <f>SUM(P13:S13)</f>
        <v>3030513</v>
      </c>
      <c r="U13" s="83" t="s">
        <v>178</v>
      </c>
    </row>
    <row r="14" spans="1:21" x14ac:dyDescent="0.25">
      <c r="F14" s="55" t="s">
        <v>89</v>
      </c>
      <c r="M14" s="53" t="s">
        <v>9</v>
      </c>
      <c r="N14" s="53">
        <f>SUM(N2:N13)</f>
        <v>78</v>
      </c>
      <c r="P14" s="69"/>
      <c r="Q14" s="58"/>
      <c r="R14" s="58">
        <f>P2*R8</f>
        <v>1353333.9999999998</v>
      </c>
      <c r="S14" s="58">
        <f>R14</f>
        <v>1353333.9999999998</v>
      </c>
      <c r="T14" s="70">
        <f>SUM(P14:S14)</f>
        <v>2706667.9999999995</v>
      </c>
    </row>
    <row r="15" spans="1:21" x14ac:dyDescent="0.25">
      <c r="F15" s="55"/>
      <c r="P15" s="69"/>
      <c r="Q15" s="58"/>
      <c r="R15" s="58"/>
      <c r="S15" s="58">
        <f>S14</f>
        <v>1353333.9999999998</v>
      </c>
      <c r="T15" s="70">
        <f>SUM(P15:S15)</f>
        <v>1353333.9999999998</v>
      </c>
    </row>
    <row r="16" spans="1:21" ht="13.8" thickBot="1" x14ac:dyDescent="0.3">
      <c r="A16" s="3">
        <v>38718</v>
      </c>
      <c r="B16" s="3"/>
      <c r="C16" s="3"/>
      <c r="D16" s="61"/>
      <c r="E16" s="61"/>
      <c r="F16" s="55">
        <f>$H$3</f>
        <v>20705.128205128207</v>
      </c>
      <c r="J16" s="56"/>
      <c r="P16" s="71">
        <f>SUM(P12:P15)</f>
        <v>1563743</v>
      </c>
      <c r="Q16" s="72">
        <f>SUM(Q12:Q15)</f>
        <v>2574790</v>
      </c>
      <c r="R16" s="72">
        <f>SUM(R12:R15)</f>
        <v>3924955</v>
      </c>
      <c r="S16" s="72">
        <f>SUM(S12:S15)</f>
        <v>5236512</v>
      </c>
      <c r="T16" s="73">
        <f>SUM(P16:S16)</f>
        <v>13300000</v>
      </c>
    </row>
    <row r="17" spans="1:58" x14ac:dyDescent="0.25">
      <c r="A17" s="3">
        <v>38749</v>
      </c>
      <c r="B17" s="3"/>
      <c r="C17" s="3"/>
      <c r="D17" s="61"/>
      <c r="E17" s="61"/>
      <c r="F17" s="55">
        <f t="shared" ref="F17:F27" si="5">F16+$H$3</f>
        <v>41410.256410256414</v>
      </c>
    </row>
    <row r="18" spans="1:58" ht="12.75" customHeight="1" x14ac:dyDescent="0.25">
      <c r="A18" s="3">
        <v>38777</v>
      </c>
      <c r="B18" s="3"/>
      <c r="C18" s="3"/>
      <c r="D18" s="61"/>
      <c r="E18" s="61"/>
      <c r="F18" s="55">
        <f t="shared" si="5"/>
        <v>62115.384615384624</v>
      </c>
    </row>
    <row r="19" spans="1:58" x14ac:dyDescent="0.25">
      <c r="A19" s="3">
        <v>38808</v>
      </c>
      <c r="B19" s="3"/>
      <c r="C19" s="3"/>
      <c r="D19" s="61"/>
      <c r="E19" s="61"/>
      <c r="F19" s="55">
        <f t="shared" si="5"/>
        <v>82820.512820512828</v>
      </c>
      <c r="S19" s="61"/>
    </row>
    <row r="20" spans="1:58" x14ac:dyDescent="0.25">
      <c r="A20" s="3">
        <v>38838</v>
      </c>
      <c r="B20" s="3"/>
      <c r="C20" s="3"/>
      <c r="D20" s="61"/>
      <c r="E20" s="61"/>
      <c r="F20" s="55">
        <f t="shared" si="5"/>
        <v>103525.64102564103</v>
      </c>
    </row>
    <row r="21" spans="1:58" x14ac:dyDescent="0.25">
      <c r="A21" s="3">
        <v>38869</v>
      </c>
      <c r="B21" s="3"/>
      <c r="C21" s="3"/>
      <c r="D21" s="61"/>
      <c r="E21" s="61"/>
      <c r="F21" s="55">
        <f t="shared" si="5"/>
        <v>124230.76923076923</v>
      </c>
    </row>
    <row r="22" spans="1:58" x14ac:dyDescent="0.25">
      <c r="A22" s="3">
        <v>38899</v>
      </c>
      <c r="B22" s="3"/>
      <c r="C22" s="3"/>
      <c r="D22" s="61"/>
      <c r="E22" s="61"/>
      <c r="F22" s="55">
        <f t="shared" si="5"/>
        <v>144935.89743589744</v>
      </c>
    </row>
    <row r="23" spans="1:58" x14ac:dyDescent="0.25">
      <c r="A23" s="3">
        <v>38930</v>
      </c>
      <c r="B23" s="3"/>
      <c r="C23" s="3"/>
      <c r="D23" s="61"/>
      <c r="E23" s="61"/>
      <c r="F23" s="55">
        <f t="shared" si="5"/>
        <v>165641.02564102566</v>
      </c>
    </row>
    <row r="24" spans="1:58" x14ac:dyDescent="0.25">
      <c r="A24" s="3">
        <v>38961</v>
      </c>
      <c r="B24" s="3"/>
      <c r="C24" s="3"/>
      <c r="D24" s="61"/>
      <c r="E24" s="61"/>
      <c r="F24" s="55">
        <f t="shared" si="5"/>
        <v>186346.15384615387</v>
      </c>
    </row>
    <row r="25" spans="1:58" x14ac:dyDescent="0.25">
      <c r="A25" s="3">
        <v>38991</v>
      </c>
      <c r="B25" s="3"/>
      <c r="C25" s="3"/>
      <c r="D25" s="61"/>
      <c r="E25" s="61"/>
      <c r="F25" s="55">
        <f t="shared" si="5"/>
        <v>207051.28205128209</v>
      </c>
    </row>
    <row r="26" spans="1:58" x14ac:dyDescent="0.25">
      <c r="A26" s="3">
        <v>39022</v>
      </c>
      <c r="B26" s="3"/>
      <c r="C26" s="3"/>
      <c r="D26" s="61"/>
      <c r="E26" s="61"/>
      <c r="F26" s="55">
        <f t="shared" si="5"/>
        <v>227756.41025641031</v>
      </c>
      <c r="G26" s="4" t="s">
        <v>77</v>
      </c>
      <c r="BF26" t="s">
        <v>97</v>
      </c>
    </row>
    <row r="27" spans="1:58" x14ac:dyDescent="0.25">
      <c r="A27" s="3">
        <v>39052</v>
      </c>
      <c r="B27" s="3"/>
      <c r="C27" s="3"/>
      <c r="D27" s="61"/>
      <c r="E27" s="61"/>
      <c r="F27" s="55">
        <f t="shared" si="5"/>
        <v>248461.53846153853</v>
      </c>
      <c r="G27" s="55">
        <f>SUM(F16:F27)</f>
        <v>1615000</v>
      </c>
      <c r="H27" s="55">
        <f>F27*12</f>
        <v>2981538.4615384624</v>
      </c>
      <c r="AB27" s="61"/>
    </row>
    <row r="28" spans="1:58" x14ac:dyDescent="0.25">
      <c r="A28" s="3">
        <v>39083</v>
      </c>
      <c r="B28" s="3"/>
      <c r="C28" s="3"/>
      <c r="D28" s="61"/>
      <c r="E28" s="61"/>
      <c r="F28" s="55">
        <f t="shared" ref="F28:F39" si="6">F27+$H$4</f>
        <v>264326.42998027621</v>
      </c>
    </row>
    <row r="29" spans="1:58" x14ac:dyDescent="0.25">
      <c r="A29" s="3">
        <v>39114</v>
      </c>
      <c r="B29" s="3"/>
      <c r="C29" s="3"/>
      <c r="D29" s="61"/>
      <c r="E29" s="61"/>
      <c r="F29" s="55">
        <f t="shared" si="6"/>
        <v>280191.32149901387</v>
      </c>
    </row>
    <row r="30" spans="1:58" x14ac:dyDescent="0.25">
      <c r="A30" s="3">
        <v>39142</v>
      </c>
      <c r="B30" s="3"/>
      <c r="C30" s="3"/>
      <c r="D30" s="61"/>
      <c r="E30" s="61"/>
      <c r="F30" s="55">
        <f t="shared" si="6"/>
        <v>296056.21301775152</v>
      </c>
    </row>
    <row r="31" spans="1:58" x14ac:dyDescent="0.25">
      <c r="A31" s="3">
        <v>39173</v>
      </c>
      <c r="B31" s="3"/>
      <c r="C31" s="3"/>
      <c r="D31" s="61"/>
      <c r="E31" s="61"/>
      <c r="F31" s="55">
        <f t="shared" si="6"/>
        <v>311921.10453648918</v>
      </c>
    </row>
    <row r="32" spans="1:58" x14ac:dyDescent="0.25">
      <c r="A32" s="3">
        <v>39203</v>
      </c>
      <c r="B32" s="3"/>
      <c r="C32" s="3"/>
      <c r="D32" s="61"/>
      <c r="E32" s="61"/>
      <c r="F32" s="55">
        <f t="shared" si="6"/>
        <v>327785.99605522683</v>
      </c>
    </row>
    <row r="33" spans="1:8" x14ac:dyDescent="0.25">
      <c r="A33" s="3">
        <v>39234</v>
      </c>
      <c r="B33" s="3"/>
      <c r="C33" s="3"/>
      <c r="D33" s="61"/>
      <c r="E33" s="61"/>
      <c r="F33" s="55">
        <f t="shared" si="6"/>
        <v>343650.88757396449</v>
      </c>
    </row>
    <row r="34" spans="1:8" x14ac:dyDescent="0.25">
      <c r="A34" s="3">
        <v>39264</v>
      </c>
      <c r="B34" s="3"/>
      <c r="C34" s="3"/>
      <c r="D34" s="61"/>
      <c r="E34" s="61"/>
      <c r="F34" s="55">
        <f t="shared" si="6"/>
        <v>359515.77909270214</v>
      </c>
    </row>
    <row r="35" spans="1:8" x14ac:dyDescent="0.25">
      <c r="A35" s="3">
        <v>39295</v>
      </c>
      <c r="B35" s="3"/>
      <c r="C35" s="3"/>
      <c r="D35" s="61"/>
      <c r="E35" s="61"/>
      <c r="F35" s="55">
        <f t="shared" si="6"/>
        <v>375380.6706114398</v>
      </c>
    </row>
    <row r="36" spans="1:8" x14ac:dyDescent="0.25">
      <c r="A36" s="3">
        <v>39326</v>
      </c>
      <c r="B36" s="3"/>
      <c r="C36" s="3"/>
      <c r="D36" s="61"/>
      <c r="E36" s="61"/>
      <c r="F36" s="55">
        <f t="shared" si="6"/>
        <v>391245.56213017745</v>
      </c>
    </row>
    <row r="37" spans="1:8" x14ac:dyDescent="0.25">
      <c r="A37" s="3">
        <v>39356</v>
      </c>
      <c r="B37" s="3"/>
      <c r="C37" s="3"/>
      <c r="D37" s="61"/>
      <c r="E37" s="61"/>
      <c r="F37" s="55">
        <f t="shared" si="6"/>
        <v>407110.45364891511</v>
      </c>
    </row>
    <row r="38" spans="1:8" x14ac:dyDescent="0.25">
      <c r="A38" s="3">
        <v>39387</v>
      </c>
      <c r="B38" s="3"/>
      <c r="C38" s="3"/>
      <c r="D38" s="61"/>
      <c r="E38" s="61"/>
      <c r="F38" s="55">
        <f t="shared" si="6"/>
        <v>422975.34516765276</v>
      </c>
      <c r="G38" s="4" t="s">
        <v>77</v>
      </c>
    </row>
    <row r="39" spans="1:8" x14ac:dyDescent="0.25">
      <c r="A39" s="3">
        <v>39417</v>
      </c>
      <c r="B39" s="3"/>
      <c r="C39" s="3"/>
      <c r="D39" s="61"/>
      <c r="E39" s="61"/>
      <c r="F39" s="55">
        <f t="shared" si="6"/>
        <v>438840.23668639042</v>
      </c>
      <c r="G39" s="55">
        <f>SUM(F28:F39)</f>
        <v>4219000</v>
      </c>
      <c r="H39" s="55">
        <f>F39*12</f>
        <v>5266082.8402366852</v>
      </c>
    </row>
    <row r="40" spans="1:8" x14ac:dyDescent="0.25">
      <c r="A40" s="3">
        <v>39448</v>
      </c>
      <c r="B40" s="3"/>
      <c r="C40" s="3"/>
      <c r="D40" s="61"/>
      <c r="E40" s="61"/>
      <c r="F40" s="55">
        <f t="shared" ref="F40:F51" si="7">F39+$H$5</f>
        <v>438390.45668335597</v>
      </c>
    </row>
    <row r="41" spans="1:8" x14ac:dyDescent="0.25">
      <c r="A41" s="3">
        <v>39479</v>
      </c>
      <c r="B41" s="3"/>
      <c r="C41" s="3"/>
      <c r="D41" s="61"/>
      <c r="E41" s="61"/>
      <c r="F41" s="55">
        <f t="shared" si="7"/>
        <v>437940.67668032151</v>
      </c>
    </row>
    <row r="42" spans="1:8" x14ac:dyDescent="0.25">
      <c r="A42" s="3">
        <v>39508</v>
      </c>
      <c r="B42" s="3"/>
      <c r="C42" s="3"/>
      <c r="D42" s="61"/>
      <c r="E42" s="61"/>
      <c r="F42" s="55">
        <f t="shared" si="7"/>
        <v>437490.89667728706</v>
      </c>
    </row>
    <row r="43" spans="1:8" x14ac:dyDescent="0.25">
      <c r="A43" s="3">
        <v>39539</v>
      </c>
      <c r="B43" s="3"/>
      <c r="C43" s="3"/>
      <c r="D43" s="61"/>
      <c r="E43" s="61"/>
      <c r="F43" s="55">
        <f t="shared" si="7"/>
        <v>437041.11667425261</v>
      </c>
    </row>
    <row r="44" spans="1:8" x14ac:dyDescent="0.25">
      <c r="A44" s="3">
        <v>39569</v>
      </c>
      <c r="B44" s="3"/>
      <c r="C44" s="3"/>
      <c r="D44" s="61"/>
      <c r="E44" s="61"/>
      <c r="F44" s="55">
        <f t="shared" si="7"/>
        <v>436591.33667121816</v>
      </c>
    </row>
    <row r="45" spans="1:8" x14ac:dyDescent="0.25">
      <c r="A45" s="3">
        <v>39600</v>
      </c>
      <c r="B45" s="3"/>
      <c r="C45" s="3"/>
      <c r="D45" s="61"/>
      <c r="E45" s="61"/>
      <c r="F45" s="55">
        <f t="shared" si="7"/>
        <v>436141.55666818371</v>
      </c>
    </row>
    <row r="46" spans="1:8" x14ac:dyDescent="0.25">
      <c r="A46" s="3">
        <v>39630</v>
      </c>
      <c r="B46" s="3"/>
      <c r="C46" s="3"/>
      <c r="D46" s="61"/>
      <c r="E46" s="61"/>
      <c r="F46" s="55">
        <f t="shared" si="7"/>
        <v>435691.77666514926</v>
      </c>
    </row>
    <row r="47" spans="1:8" x14ac:dyDescent="0.25">
      <c r="A47" s="3">
        <v>39661</v>
      </c>
      <c r="B47" s="3"/>
      <c r="C47" s="3"/>
      <c r="D47" s="61"/>
      <c r="E47" s="61"/>
      <c r="F47" s="55">
        <f t="shared" si="7"/>
        <v>435241.99666211481</v>
      </c>
    </row>
    <row r="48" spans="1:8" x14ac:dyDescent="0.25">
      <c r="A48" s="3">
        <v>39692</v>
      </c>
      <c r="B48" s="3"/>
      <c r="C48" s="3"/>
      <c r="D48" s="61"/>
      <c r="E48" s="61"/>
      <c r="F48" s="55">
        <f t="shared" si="7"/>
        <v>434792.21665908035</v>
      </c>
    </row>
    <row r="49" spans="1:8" x14ac:dyDescent="0.25">
      <c r="A49" s="3">
        <v>39722</v>
      </c>
      <c r="B49" s="3"/>
      <c r="C49" s="3"/>
      <c r="D49" s="61"/>
      <c r="E49" s="61"/>
      <c r="F49" s="55">
        <f t="shared" si="7"/>
        <v>434342.4366560459</v>
      </c>
    </row>
    <row r="50" spans="1:8" x14ac:dyDescent="0.25">
      <c r="A50" s="3">
        <v>39753</v>
      </c>
      <c r="B50" s="3"/>
      <c r="C50" s="3"/>
      <c r="D50" s="61"/>
      <c r="E50" s="61"/>
      <c r="F50" s="55">
        <f t="shared" si="7"/>
        <v>433892.65665301145</v>
      </c>
    </row>
    <row r="51" spans="1:8" x14ac:dyDescent="0.25">
      <c r="A51" s="3">
        <v>39783</v>
      </c>
      <c r="B51" s="3"/>
      <c r="C51" s="3"/>
      <c r="D51" s="61"/>
      <c r="E51" s="61"/>
      <c r="F51" s="55">
        <f t="shared" si="7"/>
        <v>433442.876649977</v>
      </c>
      <c r="G51" s="55">
        <f>SUM(F40:F51)</f>
        <v>5230999.9999999972</v>
      </c>
      <c r="H51" s="55">
        <f>F51*12</f>
        <v>5201314.5197997242</v>
      </c>
    </row>
    <row r="52" spans="1:8" x14ac:dyDescent="0.25">
      <c r="A52" s="3">
        <v>39814</v>
      </c>
      <c r="B52" s="3"/>
      <c r="C52" s="3"/>
      <c r="D52" s="61"/>
      <c r="E52" s="61"/>
      <c r="F52" s="55">
        <f t="shared" ref="F52:F63" si="8">F51+$H$6</f>
        <v>467618.3315243395</v>
      </c>
    </row>
    <row r="53" spans="1:8" x14ac:dyDescent="0.25">
      <c r="A53" s="3">
        <v>39845</v>
      </c>
      <c r="B53" s="3"/>
      <c r="C53" s="3"/>
      <c r="D53" s="61"/>
      <c r="E53" s="61"/>
      <c r="F53" s="55">
        <f t="shared" si="8"/>
        <v>501793.78639870201</v>
      </c>
    </row>
    <row r="54" spans="1:8" x14ac:dyDescent="0.25">
      <c r="A54" s="3">
        <v>39873</v>
      </c>
      <c r="B54" s="3"/>
      <c r="C54" s="3"/>
      <c r="D54" s="61"/>
      <c r="E54" s="61"/>
      <c r="F54" s="55">
        <f t="shared" si="8"/>
        <v>535969.24127306452</v>
      </c>
    </row>
    <row r="55" spans="1:8" x14ac:dyDescent="0.25">
      <c r="A55" s="3">
        <v>39904</v>
      </c>
      <c r="B55" s="3"/>
      <c r="C55" s="3"/>
      <c r="D55" s="61"/>
      <c r="E55" s="61"/>
      <c r="F55" s="55">
        <f t="shared" si="8"/>
        <v>570144.69614742708</v>
      </c>
    </row>
    <row r="56" spans="1:8" x14ac:dyDescent="0.25">
      <c r="A56" s="3">
        <v>39934</v>
      </c>
      <c r="B56" s="3"/>
      <c r="C56" s="3"/>
      <c r="D56" s="61"/>
      <c r="E56" s="61"/>
      <c r="F56" s="55">
        <f t="shared" si="8"/>
        <v>604320.15102178964</v>
      </c>
    </row>
    <row r="57" spans="1:8" x14ac:dyDescent="0.25">
      <c r="A57" s="3">
        <v>39965</v>
      </c>
      <c r="B57" s="3"/>
      <c r="C57" s="3"/>
      <c r="D57" s="61"/>
      <c r="E57" s="61"/>
      <c r="F57" s="55">
        <f t="shared" si="8"/>
        <v>638495.60589615221</v>
      </c>
    </row>
    <row r="58" spans="1:8" x14ac:dyDescent="0.25">
      <c r="A58" s="3">
        <v>39995</v>
      </c>
      <c r="B58" s="3"/>
      <c r="C58" s="3"/>
      <c r="D58" s="61"/>
      <c r="E58" s="61"/>
      <c r="F58" s="55">
        <f t="shared" si="8"/>
        <v>672671.06077051477</v>
      </c>
    </row>
    <row r="59" spans="1:8" x14ac:dyDescent="0.25">
      <c r="A59" s="3">
        <v>40026</v>
      </c>
      <c r="B59" s="3"/>
      <c r="C59" s="3"/>
      <c r="D59" s="61"/>
      <c r="E59" s="61"/>
      <c r="F59" s="55">
        <f t="shared" si="8"/>
        <v>706846.51564487733</v>
      </c>
    </row>
    <row r="60" spans="1:8" x14ac:dyDescent="0.25">
      <c r="A60" s="3">
        <v>40057</v>
      </c>
      <c r="B60" s="3"/>
      <c r="C60" s="3"/>
      <c r="D60" s="61"/>
      <c r="E60" s="61"/>
      <c r="F60" s="55">
        <f t="shared" si="8"/>
        <v>741021.9705192399</v>
      </c>
    </row>
    <row r="61" spans="1:8" x14ac:dyDescent="0.25">
      <c r="A61" s="3">
        <v>40087</v>
      </c>
      <c r="B61" s="3"/>
      <c r="C61" s="3"/>
      <c r="D61" s="61"/>
      <c r="E61" s="61"/>
      <c r="F61" s="55">
        <f t="shared" si="8"/>
        <v>775197.42539360246</v>
      </c>
    </row>
    <row r="62" spans="1:8" x14ac:dyDescent="0.25">
      <c r="A62" s="3">
        <v>40118</v>
      </c>
      <c r="B62" s="3"/>
      <c r="C62" s="3"/>
      <c r="D62" s="61"/>
      <c r="E62" s="61"/>
      <c r="F62" s="55">
        <f t="shared" si="8"/>
        <v>809372.88026796503</v>
      </c>
    </row>
    <row r="63" spans="1:8" x14ac:dyDescent="0.25">
      <c r="A63" s="3">
        <v>40148</v>
      </c>
      <c r="B63" s="3"/>
      <c r="C63" s="3"/>
      <c r="D63" s="61"/>
      <c r="E63" s="61"/>
      <c r="F63" s="55">
        <f t="shared" si="8"/>
        <v>843548.33514232759</v>
      </c>
      <c r="G63" s="55">
        <f>SUM(F52:F63)</f>
        <v>7867000.0000000019</v>
      </c>
      <c r="H63" s="55">
        <f>F63*12</f>
        <v>10122580.021707932</v>
      </c>
    </row>
    <row r="64" spans="1:8" x14ac:dyDescent="0.25">
      <c r="A64" s="3">
        <v>40179</v>
      </c>
      <c r="B64" s="3"/>
      <c r="C64" s="3"/>
      <c r="D64" s="61"/>
      <c r="E64" s="61"/>
      <c r="F64" s="55">
        <f t="shared" ref="F64:F75" si="9">F63+$H$7</f>
        <v>816951.15537684131</v>
      </c>
    </row>
    <row r="65" spans="1:8" x14ac:dyDescent="0.25">
      <c r="A65" s="3">
        <v>40210</v>
      </c>
      <c r="B65" s="3"/>
      <c r="C65" s="3"/>
      <c r="D65" s="61"/>
      <c r="E65" s="61"/>
      <c r="F65" s="55">
        <f t="shared" si="9"/>
        <v>790353.97561135504</v>
      </c>
    </row>
    <row r="66" spans="1:8" x14ac:dyDescent="0.25">
      <c r="A66" s="3">
        <v>40238</v>
      </c>
      <c r="B66" s="3"/>
      <c r="C66" s="3"/>
      <c r="D66" s="61"/>
      <c r="E66" s="61"/>
      <c r="F66" s="55">
        <f t="shared" si="9"/>
        <v>763756.79584586876</v>
      </c>
    </row>
    <row r="67" spans="1:8" x14ac:dyDescent="0.25">
      <c r="A67" s="3">
        <v>40269</v>
      </c>
      <c r="B67" s="3"/>
      <c r="C67" s="3"/>
      <c r="D67" s="61"/>
      <c r="E67" s="61"/>
      <c r="F67" s="55">
        <f t="shared" si="9"/>
        <v>737159.61608038249</v>
      </c>
    </row>
    <row r="68" spans="1:8" x14ac:dyDescent="0.25">
      <c r="A68" s="3">
        <v>40299</v>
      </c>
      <c r="B68" s="3"/>
      <c r="C68" s="3"/>
      <c r="D68" s="61"/>
      <c r="E68" s="61"/>
      <c r="F68" s="55">
        <f t="shared" si="9"/>
        <v>710562.43631489621</v>
      </c>
    </row>
    <row r="69" spans="1:8" x14ac:dyDescent="0.25">
      <c r="A69" s="3">
        <v>40330</v>
      </c>
      <c r="B69" s="3"/>
      <c r="C69" s="3"/>
      <c r="D69" s="61"/>
      <c r="E69" s="61"/>
      <c r="F69" s="55">
        <f t="shared" si="9"/>
        <v>683965.25654940994</v>
      </c>
    </row>
    <row r="70" spans="1:8" x14ac:dyDescent="0.25">
      <c r="A70" s="3">
        <v>40360</v>
      </c>
      <c r="B70" s="3"/>
      <c r="C70" s="3"/>
      <c r="D70" s="61"/>
      <c r="E70" s="61"/>
      <c r="F70" s="55">
        <f t="shared" si="9"/>
        <v>657368.07678392367</v>
      </c>
    </row>
    <row r="71" spans="1:8" x14ac:dyDescent="0.25">
      <c r="A71" s="3">
        <v>40391</v>
      </c>
      <c r="B71" s="3"/>
      <c r="C71" s="3"/>
      <c r="D71" s="61"/>
      <c r="E71" s="61"/>
      <c r="F71" s="55">
        <f t="shared" si="9"/>
        <v>630770.89701843739</v>
      </c>
    </row>
    <row r="72" spans="1:8" x14ac:dyDescent="0.25">
      <c r="A72" s="3">
        <v>40422</v>
      </c>
      <c r="B72" s="3"/>
      <c r="C72" s="3"/>
      <c r="D72" s="61"/>
      <c r="E72" s="61"/>
      <c r="F72" s="55">
        <f t="shared" si="9"/>
        <v>604173.71725295112</v>
      </c>
    </row>
    <row r="73" spans="1:8" x14ac:dyDescent="0.25">
      <c r="A73" s="3">
        <v>40452</v>
      </c>
      <c r="B73" s="3"/>
      <c r="C73" s="3"/>
      <c r="D73" s="61"/>
      <c r="E73" s="61"/>
      <c r="F73" s="55">
        <f t="shared" si="9"/>
        <v>577576.53748746484</v>
      </c>
    </row>
    <row r="74" spans="1:8" x14ac:dyDescent="0.25">
      <c r="A74" s="3">
        <v>40483</v>
      </c>
      <c r="B74" s="3"/>
      <c r="C74" s="3"/>
      <c r="D74" s="61"/>
      <c r="E74" s="61"/>
      <c r="F74" s="55">
        <f t="shared" si="9"/>
        <v>550979.35772197857</v>
      </c>
    </row>
    <row r="75" spans="1:8" x14ac:dyDescent="0.25">
      <c r="A75" s="3">
        <v>40513</v>
      </c>
      <c r="B75" s="3"/>
      <c r="C75" s="3"/>
      <c r="D75" s="61"/>
      <c r="E75" s="61"/>
      <c r="F75" s="55">
        <f t="shared" si="9"/>
        <v>524382.17795649229</v>
      </c>
      <c r="G75" s="55">
        <f>SUM(F64:F75)</f>
        <v>8048000.0000000019</v>
      </c>
      <c r="H75" s="55">
        <f>F75*12</f>
        <v>6292586.135477908</v>
      </c>
    </row>
    <row r="76" spans="1:8" x14ac:dyDescent="0.25">
      <c r="A76" s="3">
        <v>40544</v>
      </c>
      <c r="B76" s="3"/>
      <c r="C76" s="3"/>
      <c r="D76" s="61"/>
      <c r="E76" s="61"/>
      <c r="F76" s="55">
        <f t="shared" ref="F76:F87" si="10">F75+$H$8</f>
        <v>548512.39416831394</v>
      </c>
    </row>
    <row r="77" spans="1:8" x14ac:dyDescent="0.25">
      <c r="A77" s="3">
        <v>40575</v>
      </c>
      <c r="B77" s="3"/>
      <c r="C77" s="3"/>
      <c r="D77" s="61"/>
      <c r="E77" s="61"/>
      <c r="F77" s="55">
        <f t="shared" si="10"/>
        <v>572642.61038013559</v>
      </c>
    </row>
    <row r="78" spans="1:8" x14ac:dyDescent="0.25">
      <c r="A78" s="3">
        <v>40603</v>
      </c>
      <c r="B78" s="3"/>
      <c r="C78" s="3"/>
      <c r="D78" s="61"/>
      <c r="E78" s="61"/>
      <c r="F78" s="55">
        <f t="shared" si="10"/>
        <v>596772.82659195724</v>
      </c>
    </row>
    <row r="79" spans="1:8" x14ac:dyDescent="0.25">
      <c r="A79" s="3">
        <v>40634</v>
      </c>
      <c r="B79" s="3"/>
      <c r="C79" s="3"/>
      <c r="D79" s="61"/>
      <c r="E79" s="61"/>
      <c r="F79" s="55">
        <f t="shared" si="10"/>
        <v>620903.0428037789</v>
      </c>
    </row>
    <row r="80" spans="1:8" x14ac:dyDescent="0.25">
      <c r="A80" s="3">
        <v>40664</v>
      </c>
      <c r="B80" s="3"/>
      <c r="C80" s="3"/>
      <c r="D80" s="61"/>
      <c r="E80" s="61"/>
      <c r="F80" s="55">
        <f t="shared" si="10"/>
        <v>645033.25901560055</v>
      </c>
    </row>
    <row r="81" spans="1:8" x14ac:dyDescent="0.25">
      <c r="A81" s="3">
        <v>40695</v>
      </c>
      <c r="B81" s="3"/>
      <c r="C81" s="3"/>
      <c r="D81" s="61"/>
      <c r="E81" s="61"/>
      <c r="F81" s="55">
        <f t="shared" si="10"/>
        <v>669163.4752274222</v>
      </c>
    </row>
    <row r="82" spans="1:8" x14ac:dyDescent="0.25">
      <c r="A82" s="3">
        <v>40725</v>
      </c>
      <c r="B82" s="3"/>
      <c r="C82" s="3"/>
      <c r="D82" s="61"/>
      <c r="E82" s="61"/>
      <c r="F82" s="55">
        <f t="shared" si="10"/>
        <v>693293.69143924385</v>
      </c>
    </row>
    <row r="83" spans="1:8" x14ac:dyDescent="0.25">
      <c r="A83" s="3">
        <v>40756</v>
      </c>
      <c r="B83" s="3"/>
      <c r="C83" s="3"/>
      <c r="D83" s="61"/>
      <c r="E83" s="61"/>
      <c r="F83" s="55">
        <f t="shared" si="10"/>
        <v>717423.9076510655</v>
      </c>
    </row>
    <row r="84" spans="1:8" x14ac:dyDescent="0.25">
      <c r="A84" s="3">
        <v>40787</v>
      </c>
      <c r="B84" s="3"/>
      <c r="C84" s="3"/>
      <c r="D84" s="61"/>
      <c r="E84" s="61"/>
      <c r="F84" s="55">
        <f t="shared" si="10"/>
        <v>741554.12386288715</v>
      </c>
    </row>
    <row r="85" spans="1:8" x14ac:dyDescent="0.25">
      <c r="A85" s="3">
        <v>40817</v>
      </c>
      <c r="B85" s="3"/>
      <c r="C85" s="3"/>
      <c r="D85" s="61"/>
      <c r="E85" s="61"/>
      <c r="F85" s="55">
        <f t="shared" si="10"/>
        <v>765684.3400747088</v>
      </c>
    </row>
    <row r="86" spans="1:8" x14ac:dyDescent="0.25">
      <c r="A86" s="3">
        <v>40848</v>
      </c>
      <c r="B86" s="3"/>
      <c r="C86" s="3"/>
      <c r="D86" s="61"/>
      <c r="E86" s="61"/>
      <c r="F86" s="55">
        <f t="shared" si="10"/>
        <v>789814.55628653045</v>
      </c>
    </row>
    <row r="87" spans="1:8" x14ac:dyDescent="0.25">
      <c r="A87" s="3">
        <v>40878</v>
      </c>
      <c r="B87" s="3"/>
      <c r="C87" s="3"/>
      <c r="D87" s="61"/>
      <c r="E87" s="61"/>
      <c r="F87" s="55">
        <f t="shared" si="10"/>
        <v>813944.7724983521</v>
      </c>
      <c r="G87" s="55">
        <f>SUM(F76:F87)</f>
        <v>8174742.9999999963</v>
      </c>
      <c r="H87" s="55">
        <f>F87*12</f>
        <v>9767337.2699802257</v>
      </c>
    </row>
    <row r="88" spans="1:8" x14ac:dyDescent="0.25">
      <c r="A88" s="3">
        <v>40909</v>
      </c>
      <c r="B88" s="3"/>
      <c r="C88" s="3"/>
      <c r="D88" s="61"/>
      <c r="E88" s="61"/>
      <c r="F88" s="55">
        <f t="shared" ref="F88:F99" si="11">F87+$H$9</f>
        <v>804848.0126268107</v>
      </c>
    </row>
    <row r="89" spans="1:8" x14ac:dyDescent="0.25">
      <c r="A89" s="3">
        <v>40940</v>
      </c>
      <c r="B89" s="3"/>
      <c r="C89" s="3"/>
      <c r="D89" s="61"/>
      <c r="E89" s="61"/>
      <c r="F89" s="55">
        <f t="shared" si="11"/>
        <v>795751.25275526929</v>
      </c>
    </row>
    <row r="90" spans="1:8" x14ac:dyDescent="0.25">
      <c r="A90" s="3">
        <v>40969</v>
      </c>
      <c r="B90" s="3"/>
      <c r="C90" s="3"/>
      <c r="D90" s="61"/>
      <c r="E90" s="61"/>
      <c r="F90" s="55">
        <f t="shared" si="11"/>
        <v>786654.49288372789</v>
      </c>
    </row>
    <row r="91" spans="1:8" x14ac:dyDescent="0.25">
      <c r="A91" s="3">
        <v>41000</v>
      </c>
      <c r="B91" s="3"/>
      <c r="C91" s="3"/>
      <c r="D91" s="61"/>
      <c r="E91" s="61"/>
      <c r="F91" s="55">
        <f t="shared" si="11"/>
        <v>777557.73301218648</v>
      </c>
    </row>
    <row r="92" spans="1:8" x14ac:dyDescent="0.25">
      <c r="A92" s="3">
        <v>41030</v>
      </c>
      <c r="B92" s="3"/>
      <c r="C92" s="3"/>
      <c r="D92" s="61"/>
      <c r="E92" s="61"/>
      <c r="F92" s="55">
        <f t="shared" si="11"/>
        <v>768460.97314064507</v>
      </c>
    </row>
    <row r="93" spans="1:8" x14ac:dyDescent="0.25">
      <c r="A93" s="3">
        <v>41061</v>
      </c>
      <c r="B93" s="3"/>
      <c r="C93" s="3"/>
      <c r="D93" s="61"/>
      <c r="E93" s="61"/>
      <c r="F93" s="55">
        <f t="shared" si="11"/>
        <v>759364.21326910367</v>
      </c>
    </row>
    <row r="94" spans="1:8" x14ac:dyDescent="0.25">
      <c r="A94" s="3">
        <v>41091</v>
      </c>
      <c r="B94" s="3"/>
      <c r="C94" s="3"/>
      <c r="D94" s="61"/>
      <c r="E94" s="61"/>
      <c r="F94" s="55">
        <f t="shared" si="11"/>
        <v>750267.45339756226</v>
      </c>
    </row>
    <row r="95" spans="1:8" x14ac:dyDescent="0.25">
      <c r="A95" s="3">
        <v>41122</v>
      </c>
      <c r="B95" s="3"/>
      <c r="C95" s="3"/>
      <c r="D95" s="61"/>
      <c r="E95" s="61"/>
      <c r="F95" s="55">
        <f t="shared" si="11"/>
        <v>741170.69352602086</v>
      </c>
    </row>
    <row r="96" spans="1:8" x14ac:dyDescent="0.25">
      <c r="A96" s="3">
        <v>41153</v>
      </c>
      <c r="B96" s="3"/>
      <c r="C96" s="3"/>
      <c r="D96" s="61"/>
      <c r="E96" s="61"/>
      <c r="F96" s="55">
        <f t="shared" si="11"/>
        <v>732073.93365447945</v>
      </c>
    </row>
    <row r="97" spans="1:8" x14ac:dyDescent="0.25">
      <c r="A97" s="3">
        <v>41183</v>
      </c>
      <c r="B97" s="3"/>
      <c r="C97" s="3"/>
      <c r="D97" s="61"/>
      <c r="E97" s="61"/>
      <c r="F97" s="55">
        <f t="shared" si="11"/>
        <v>722977.17378293804</v>
      </c>
    </row>
    <row r="98" spans="1:8" x14ac:dyDescent="0.25">
      <c r="A98" s="3">
        <v>41214</v>
      </c>
      <c r="B98" s="3"/>
      <c r="C98" s="3"/>
      <c r="D98" s="61"/>
      <c r="E98" s="61"/>
      <c r="F98" s="55">
        <f t="shared" si="11"/>
        <v>713880.41391139664</v>
      </c>
    </row>
    <row r="99" spans="1:8" x14ac:dyDescent="0.25">
      <c r="A99" s="3">
        <v>41244</v>
      </c>
      <c r="B99" s="3"/>
      <c r="C99" s="3"/>
      <c r="D99" s="61"/>
      <c r="E99" s="61"/>
      <c r="F99" s="55">
        <f t="shared" si="11"/>
        <v>704783.65403985523</v>
      </c>
      <c r="G99" s="55">
        <f>SUM(F88:F99)</f>
        <v>9057789.9999999963</v>
      </c>
      <c r="H99" s="55">
        <f>F99*12</f>
        <v>8457403.8484782632</v>
      </c>
    </row>
    <row r="100" spans="1:8" x14ac:dyDescent="0.25">
      <c r="A100" s="3">
        <v>41275</v>
      </c>
      <c r="B100" s="3"/>
      <c r="C100" s="3"/>
      <c r="D100" s="61"/>
      <c r="E100" s="61"/>
      <c r="F100" s="55">
        <f t="shared" ref="F100:F111" si="12">F99+$H$10</f>
        <v>711722.33546962112</v>
      </c>
    </row>
    <row r="101" spans="1:8" x14ac:dyDescent="0.25">
      <c r="A101" s="3">
        <v>41306</v>
      </c>
      <c r="B101" s="3"/>
      <c r="C101" s="3"/>
      <c r="D101" s="61"/>
      <c r="E101" s="61"/>
      <c r="F101" s="55">
        <f t="shared" si="12"/>
        <v>718661.016899387</v>
      </c>
    </row>
    <row r="102" spans="1:8" x14ac:dyDescent="0.25">
      <c r="A102" s="3">
        <v>41334</v>
      </c>
      <c r="B102" s="3"/>
      <c r="C102" s="3"/>
      <c r="D102" s="61"/>
      <c r="E102" s="61"/>
      <c r="F102" s="55">
        <f t="shared" si="12"/>
        <v>725599.69832915289</v>
      </c>
    </row>
    <row r="103" spans="1:8" x14ac:dyDescent="0.25">
      <c r="A103" s="3">
        <v>41365</v>
      </c>
      <c r="B103" s="3"/>
      <c r="C103" s="3"/>
      <c r="D103" s="61"/>
      <c r="E103" s="61"/>
      <c r="F103" s="55">
        <f t="shared" si="12"/>
        <v>732538.37975891877</v>
      </c>
    </row>
    <row r="104" spans="1:8" x14ac:dyDescent="0.25">
      <c r="A104" s="3">
        <v>41395</v>
      </c>
      <c r="B104" s="3"/>
      <c r="C104" s="3"/>
      <c r="D104" s="61"/>
      <c r="E104" s="61"/>
      <c r="F104" s="55">
        <f t="shared" si="12"/>
        <v>739477.06118868466</v>
      </c>
    </row>
    <row r="105" spans="1:8" x14ac:dyDescent="0.25">
      <c r="A105" s="3">
        <v>41426</v>
      </c>
      <c r="B105" s="3"/>
      <c r="C105" s="3"/>
      <c r="D105" s="61"/>
      <c r="E105" s="61"/>
      <c r="F105" s="55">
        <f t="shared" si="12"/>
        <v>746415.74261845055</v>
      </c>
    </row>
    <row r="106" spans="1:8" x14ac:dyDescent="0.25">
      <c r="A106" s="3">
        <v>41456</v>
      </c>
      <c r="B106" s="3"/>
      <c r="C106" s="3"/>
      <c r="D106" s="61"/>
      <c r="E106" s="61"/>
      <c r="F106" s="55">
        <f t="shared" si="12"/>
        <v>753354.42404821643</v>
      </c>
    </row>
    <row r="107" spans="1:8" x14ac:dyDescent="0.25">
      <c r="A107" s="3">
        <v>41487</v>
      </c>
      <c r="B107" s="3"/>
      <c r="C107" s="3"/>
      <c r="D107" s="61"/>
      <c r="E107" s="61"/>
      <c r="F107" s="55">
        <f t="shared" si="12"/>
        <v>760293.10547798232</v>
      </c>
    </row>
    <row r="108" spans="1:8" x14ac:dyDescent="0.25">
      <c r="A108" s="3">
        <v>41518</v>
      </c>
      <c r="B108" s="3"/>
      <c r="C108" s="3"/>
      <c r="D108" s="61"/>
      <c r="E108" s="61"/>
      <c r="F108" s="55">
        <f t="shared" si="12"/>
        <v>767231.7869077482</v>
      </c>
    </row>
    <row r="109" spans="1:8" x14ac:dyDescent="0.25">
      <c r="A109" s="3">
        <v>41548</v>
      </c>
      <c r="B109" s="3"/>
      <c r="C109" s="3"/>
      <c r="D109" s="61"/>
      <c r="E109" s="61"/>
      <c r="F109" s="55">
        <f t="shared" si="12"/>
        <v>774170.46833751409</v>
      </c>
    </row>
    <row r="110" spans="1:8" x14ac:dyDescent="0.25">
      <c r="A110" s="3">
        <v>41579</v>
      </c>
      <c r="B110" s="3"/>
      <c r="C110" s="3"/>
      <c r="D110" s="61"/>
      <c r="E110" s="61"/>
      <c r="F110" s="55">
        <f t="shared" si="12"/>
        <v>781109.14976727997</v>
      </c>
    </row>
    <row r="111" spans="1:8" x14ac:dyDescent="0.25">
      <c r="A111" s="3">
        <v>41609</v>
      </c>
      <c r="B111" s="3"/>
      <c r="C111" s="3"/>
      <c r="D111" s="61"/>
      <c r="E111" s="61"/>
      <c r="F111" s="55">
        <f t="shared" si="12"/>
        <v>788047.83119704586</v>
      </c>
      <c r="G111" s="55">
        <f>SUM(F100:F111)</f>
        <v>8998621.0000000019</v>
      </c>
      <c r="H111" s="55">
        <f>F111*12</f>
        <v>9456573.9743645508</v>
      </c>
    </row>
    <row r="112" spans="1:8" x14ac:dyDescent="0.25">
      <c r="A112" s="3">
        <v>41640</v>
      </c>
      <c r="E112" s="61"/>
      <c r="F112" s="56">
        <f>F111+$H$11</f>
        <v>777897.4469103209</v>
      </c>
    </row>
    <row r="113" spans="1:8" x14ac:dyDescent="0.25">
      <c r="A113" s="3">
        <v>41671</v>
      </c>
      <c r="E113" s="61"/>
      <c r="F113" s="56">
        <f t="shared" ref="F113:F123" si="13">F112+$H$11</f>
        <v>767747.06262359594</v>
      </c>
    </row>
    <row r="114" spans="1:8" x14ac:dyDescent="0.25">
      <c r="A114" s="3">
        <v>41699</v>
      </c>
      <c r="E114" s="61"/>
      <c r="F114" s="56">
        <f t="shared" si="13"/>
        <v>757596.67833687097</v>
      </c>
    </row>
    <row r="115" spans="1:8" x14ac:dyDescent="0.25">
      <c r="A115" s="3">
        <v>41730</v>
      </c>
      <c r="E115" s="61"/>
      <c r="F115" s="56">
        <f t="shared" si="13"/>
        <v>747446.29405014601</v>
      </c>
    </row>
    <row r="116" spans="1:8" x14ac:dyDescent="0.25">
      <c r="A116" s="3">
        <v>41760</v>
      </c>
      <c r="E116" s="61"/>
      <c r="F116" s="56">
        <f t="shared" si="13"/>
        <v>737295.90976342105</v>
      </c>
    </row>
    <row r="117" spans="1:8" x14ac:dyDescent="0.25">
      <c r="A117" s="3">
        <v>41791</v>
      </c>
      <c r="E117" s="61"/>
      <c r="F117" s="56">
        <f t="shared" si="13"/>
        <v>727145.52547669609</v>
      </c>
    </row>
    <row r="118" spans="1:8" x14ac:dyDescent="0.25">
      <c r="A118" s="3">
        <v>41821</v>
      </c>
      <c r="E118" s="61"/>
      <c r="F118" s="56">
        <f t="shared" si="13"/>
        <v>716995.14118997112</v>
      </c>
    </row>
    <row r="119" spans="1:8" x14ac:dyDescent="0.25">
      <c r="A119" s="3">
        <v>41852</v>
      </c>
      <c r="E119" s="61"/>
      <c r="F119" s="56">
        <f t="shared" si="13"/>
        <v>706844.75690324616</v>
      </c>
    </row>
    <row r="120" spans="1:8" x14ac:dyDescent="0.25">
      <c r="A120" s="3">
        <v>41883</v>
      </c>
      <c r="E120" s="61"/>
      <c r="F120" s="56">
        <f t="shared" si="13"/>
        <v>696694.3726165212</v>
      </c>
    </row>
    <row r="121" spans="1:8" x14ac:dyDescent="0.25">
      <c r="A121" s="3">
        <v>41913</v>
      </c>
      <c r="E121" s="61"/>
      <c r="F121" s="56">
        <f t="shared" si="13"/>
        <v>686543.98832979624</v>
      </c>
    </row>
    <row r="122" spans="1:8" x14ac:dyDescent="0.25">
      <c r="A122" s="3">
        <v>41944</v>
      </c>
      <c r="E122" s="61"/>
      <c r="F122" s="56">
        <f t="shared" si="13"/>
        <v>676393.60404307127</v>
      </c>
    </row>
    <row r="123" spans="1:8" x14ac:dyDescent="0.25">
      <c r="A123" s="3">
        <v>41974</v>
      </c>
      <c r="E123" s="61"/>
      <c r="F123" s="56">
        <f t="shared" si="13"/>
        <v>666243.21975634631</v>
      </c>
      <c r="G123" s="55">
        <f>SUM(F112:F123)</f>
        <v>8664844.0000000037</v>
      </c>
      <c r="H123" s="55">
        <f>F123*12</f>
        <v>7994918.6370761562</v>
      </c>
    </row>
    <row r="124" spans="1:8" x14ac:dyDescent="0.25">
      <c r="A124" s="3"/>
    </row>
    <row r="125" spans="1:8" x14ac:dyDescent="0.25">
      <c r="F125" s="56"/>
    </row>
  </sheetData>
  <mergeCells count="5">
    <mergeCell ref="J2:K2"/>
    <mergeCell ref="P1:R1"/>
    <mergeCell ref="P2:R2"/>
    <mergeCell ref="P4:T4"/>
    <mergeCell ref="P11:T11"/>
  </mergeCells>
  <phoneticPr fontId="1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4" orientation="landscape" r:id="rId1"/>
  <headerFooter alignWithMargins="0">
    <oddFooter>&amp;L&amp;F
&amp;A&amp;RPage &amp;P of &amp;N</oddFooter>
  </headerFooter>
  <rowBreaks count="1" manualBreakCount="1">
    <brk id="63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5"/>
  <sheetViews>
    <sheetView zoomScaleNormal="100" workbookViewId="0"/>
  </sheetViews>
  <sheetFormatPr defaultRowHeight="13.2" x14ac:dyDescent="0.25"/>
  <cols>
    <col min="1" max="1" width="12.33203125" style="82" bestFit="1" customWidth="1"/>
    <col min="2" max="4" width="12.33203125" style="82" customWidth="1"/>
    <col min="5" max="5" width="11.6640625" style="85" customWidth="1"/>
    <col min="6" max="6" width="9.6640625" style="88" customWidth="1"/>
    <col min="7" max="21" width="9.6640625" customWidth="1"/>
    <col min="22" max="22" width="11.5546875" bestFit="1" customWidth="1"/>
    <col min="23" max="23" width="8.109375" bestFit="1" customWidth="1"/>
    <col min="24" max="25" width="18" customWidth="1"/>
    <col min="26" max="26" width="17.109375" customWidth="1"/>
    <col min="27" max="28" width="15.6640625" customWidth="1"/>
    <col min="29" max="29" width="15" customWidth="1"/>
    <col min="30" max="31" width="14.109375" bestFit="1" customWidth="1"/>
    <col min="32" max="32" width="11.6640625" bestFit="1" customWidth="1"/>
    <col min="33" max="33" width="11.88671875" bestFit="1" customWidth="1"/>
    <col min="34" max="34" width="12.5546875" customWidth="1"/>
    <col min="35" max="35" width="11.33203125" customWidth="1"/>
    <col min="36" max="36" width="11.5546875" customWidth="1"/>
    <col min="37" max="37" width="9.33203125" customWidth="1"/>
    <col min="39" max="39" width="11.6640625" bestFit="1" customWidth="1"/>
    <col min="40" max="40" width="10.6640625" bestFit="1" customWidth="1"/>
    <col min="255" max="255" width="12.33203125" bestFit="1" customWidth="1"/>
    <col min="256" max="259" width="12.33203125" customWidth="1"/>
    <col min="260" max="260" width="11.6640625" customWidth="1"/>
    <col min="261" max="275" width="9.6640625" customWidth="1"/>
    <col min="276" max="276" width="11.5546875" bestFit="1" customWidth="1"/>
    <col min="277" max="277" width="8.109375" bestFit="1" customWidth="1"/>
    <col min="278" max="279" width="11.5546875" bestFit="1" customWidth="1"/>
    <col min="280" max="281" width="18" customWidth="1"/>
    <col min="282" max="282" width="17.109375" customWidth="1"/>
    <col min="283" max="284" width="15.6640625" customWidth="1"/>
    <col min="285" max="285" width="15" customWidth="1"/>
    <col min="286" max="287" width="14.109375" bestFit="1" customWidth="1"/>
    <col min="288" max="288" width="11.6640625" bestFit="1" customWidth="1"/>
    <col min="289" max="289" width="11.88671875" bestFit="1" customWidth="1"/>
    <col min="290" max="290" width="12.5546875" customWidth="1"/>
    <col min="291" max="291" width="11.33203125" customWidth="1"/>
    <col min="292" max="292" width="11.5546875" customWidth="1"/>
    <col min="293" max="293" width="9.33203125" customWidth="1"/>
    <col min="295" max="295" width="11.6640625" bestFit="1" customWidth="1"/>
    <col min="296" max="296" width="10.6640625" bestFit="1" customWidth="1"/>
    <col min="511" max="511" width="12.33203125" bestFit="1" customWidth="1"/>
    <col min="512" max="515" width="12.33203125" customWidth="1"/>
    <col min="516" max="516" width="11.6640625" customWidth="1"/>
    <col min="517" max="531" width="9.6640625" customWidth="1"/>
    <col min="532" max="532" width="11.5546875" bestFit="1" customWidth="1"/>
    <col min="533" max="533" width="8.109375" bestFit="1" customWidth="1"/>
    <col min="534" max="535" width="11.5546875" bestFit="1" customWidth="1"/>
    <col min="536" max="537" width="18" customWidth="1"/>
    <col min="538" max="538" width="17.109375" customWidth="1"/>
    <col min="539" max="540" width="15.6640625" customWidth="1"/>
    <col min="541" max="541" width="15" customWidth="1"/>
    <col min="542" max="543" width="14.109375" bestFit="1" customWidth="1"/>
    <col min="544" max="544" width="11.6640625" bestFit="1" customWidth="1"/>
    <col min="545" max="545" width="11.88671875" bestFit="1" customWidth="1"/>
    <col min="546" max="546" width="12.5546875" customWidth="1"/>
    <col min="547" max="547" width="11.33203125" customWidth="1"/>
    <col min="548" max="548" width="11.5546875" customWidth="1"/>
    <col min="549" max="549" width="9.33203125" customWidth="1"/>
    <col min="551" max="551" width="11.6640625" bestFit="1" customWidth="1"/>
    <col min="552" max="552" width="10.6640625" bestFit="1" customWidth="1"/>
    <col min="767" max="767" width="12.33203125" bestFit="1" customWidth="1"/>
    <col min="768" max="771" width="12.33203125" customWidth="1"/>
    <col min="772" max="772" width="11.6640625" customWidth="1"/>
    <col min="773" max="787" width="9.6640625" customWidth="1"/>
    <col min="788" max="788" width="11.5546875" bestFit="1" customWidth="1"/>
    <col min="789" max="789" width="8.109375" bestFit="1" customWidth="1"/>
    <col min="790" max="791" width="11.5546875" bestFit="1" customWidth="1"/>
    <col min="792" max="793" width="18" customWidth="1"/>
    <col min="794" max="794" width="17.109375" customWidth="1"/>
    <col min="795" max="796" width="15.6640625" customWidth="1"/>
    <col min="797" max="797" width="15" customWidth="1"/>
    <col min="798" max="799" width="14.109375" bestFit="1" customWidth="1"/>
    <col min="800" max="800" width="11.6640625" bestFit="1" customWidth="1"/>
    <col min="801" max="801" width="11.88671875" bestFit="1" customWidth="1"/>
    <col min="802" max="802" width="12.5546875" customWidth="1"/>
    <col min="803" max="803" width="11.33203125" customWidth="1"/>
    <col min="804" max="804" width="11.5546875" customWidth="1"/>
    <col min="805" max="805" width="9.33203125" customWidth="1"/>
    <col min="807" max="807" width="11.6640625" bestFit="1" customWidth="1"/>
    <col min="808" max="808" width="10.6640625" bestFit="1" customWidth="1"/>
    <col min="1023" max="1023" width="12.33203125" bestFit="1" customWidth="1"/>
    <col min="1024" max="1027" width="12.33203125" customWidth="1"/>
    <col min="1028" max="1028" width="11.6640625" customWidth="1"/>
    <col min="1029" max="1043" width="9.6640625" customWidth="1"/>
    <col min="1044" max="1044" width="11.5546875" bestFit="1" customWidth="1"/>
    <col min="1045" max="1045" width="8.109375" bestFit="1" customWidth="1"/>
    <col min="1046" max="1047" width="11.5546875" bestFit="1" customWidth="1"/>
    <col min="1048" max="1049" width="18" customWidth="1"/>
    <col min="1050" max="1050" width="17.109375" customWidth="1"/>
    <col min="1051" max="1052" width="15.6640625" customWidth="1"/>
    <col min="1053" max="1053" width="15" customWidth="1"/>
    <col min="1054" max="1055" width="14.109375" bestFit="1" customWidth="1"/>
    <col min="1056" max="1056" width="11.6640625" bestFit="1" customWidth="1"/>
    <col min="1057" max="1057" width="11.88671875" bestFit="1" customWidth="1"/>
    <col min="1058" max="1058" width="12.5546875" customWidth="1"/>
    <col min="1059" max="1059" width="11.33203125" customWidth="1"/>
    <col min="1060" max="1060" width="11.5546875" customWidth="1"/>
    <col min="1061" max="1061" width="9.33203125" customWidth="1"/>
    <col min="1063" max="1063" width="11.6640625" bestFit="1" customWidth="1"/>
    <col min="1064" max="1064" width="10.6640625" bestFit="1" customWidth="1"/>
    <col min="1279" max="1279" width="12.33203125" bestFit="1" customWidth="1"/>
    <col min="1280" max="1283" width="12.33203125" customWidth="1"/>
    <col min="1284" max="1284" width="11.6640625" customWidth="1"/>
    <col min="1285" max="1299" width="9.6640625" customWidth="1"/>
    <col min="1300" max="1300" width="11.5546875" bestFit="1" customWidth="1"/>
    <col min="1301" max="1301" width="8.109375" bestFit="1" customWidth="1"/>
    <col min="1302" max="1303" width="11.5546875" bestFit="1" customWidth="1"/>
    <col min="1304" max="1305" width="18" customWidth="1"/>
    <col min="1306" max="1306" width="17.109375" customWidth="1"/>
    <col min="1307" max="1308" width="15.6640625" customWidth="1"/>
    <col min="1309" max="1309" width="15" customWidth="1"/>
    <col min="1310" max="1311" width="14.109375" bestFit="1" customWidth="1"/>
    <col min="1312" max="1312" width="11.6640625" bestFit="1" customWidth="1"/>
    <col min="1313" max="1313" width="11.88671875" bestFit="1" customWidth="1"/>
    <col min="1314" max="1314" width="12.5546875" customWidth="1"/>
    <col min="1315" max="1315" width="11.33203125" customWidth="1"/>
    <col min="1316" max="1316" width="11.5546875" customWidth="1"/>
    <col min="1317" max="1317" width="9.33203125" customWidth="1"/>
    <col min="1319" max="1319" width="11.6640625" bestFit="1" customWidth="1"/>
    <col min="1320" max="1320" width="10.6640625" bestFit="1" customWidth="1"/>
    <col min="1535" max="1535" width="12.33203125" bestFit="1" customWidth="1"/>
    <col min="1536" max="1539" width="12.33203125" customWidth="1"/>
    <col min="1540" max="1540" width="11.6640625" customWidth="1"/>
    <col min="1541" max="1555" width="9.6640625" customWidth="1"/>
    <col min="1556" max="1556" width="11.5546875" bestFit="1" customWidth="1"/>
    <col min="1557" max="1557" width="8.109375" bestFit="1" customWidth="1"/>
    <col min="1558" max="1559" width="11.5546875" bestFit="1" customWidth="1"/>
    <col min="1560" max="1561" width="18" customWidth="1"/>
    <col min="1562" max="1562" width="17.109375" customWidth="1"/>
    <col min="1563" max="1564" width="15.6640625" customWidth="1"/>
    <col min="1565" max="1565" width="15" customWidth="1"/>
    <col min="1566" max="1567" width="14.109375" bestFit="1" customWidth="1"/>
    <col min="1568" max="1568" width="11.6640625" bestFit="1" customWidth="1"/>
    <col min="1569" max="1569" width="11.88671875" bestFit="1" customWidth="1"/>
    <col min="1570" max="1570" width="12.5546875" customWidth="1"/>
    <col min="1571" max="1571" width="11.33203125" customWidth="1"/>
    <col min="1572" max="1572" width="11.5546875" customWidth="1"/>
    <col min="1573" max="1573" width="9.33203125" customWidth="1"/>
    <col min="1575" max="1575" width="11.6640625" bestFit="1" customWidth="1"/>
    <col min="1576" max="1576" width="10.6640625" bestFit="1" customWidth="1"/>
    <col min="1791" max="1791" width="12.33203125" bestFit="1" customWidth="1"/>
    <col min="1792" max="1795" width="12.33203125" customWidth="1"/>
    <col min="1796" max="1796" width="11.6640625" customWidth="1"/>
    <col min="1797" max="1811" width="9.6640625" customWidth="1"/>
    <col min="1812" max="1812" width="11.5546875" bestFit="1" customWidth="1"/>
    <col min="1813" max="1813" width="8.109375" bestFit="1" customWidth="1"/>
    <col min="1814" max="1815" width="11.5546875" bestFit="1" customWidth="1"/>
    <col min="1816" max="1817" width="18" customWidth="1"/>
    <col min="1818" max="1818" width="17.109375" customWidth="1"/>
    <col min="1819" max="1820" width="15.6640625" customWidth="1"/>
    <col min="1821" max="1821" width="15" customWidth="1"/>
    <col min="1822" max="1823" width="14.109375" bestFit="1" customWidth="1"/>
    <col min="1824" max="1824" width="11.6640625" bestFit="1" customWidth="1"/>
    <col min="1825" max="1825" width="11.88671875" bestFit="1" customWidth="1"/>
    <col min="1826" max="1826" width="12.5546875" customWidth="1"/>
    <col min="1827" max="1827" width="11.33203125" customWidth="1"/>
    <col min="1828" max="1828" width="11.5546875" customWidth="1"/>
    <col min="1829" max="1829" width="9.33203125" customWidth="1"/>
    <col min="1831" max="1831" width="11.6640625" bestFit="1" customWidth="1"/>
    <col min="1832" max="1832" width="10.6640625" bestFit="1" customWidth="1"/>
    <col min="2047" max="2047" width="12.33203125" bestFit="1" customWidth="1"/>
    <col min="2048" max="2051" width="12.33203125" customWidth="1"/>
    <col min="2052" max="2052" width="11.6640625" customWidth="1"/>
    <col min="2053" max="2067" width="9.6640625" customWidth="1"/>
    <col min="2068" max="2068" width="11.5546875" bestFit="1" customWidth="1"/>
    <col min="2069" max="2069" width="8.109375" bestFit="1" customWidth="1"/>
    <col min="2070" max="2071" width="11.5546875" bestFit="1" customWidth="1"/>
    <col min="2072" max="2073" width="18" customWidth="1"/>
    <col min="2074" max="2074" width="17.109375" customWidth="1"/>
    <col min="2075" max="2076" width="15.6640625" customWidth="1"/>
    <col min="2077" max="2077" width="15" customWidth="1"/>
    <col min="2078" max="2079" width="14.109375" bestFit="1" customWidth="1"/>
    <col min="2080" max="2080" width="11.6640625" bestFit="1" customWidth="1"/>
    <col min="2081" max="2081" width="11.88671875" bestFit="1" customWidth="1"/>
    <col min="2082" max="2082" width="12.5546875" customWidth="1"/>
    <col min="2083" max="2083" width="11.33203125" customWidth="1"/>
    <col min="2084" max="2084" width="11.5546875" customWidth="1"/>
    <col min="2085" max="2085" width="9.33203125" customWidth="1"/>
    <col min="2087" max="2087" width="11.6640625" bestFit="1" customWidth="1"/>
    <col min="2088" max="2088" width="10.6640625" bestFit="1" customWidth="1"/>
    <col min="2303" max="2303" width="12.33203125" bestFit="1" customWidth="1"/>
    <col min="2304" max="2307" width="12.33203125" customWidth="1"/>
    <col min="2308" max="2308" width="11.6640625" customWidth="1"/>
    <col min="2309" max="2323" width="9.6640625" customWidth="1"/>
    <col min="2324" max="2324" width="11.5546875" bestFit="1" customWidth="1"/>
    <col min="2325" max="2325" width="8.109375" bestFit="1" customWidth="1"/>
    <col min="2326" max="2327" width="11.5546875" bestFit="1" customWidth="1"/>
    <col min="2328" max="2329" width="18" customWidth="1"/>
    <col min="2330" max="2330" width="17.109375" customWidth="1"/>
    <col min="2331" max="2332" width="15.6640625" customWidth="1"/>
    <col min="2333" max="2333" width="15" customWidth="1"/>
    <col min="2334" max="2335" width="14.109375" bestFit="1" customWidth="1"/>
    <col min="2336" max="2336" width="11.6640625" bestFit="1" customWidth="1"/>
    <col min="2337" max="2337" width="11.88671875" bestFit="1" customWidth="1"/>
    <col min="2338" max="2338" width="12.5546875" customWidth="1"/>
    <col min="2339" max="2339" width="11.33203125" customWidth="1"/>
    <col min="2340" max="2340" width="11.5546875" customWidth="1"/>
    <col min="2341" max="2341" width="9.33203125" customWidth="1"/>
    <col min="2343" max="2343" width="11.6640625" bestFit="1" customWidth="1"/>
    <col min="2344" max="2344" width="10.6640625" bestFit="1" customWidth="1"/>
    <col min="2559" max="2559" width="12.33203125" bestFit="1" customWidth="1"/>
    <col min="2560" max="2563" width="12.33203125" customWidth="1"/>
    <col min="2564" max="2564" width="11.6640625" customWidth="1"/>
    <col min="2565" max="2579" width="9.6640625" customWidth="1"/>
    <col min="2580" max="2580" width="11.5546875" bestFit="1" customWidth="1"/>
    <col min="2581" max="2581" width="8.109375" bestFit="1" customWidth="1"/>
    <col min="2582" max="2583" width="11.5546875" bestFit="1" customWidth="1"/>
    <col min="2584" max="2585" width="18" customWidth="1"/>
    <col min="2586" max="2586" width="17.109375" customWidth="1"/>
    <col min="2587" max="2588" width="15.6640625" customWidth="1"/>
    <col min="2589" max="2589" width="15" customWidth="1"/>
    <col min="2590" max="2591" width="14.109375" bestFit="1" customWidth="1"/>
    <col min="2592" max="2592" width="11.6640625" bestFit="1" customWidth="1"/>
    <col min="2593" max="2593" width="11.88671875" bestFit="1" customWidth="1"/>
    <col min="2594" max="2594" width="12.5546875" customWidth="1"/>
    <col min="2595" max="2595" width="11.33203125" customWidth="1"/>
    <col min="2596" max="2596" width="11.5546875" customWidth="1"/>
    <col min="2597" max="2597" width="9.33203125" customWidth="1"/>
    <col min="2599" max="2599" width="11.6640625" bestFit="1" customWidth="1"/>
    <col min="2600" max="2600" width="10.6640625" bestFit="1" customWidth="1"/>
    <col min="2815" max="2815" width="12.33203125" bestFit="1" customWidth="1"/>
    <col min="2816" max="2819" width="12.33203125" customWidth="1"/>
    <col min="2820" max="2820" width="11.6640625" customWidth="1"/>
    <col min="2821" max="2835" width="9.6640625" customWidth="1"/>
    <col min="2836" max="2836" width="11.5546875" bestFit="1" customWidth="1"/>
    <col min="2837" max="2837" width="8.109375" bestFit="1" customWidth="1"/>
    <col min="2838" max="2839" width="11.5546875" bestFit="1" customWidth="1"/>
    <col min="2840" max="2841" width="18" customWidth="1"/>
    <col min="2842" max="2842" width="17.109375" customWidth="1"/>
    <col min="2843" max="2844" width="15.6640625" customWidth="1"/>
    <col min="2845" max="2845" width="15" customWidth="1"/>
    <col min="2846" max="2847" width="14.109375" bestFit="1" customWidth="1"/>
    <col min="2848" max="2848" width="11.6640625" bestFit="1" customWidth="1"/>
    <col min="2849" max="2849" width="11.88671875" bestFit="1" customWidth="1"/>
    <col min="2850" max="2850" width="12.5546875" customWidth="1"/>
    <col min="2851" max="2851" width="11.33203125" customWidth="1"/>
    <col min="2852" max="2852" width="11.5546875" customWidth="1"/>
    <col min="2853" max="2853" width="9.33203125" customWidth="1"/>
    <col min="2855" max="2855" width="11.6640625" bestFit="1" customWidth="1"/>
    <col min="2856" max="2856" width="10.6640625" bestFit="1" customWidth="1"/>
    <col min="3071" max="3071" width="12.33203125" bestFit="1" customWidth="1"/>
    <col min="3072" max="3075" width="12.33203125" customWidth="1"/>
    <col min="3076" max="3076" width="11.6640625" customWidth="1"/>
    <col min="3077" max="3091" width="9.6640625" customWidth="1"/>
    <col min="3092" max="3092" width="11.5546875" bestFit="1" customWidth="1"/>
    <col min="3093" max="3093" width="8.109375" bestFit="1" customWidth="1"/>
    <col min="3094" max="3095" width="11.5546875" bestFit="1" customWidth="1"/>
    <col min="3096" max="3097" width="18" customWidth="1"/>
    <col min="3098" max="3098" width="17.109375" customWidth="1"/>
    <col min="3099" max="3100" width="15.6640625" customWidth="1"/>
    <col min="3101" max="3101" width="15" customWidth="1"/>
    <col min="3102" max="3103" width="14.109375" bestFit="1" customWidth="1"/>
    <col min="3104" max="3104" width="11.6640625" bestFit="1" customWidth="1"/>
    <col min="3105" max="3105" width="11.88671875" bestFit="1" customWidth="1"/>
    <col min="3106" max="3106" width="12.5546875" customWidth="1"/>
    <col min="3107" max="3107" width="11.33203125" customWidth="1"/>
    <col min="3108" max="3108" width="11.5546875" customWidth="1"/>
    <col min="3109" max="3109" width="9.33203125" customWidth="1"/>
    <col min="3111" max="3111" width="11.6640625" bestFit="1" customWidth="1"/>
    <col min="3112" max="3112" width="10.6640625" bestFit="1" customWidth="1"/>
    <col min="3327" max="3327" width="12.33203125" bestFit="1" customWidth="1"/>
    <col min="3328" max="3331" width="12.33203125" customWidth="1"/>
    <col min="3332" max="3332" width="11.6640625" customWidth="1"/>
    <col min="3333" max="3347" width="9.6640625" customWidth="1"/>
    <col min="3348" max="3348" width="11.5546875" bestFit="1" customWidth="1"/>
    <col min="3349" max="3349" width="8.109375" bestFit="1" customWidth="1"/>
    <col min="3350" max="3351" width="11.5546875" bestFit="1" customWidth="1"/>
    <col min="3352" max="3353" width="18" customWidth="1"/>
    <col min="3354" max="3354" width="17.109375" customWidth="1"/>
    <col min="3355" max="3356" width="15.6640625" customWidth="1"/>
    <col min="3357" max="3357" width="15" customWidth="1"/>
    <col min="3358" max="3359" width="14.109375" bestFit="1" customWidth="1"/>
    <col min="3360" max="3360" width="11.6640625" bestFit="1" customWidth="1"/>
    <col min="3361" max="3361" width="11.88671875" bestFit="1" customWidth="1"/>
    <col min="3362" max="3362" width="12.5546875" customWidth="1"/>
    <col min="3363" max="3363" width="11.33203125" customWidth="1"/>
    <col min="3364" max="3364" width="11.5546875" customWidth="1"/>
    <col min="3365" max="3365" width="9.33203125" customWidth="1"/>
    <col min="3367" max="3367" width="11.6640625" bestFit="1" customWidth="1"/>
    <col min="3368" max="3368" width="10.6640625" bestFit="1" customWidth="1"/>
    <col min="3583" max="3583" width="12.33203125" bestFit="1" customWidth="1"/>
    <col min="3584" max="3587" width="12.33203125" customWidth="1"/>
    <col min="3588" max="3588" width="11.6640625" customWidth="1"/>
    <col min="3589" max="3603" width="9.6640625" customWidth="1"/>
    <col min="3604" max="3604" width="11.5546875" bestFit="1" customWidth="1"/>
    <col min="3605" max="3605" width="8.109375" bestFit="1" customWidth="1"/>
    <col min="3606" max="3607" width="11.5546875" bestFit="1" customWidth="1"/>
    <col min="3608" max="3609" width="18" customWidth="1"/>
    <col min="3610" max="3610" width="17.109375" customWidth="1"/>
    <col min="3611" max="3612" width="15.6640625" customWidth="1"/>
    <col min="3613" max="3613" width="15" customWidth="1"/>
    <col min="3614" max="3615" width="14.109375" bestFit="1" customWidth="1"/>
    <col min="3616" max="3616" width="11.6640625" bestFit="1" customWidth="1"/>
    <col min="3617" max="3617" width="11.88671875" bestFit="1" customWidth="1"/>
    <col min="3618" max="3618" width="12.5546875" customWidth="1"/>
    <col min="3619" max="3619" width="11.33203125" customWidth="1"/>
    <col min="3620" max="3620" width="11.5546875" customWidth="1"/>
    <col min="3621" max="3621" width="9.33203125" customWidth="1"/>
    <col min="3623" max="3623" width="11.6640625" bestFit="1" customWidth="1"/>
    <col min="3624" max="3624" width="10.6640625" bestFit="1" customWidth="1"/>
    <col min="3839" max="3839" width="12.33203125" bestFit="1" customWidth="1"/>
    <col min="3840" max="3843" width="12.33203125" customWidth="1"/>
    <col min="3844" max="3844" width="11.6640625" customWidth="1"/>
    <col min="3845" max="3859" width="9.6640625" customWidth="1"/>
    <col min="3860" max="3860" width="11.5546875" bestFit="1" customWidth="1"/>
    <col min="3861" max="3861" width="8.109375" bestFit="1" customWidth="1"/>
    <col min="3862" max="3863" width="11.5546875" bestFit="1" customWidth="1"/>
    <col min="3864" max="3865" width="18" customWidth="1"/>
    <col min="3866" max="3866" width="17.109375" customWidth="1"/>
    <col min="3867" max="3868" width="15.6640625" customWidth="1"/>
    <col min="3869" max="3869" width="15" customWidth="1"/>
    <col min="3870" max="3871" width="14.109375" bestFit="1" customWidth="1"/>
    <col min="3872" max="3872" width="11.6640625" bestFit="1" customWidth="1"/>
    <col min="3873" max="3873" width="11.88671875" bestFit="1" customWidth="1"/>
    <col min="3874" max="3874" width="12.5546875" customWidth="1"/>
    <col min="3875" max="3875" width="11.33203125" customWidth="1"/>
    <col min="3876" max="3876" width="11.5546875" customWidth="1"/>
    <col min="3877" max="3877" width="9.33203125" customWidth="1"/>
    <col min="3879" max="3879" width="11.6640625" bestFit="1" customWidth="1"/>
    <col min="3880" max="3880" width="10.6640625" bestFit="1" customWidth="1"/>
    <col min="4095" max="4095" width="12.33203125" bestFit="1" customWidth="1"/>
    <col min="4096" max="4099" width="12.33203125" customWidth="1"/>
    <col min="4100" max="4100" width="11.6640625" customWidth="1"/>
    <col min="4101" max="4115" width="9.6640625" customWidth="1"/>
    <col min="4116" max="4116" width="11.5546875" bestFit="1" customWidth="1"/>
    <col min="4117" max="4117" width="8.109375" bestFit="1" customWidth="1"/>
    <col min="4118" max="4119" width="11.5546875" bestFit="1" customWidth="1"/>
    <col min="4120" max="4121" width="18" customWidth="1"/>
    <col min="4122" max="4122" width="17.109375" customWidth="1"/>
    <col min="4123" max="4124" width="15.6640625" customWidth="1"/>
    <col min="4125" max="4125" width="15" customWidth="1"/>
    <col min="4126" max="4127" width="14.109375" bestFit="1" customWidth="1"/>
    <col min="4128" max="4128" width="11.6640625" bestFit="1" customWidth="1"/>
    <col min="4129" max="4129" width="11.88671875" bestFit="1" customWidth="1"/>
    <col min="4130" max="4130" width="12.5546875" customWidth="1"/>
    <col min="4131" max="4131" width="11.33203125" customWidth="1"/>
    <col min="4132" max="4132" width="11.5546875" customWidth="1"/>
    <col min="4133" max="4133" width="9.33203125" customWidth="1"/>
    <col min="4135" max="4135" width="11.6640625" bestFit="1" customWidth="1"/>
    <col min="4136" max="4136" width="10.6640625" bestFit="1" customWidth="1"/>
    <col min="4351" max="4351" width="12.33203125" bestFit="1" customWidth="1"/>
    <col min="4352" max="4355" width="12.33203125" customWidth="1"/>
    <col min="4356" max="4356" width="11.6640625" customWidth="1"/>
    <col min="4357" max="4371" width="9.6640625" customWidth="1"/>
    <col min="4372" max="4372" width="11.5546875" bestFit="1" customWidth="1"/>
    <col min="4373" max="4373" width="8.109375" bestFit="1" customWidth="1"/>
    <col min="4374" max="4375" width="11.5546875" bestFit="1" customWidth="1"/>
    <col min="4376" max="4377" width="18" customWidth="1"/>
    <col min="4378" max="4378" width="17.109375" customWidth="1"/>
    <col min="4379" max="4380" width="15.6640625" customWidth="1"/>
    <col min="4381" max="4381" width="15" customWidth="1"/>
    <col min="4382" max="4383" width="14.109375" bestFit="1" customWidth="1"/>
    <col min="4384" max="4384" width="11.6640625" bestFit="1" customWidth="1"/>
    <col min="4385" max="4385" width="11.88671875" bestFit="1" customWidth="1"/>
    <col min="4386" max="4386" width="12.5546875" customWidth="1"/>
    <col min="4387" max="4387" width="11.33203125" customWidth="1"/>
    <col min="4388" max="4388" width="11.5546875" customWidth="1"/>
    <col min="4389" max="4389" width="9.33203125" customWidth="1"/>
    <col min="4391" max="4391" width="11.6640625" bestFit="1" customWidth="1"/>
    <col min="4392" max="4392" width="10.6640625" bestFit="1" customWidth="1"/>
    <col min="4607" max="4607" width="12.33203125" bestFit="1" customWidth="1"/>
    <col min="4608" max="4611" width="12.33203125" customWidth="1"/>
    <col min="4612" max="4612" width="11.6640625" customWidth="1"/>
    <col min="4613" max="4627" width="9.6640625" customWidth="1"/>
    <col min="4628" max="4628" width="11.5546875" bestFit="1" customWidth="1"/>
    <col min="4629" max="4629" width="8.109375" bestFit="1" customWidth="1"/>
    <col min="4630" max="4631" width="11.5546875" bestFit="1" customWidth="1"/>
    <col min="4632" max="4633" width="18" customWidth="1"/>
    <col min="4634" max="4634" width="17.109375" customWidth="1"/>
    <col min="4635" max="4636" width="15.6640625" customWidth="1"/>
    <col min="4637" max="4637" width="15" customWidth="1"/>
    <col min="4638" max="4639" width="14.109375" bestFit="1" customWidth="1"/>
    <col min="4640" max="4640" width="11.6640625" bestFit="1" customWidth="1"/>
    <col min="4641" max="4641" width="11.88671875" bestFit="1" customWidth="1"/>
    <col min="4642" max="4642" width="12.5546875" customWidth="1"/>
    <col min="4643" max="4643" width="11.33203125" customWidth="1"/>
    <col min="4644" max="4644" width="11.5546875" customWidth="1"/>
    <col min="4645" max="4645" width="9.33203125" customWidth="1"/>
    <col min="4647" max="4647" width="11.6640625" bestFit="1" customWidth="1"/>
    <col min="4648" max="4648" width="10.6640625" bestFit="1" customWidth="1"/>
    <col min="4863" max="4863" width="12.33203125" bestFit="1" customWidth="1"/>
    <col min="4864" max="4867" width="12.33203125" customWidth="1"/>
    <col min="4868" max="4868" width="11.6640625" customWidth="1"/>
    <col min="4869" max="4883" width="9.6640625" customWidth="1"/>
    <col min="4884" max="4884" width="11.5546875" bestFit="1" customWidth="1"/>
    <col min="4885" max="4885" width="8.109375" bestFit="1" customWidth="1"/>
    <col min="4886" max="4887" width="11.5546875" bestFit="1" customWidth="1"/>
    <col min="4888" max="4889" width="18" customWidth="1"/>
    <col min="4890" max="4890" width="17.109375" customWidth="1"/>
    <col min="4891" max="4892" width="15.6640625" customWidth="1"/>
    <col min="4893" max="4893" width="15" customWidth="1"/>
    <col min="4894" max="4895" width="14.109375" bestFit="1" customWidth="1"/>
    <col min="4896" max="4896" width="11.6640625" bestFit="1" customWidth="1"/>
    <col min="4897" max="4897" width="11.88671875" bestFit="1" customWidth="1"/>
    <col min="4898" max="4898" width="12.5546875" customWidth="1"/>
    <col min="4899" max="4899" width="11.33203125" customWidth="1"/>
    <col min="4900" max="4900" width="11.5546875" customWidth="1"/>
    <col min="4901" max="4901" width="9.33203125" customWidth="1"/>
    <col min="4903" max="4903" width="11.6640625" bestFit="1" customWidth="1"/>
    <col min="4904" max="4904" width="10.6640625" bestFit="1" customWidth="1"/>
    <col min="5119" max="5119" width="12.33203125" bestFit="1" customWidth="1"/>
    <col min="5120" max="5123" width="12.33203125" customWidth="1"/>
    <col min="5124" max="5124" width="11.6640625" customWidth="1"/>
    <col min="5125" max="5139" width="9.6640625" customWidth="1"/>
    <col min="5140" max="5140" width="11.5546875" bestFit="1" customWidth="1"/>
    <col min="5141" max="5141" width="8.109375" bestFit="1" customWidth="1"/>
    <col min="5142" max="5143" width="11.5546875" bestFit="1" customWidth="1"/>
    <col min="5144" max="5145" width="18" customWidth="1"/>
    <col min="5146" max="5146" width="17.109375" customWidth="1"/>
    <col min="5147" max="5148" width="15.6640625" customWidth="1"/>
    <col min="5149" max="5149" width="15" customWidth="1"/>
    <col min="5150" max="5151" width="14.109375" bestFit="1" customWidth="1"/>
    <col min="5152" max="5152" width="11.6640625" bestFit="1" customWidth="1"/>
    <col min="5153" max="5153" width="11.88671875" bestFit="1" customWidth="1"/>
    <col min="5154" max="5154" width="12.5546875" customWidth="1"/>
    <col min="5155" max="5155" width="11.33203125" customWidth="1"/>
    <col min="5156" max="5156" width="11.5546875" customWidth="1"/>
    <col min="5157" max="5157" width="9.33203125" customWidth="1"/>
    <col min="5159" max="5159" width="11.6640625" bestFit="1" customWidth="1"/>
    <col min="5160" max="5160" width="10.6640625" bestFit="1" customWidth="1"/>
    <col min="5375" max="5375" width="12.33203125" bestFit="1" customWidth="1"/>
    <col min="5376" max="5379" width="12.33203125" customWidth="1"/>
    <col min="5380" max="5380" width="11.6640625" customWidth="1"/>
    <col min="5381" max="5395" width="9.6640625" customWidth="1"/>
    <col min="5396" max="5396" width="11.5546875" bestFit="1" customWidth="1"/>
    <col min="5397" max="5397" width="8.109375" bestFit="1" customWidth="1"/>
    <col min="5398" max="5399" width="11.5546875" bestFit="1" customWidth="1"/>
    <col min="5400" max="5401" width="18" customWidth="1"/>
    <col min="5402" max="5402" width="17.109375" customWidth="1"/>
    <col min="5403" max="5404" width="15.6640625" customWidth="1"/>
    <col min="5405" max="5405" width="15" customWidth="1"/>
    <col min="5406" max="5407" width="14.109375" bestFit="1" customWidth="1"/>
    <col min="5408" max="5408" width="11.6640625" bestFit="1" customWidth="1"/>
    <col min="5409" max="5409" width="11.88671875" bestFit="1" customWidth="1"/>
    <col min="5410" max="5410" width="12.5546875" customWidth="1"/>
    <col min="5411" max="5411" width="11.33203125" customWidth="1"/>
    <col min="5412" max="5412" width="11.5546875" customWidth="1"/>
    <col min="5413" max="5413" width="9.33203125" customWidth="1"/>
    <col min="5415" max="5415" width="11.6640625" bestFit="1" customWidth="1"/>
    <col min="5416" max="5416" width="10.6640625" bestFit="1" customWidth="1"/>
    <col min="5631" max="5631" width="12.33203125" bestFit="1" customWidth="1"/>
    <col min="5632" max="5635" width="12.33203125" customWidth="1"/>
    <col min="5636" max="5636" width="11.6640625" customWidth="1"/>
    <col min="5637" max="5651" width="9.6640625" customWidth="1"/>
    <col min="5652" max="5652" width="11.5546875" bestFit="1" customWidth="1"/>
    <col min="5653" max="5653" width="8.109375" bestFit="1" customWidth="1"/>
    <col min="5654" max="5655" width="11.5546875" bestFit="1" customWidth="1"/>
    <col min="5656" max="5657" width="18" customWidth="1"/>
    <col min="5658" max="5658" width="17.109375" customWidth="1"/>
    <col min="5659" max="5660" width="15.6640625" customWidth="1"/>
    <col min="5661" max="5661" width="15" customWidth="1"/>
    <col min="5662" max="5663" width="14.109375" bestFit="1" customWidth="1"/>
    <col min="5664" max="5664" width="11.6640625" bestFit="1" customWidth="1"/>
    <col min="5665" max="5665" width="11.88671875" bestFit="1" customWidth="1"/>
    <col min="5666" max="5666" width="12.5546875" customWidth="1"/>
    <col min="5667" max="5667" width="11.33203125" customWidth="1"/>
    <col min="5668" max="5668" width="11.5546875" customWidth="1"/>
    <col min="5669" max="5669" width="9.33203125" customWidth="1"/>
    <col min="5671" max="5671" width="11.6640625" bestFit="1" customWidth="1"/>
    <col min="5672" max="5672" width="10.6640625" bestFit="1" customWidth="1"/>
    <col min="5887" max="5887" width="12.33203125" bestFit="1" customWidth="1"/>
    <col min="5888" max="5891" width="12.33203125" customWidth="1"/>
    <col min="5892" max="5892" width="11.6640625" customWidth="1"/>
    <col min="5893" max="5907" width="9.6640625" customWidth="1"/>
    <col min="5908" max="5908" width="11.5546875" bestFit="1" customWidth="1"/>
    <col min="5909" max="5909" width="8.109375" bestFit="1" customWidth="1"/>
    <col min="5910" max="5911" width="11.5546875" bestFit="1" customWidth="1"/>
    <col min="5912" max="5913" width="18" customWidth="1"/>
    <col min="5914" max="5914" width="17.109375" customWidth="1"/>
    <col min="5915" max="5916" width="15.6640625" customWidth="1"/>
    <col min="5917" max="5917" width="15" customWidth="1"/>
    <col min="5918" max="5919" width="14.109375" bestFit="1" customWidth="1"/>
    <col min="5920" max="5920" width="11.6640625" bestFit="1" customWidth="1"/>
    <col min="5921" max="5921" width="11.88671875" bestFit="1" customWidth="1"/>
    <col min="5922" max="5922" width="12.5546875" customWidth="1"/>
    <col min="5923" max="5923" width="11.33203125" customWidth="1"/>
    <col min="5924" max="5924" width="11.5546875" customWidth="1"/>
    <col min="5925" max="5925" width="9.33203125" customWidth="1"/>
    <col min="5927" max="5927" width="11.6640625" bestFit="1" customWidth="1"/>
    <col min="5928" max="5928" width="10.6640625" bestFit="1" customWidth="1"/>
    <col min="6143" max="6143" width="12.33203125" bestFit="1" customWidth="1"/>
    <col min="6144" max="6147" width="12.33203125" customWidth="1"/>
    <col min="6148" max="6148" width="11.6640625" customWidth="1"/>
    <col min="6149" max="6163" width="9.6640625" customWidth="1"/>
    <col min="6164" max="6164" width="11.5546875" bestFit="1" customWidth="1"/>
    <col min="6165" max="6165" width="8.109375" bestFit="1" customWidth="1"/>
    <col min="6166" max="6167" width="11.5546875" bestFit="1" customWidth="1"/>
    <col min="6168" max="6169" width="18" customWidth="1"/>
    <col min="6170" max="6170" width="17.109375" customWidth="1"/>
    <col min="6171" max="6172" width="15.6640625" customWidth="1"/>
    <col min="6173" max="6173" width="15" customWidth="1"/>
    <col min="6174" max="6175" width="14.109375" bestFit="1" customWidth="1"/>
    <col min="6176" max="6176" width="11.6640625" bestFit="1" customWidth="1"/>
    <col min="6177" max="6177" width="11.88671875" bestFit="1" customWidth="1"/>
    <col min="6178" max="6178" width="12.5546875" customWidth="1"/>
    <col min="6179" max="6179" width="11.33203125" customWidth="1"/>
    <col min="6180" max="6180" width="11.5546875" customWidth="1"/>
    <col min="6181" max="6181" width="9.33203125" customWidth="1"/>
    <col min="6183" max="6183" width="11.6640625" bestFit="1" customWidth="1"/>
    <col min="6184" max="6184" width="10.6640625" bestFit="1" customWidth="1"/>
    <col min="6399" max="6399" width="12.33203125" bestFit="1" customWidth="1"/>
    <col min="6400" max="6403" width="12.33203125" customWidth="1"/>
    <col min="6404" max="6404" width="11.6640625" customWidth="1"/>
    <col min="6405" max="6419" width="9.6640625" customWidth="1"/>
    <col min="6420" max="6420" width="11.5546875" bestFit="1" customWidth="1"/>
    <col min="6421" max="6421" width="8.109375" bestFit="1" customWidth="1"/>
    <col min="6422" max="6423" width="11.5546875" bestFit="1" customWidth="1"/>
    <col min="6424" max="6425" width="18" customWidth="1"/>
    <col min="6426" max="6426" width="17.109375" customWidth="1"/>
    <col min="6427" max="6428" width="15.6640625" customWidth="1"/>
    <col min="6429" max="6429" width="15" customWidth="1"/>
    <col min="6430" max="6431" width="14.109375" bestFit="1" customWidth="1"/>
    <col min="6432" max="6432" width="11.6640625" bestFit="1" customWidth="1"/>
    <col min="6433" max="6433" width="11.88671875" bestFit="1" customWidth="1"/>
    <col min="6434" max="6434" width="12.5546875" customWidth="1"/>
    <col min="6435" max="6435" width="11.33203125" customWidth="1"/>
    <col min="6436" max="6436" width="11.5546875" customWidth="1"/>
    <col min="6437" max="6437" width="9.33203125" customWidth="1"/>
    <col min="6439" max="6439" width="11.6640625" bestFit="1" customWidth="1"/>
    <col min="6440" max="6440" width="10.6640625" bestFit="1" customWidth="1"/>
    <col min="6655" max="6655" width="12.33203125" bestFit="1" customWidth="1"/>
    <col min="6656" max="6659" width="12.33203125" customWidth="1"/>
    <col min="6660" max="6660" width="11.6640625" customWidth="1"/>
    <col min="6661" max="6675" width="9.6640625" customWidth="1"/>
    <col min="6676" max="6676" width="11.5546875" bestFit="1" customWidth="1"/>
    <col min="6677" max="6677" width="8.109375" bestFit="1" customWidth="1"/>
    <col min="6678" max="6679" width="11.5546875" bestFit="1" customWidth="1"/>
    <col min="6680" max="6681" width="18" customWidth="1"/>
    <col min="6682" max="6682" width="17.109375" customWidth="1"/>
    <col min="6683" max="6684" width="15.6640625" customWidth="1"/>
    <col min="6685" max="6685" width="15" customWidth="1"/>
    <col min="6686" max="6687" width="14.109375" bestFit="1" customWidth="1"/>
    <col min="6688" max="6688" width="11.6640625" bestFit="1" customWidth="1"/>
    <col min="6689" max="6689" width="11.88671875" bestFit="1" customWidth="1"/>
    <col min="6690" max="6690" width="12.5546875" customWidth="1"/>
    <col min="6691" max="6691" width="11.33203125" customWidth="1"/>
    <col min="6692" max="6692" width="11.5546875" customWidth="1"/>
    <col min="6693" max="6693" width="9.33203125" customWidth="1"/>
    <col min="6695" max="6695" width="11.6640625" bestFit="1" customWidth="1"/>
    <col min="6696" max="6696" width="10.6640625" bestFit="1" customWidth="1"/>
    <col min="6911" max="6911" width="12.33203125" bestFit="1" customWidth="1"/>
    <col min="6912" max="6915" width="12.33203125" customWidth="1"/>
    <col min="6916" max="6916" width="11.6640625" customWidth="1"/>
    <col min="6917" max="6931" width="9.6640625" customWidth="1"/>
    <col min="6932" max="6932" width="11.5546875" bestFit="1" customWidth="1"/>
    <col min="6933" max="6933" width="8.109375" bestFit="1" customWidth="1"/>
    <col min="6934" max="6935" width="11.5546875" bestFit="1" customWidth="1"/>
    <col min="6936" max="6937" width="18" customWidth="1"/>
    <col min="6938" max="6938" width="17.109375" customWidth="1"/>
    <col min="6939" max="6940" width="15.6640625" customWidth="1"/>
    <col min="6941" max="6941" width="15" customWidth="1"/>
    <col min="6942" max="6943" width="14.109375" bestFit="1" customWidth="1"/>
    <col min="6944" max="6944" width="11.6640625" bestFit="1" customWidth="1"/>
    <col min="6945" max="6945" width="11.88671875" bestFit="1" customWidth="1"/>
    <col min="6946" max="6946" width="12.5546875" customWidth="1"/>
    <col min="6947" max="6947" width="11.33203125" customWidth="1"/>
    <col min="6948" max="6948" width="11.5546875" customWidth="1"/>
    <col min="6949" max="6949" width="9.33203125" customWidth="1"/>
    <col min="6951" max="6951" width="11.6640625" bestFit="1" customWidth="1"/>
    <col min="6952" max="6952" width="10.6640625" bestFit="1" customWidth="1"/>
    <col min="7167" max="7167" width="12.33203125" bestFit="1" customWidth="1"/>
    <col min="7168" max="7171" width="12.33203125" customWidth="1"/>
    <col min="7172" max="7172" width="11.6640625" customWidth="1"/>
    <col min="7173" max="7187" width="9.6640625" customWidth="1"/>
    <col min="7188" max="7188" width="11.5546875" bestFit="1" customWidth="1"/>
    <col min="7189" max="7189" width="8.109375" bestFit="1" customWidth="1"/>
    <col min="7190" max="7191" width="11.5546875" bestFit="1" customWidth="1"/>
    <col min="7192" max="7193" width="18" customWidth="1"/>
    <col min="7194" max="7194" width="17.109375" customWidth="1"/>
    <col min="7195" max="7196" width="15.6640625" customWidth="1"/>
    <col min="7197" max="7197" width="15" customWidth="1"/>
    <col min="7198" max="7199" width="14.109375" bestFit="1" customWidth="1"/>
    <col min="7200" max="7200" width="11.6640625" bestFit="1" customWidth="1"/>
    <col min="7201" max="7201" width="11.88671875" bestFit="1" customWidth="1"/>
    <col min="7202" max="7202" width="12.5546875" customWidth="1"/>
    <col min="7203" max="7203" width="11.33203125" customWidth="1"/>
    <col min="7204" max="7204" width="11.5546875" customWidth="1"/>
    <col min="7205" max="7205" width="9.33203125" customWidth="1"/>
    <col min="7207" max="7207" width="11.6640625" bestFit="1" customWidth="1"/>
    <col min="7208" max="7208" width="10.6640625" bestFit="1" customWidth="1"/>
    <col min="7423" max="7423" width="12.33203125" bestFit="1" customWidth="1"/>
    <col min="7424" max="7427" width="12.33203125" customWidth="1"/>
    <col min="7428" max="7428" width="11.6640625" customWidth="1"/>
    <col min="7429" max="7443" width="9.6640625" customWidth="1"/>
    <col min="7444" max="7444" width="11.5546875" bestFit="1" customWidth="1"/>
    <col min="7445" max="7445" width="8.109375" bestFit="1" customWidth="1"/>
    <col min="7446" max="7447" width="11.5546875" bestFit="1" customWidth="1"/>
    <col min="7448" max="7449" width="18" customWidth="1"/>
    <col min="7450" max="7450" width="17.109375" customWidth="1"/>
    <col min="7451" max="7452" width="15.6640625" customWidth="1"/>
    <col min="7453" max="7453" width="15" customWidth="1"/>
    <col min="7454" max="7455" width="14.109375" bestFit="1" customWidth="1"/>
    <col min="7456" max="7456" width="11.6640625" bestFit="1" customWidth="1"/>
    <col min="7457" max="7457" width="11.88671875" bestFit="1" customWidth="1"/>
    <col min="7458" max="7458" width="12.5546875" customWidth="1"/>
    <col min="7459" max="7459" width="11.33203125" customWidth="1"/>
    <col min="7460" max="7460" width="11.5546875" customWidth="1"/>
    <col min="7461" max="7461" width="9.33203125" customWidth="1"/>
    <col min="7463" max="7463" width="11.6640625" bestFit="1" customWidth="1"/>
    <col min="7464" max="7464" width="10.6640625" bestFit="1" customWidth="1"/>
    <col min="7679" max="7679" width="12.33203125" bestFit="1" customWidth="1"/>
    <col min="7680" max="7683" width="12.33203125" customWidth="1"/>
    <col min="7684" max="7684" width="11.6640625" customWidth="1"/>
    <col min="7685" max="7699" width="9.6640625" customWidth="1"/>
    <col min="7700" max="7700" width="11.5546875" bestFit="1" customWidth="1"/>
    <col min="7701" max="7701" width="8.109375" bestFit="1" customWidth="1"/>
    <col min="7702" max="7703" width="11.5546875" bestFit="1" customWidth="1"/>
    <col min="7704" max="7705" width="18" customWidth="1"/>
    <col min="7706" max="7706" width="17.109375" customWidth="1"/>
    <col min="7707" max="7708" width="15.6640625" customWidth="1"/>
    <col min="7709" max="7709" width="15" customWidth="1"/>
    <col min="7710" max="7711" width="14.109375" bestFit="1" customWidth="1"/>
    <col min="7712" max="7712" width="11.6640625" bestFit="1" customWidth="1"/>
    <col min="7713" max="7713" width="11.88671875" bestFit="1" customWidth="1"/>
    <col min="7714" max="7714" width="12.5546875" customWidth="1"/>
    <col min="7715" max="7715" width="11.33203125" customWidth="1"/>
    <col min="7716" max="7716" width="11.5546875" customWidth="1"/>
    <col min="7717" max="7717" width="9.33203125" customWidth="1"/>
    <col min="7719" max="7719" width="11.6640625" bestFit="1" customWidth="1"/>
    <col min="7720" max="7720" width="10.6640625" bestFit="1" customWidth="1"/>
    <col min="7935" max="7935" width="12.33203125" bestFit="1" customWidth="1"/>
    <col min="7936" max="7939" width="12.33203125" customWidth="1"/>
    <col min="7940" max="7940" width="11.6640625" customWidth="1"/>
    <col min="7941" max="7955" width="9.6640625" customWidth="1"/>
    <col min="7956" max="7956" width="11.5546875" bestFit="1" customWidth="1"/>
    <col min="7957" max="7957" width="8.109375" bestFit="1" customWidth="1"/>
    <col min="7958" max="7959" width="11.5546875" bestFit="1" customWidth="1"/>
    <col min="7960" max="7961" width="18" customWidth="1"/>
    <col min="7962" max="7962" width="17.109375" customWidth="1"/>
    <col min="7963" max="7964" width="15.6640625" customWidth="1"/>
    <col min="7965" max="7965" width="15" customWidth="1"/>
    <col min="7966" max="7967" width="14.109375" bestFit="1" customWidth="1"/>
    <col min="7968" max="7968" width="11.6640625" bestFit="1" customWidth="1"/>
    <col min="7969" max="7969" width="11.88671875" bestFit="1" customWidth="1"/>
    <col min="7970" max="7970" width="12.5546875" customWidth="1"/>
    <col min="7971" max="7971" width="11.33203125" customWidth="1"/>
    <col min="7972" max="7972" width="11.5546875" customWidth="1"/>
    <col min="7973" max="7973" width="9.33203125" customWidth="1"/>
    <col min="7975" max="7975" width="11.6640625" bestFit="1" customWidth="1"/>
    <col min="7976" max="7976" width="10.6640625" bestFit="1" customWidth="1"/>
    <col min="8191" max="8191" width="12.33203125" bestFit="1" customWidth="1"/>
    <col min="8192" max="8195" width="12.33203125" customWidth="1"/>
    <col min="8196" max="8196" width="11.6640625" customWidth="1"/>
    <col min="8197" max="8211" width="9.6640625" customWidth="1"/>
    <col min="8212" max="8212" width="11.5546875" bestFit="1" customWidth="1"/>
    <col min="8213" max="8213" width="8.109375" bestFit="1" customWidth="1"/>
    <col min="8214" max="8215" width="11.5546875" bestFit="1" customWidth="1"/>
    <col min="8216" max="8217" width="18" customWidth="1"/>
    <col min="8218" max="8218" width="17.109375" customWidth="1"/>
    <col min="8219" max="8220" width="15.6640625" customWidth="1"/>
    <col min="8221" max="8221" width="15" customWidth="1"/>
    <col min="8222" max="8223" width="14.109375" bestFit="1" customWidth="1"/>
    <col min="8224" max="8224" width="11.6640625" bestFit="1" customWidth="1"/>
    <col min="8225" max="8225" width="11.88671875" bestFit="1" customWidth="1"/>
    <col min="8226" max="8226" width="12.5546875" customWidth="1"/>
    <col min="8227" max="8227" width="11.33203125" customWidth="1"/>
    <col min="8228" max="8228" width="11.5546875" customWidth="1"/>
    <col min="8229" max="8229" width="9.33203125" customWidth="1"/>
    <col min="8231" max="8231" width="11.6640625" bestFit="1" customWidth="1"/>
    <col min="8232" max="8232" width="10.6640625" bestFit="1" customWidth="1"/>
    <col min="8447" max="8447" width="12.33203125" bestFit="1" customWidth="1"/>
    <col min="8448" max="8451" width="12.33203125" customWidth="1"/>
    <col min="8452" max="8452" width="11.6640625" customWidth="1"/>
    <col min="8453" max="8467" width="9.6640625" customWidth="1"/>
    <col min="8468" max="8468" width="11.5546875" bestFit="1" customWidth="1"/>
    <col min="8469" max="8469" width="8.109375" bestFit="1" customWidth="1"/>
    <col min="8470" max="8471" width="11.5546875" bestFit="1" customWidth="1"/>
    <col min="8472" max="8473" width="18" customWidth="1"/>
    <col min="8474" max="8474" width="17.109375" customWidth="1"/>
    <col min="8475" max="8476" width="15.6640625" customWidth="1"/>
    <col min="8477" max="8477" width="15" customWidth="1"/>
    <col min="8478" max="8479" width="14.109375" bestFit="1" customWidth="1"/>
    <col min="8480" max="8480" width="11.6640625" bestFit="1" customWidth="1"/>
    <col min="8481" max="8481" width="11.88671875" bestFit="1" customWidth="1"/>
    <col min="8482" max="8482" width="12.5546875" customWidth="1"/>
    <col min="8483" max="8483" width="11.33203125" customWidth="1"/>
    <col min="8484" max="8484" width="11.5546875" customWidth="1"/>
    <col min="8485" max="8485" width="9.33203125" customWidth="1"/>
    <col min="8487" max="8487" width="11.6640625" bestFit="1" customWidth="1"/>
    <col min="8488" max="8488" width="10.6640625" bestFit="1" customWidth="1"/>
    <col min="8703" max="8703" width="12.33203125" bestFit="1" customWidth="1"/>
    <col min="8704" max="8707" width="12.33203125" customWidth="1"/>
    <col min="8708" max="8708" width="11.6640625" customWidth="1"/>
    <col min="8709" max="8723" width="9.6640625" customWidth="1"/>
    <col min="8724" max="8724" width="11.5546875" bestFit="1" customWidth="1"/>
    <col min="8725" max="8725" width="8.109375" bestFit="1" customWidth="1"/>
    <col min="8726" max="8727" width="11.5546875" bestFit="1" customWidth="1"/>
    <col min="8728" max="8729" width="18" customWidth="1"/>
    <col min="8730" max="8730" width="17.109375" customWidth="1"/>
    <col min="8731" max="8732" width="15.6640625" customWidth="1"/>
    <col min="8733" max="8733" width="15" customWidth="1"/>
    <col min="8734" max="8735" width="14.109375" bestFit="1" customWidth="1"/>
    <col min="8736" max="8736" width="11.6640625" bestFit="1" customWidth="1"/>
    <col min="8737" max="8737" width="11.88671875" bestFit="1" customWidth="1"/>
    <col min="8738" max="8738" width="12.5546875" customWidth="1"/>
    <col min="8739" max="8739" width="11.33203125" customWidth="1"/>
    <col min="8740" max="8740" width="11.5546875" customWidth="1"/>
    <col min="8741" max="8741" width="9.33203125" customWidth="1"/>
    <col min="8743" max="8743" width="11.6640625" bestFit="1" customWidth="1"/>
    <col min="8744" max="8744" width="10.6640625" bestFit="1" customWidth="1"/>
    <col min="8959" max="8959" width="12.33203125" bestFit="1" customWidth="1"/>
    <col min="8960" max="8963" width="12.33203125" customWidth="1"/>
    <col min="8964" max="8964" width="11.6640625" customWidth="1"/>
    <col min="8965" max="8979" width="9.6640625" customWidth="1"/>
    <col min="8980" max="8980" width="11.5546875" bestFit="1" customWidth="1"/>
    <col min="8981" max="8981" width="8.109375" bestFit="1" customWidth="1"/>
    <col min="8982" max="8983" width="11.5546875" bestFit="1" customWidth="1"/>
    <col min="8984" max="8985" width="18" customWidth="1"/>
    <col min="8986" max="8986" width="17.109375" customWidth="1"/>
    <col min="8987" max="8988" width="15.6640625" customWidth="1"/>
    <col min="8989" max="8989" width="15" customWidth="1"/>
    <col min="8990" max="8991" width="14.109375" bestFit="1" customWidth="1"/>
    <col min="8992" max="8992" width="11.6640625" bestFit="1" customWidth="1"/>
    <col min="8993" max="8993" width="11.88671875" bestFit="1" customWidth="1"/>
    <col min="8994" max="8994" width="12.5546875" customWidth="1"/>
    <col min="8995" max="8995" width="11.33203125" customWidth="1"/>
    <col min="8996" max="8996" width="11.5546875" customWidth="1"/>
    <col min="8997" max="8997" width="9.33203125" customWidth="1"/>
    <col min="8999" max="8999" width="11.6640625" bestFit="1" customWidth="1"/>
    <col min="9000" max="9000" width="10.6640625" bestFit="1" customWidth="1"/>
    <col min="9215" max="9215" width="12.33203125" bestFit="1" customWidth="1"/>
    <col min="9216" max="9219" width="12.33203125" customWidth="1"/>
    <col min="9220" max="9220" width="11.6640625" customWidth="1"/>
    <col min="9221" max="9235" width="9.6640625" customWidth="1"/>
    <col min="9236" max="9236" width="11.5546875" bestFit="1" customWidth="1"/>
    <col min="9237" max="9237" width="8.109375" bestFit="1" customWidth="1"/>
    <col min="9238" max="9239" width="11.5546875" bestFit="1" customWidth="1"/>
    <col min="9240" max="9241" width="18" customWidth="1"/>
    <col min="9242" max="9242" width="17.109375" customWidth="1"/>
    <col min="9243" max="9244" width="15.6640625" customWidth="1"/>
    <col min="9245" max="9245" width="15" customWidth="1"/>
    <col min="9246" max="9247" width="14.109375" bestFit="1" customWidth="1"/>
    <col min="9248" max="9248" width="11.6640625" bestFit="1" customWidth="1"/>
    <col min="9249" max="9249" width="11.88671875" bestFit="1" customWidth="1"/>
    <col min="9250" max="9250" width="12.5546875" customWidth="1"/>
    <col min="9251" max="9251" width="11.33203125" customWidth="1"/>
    <col min="9252" max="9252" width="11.5546875" customWidth="1"/>
    <col min="9253" max="9253" width="9.33203125" customWidth="1"/>
    <col min="9255" max="9255" width="11.6640625" bestFit="1" customWidth="1"/>
    <col min="9256" max="9256" width="10.6640625" bestFit="1" customWidth="1"/>
    <col min="9471" max="9471" width="12.33203125" bestFit="1" customWidth="1"/>
    <col min="9472" max="9475" width="12.33203125" customWidth="1"/>
    <col min="9476" max="9476" width="11.6640625" customWidth="1"/>
    <col min="9477" max="9491" width="9.6640625" customWidth="1"/>
    <col min="9492" max="9492" width="11.5546875" bestFit="1" customWidth="1"/>
    <col min="9493" max="9493" width="8.109375" bestFit="1" customWidth="1"/>
    <col min="9494" max="9495" width="11.5546875" bestFit="1" customWidth="1"/>
    <col min="9496" max="9497" width="18" customWidth="1"/>
    <col min="9498" max="9498" width="17.109375" customWidth="1"/>
    <col min="9499" max="9500" width="15.6640625" customWidth="1"/>
    <col min="9501" max="9501" width="15" customWidth="1"/>
    <col min="9502" max="9503" width="14.109375" bestFit="1" customWidth="1"/>
    <col min="9504" max="9504" width="11.6640625" bestFit="1" customWidth="1"/>
    <col min="9505" max="9505" width="11.88671875" bestFit="1" customWidth="1"/>
    <col min="9506" max="9506" width="12.5546875" customWidth="1"/>
    <col min="9507" max="9507" width="11.33203125" customWidth="1"/>
    <col min="9508" max="9508" width="11.5546875" customWidth="1"/>
    <col min="9509" max="9509" width="9.33203125" customWidth="1"/>
    <col min="9511" max="9511" width="11.6640625" bestFit="1" customWidth="1"/>
    <col min="9512" max="9512" width="10.6640625" bestFit="1" customWidth="1"/>
    <col min="9727" max="9727" width="12.33203125" bestFit="1" customWidth="1"/>
    <col min="9728" max="9731" width="12.33203125" customWidth="1"/>
    <col min="9732" max="9732" width="11.6640625" customWidth="1"/>
    <col min="9733" max="9747" width="9.6640625" customWidth="1"/>
    <col min="9748" max="9748" width="11.5546875" bestFit="1" customWidth="1"/>
    <col min="9749" max="9749" width="8.109375" bestFit="1" customWidth="1"/>
    <col min="9750" max="9751" width="11.5546875" bestFit="1" customWidth="1"/>
    <col min="9752" max="9753" width="18" customWidth="1"/>
    <col min="9754" max="9754" width="17.109375" customWidth="1"/>
    <col min="9755" max="9756" width="15.6640625" customWidth="1"/>
    <col min="9757" max="9757" width="15" customWidth="1"/>
    <col min="9758" max="9759" width="14.109375" bestFit="1" customWidth="1"/>
    <col min="9760" max="9760" width="11.6640625" bestFit="1" customWidth="1"/>
    <col min="9761" max="9761" width="11.88671875" bestFit="1" customWidth="1"/>
    <col min="9762" max="9762" width="12.5546875" customWidth="1"/>
    <col min="9763" max="9763" width="11.33203125" customWidth="1"/>
    <col min="9764" max="9764" width="11.5546875" customWidth="1"/>
    <col min="9765" max="9765" width="9.33203125" customWidth="1"/>
    <col min="9767" max="9767" width="11.6640625" bestFit="1" customWidth="1"/>
    <col min="9768" max="9768" width="10.6640625" bestFit="1" customWidth="1"/>
    <col min="9983" max="9983" width="12.33203125" bestFit="1" customWidth="1"/>
    <col min="9984" max="9987" width="12.33203125" customWidth="1"/>
    <col min="9988" max="9988" width="11.6640625" customWidth="1"/>
    <col min="9989" max="10003" width="9.6640625" customWidth="1"/>
    <col min="10004" max="10004" width="11.5546875" bestFit="1" customWidth="1"/>
    <col min="10005" max="10005" width="8.109375" bestFit="1" customWidth="1"/>
    <col min="10006" max="10007" width="11.5546875" bestFit="1" customWidth="1"/>
    <col min="10008" max="10009" width="18" customWidth="1"/>
    <col min="10010" max="10010" width="17.109375" customWidth="1"/>
    <col min="10011" max="10012" width="15.6640625" customWidth="1"/>
    <col min="10013" max="10013" width="15" customWidth="1"/>
    <col min="10014" max="10015" width="14.109375" bestFit="1" customWidth="1"/>
    <col min="10016" max="10016" width="11.6640625" bestFit="1" customWidth="1"/>
    <col min="10017" max="10017" width="11.88671875" bestFit="1" customWidth="1"/>
    <col min="10018" max="10018" width="12.5546875" customWidth="1"/>
    <col min="10019" max="10019" width="11.33203125" customWidth="1"/>
    <col min="10020" max="10020" width="11.5546875" customWidth="1"/>
    <col min="10021" max="10021" width="9.33203125" customWidth="1"/>
    <col min="10023" max="10023" width="11.6640625" bestFit="1" customWidth="1"/>
    <col min="10024" max="10024" width="10.6640625" bestFit="1" customWidth="1"/>
    <col min="10239" max="10239" width="12.33203125" bestFit="1" customWidth="1"/>
    <col min="10240" max="10243" width="12.33203125" customWidth="1"/>
    <col min="10244" max="10244" width="11.6640625" customWidth="1"/>
    <col min="10245" max="10259" width="9.6640625" customWidth="1"/>
    <col min="10260" max="10260" width="11.5546875" bestFit="1" customWidth="1"/>
    <col min="10261" max="10261" width="8.109375" bestFit="1" customWidth="1"/>
    <col min="10262" max="10263" width="11.5546875" bestFit="1" customWidth="1"/>
    <col min="10264" max="10265" width="18" customWidth="1"/>
    <col min="10266" max="10266" width="17.109375" customWidth="1"/>
    <col min="10267" max="10268" width="15.6640625" customWidth="1"/>
    <col min="10269" max="10269" width="15" customWidth="1"/>
    <col min="10270" max="10271" width="14.109375" bestFit="1" customWidth="1"/>
    <col min="10272" max="10272" width="11.6640625" bestFit="1" customWidth="1"/>
    <col min="10273" max="10273" width="11.88671875" bestFit="1" customWidth="1"/>
    <col min="10274" max="10274" width="12.5546875" customWidth="1"/>
    <col min="10275" max="10275" width="11.33203125" customWidth="1"/>
    <col min="10276" max="10276" width="11.5546875" customWidth="1"/>
    <col min="10277" max="10277" width="9.33203125" customWidth="1"/>
    <col min="10279" max="10279" width="11.6640625" bestFit="1" customWidth="1"/>
    <col min="10280" max="10280" width="10.6640625" bestFit="1" customWidth="1"/>
    <col min="10495" max="10495" width="12.33203125" bestFit="1" customWidth="1"/>
    <col min="10496" max="10499" width="12.33203125" customWidth="1"/>
    <col min="10500" max="10500" width="11.6640625" customWidth="1"/>
    <col min="10501" max="10515" width="9.6640625" customWidth="1"/>
    <col min="10516" max="10516" width="11.5546875" bestFit="1" customWidth="1"/>
    <col min="10517" max="10517" width="8.109375" bestFit="1" customWidth="1"/>
    <col min="10518" max="10519" width="11.5546875" bestFit="1" customWidth="1"/>
    <col min="10520" max="10521" width="18" customWidth="1"/>
    <col min="10522" max="10522" width="17.109375" customWidth="1"/>
    <col min="10523" max="10524" width="15.6640625" customWidth="1"/>
    <col min="10525" max="10525" width="15" customWidth="1"/>
    <col min="10526" max="10527" width="14.109375" bestFit="1" customWidth="1"/>
    <col min="10528" max="10528" width="11.6640625" bestFit="1" customWidth="1"/>
    <col min="10529" max="10529" width="11.88671875" bestFit="1" customWidth="1"/>
    <col min="10530" max="10530" width="12.5546875" customWidth="1"/>
    <col min="10531" max="10531" width="11.33203125" customWidth="1"/>
    <col min="10532" max="10532" width="11.5546875" customWidth="1"/>
    <col min="10533" max="10533" width="9.33203125" customWidth="1"/>
    <col min="10535" max="10535" width="11.6640625" bestFit="1" customWidth="1"/>
    <col min="10536" max="10536" width="10.6640625" bestFit="1" customWidth="1"/>
    <col min="10751" max="10751" width="12.33203125" bestFit="1" customWidth="1"/>
    <col min="10752" max="10755" width="12.33203125" customWidth="1"/>
    <col min="10756" max="10756" width="11.6640625" customWidth="1"/>
    <col min="10757" max="10771" width="9.6640625" customWidth="1"/>
    <col min="10772" max="10772" width="11.5546875" bestFit="1" customWidth="1"/>
    <col min="10773" max="10773" width="8.109375" bestFit="1" customWidth="1"/>
    <col min="10774" max="10775" width="11.5546875" bestFit="1" customWidth="1"/>
    <col min="10776" max="10777" width="18" customWidth="1"/>
    <col min="10778" max="10778" width="17.109375" customWidth="1"/>
    <col min="10779" max="10780" width="15.6640625" customWidth="1"/>
    <col min="10781" max="10781" width="15" customWidth="1"/>
    <col min="10782" max="10783" width="14.109375" bestFit="1" customWidth="1"/>
    <col min="10784" max="10784" width="11.6640625" bestFit="1" customWidth="1"/>
    <col min="10785" max="10785" width="11.88671875" bestFit="1" customWidth="1"/>
    <col min="10786" max="10786" width="12.5546875" customWidth="1"/>
    <col min="10787" max="10787" width="11.33203125" customWidth="1"/>
    <col min="10788" max="10788" width="11.5546875" customWidth="1"/>
    <col min="10789" max="10789" width="9.33203125" customWidth="1"/>
    <col min="10791" max="10791" width="11.6640625" bestFit="1" customWidth="1"/>
    <col min="10792" max="10792" width="10.6640625" bestFit="1" customWidth="1"/>
    <col min="11007" max="11007" width="12.33203125" bestFit="1" customWidth="1"/>
    <col min="11008" max="11011" width="12.33203125" customWidth="1"/>
    <col min="11012" max="11012" width="11.6640625" customWidth="1"/>
    <col min="11013" max="11027" width="9.6640625" customWidth="1"/>
    <col min="11028" max="11028" width="11.5546875" bestFit="1" customWidth="1"/>
    <col min="11029" max="11029" width="8.109375" bestFit="1" customWidth="1"/>
    <col min="11030" max="11031" width="11.5546875" bestFit="1" customWidth="1"/>
    <col min="11032" max="11033" width="18" customWidth="1"/>
    <col min="11034" max="11034" width="17.109375" customWidth="1"/>
    <col min="11035" max="11036" width="15.6640625" customWidth="1"/>
    <col min="11037" max="11037" width="15" customWidth="1"/>
    <col min="11038" max="11039" width="14.109375" bestFit="1" customWidth="1"/>
    <col min="11040" max="11040" width="11.6640625" bestFit="1" customWidth="1"/>
    <col min="11041" max="11041" width="11.88671875" bestFit="1" customWidth="1"/>
    <col min="11042" max="11042" width="12.5546875" customWidth="1"/>
    <col min="11043" max="11043" width="11.33203125" customWidth="1"/>
    <col min="11044" max="11044" width="11.5546875" customWidth="1"/>
    <col min="11045" max="11045" width="9.33203125" customWidth="1"/>
    <col min="11047" max="11047" width="11.6640625" bestFit="1" customWidth="1"/>
    <col min="11048" max="11048" width="10.6640625" bestFit="1" customWidth="1"/>
    <col min="11263" max="11263" width="12.33203125" bestFit="1" customWidth="1"/>
    <col min="11264" max="11267" width="12.33203125" customWidth="1"/>
    <col min="11268" max="11268" width="11.6640625" customWidth="1"/>
    <col min="11269" max="11283" width="9.6640625" customWidth="1"/>
    <col min="11284" max="11284" width="11.5546875" bestFit="1" customWidth="1"/>
    <col min="11285" max="11285" width="8.109375" bestFit="1" customWidth="1"/>
    <col min="11286" max="11287" width="11.5546875" bestFit="1" customWidth="1"/>
    <col min="11288" max="11289" width="18" customWidth="1"/>
    <col min="11290" max="11290" width="17.109375" customWidth="1"/>
    <col min="11291" max="11292" width="15.6640625" customWidth="1"/>
    <col min="11293" max="11293" width="15" customWidth="1"/>
    <col min="11294" max="11295" width="14.109375" bestFit="1" customWidth="1"/>
    <col min="11296" max="11296" width="11.6640625" bestFit="1" customWidth="1"/>
    <col min="11297" max="11297" width="11.88671875" bestFit="1" customWidth="1"/>
    <col min="11298" max="11298" width="12.5546875" customWidth="1"/>
    <col min="11299" max="11299" width="11.33203125" customWidth="1"/>
    <col min="11300" max="11300" width="11.5546875" customWidth="1"/>
    <col min="11301" max="11301" width="9.33203125" customWidth="1"/>
    <col min="11303" max="11303" width="11.6640625" bestFit="1" customWidth="1"/>
    <col min="11304" max="11304" width="10.6640625" bestFit="1" customWidth="1"/>
    <col min="11519" max="11519" width="12.33203125" bestFit="1" customWidth="1"/>
    <col min="11520" max="11523" width="12.33203125" customWidth="1"/>
    <col min="11524" max="11524" width="11.6640625" customWidth="1"/>
    <col min="11525" max="11539" width="9.6640625" customWidth="1"/>
    <col min="11540" max="11540" width="11.5546875" bestFit="1" customWidth="1"/>
    <col min="11541" max="11541" width="8.109375" bestFit="1" customWidth="1"/>
    <col min="11542" max="11543" width="11.5546875" bestFit="1" customWidth="1"/>
    <col min="11544" max="11545" width="18" customWidth="1"/>
    <col min="11546" max="11546" width="17.109375" customWidth="1"/>
    <col min="11547" max="11548" width="15.6640625" customWidth="1"/>
    <col min="11549" max="11549" width="15" customWidth="1"/>
    <col min="11550" max="11551" width="14.109375" bestFit="1" customWidth="1"/>
    <col min="11552" max="11552" width="11.6640625" bestFit="1" customWidth="1"/>
    <col min="11553" max="11553" width="11.88671875" bestFit="1" customWidth="1"/>
    <col min="11554" max="11554" width="12.5546875" customWidth="1"/>
    <col min="11555" max="11555" width="11.33203125" customWidth="1"/>
    <col min="11556" max="11556" width="11.5546875" customWidth="1"/>
    <col min="11557" max="11557" width="9.33203125" customWidth="1"/>
    <col min="11559" max="11559" width="11.6640625" bestFit="1" customWidth="1"/>
    <col min="11560" max="11560" width="10.6640625" bestFit="1" customWidth="1"/>
    <col min="11775" max="11775" width="12.33203125" bestFit="1" customWidth="1"/>
    <col min="11776" max="11779" width="12.33203125" customWidth="1"/>
    <col min="11780" max="11780" width="11.6640625" customWidth="1"/>
    <col min="11781" max="11795" width="9.6640625" customWidth="1"/>
    <col min="11796" max="11796" width="11.5546875" bestFit="1" customWidth="1"/>
    <col min="11797" max="11797" width="8.109375" bestFit="1" customWidth="1"/>
    <col min="11798" max="11799" width="11.5546875" bestFit="1" customWidth="1"/>
    <col min="11800" max="11801" width="18" customWidth="1"/>
    <col min="11802" max="11802" width="17.109375" customWidth="1"/>
    <col min="11803" max="11804" width="15.6640625" customWidth="1"/>
    <col min="11805" max="11805" width="15" customWidth="1"/>
    <col min="11806" max="11807" width="14.109375" bestFit="1" customWidth="1"/>
    <col min="11808" max="11808" width="11.6640625" bestFit="1" customWidth="1"/>
    <col min="11809" max="11809" width="11.88671875" bestFit="1" customWidth="1"/>
    <col min="11810" max="11810" width="12.5546875" customWidth="1"/>
    <col min="11811" max="11811" width="11.33203125" customWidth="1"/>
    <col min="11812" max="11812" width="11.5546875" customWidth="1"/>
    <col min="11813" max="11813" width="9.33203125" customWidth="1"/>
    <col min="11815" max="11815" width="11.6640625" bestFit="1" customWidth="1"/>
    <col min="11816" max="11816" width="10.6640625" bestFit="1" customWidth="1"/>
    <col min="12031" max="12031" width="12.33203125" bestFit="1" customWidth="1"/>
    <col min="12032" max="12035" width="12.33203125" customWidth="1"/>
    <col min="12036" max="12036" width="11.6640625" customWidth="1"/>
    <col min="12037" max="12051" width="9.6640625" customWidth="1"/>
    <col min="12052" max="12052" width="11.5546875" bestFit="1" customWidth="1"/>
    <col min="12053" max="12053" width="8.109375" bestFit="1" customWidth="1"/>
    <col min="12054" max="12055" width="11.5546875" bestFit="1" customWidth="1"/>
    <col min="12056" max="12057" width="18" customWidth="1"/>
    <col min="12058" max="12058" width="17.109375" customWidth="1"/>
    <col min="12059" max="12060" width="15.6640625" customWidth="1"/>
    <col min="12061" max="12061" width="15" customWidth="1"/>
    <col min="12062" max="12063" width="14.109375" bestFit="1" customWidth="1"/>
    <col min="12064" max="12064" width="11.6640625" bestFit="1" customWidth="1"/>
    <col min="12065" max="12065" width="11.88671875" bestFit="1" customWidth="1"/>
    <col min="12066" max="12066" width="12.5546875" customWidth="1"/>
    <col min="12067" max="12067" width="11.33203125" customWidth="1"/>
    <col min="12068" max="12068" width="11.5546875" customWidth="1"/>
    <col min="12069" max="12069" width="9.33203125" customWidth="1"/>
    <col min="12071" max="12071" width="11.6640625" bestFit="1" customWidth="1"/>
    <col min="12072" max="12072" width="10.6640625" bestFit="1" customWidth="1"/>
    <col min="12287" max="12287" width="12.33203125" bestFit="1" customWidth="1"/>
    <col min="12288" max="12291" width="12.33203125" customWidth="1"/>
    <col min="12292" max="12292" width="11.6640625" customWidth="1"/>
    <col min="12293" max="12307" width="9.6640625" customWidth="1"/>
    <col min="12308" max="12308" width="11.5546875" bestFit="1" customWidth="1"/>
    <col min="12309" max="12309" width="8.109375" bestFit="1" customWidth="1"/>
    <col min="12310" max="12311" width="11.5546875" bestFit="1" customWidth="1"/>
    <col min="12312" max="12313" width="18" customWidth="1"/>
    <col min="12314" max="12314" width="17.109375" customWidth="1"/>
    <col min="12315" max="12316" width="15.6640625" customWidth="1"/>
    <col min="12317" max="12317" width="15" customWidth="1"/>
    <col min="12318" max="12319" width="14.109375" bestFit="1" customWidth="1"/>
    <col min="12320" max="12320" width="11.6640625" bestFit="1" customWidth="1"/>
    <col min="12321" max="12321" width="11.88671875" bestFit="1" customWidth="1"/>
    <col min="12322" max="12322" width="12.5546875" customWidth="1"/>
    <col min="12323" max="12323" width="11.33203125" customWidth="1"/>
    <col min="12324" max="12324" width="11.5546875" customWidth="1"/>
    <col min="12325" max="12325" width="9.33203125" customWidth="1"/>
    <col min="12327" max="12327" width="11.6640625" bestFit="1" customWidth="1"/>
    <col min="12328" max="12328" width="10.6640625" bestFit="1" customWidth="1"/>
    <col min="12543" max="12543" width="12.33203125" bestFit="1" customWidth="1"/>
    <col min="12544" max="12547" width="12.33203125" customWidth="1"/>
    <col min="12548" max="12548" width="11.6640625" customWidth="1"/>
    <col min="12549" max="12563" width="9.6640625" customWidth="1"/>
    <col min="12564" max="12564" width="11.5546875" bestFit="1" customWidth="1"/>
    <col min="12565" max="12565" width="8.109375" bestFit="1" customWidth="1"/>
    <col min="12566" max="12567" width="11.5546875" bestFit="1" customWidth="1"/>
    <col min="12568" max="12569" width="18" customWidth="1"/>
    <col min="12570" max="12570" width="17.109375" customWidth="1"/>
    <col min="12571" max="12572" width="15.6640625" customWidth="1"/>
    <col min="12573" max="12573" width="15" customWidth="1"/>
    <col min="12574" max="12575" width="14.109375" bestFit="1" customWidth="1"/>
    <col min="12576" max="12576" width="11.6640625" bestFit="1" customWidth="1"/>
    <col min="12577" max="12577" width="11.88671875" bestFit="1" customWidth="1"/>
    <col min="12578" max="12578" width="12.5546875" customWidth="1"/>
    <col min="12579" max="12579" width="11.33203125" customWidth="1"/>
    <col min="12580" max="12580" width="11.5546875" customWidth="1"/>
    <col min="12581" max="12581" width="9.33203125" customWidth="1"/>
    <col min="12583" max="12583" width="11.6640625" bestFit="1" customWidth="1"/>
    <col min="12584" max="12584" width="10.6640625" bestFit="1" customWidth="1"/>
    <col min="12799" max="12799" width="12.33203125" bestFit="1" customWidth="1"/>
    <col min="12800" max="12803" width="12.33203125" customWidth="1"/>
    <col min="12804" max="12804" width="11.6640625" customWidth="1"/>
    <col min="12805" max="12819" width="9.6640625" customWidth="1"/>
    <col min="12820" max="12820" width="11.5546875" bestFit="1" customWidth="1"/>
    <col min="12821" max="12821" width="8.109375" bestFit="1" customWidth="1"/>
    <col min="12822" max="12823" width="11.5546875" bestFit="1" customWidth="1"/>
    <col min="12824" max="12825" width="18" customWidth="1"/>
    <col min="12826" max="12826" width="17.109375" customWidth="1"/>
    <col min="12827" max="12828" width="15.6640625" customWidth="1"/>
    <col min="12829" max="12829" width="15" customWidth="1"/>
    <col min="12830" max="12831" width="14.109375" bestFit="1" customWidth="1"/>
    <col min="12832" max="12832" width="11.6640625" bestFit="1" customWidth="1"/>
    <col min="12833" max="12833" width="11.88671875" bestFit="1" customWidth="1"/>
    <col min="12834" max="12834" width="12.5546875" customWidth="1"/>
    <col min="12835" max="12835" width="11.33203125" customWidth="1"/>
    <col min="12836" max="12836" width="11.5546875" customWidth="1"/>
    <col min="12837" max="12837" width="9.33203125" customWidth="1"/>
    <col min="12839" max="12839" width="11.6640625" bestFit="1" customWidth="1"/>
    <col min="12840" max="12840" width="10.6640625" bestFit="1" customWidth="1"/>
    <col min="13055" max="13055" width="12.33203125" bestFit="1" customWidth="1"/>
    <col min="13056" max="13059" width="12.33203125" customWidth="1"/>
    <col min="13060" max="13060" width="11.6640625" customWidth="1"/>
    <col min="13061" max="13075" width="9.6640625" customWidth="1"/>
    <col min="13076" max="13076" width="11.5546875" bestFit="1" customWidth="1"/>
    <col min="13077" max="13077" width="8.109375" bestFit="1" customWidth="1"/>
    <col min="13078" max="13079" width="11.5546875" bestFit="1" customWidth="1"/>
    <col min="13080" max="13081" width="18" customWidth="1"/>
    <col min="13082" max="13082" width="17.109375" customWidth="1"/>
    <col min="13083" max="13084" width="15.6640625" customWidth="1"/>
    <col min="13085" max="13085" width="15" customWidth="1"/>
    <col min="13086" max="13087" width="14.109375" bestFit="1" customWidth="1"/>
    <col min="13088" max="13088" width="11.6640625" bestFit="1" customWidth="1"/>
    <col min="13089" max="13089" width="11.88671875" bestFit="1" customWidth="1"/>
    <col min="13090" max="13090" width="12.5546875" customWidth="1"/>
    <col min="13091" max="13091" width="11.33203125" customWidth="1"/>
    <col min="13092" max="13092" width="11.5546875" customWidth="1"/>
    <col min="13093" max="13093" width="9.33203125" customWidth="1"/>
    <col min="13095" max="13095" width="11.6640625" bestFit="1" customWidth="1"/>
    <col min="13096" max="13096" width="10.6640625" bestFit="1" customWidth="1"/>
    <col min="13311" max="13311" width="12.33203125" bestFit="1" customWidth="1"/>
    <col min="13312" max="13315" width="12.33203125" customWidth="1"/>
    <col min="13316" max="13316" width="11.6640625" customWidth="1"/>
    <col min="13317" max="13331" width="9.6640625" customWidth="1"/>
    <col min="13332" max="13332" width="11.5546875" bestFit="1" customWidth="1"/>
    <col min="13333" max="13333" width="8.109375" bestFit="1" customWidth="1"/>
    <col min="13334" max="13335" width="11.5546875" bestFit="1" customWidth="1"/>
    <col min="13336" max="13337" width="18" customWidth="1"/>
    <col min="13338" max="13338" width="17.109375" customWidth="1"/>
    <col min="13339" max="13340" width="15.6640625" customWidth="1"/>
    <col min="13341" max="13341" width="15" customWidth="1"/>
    <col min="13342" max="13343" width="14.109375" bestFit="1" customWidth="1"/>
    <col min="13344" max="13344" width="11.6640625" bestFit="1" customWidth="1"/>
    <col min="13345" max="13345" width="11.88671875" bestFit="1" customWidth="1"/>
    <col min="13346" max="13346" width="12.5546875" customWidth="1"/>
    <col min="13347" max="13347" width="11.33203125" customWidth="1"/>
    <col min="13348" max="13348" width="11.5546875" customWidth="1"/>
    <col min="13349" max="13349" width="9.33203125" customWidth="1"/>
    <col min="13351" max="13351" width="11.6640625" bestFit="1" customWidth="1"/>
    <col min="13352" max="13352" width="10.6640625" bestFit="1" customWidth="1"/>
    <col min="13567" max="13567" width="12.33203125" bestFit="1" customWidth="1"/>
    <col min="13568" max="13571" width="12.33203125" customWidth="1"/>
    <col min="13572" max="13572" width="11.6640625" customWidth="1"/>
    <col min="13573" max="13587" width="9.6640625" customWidth="1"/>
    <col min="13588" max="13588" width="11.5546875" bestFit="1" customWidth="1"/>
    <col min="13589" max="13589" width="8.109375" bestFit="1" customWidth="1"/>
    <col min="13590" max="13591" width="11.5546875" bestFit="1" customWidth="1"/>
    <col min="13592" max="13593" width="18" customWidth="1"/>
    <col min="13594" max="13594" width="17.109375" customWidth="1"/>
    <col min="13595" max="13596" width="15.6640625" customWidth="1"/>
    <col min="13597" max="13597" width="15" customWidth="1"/>
    <col min="13598" max="13599" width="14.109375" bestFit="1" customWidth="1"/>
    <col min="13600" max="13600" width="11.6640625" bestFit="1" customWidth="1"/>
    <col min="13601" max="13601" width="11.88671875" bestFit="1" customWidth="1"/>
    <col min="13602" max="13602" width="12.5546875" customWidth="1"/>
    <col min="13603" max="13603" width="11.33203125" customWidth="1"/>
    <col min="13604" max="13604" width="11.5546875" customWidth="1"/>
    <col min="13605" max="13605" width="9.33203125" customWidth="1"/>
    <col min="13607" max="13607" width="11.6640625" bestFit="1" customWidth="1"/>
    <col min="13608" max="13608" width="10.6640625" bestFit="1" customWidth="1"/>
    <col min="13823" max="13823" width="12.33203125" bestFit="1" customWidth="1"/>
    <col min="13824" max="13827" width="12.33203125" customWidth="1"/>
    <col min="13828" max="13828" width="11.6640625" customWidth="1"/>
    <col min="13829" max="13843" width="9.6640625" customWidth="1"/>
    <col min="13844" max="13844" width="11.5546875" bestFit="1" customWidth="1"/>
    <col min="13845" max="13845" width="8.109375" bestFit="1" customWidth="1"/>
    <col min="13846" max="13847" width="11.5546875" bestFit="1" customWidth="1"/>
    <col min="13848" max="13849" width="18" customWidth="1"/>
    <col min="13850" max="13850" width="17.109375" customWidth="1"/>
    <col min="13851" max="13852" width="15.6640625" customWidth="1"/>
    <col min="13853" max="13853" width="15" customWidth="1"/>
    <col min="13854" max="13855" width="14.109375" bestFit="1" customWidth="1"/>
    <col min="13856" max="13856" width="11.6640625" bestFit="1" customWidth="1"/>
    <col min="13857" max="13857" width="11.88671875" bestFit="1" customWidth="1"/>
    <col min="13858" max="13858" width="12.5546875" customWidth="1"/>
    <col min="13859" max="13859" width="11.33203125" customWidth="1"/>
    <col min="13860" max="13860" width="11.5546875" customWidth="1"/>
    <col min="13861" max="13861" width="9.33203125" customWidth="1"/>
    <col min="13863" max="13863" width="11.6640625" bestFit="1" customWidth="1"/>
    <col min="13864" max="13864" width="10.6640625" bestFit="1" customWidth="1"/>
    <col min="14079" max="14079" width="12.33203125" bestFit="1" customWidth="1"/>
    <col min="14080" max="14083" width="12.33203125" customWidth="1"/>
    <col min="14084" max="14084" width="11.6640625" customWidth="1"/>
    <col min="14085" max="14099" width="9.6640625" customWidth="1"/>
    <col min="14100" max="14100" width="11.5546875" bestFit="1" customWidth="1"/>
    <col min="14101" max="14101" width="8.109375" bestFit="1" customWidth="1"/>
    <col min="14102" max="14103" width="11.5546875" bestFit="1" customWidth="1"/>
    <col min="14104" max="14105" width="18" customWidth="1"/>
    <col min="14106" max="14106" width="17.109375" customWidth="1"/>
    <col min="14107" max="14108" width="15.6640625" customWidth="1"/>
    <col min="14109" max="14109" width="15" customWidth="1"/>
    <col min="14110" max="14111" width="14.109375" bestFit="1" customWidth="1"/>
    <col min="14112" max="14112" width="11.6640625" bestFit="1" customWidth="1"/>
    <col min="14113" max="14113" width="11.88671875" bestFit="1" customWidth="1"/>
    <col min="14114" max="14114" width="12.5546875" customWidth="1"/>
    <col min="14115" max="14115" width="11.33203125" customWidth="1"/>
    <col min="14116" max="14116" width="11.5546875" customWidth="1"/>
    <col min="14117" max="14117" width="9.33203125" customWidth="1"/>
    <col min="14119" max="14119" width="11.6640625" bestFit="1" customWidth="1"/>
    <col min="14120" max="14120" width="10.6640625" bestFit="1" customWidth="1"/>
    <col min="14335" max="14335" width="12.33203125" bestFit="1" customWidth="1"/>
    <col min="14336" max="14339" width="12.33203125" customWidth="1"/>
    <col min="14340" max="14340" width="11.6640625" customWidth="1"/>
    <col min="14341" max="14355" width="9.6640625" customWidth="1"/>
    <col min="14356" max="14356" width="11.5546875" bestFit="1" customWidth="1"/>
    <col min="14357" max="14357" width="8.109375" bestFit="1" customWidth="1"/>
    <col min="14358" max="14359" width="11.5546875" bestFit="1" customWidth="1"/>
    <col min="14360" max="14361" width="18" customWidth="1"/>
    <col min="14362" max="14362" width="17.109375" customWidth="1"/>
    <col min="14363" max="14364" width="15.6640625" customWidth="1"/>
    <col min="14365" max="14365" width="15" customWidth="1"/>
    <col min="14366" max="14367" width="14.109375" bestFit="1" customWidth="1"/>
    <col min="14368" max="14368" width="11.6640625" bestFit="1" customWidth="1"/>
    <col min="14369" max="14369" width="11.88671875" bestFit="1" customWidth="1"/>
    <col min="14370" max="14370" width="12.5546875" customWidth="1"/>
    <col min="14371" max="14371" width="11.33203125" customWidth="1"/>
    <col min="14372" max="14372" width="11.5546875" customWidth="1"/>
    <col min="14373" max="14373" width="9.33203125" customWidth="1"/>
    <col min="14375" max="14375" width="11.6640625" bestFit="1" customWidth="1"/>
    <col min="14376" max="14376" width="10.6640625" bestFit="1" customWidth="1"/>
    <col min="14591" max="14591" width="12.33203125" bestFit="1" customWidth="1"/>
    <col min="14592" max="14595" width="12.33203125" customWidth="1"/>
    <col min="14596" max="14596" width="11.6640625" customWidth="1"/>
    <col min="14597" max="14611" width="9.6640625" customWidth="1"/>
    <col min="14612" max="14612" width="11.5546875" bestFit="1" customWidth="1"/>
    <col min="14613" max="14613" width="8.109375" bestFit="1" customWidth="1"/>
    <col min="14614" max="14615" width="11.5546875" bestFit="1" customWidth="1"/>
    <col min="14616" max="14617" width="18" customWidth="1"/>
    <col min="14618" max="14618" width="17.109375" customWidth="1"/>
    <col min="14619" max="14620" width="15.6640625" customWidth="1"/>
    <col min="14621" max="14621" width="15" customWidth="1"/>
    <col min="14622" max="14623" width="14.109375" bestFit="1" customWidth="1"/>
    <col min="14624" max="14624" width="11.6640625" bestFit="1" customWidth="1"/>
    <col min="14625" max="14625" width="11.88671875" bestFit="1" customWidth="1"/>
    <col min="14626" max="14626" width="12.5546875" customWidth="1"/>
    <col min="14627" max="14627" width="11.33203125" customWidth="1"/>
    <col min="14628" max="14628" width="11.5546875" customWidth="1"/>
    <col min="14629" max="14629" width="9.33203125" customWidth="1"/>
    <col min="14631" max="14631" width="11.6640625" bestFit="1" customWidth="1"/>
    <col min="14632" max="14632" width="10.6640625" bestFit="1" customWidth="1"/>
    <col min="14847" max="14847" width="12.33203125" bestFit="1" customWidth="1"/>
    <col min="14848" max="14851" width="12.33203125" customWidth="1"/>
    <col min="14852" max="14852" width="11.6640625" customWidth="1"/>
    <col min="14853" max="14867" width="9.6640625" customWidth="1"/>
    <col min="14868" max="14868" width="11.5546875" bestFit="1" customWidth="1"/>
    <col min="14869" max="14869" width="8.109375" bestFit="1" customWidth="1"/>
    <col min="14870" max="14871" width="11.5546875" bestFit="1" customWidth="1"/>
    <col min="14872" max="14873" width="18" customWidth="1"/>
    <col min="14874" max="14874" width="17.109375" customWidth="1"/>
    <col min="14875" max="14876" width="15.6640625" customWidth="1"/>
    <col min="14877" max="14877" width="15" customWidth="1"/>
    <col min="14878" max="14879" width="14.109375" bestFit="1" customWidth="1"/>
    <col min="14880" max="14880" width="11.6640625" bestFit="1" customWidth="1"/>
    <col min="14881" max="14881" width="11.88671875" bestFit="1" customWidth="1"/>
    <col min="14882" max="14882" width="12.5546875" customWidth="1"/>
    <col min="14883" max="14883" width="11.33203125" customWidth="1"/>
    <col min="14884" max="14884" width="11.5546875" customWidth="1"/>
    <col min="14885" max="14885" width="9.33203125" customWidth="1"/>
    <col min="14887" max="14887" width="11.6640625" bestFit="1" customWidth="1"/>
    <col min="14888" max="14888" width="10.6640625" bestFit="1" customWidth="1"/>
    <col min="15103" max="15103" width="12.33203125" bestFit="1" customWidth="1"/>
    <col min="15104" max="15107" width="12.33203125" customWidth="1"/>
    <col min="15108" max="15108" width="11.6640625" customWidth="1"/>
    <col min="15109" max="15123" width="9.6640625" customWidth="1"/>
    <col min="15124" max="15124" width="11.5546875" bestFit="1" customWidth="1"/>
    <col min="15125" max="15125" width="8.109375" bestFit="1" customWidth="1"/>
    <col min="15126" max="15127" width="11.5546875" bestFit="1" customWidth="1"/>
    <col min="15128" max="15129" width="18" customWidth="1"/>
    <col min="15130" max="15130" width="17.109375" customWidth="1"/>
    <col min="15131" max="15132" width="15.6640625" customWidth="1"/>
    <col min="15133" max="15133" width="15" customWidth="1"/>
    <col min="15134" max="15135" width="14.109375" bestFit="1" customWidth="1"/>
    <col min="15136" max="15136" width="11.6640625" bestFit="1" customWidth="1"/>
    <col min="15137" max="15137" width="11.88671875" bestFit="1" customWidth="1"/>
    <col min="15138" max="15138" width="12.5546875" customWidth="1"/>
    <col min="15139" max="15139" width="11.33203125" customWidth="1"/>
    <col min="15140" max="15140" width="11.5546875" customWidth="1"/>
    <col min="15141" max="15141" width="9.33203125" customWidth="1"/>
    <col min="15143" max="15143" width="11.6640625" bestFit="1" customWidth="1"/>
    <col min="15144" max="15144" width="10.6640625" bestFit="1" customWidth="1"/>
    <col min="15359" max="15359" width="12.33203125" bestFit="1" customWidth="1"/>
    <col min="15360" max="15363" width="12.33203125" customWidth="1"/>
    <col min="15364" max="15364" width="11.6640625" customWidth="1"/>
    <col min="15365" max="15379" width="9.6640625" customWidth="1"/>
    <col min="15380" max="15380" width="11.5546875" bestFit="1" customWidth="1"/>
    <col min="15381" max="15381" width="8.109375" bestFit="1" customWidth="1"/>
    <col min="15382" max="15383" width="11.5546875" bestFit="1" customWidth="1"/>
    <col min="15384" max="15385" width="18" customWidth="1"/>
    <col min="15386" max="15386" width="17.109375" customWidth="1"/>
    <col min="15387" max="15388" width="15.6640625" customWidth="1"/>
    <col min="15389" max="15389" width="15" customWidth="1"/>
    <col min="15390" max="15391" width="14.109375" bestFit="1" customWidth="1"/>
    <col min="15392" max="15392" width="11.6640625" bestFit="1" customWidth="1"/>
    <col min="15393" max="15393" width="11.88671875" bestFit="1" customWidth="1"/>
    <col min="15394" max="15394" width="12.5546875" customWidth="1"/>
    <col min="15395" max="15395" width="11.33203125" customWidth="1"/>
    <col min="15396" max="15396" width="11.5546875" customWidth="1"/>
    <col min="15397" max="15397" width="9.33203125" customWidth="1"/>
    <col min="15399" max="15399" width="11.6640625" bestFit="1" customWidth="1"/>
    <col min="15400" max="15400" width="10.6640625" bestFit="1" customWidth="1"/>
    <col min="15615" max="15615" width="12.33203125" bestFit="1" customWidth="1"/>
    <col min="15616" max="15619" width="12.33203125" customWidth="1"/>
    <col min="15620" max="15620" width="11.6640625" customWidth="1"/>
    <col min="15621" max="15635" width="9.6640625" customWidth="1"/>
    <col min="15636" max="15636" width="11.5546875" bestFit="1" customWidth="1"/>
    <col min="15637" max="15637" width="8.109375" bestFit="1" customWidth="1"/>
    <col min="15638" max="15639" width="11.5546875" bestFit="1" customWidth="1"/>
    <col min="15640" max="15641" width="18" customWidth="1"/>
    <col min="15642" max="15642" width="17.109375" customWidth="1"/>
    <col min="15643" max="15644" width="15.6640625" customWidth="1"/>
    <col min="15645" max="15645" width="15" customWidth="1"/>
    <col min="15646" max="15647" width="14.109375" bestFit="1" customWidth="1"/>
    <col min="15648" max="15648" width="11.6640625" bestFit="1" customWidth="1"/>
    <col min="15649" max="15649" width="11.88671875" bestFit="1" customWidth="1"/>
    <col min="15650" max="15650" width="12.5546875" customWidth="1"/>
    <col min="15651" max="15651" width="11.33203125" customWidth="1"/>
    <col min="15652" max="15652" width="11.5546875" customWidth="1"/>
    <col min="15653" max="15653" width="9.33203125" customWidth="1"/>
    <col min="15655" max="15655" width="11.6640625" bestFit="1" customWidth="1"/>
    <col min="15656" max="15656" width="10.6640625" bestFit="1" customWidth="1"/>
    <col min="15871" max="15871" width="12.33203125" bestFit="1" customWidth="1"/>
    <col min="15872" max="15875" width="12.33203125" customWidth="1"/>
    <col min="15876" max="15876" width="11.6640625" customWidth="1"/>
    <col min="15877" max="15891" width="9.6640625" customWidth="1"/>
    <col min="15892" max="15892" width="11.5546875" bestFit="1" customWidth="1"/>
    <col min="15893" max="15893" width="8.109375" bestFit="1" customWidth="1"/>
    <col min="15894" max="15895" width="11.5546875" bestFit="1" customWidth="1"/>
    <col min="15896" max="15897" width="18" customWidth="1"/>
    <col min="15898" max="15898" width="17.109375" customWidth="1"/>
    <col min="15899" max="15900" width="15.6640625" customWidth="1"/>
    <col min="15901" max="15901" width="15" customWidth="1"/>
    <col min="15902" max="15903" width="14.109375" bestFit="1" customWidth="1"/>
    <col min="15904" max="15904" width="11.6640625" bestFit="1" customWidth="1"/>
    <col min="15905" max="15905" width="11.88671875" bestFit="1" customWidth="1"/>
    <col min="15906" max="15906" width="12.5546875" customWidth="1"/>
    <col min="15907" max="15907" width="11.33203125" customWidth="1"/>
    <col min="15908" max="15908" width="11.5546875" customWidth="1"/>
    <col min="15909" max="15909" width="9.33203125" customWidth="1"/>
    <col min="15911" max="15911" width="11.6640625" bestFit="1" customWidth="1"/>
    <col min="15912" max="15912" width="10.6640625" bestFit="1" customWidth="1"/>
    <col min="16127" max="16127" width="12.33203125" bestFit="1" customWidth="1"/>
    <col min="16128" max="16131" width="12.33203125" customWidth="1"/>
    <col min="16132" max="16132" width="11.6640625" customWidth="1"/>
    <col min="16133" max="16147" width="9.6640625" customWidth="1"/>
    <col min="16148" max="16148" width="11.5546875" bestFit="1" customWidth="1"/>
    <col min="16149" max="16149" width="8.109375" bestFit="1" customWidth="1"/>
    <col min="16150" max="16151" width="11.5546875" bestFit="1" customWidth="1"/>
    <col min="16152" max="16153" width="18" customWidth="1"/>
    <col min="16154" max="16154" width="17.109375" customWidth="1"/>
    <col min="16155" max="16156" width="15.6640625" customWidth="1"/>
    <col min="16157" max="16157" width="15" customWidth="1"/>
    <col min="16158" max="16159" width="14.109375" bestFit="1" customWidth="1"/>
    <col min="16160" max="16160" width="11.6640625" bestFit="1" customWidth="1"/>
    <col min="16161" max="16161" width="11.88671875" bestFit="1" customWidth="1"/>
    <col min="16162" max="16162" width="12.5546875" customWidth="1"/>
    <col min="16163" max="16163" width="11.33203125" customWidth="1"/>
    <col min="16164" max="16164" width="11.5546875" customWidth="1"/>
    <col min="16165" max="16165" width="9.33203125" customWidth="1"/>
    <col min="16167" max="16167" width="11.6640625" bestFit="1" customWidth="1"/>
    <col min="16168" max="16168" width="10.6640625" bestFit="1" customWidth="1"/>
  </cols>
  <sheetData>
    <row r="2" spans="1:27" x14ac:dyDescent="0.25">
      <c r="A2" t="s">
        <v>102</v>
      </c>
      <c r="B2" s="83" t="s">
        <v>133</v>
      </c>
      <c r="C2"/>
      <c r="D2"/>
      <c r="E2"/>
      <c r="F2"/>
    </row>
    <row r="3" spans="1:27" x14ac:dyDescent="0.25">
      <c r="B3"/>
      <c r="C3"/>
      <c r="D3"/>
      <c r="E3"/>
      <c r="F3"/>
      <c r="W3" s="81"/>
    </row>
    <row r="4" spans="1:27" ht="24" x14ac:dyDescent="0.25">
      <c r="A4" s="84" t="s">
        <v>3</v>
      </c>
      <c r="B4" s="85">
        <v>1993</v>
      </c>
      <c r="C4" s="85">
        <v>1994</v>
      </c>
      <c r="D4" s="85">
        <v>1995</v>
      </c>
      <c r="E4" s="85">
        <v>1996</v>
      </c>
      <c r="F4" s="85">
        <v>1997</v>
      </c>
      <c r="G4" s="85">
        <v>1998</v>
      </c>
      <c r="H4" s="85">
        <v>1999</v>
      </c>
      <c r="I4" s="85">
        <v>2000</v>
      </c>
      <c r="J4" s="85">
        <v>2001</v>
      </c>
      <c r="K4" s="85">
        <v>2002</v>
      </c>
      <c r="L4" s="85">
        <v>2003</v>
      </c>
      <c r="M4" s="85">
        <v>2004</v>
      </c>
      <c r="N4" s="85">
        <v>2005</v>
      </c>
      <c r="O4" s="85">
        <v>2006</v>
      </c>
      <c r="P4" s="85">
        <v>2007</v>
      </c>
      <c r="Q4" s="85">
        <v>2008</v>
      </c>
      <c r="R4" s="85">
        <v>2009</v>
      </c>
      <c r="S4" s="85">
        <v>2010</v>
      </c>
      <c r="T4" s="85">
        <v>2011</v>
      </c>
      <c r="U4" s="85">
        <v>2012</v>
      </c>
      <c r="V4" t="s">
        <v>103</v>
      </c>
      <c r="W4" s="129" t="s">
        <v>104</v>
      </c>
      <c r="Y4" s="85"/>
      <c r="Z4" s="85"/>
      <c r="AA4" s="85"/>
    </row>
    <row r="5" spans="1:27" x14ac:dyDescent="0.25">
      <c r="A5" s="86" t="s">
        <v>78</v>
      </c>
      <c r="B5" s="137">
        <v>672.3</v>
      </c>
      <c r="C5" s="137">
        <v>920.4</v>
      </c>
      <c r="D5" s="137">
        <v>643.1</v>
      </c>
      <c r="E5" s="137">
        <v>774.2</v>
      </c>
      <c r="F5" s="137">
        <v>746.1</v>
      </c>
      <c r="G5" s="137">
        <v>620.79999999999995</v>
      </c>
      <c r="H5" s="137">
        <v>774.6</v>
      </c>
      <c r="I5" s="137">
        <v>747.9</v>
      </c>
      <c r="J5" s="137">
        <v>703</v>
      </c>
      <c r="K5" s="137">
        <v>592.6</v>
      </c>
      <c r="L5" s="137">
        <v>829.5</v>
      </c>
      <c r="M5" s="137">
        <v>859.1</v>
      </c>
      <c r="N5" s="137">
        <v>765.8</v>
      </c>
      <c r="O5" s="137">
        <v>554.70000000000005</v>
      </c>
      <c r="P5" s="137">
        <v>665.6</v>
      </c>
      <c r="Q5" s="137">
        <v>633.6</v>
      </c>
      <c r="R5" s="137">
        <v>852.3</v>
      </c>
      <c r="S5" s="137">
        <v>728.7</v>
      </c>
      <c r="T5" s="137">
        <v>804.3</v>
      </c>
      <c r="U5" s="137">
        <v>631.70000000000005</v>
      </c>
      <c r="V5" s="87">
        <f>AVERAGE(L5:U5)</f>
        <v>732.53</v>
      </c>
      <c r="W5" s="143">
        <f>TREND(B5:U5,$B$4:$U$4,2014)</f>
        <v>708.50819548872141</v>
      </c>
    </row>
    <row r="6" spans="1:27" x14ac:dyDescent="0.25">
      <c r="A6" s="86" t="s">
        <v>79</v>
      </c>
      <c r="B6" s="137">
        <v>729.1</v>
      </c>
      <c r="C6" s="137">
        <v>747.1</v>
      </c>
      <c r="D6" s="137">
        <v>709.5</v>
      </c>
      <c r="E6" s="137">
        <v>699.4</v>
      </c>
      <c r="F6" s="137">
        <v>573.79999999999995</v>
      </c>
      <c r="G6" s="137">
        <v>520.29999999999995</v>
      </c>
      <c r="H6" s="137">
        <v>556.79999999999995</v>
      </c>
      <c r="I6" s="137">
        <v>622.70000000000005</v>
      </c>
      <c r="J6" s="137">
        <v>597.29999999999995</v>
      </c>
      <c r="K6" s="137">
        <v>553.9</v>
      </c>
      <c r="L6" s="137">
        <v>699.2</v>
      </c>
      <c r="M6" s="137">
        <v>647.70000000000005</v>
      </c>
      <c r="N6" s="137">
        <v>641.70000000000005</v>
      </c>
      <c r="O6" s="137">
        <v>602.79999999999995</v>
      </c>
      <c r="P6" s="137">
        <v>761.8</v>
      </c>
      <c r="Q6" s="137">
        <v>678.8</v>
      </c>
      <c r="R6" s="137">
        <v>616.6</v>
      </c>
      <c r="S6" s="137">
        <v>618.4</v>
      </c>
      <c r="T6" s="137">
        <v>660.1</v>
      </c>
      <c r="U6" s="137">
        <v>550.5</v>
      </c>
      <c r="V6" s="87">
        <f t="shared" ref="V6:V16" si="0">AVERAGE(L6:U6)</f>
        <v>647.76</v>
      </c>
      <c r="W6" s="143">
        <f t="shared" ref="W6:W16" si="1">TREND(B6:U6,$B$4:$U$4,2014)</f>
        <v>611.0720300751882</v>
      </c>
    </row>
    <row r="7" spans="1:27" x14ac:dyDescent="0.25">
      <c r="A7" s="86" t="s">
        <v>80</v>
      </c>
      <c r="B7" s="137">
        <v>640.79999999999995</v>
      </c>
      <c r="C7" s="137">
        <v>595.79999999999995</v>
      </c>
      <c r="D7" s="137">
        <v>499</v>
      </c>
      <c r="E7" s="137">
        <v>666.6</v>
      </c>
      <c r="F7" s="137">
        <v>583.1</v>
      </c>
      <c r="G7" s="137">
        <v>504.6</v>
      </c>
      <c r="H7" s="137">
        <v>566.79999999999995</v>
      </c>
      <c r="I7" s="137">
        <v>434.7</v>
      </c>
      <c r="J7" s="137">
        <v>598.5</v>
      </c>
      <c r="K7" s="137">
        <v>539.29999999999995</v>
      </c>
      <c r="L7" s="137">
        <v>593.1</v>
      </c>
      <c r="M7" s="137">
        <v>513.6</v>
      </c>
      <c r="N7" s="137">
        <v>646.9</v>
      </c>
      <c r="O7" s="137">
        <v>530.4</v>
      </c>
      <c r="P7" s="137">
        <v>565.20000000000005</v>
      </c>
      <c r="Q7" s="137">
        <v>620.70000000000005</v>
      </c>
      <c r="R7" s="137">
        <v>540.9</v>
      </c>
      <c r="S7" s="137">
        <v>456.8</v>
      </c>
      <c r="T7" s="137">
        <v>596.70000000000005</v>
      </c>
      <c r="U7" s="137">
        <v>351.4</v>
      </c>
      <c r="V7" s="87">
        <f t="shared" si="0"/>
        <v>541.56999999999994</v>
      </c>
      <c r="W7" s="143">
        <f t="shared" si="1"/>
        <v>498.75616541353338</v>
      </c>
    </row>
    <row r="8" spans="1:27" x14ac:dyDescent="0.25">
      <c r="A8" s="86" t="s">
        <v>81</v>
      </c>
      <c r="B8" s="137">
        <v>355.3</v>
      </c>
      <c r="C8" s="137">
        <v>333.9</v>
      </c>
      <c r="D8" s="137">
        <v>422.7</v>
      </c>
      <c r="E8" s="137">
        <v>408.3</v>
      </c>
      <c r="F8" s="137">
        <v>375.1</v>
      </c>
      <c r="G8" s="137">
        <v>290.7</v>
      </c>
      <c r="H8" s="137">
        <v>317.5</v>
      </c>
      <c r="I8" s="137">
        <v>363.5</v>
      </c>
      <c r="J8" s="137">
        <v>314.10000000000002</v>
      </c>
      <c r="K8" s="137">
        <v>338.9</v>
      </c>
      <c r="L8" s="137">
        <v>387.1</v>
      </c>
      <c r="M8" s="137">
        <v>329.3</v>
      </c>
      <c r="N8" s="137">
        <v>339</v>
      </c>
      <c r="O8" s="137">
        <v>314.60000000000002</v>
      </c>
      <c r="P8" s="137">
        <v>374.2</v>
      </c>
      <c r="Q8" s="137">
        <v>288.10000000000002</v>
      </c>
      <c r="R8" s="137">
        <v>334.7</v>
      </c>
      <c r="S8" s="137">
        <v>235.8</v>
      </c>
      <c r="T8" s="137">
        <v>354</v>
      </c>
      <c r="U8" s="137">
        <v>335.9</v>
      </c>
      <c r="V8" s="87">
        <f t="shared" si="0"/>
        <v>329.27000000000004</v>
      </c>
      <c r="W8" s="143">
        <f t="shared" si="1"/>
        <v>305.68796992481293</v>
      </c>
    </row>
    <row r="9" spans="1:27" x14ac:dyDescent="0.25">
      <c r="A9" s="86" t="s">
        <v>82</v>
      </c>
      <c r="B9" s="137">
        <v>186</v>
      </c>
      <c r="C9" s="137">
        <v>212.6</v>
      </c>
      <c r="D9" s="137">
        <v>165.4</v>
      </c>
      <c r="E9" s="137">
        <v>210.1</v>
      </c>
      <c r="F9" s="137">
        <v>269.60000000000002</v>
      </c>
      <c r="G9" s="137">
        <v>82.1</v>
      </c>
      <c r="H9" s="137">
        <v>113.1</v>
      </c>
      <c r="I9" s="137">
        <v>151.69999999999999</v>
      </c>
      <c r="J9" s="137">
        <v>142.19999999999999</v>
      </c>
      <c r="K9" s="137">
        <v>248.9</v>
      </c>
      <c r="L9" s="137">
        <v>215.8</v>
      </c>
      <c r="M9" s="137">
        <v>164.1</v>
      </c>
      <c r="N9" s="137">
        <v>212.7</v>
      </c>
      <c r="O9" s="137">
        <v>155.5</v>
      </c>
      <c r="P9" s="137">
        <v>138.4</v>
      </c>
      <c r="Q9" s="137">
        <v>214.1</v>
      </c>
      <c r="R9" s="137">
        <v>178.1</v>
      </c>
      <c r="S9" s="137">
        <v>128.4</v>
      </c>
      <c r="T9" s="137">
        <v>158.6</v>
      </c>
      <c r="U9" s="137">
        <v>89.4</v>
      </c>
      <c r="V9" s="87">
        <f t="shared" si="0"/>
        <v>165.51</v>
      </c>
      <c r="W9" s="143">
        <f t="shared" si="1"/>
        <v>144.22443609022594</v>
      </c>
    </row>
    <row r="10" spans="1:27" x14ac:dyDescent="0.25">
      <c r="A10" s="86" t="s">
        <v>83</v>
      </c>
      <c r="B10" s="137">
        <v>54.3</v>
      </c>
      <c r="C10" s="137">
        <v>42.8</v>
      </c>
      <c r="D10" s="137">
        <v>21.7</v>
      </c>
      <c r="E10" s="137">
        <v>26.5</v>
      </c>
      <c r="F10" s="137">
        <v>33.299999999999997</v>
      </c>
      <c r="G10" s="137">
        <v>63.3</v>
      </c>
      <c r="H10" s="137">
        <v>37.5</v>
      </c>
      <c r="I10" s="137">
        <v>42.8</v>
      </c>
      <c r="J10" s="137">
        <v>40.9</v>
      </c>
      <c r="K10" s="137">
        <v>41.9</v>
      </c>
      <c r="L10" s="137">
        <v>54.5</v>
      </c>
      <c r="M10" s="137">
        <v>60.1</v>
      </c>
      <c r="N10" s="137">
        <v>13.1</v>
      </c>
      <c r="O10" s="137">
        <v>26.7</v>
      </c>
      <c r="P10" s="137">
        <v>19.2</v>
      </c>
      <c r="Q10" s="137">
        <v>34.200000000000003</v>
      </c>
      <c r="R10" s="137">
        <v>58.5</v>
      </c>
      <c r="S10" s="137">
        <v>27.2</v>
      </c>
      <c r="T10" s="137">
        <v>25</v>
      </c>
      <c r="U10" s="137">
        <v>32.4</v>
      </c>
      <c r="V10" s="87">
        <f t="shared" si="0"/>
        <v>35.089999999999989</v>
      </c>
      <c r="W10" s="143">
        <f t="shared" si="1"/>
        <v>31.214060150375872</v>
      </c>
    </row>
    <row r="11" spans="1:27" x14ac:dyDescent="0.25">
      <c r="A11" s="86" t="s">
        <v>84</v>
      </c>
      <c r="B11" s="137">
        <v>1.7</v>
      </c>
      <c r="C11" s="137">
        <v>3.6</v>
      </c>
      <c r="D11" s="137">
        <v>13.4</v>
      </c>
      <c r="E11" s="137">
        <v>12</v>
      </c>
      <c r="F11" s="137">
        <v>14.5</v>
      </c>
      <c r="G11" s="137">
        <v>1.3</v>
      </c>
      <c r="H11" s="137">
        <v>1</v>
      </c>
      <c r="I11" s="137">
        <v>12.2</v>
      </c>
      <c r="J11" s="137">
        <v>17.899999999999999</v>
      </c>
      <c r="K11" s="137">
        <v>0.9</v>
      </c>
      <c r="L11" s="137">
        <v>6.5</v>
      </c>
      <c r="M11" s="137">
        <v>7.7</v>
      </c>
      <c r="N11" s="137">
        <v>1.1000000000000001</v>
      </c>
      <c r="O11" s="137">
        <v>1.9</v>
      </c>
      <c r="P11" s="137">
        <v>9.1999999999999993</v>
      </c>
      <c r="Q11" s="137">
        <v>3.7</v>
      </c>
      <c r="R11" s="137">
        <v>18.899999999999999</v>
      </c>
      <c r="S11" s="137">
        <v>5.7</v>
      </c>
      <c r="T11" s="137">
        <v>0</v>
      </c>
      <c r="U11" s="137">
        <v>0</v>
      </c>
      <c r="V11" s="87">
        <f t="shared" si="0"/>
        <v>5.4700000000000006</v>
      </c>
      <c r="W11" s="143">
        <f t="shared" si="1"/>
        <v>4.5744360902255607</v>
      </c>
    </row>
    <row r="12" spans="1:27" x14ac:dyDescent="0.25">
      <c r="A12" s="86" t="s">
        <v>85</v>
      </c>
      <c r="B12" s="137">
        <v>8.6</v>
      </c>
      <c r="C12" s="137">
        <v>29</v>
      </c>
      <c r="D12" s="137">
        <v>4.0999999999999996</v>
      </c>
      <c r="E12" s="137">
        <v>2.2000000000000002</v>
      </c>
      <c r="F12" s="137">
        <v>23.1</v>
      </c>
      <c r="G12" s="137">
        <v>5.3</v>
      </c>
      <c r="H12" s="137">
        <v>12.7</v>
      </c>
      <c r="I12" s="137">
        <v>18</v>
      </c>
      <c r="J12" s="137">
        <v>0.7</v>
      </c>
      <c r="K12" s="137">
        <v>4.2</v>
      </c>
      <c r="L12" s="137">
        <v>5.7</v>
      </c>
      <c r="M12" s="137">
        <v>28.9</v>
      </c>
      <c r="N12" s="137">
        <v>3.8</v>
      </c>
      <c r="O12" s="137">
        <v>8.1</v>
      </c>
      <c r="P12" s="137">
        <v>8.4</v>
      </c>
      <c r="Q12" s="137">
        <v>20.2</v>
      </c>
      <c r="R12" s="137">
        <v>18.100000000000001</v>
      </c>
      <c r="S12" s="137">
        <v>6.9</v>
      </c>
      <c r="T12" s="137">
        <v>2.4</v>
      </c>
      <c r="U12" s="137">
        <v>8.4</v>
      </c>
      <c r="V12" s="87">
        <f t="shared" si="0"/>
        <v>11.09</v>
      </c>
      <c r="W12" s="143">
        <f t="shared" si="1"/>
        <v>8.9651127819549288</v>
      </c>
    </row>
    <row r="13" spans="1:27" x14ac:dyDescent="0.25">
      <c r="A13" s="86" t="s">
        <v>86</v>
      </c>
      <c r="B13" s="137">
        <v>148.1</v>
      </c>
      <c r="C13" s="137">
        <v>91.9</v>
      </c>
      <c r="D13" s="137">
        <v>121</v>
      </c>
      <c r="E13" s="137">
        <v>85.4</v>
      </c>
      <c r="F13" s="137">
        <v>89.5</v>
      </c>
      <c r="G13" s="137">
        <v>51.8</v>
      </c>
      <c r="H13" s="137">
        <v>71</v>
      </c>
      <c r="I13" s="137">
        <v>115.3</v>
      </c>
      <c r="J13" s="137">
        <v>93.3</v>
      </c>
      <c r="K13" s="137">
        <v>32.799999999999997</v>
      </c>
      <c r="L13" s="137">
        <v>73.900000000000006</v>
      </c>
      <c r="M13" s="137">
        <v>43.9</v>
      </c>
      <c r="N13" s="137">
        <v>32.799999999999997</v>
      </c>
      <c r="O13" s="137">
        <v>105.3</v>
      </c>
      <c r="P13" s="137">
        <v>55.2</v>
      </c>
      <c r="Q13" s="137">
        <v>70.5</v>
      </c>
      <c r="R13" s="137">
        <v>67.900000000000006</v>
      </c>
      <c r="S13" s="137">
        <v>97.2</v>
      </c>
      <c r="T13" s="137">
        <v>68.7</v>
      </c>
      <c r="U13" s="137">
        <v>101.8</v>
      </c>
      <c r="V13" s="87">
        <f t="shared" si="0"/>
        <v>71.72</v>
      </c>
      <c r="W13" s="143">
        <f t="shared" si="1"/>
        <v>60.835112781954649</v>
      </c>
    </row>
    <row r="14" spans="1:27" x14ac:dyDescent="0.25">
      <c r="A14" s="86" t="s">
        <v>87</v>
      </c>
      <c r="B14" s="137">
        <v>321.89999999999998</v>
      </c>
      <c r="C14" s="137">
        <v>251.4</v>
      </c>
      <c r="D14" s="137">
        <v>223.7</v>
      </c>
      <c r="E14" s="137">
        <v>272.39999999999998</v>
      </c>
      <c r="F14" s="137">
        <v>270</v>
      </c>
      <c r="G14" s="137">
        <v>234.9</v>
      </c>
      <c r="H14" s="137">
        <v>282.5</v>
      </c>
      <c r="I14" s="137">
        <v>230.8</v>
      </c>
      <c r="J14" s="137">
        <v>243.5</v>
      </c>
      <c r="K14" s="137">
        <v>304.10000000000002</v>
      </c>
      <c r="L14" s="137">
        <v>293.5</v>
      </c>
      <c r="M14" s="137">
        <v>253.5</v>
      </c>
      <c r="N14" s="137">
        <v>234.2</v>
      </c>
      <c r="O14" s="137">
        <v>304.10000000000002</v>
      </c>
      <c r="P14" s="137">
        <v>157.80000000000001</v>
      </c>
      <c r="Q14" s="137">
        <v>297.5</v>
      </c>
      <c r="R14" s="137">
        <v>310.39999999999998</v>
      </c>
      <c r="S14" s="137">
        <v>260.8</v>
      </c>
      <c r="T14" s="137">
        <v>256</v>
      </c>
      <c r="U14" s="137">
        <v>243</v>
      </c>
      <c r="V14" s="87">
        <f t="shared" si="0"/>
        <v>261.08000000000004</v>
      </c>
      <c r="W14" s="143">
        <f t="shared" si="1"/>
        <v>257.33511278195488</v>
      </c>
    </row>
    <row r="15" spans="1:27" x14ac:dyDescent="0.25">
      <c r="A15" s="86" t="s">
        <v>88</v>
      </c>
      <c r="B15" s="137">
        <v>449.7</v>
      </c>
      <c r="C15" s="137">
        <v>375</v>
      </c>
      <c r="D15" s="137">
        <v>516.70000000000005</v>
      </c>
      <c r="E15" s="137">
        <v>521</v>
      </c>
      <c r="F15" s="137">
        <v>485.1</v>
      </c>
      <c r="G15" s="137">
        <v>402.7</v>
      </c>
      <c r="H15" s="137">
        <v>377.2</v>
      </c>
      <c r="I15" s="137">
        <v>447.4</v>
      </c>
      <c r="J15" s="137">
        <v>332.1</v>
      </c>
      <c r="K15" s="137">
        <v>449.5</v>
      </c>
      <c r="L15" s="137">
        <v>391.5</v>
      </c>
      <c r="M15" s="137">
        <v>396</v>
      </c>
      <c r="N15" s="137">
        <v>396.3</v>
      </c>
      <c r="O15" s="137">
        <v>393.1</v>
      </c>
      <c r="P15" s="137">
        <v>467.5</v>
      </c>
      <c r="Q15" s="137">
        <v>460.6</v>
      </c>
      <c r="R15" s="137">
        <v>371.7</v>
      </c>
      <c r="S15" s="137">
        <v>416.7</v>
      </c>
      <c r="T15" s="137">
        <v>349.2</v>
      </c>
      <c r="U15" s="137">
        <v>433.9</v>
      </c>
      <c r="V15" s="87">
        <f t="shared" si="0"/>
        <v>407.65</v>
      </c>
      <c r="W15" s="143">
        <f t="shared" si="1"/>
        <v>388.12639097744341</v>
      </c>
    </row>
    <row r="16" spans="1:27" x14ac:dyDescent="0.25">
      <c r="A16" s="86" t="s">
        <v>90</v>
      </c>
      <c r="B16" s="137">
        <v>624.20000000000005</v>
      </c>
      <c r="C16" s="137">
        <v>569.6</v>
      </c>
      <c r="D16" s="137">
        <v>713.3</v>
      </c>
      <c r="E16" s="137">
        <v>570.79999999999995</v>
      </c>
      <c r="F16" s="137">
        <v>596.9</v>
      </c>
      <c r="G16" s="137">
        <v>539.5</v>
      </c>
      <c r="H16" s="137">
        <v>588.5</v>
      </c>
      <c r="I16" s="137">
        <v>811.6</v>
      </c>
      <c r="J16" s="137">
        <v>535.20000000000005</v>
      </c>
      <c r="K16" s="137">
        <v>643.20000000000005</v>
      </c>
      <c r="L16" s="137">
        <v>571</v>
      </c>
      <c r="M16" s="137">
        <v>636.70000000000005</v>
      </c>
      <c r="N16" s="137">
        <v>688.8</v>
      </c>
      <c r="O16" s="137">
        <v>508.1</v>
      </c>
      <c r="P16" s="137">
        <v>641</v>
      </c>
      <c r="Q16" s="137">
        <v>655.29999999999995</v>
      </c>
      <c r="R16" s="137">
        <v>643.6</v>
      </c>
      <c r="S16" s="137">
        <v>695.9</v>
      </c>
      <c r="T16" s="137">
        <v>524.79999999999995</v>
      </c>
      <c r="U16" s="137">
        <v>436.4</v>
      </c>
      <c r="V16" s="87">
        <f t="shared" si="0"/>
        <v>600.16</v>
      </c>
      <c r="W16" s="143">
        <f t="shared" si="1"/>
        <v>583.49481203007599</v>
      </c>
    </row>
    <row r="17" spans="1:23" x14ac:dyDescent="0.25">
      <c r="A17" s="86"/>
      <c r="B17" s="139">
        <f>SUM(B5:B16)</f>
        <v>4192</v>
      </c>
      <c r="C17" s="139">
        <f t="shared" ref="C17:U17" si="2">SUM(C5:C16)</f>
        <v>4173.1000000000004</v>
      </c>
      <c r="D17" s="139">
        <f t="shared" si="2"/>
        <v>4053.5999999999995</v>
      </c>
      <c r="E17" s="139">
        <f t="shared" si="2"/>
        <v>4248.8999999999996</v>
      </c>
      <c r="F17" s="139">
        <f t="shared" si="2"/>
        <v>4060.1</v>
      </c>
      <c r="G17" s="139">
        <f t="shared" si="2"/>
        <v>3317.3</v>
      </c>
      <c r="H17" s="139">
        <f t="shared" si="2"/>
        <v>3699.1999999999994</v>
      </c>
      <c r="I17" s="139">
        <f t="shared" si="2"/>
        <v>3998.6000000000004</v>
      </c>
      <c r="J17" s="139">
        <f t="shared" si="2"/>
        <v>3618.7</v>
      </c>
      <c r="K17" s="139">
        <f t="shared" si="2"/>
        <v>3750.2</v>
      </c>
      <c r="L17" s="139">
        <f t="shared" si="2"/>
        <v>4121.3</v>
      </c>
      <c r="M17" s="139">
        <f t="shared" si="2"/>
        <v>3940.6000000000004</v>
      </c>
      <c r="N17" s="139">
        <f t="shared" si="2"/>
        <v>3976.2</v>
      </c>
      <c r="O17" s="139">
        <f t="shared" si="2"/>
        <v>3505.2999999999997</v>
      </c>
      <c r="P17" s="139">
        <f t="shared" si="2"/>
        <v>3863.5</v>
      </c>
      <c r="Q17" s="139">
        <f t="shared" si="2"/>
        <v>3977.2999999999993</v>
      </c>
      <c r="R17" s="139">
        <f t="shared" si="2"/>
        <v>4011.7</v>
      </c>
      <c r="S17" s="139">
        <f t="shared" si="2"/>
        <v>3678.4999999999995</v>
      </c>
      <c r="T17" s="139">
        <f t="shared" si="2"/>
        <v>3799.8</v>
      </c>
      <c r="U17" s="139">
        <f t="shared" si="2"/>
        <v>3214.8000000000006</v>
      </c>
      <c r="V17" s="142">
        <f>SUM(V5:V16)</f>
        <v>3808.9</v>
      </c>
      <c r="W17" s="142">
        <f>SUM(W5:W16)</f>
        <v>3602.7938345864668</v>
      </c>
    </row>
    <row r="18" spans="1:23" ht="24" x14ac:dyDescent="0.25">
      <c r="A18" s="84" t="s">
        <v>4</v>
      </c>
      <c r="B18" s="85">
        <f>B4</f>
        <v>1993</v>
      </c>
      <c r="C18" s="85">
        <f>C4</f>
        <v>1994</v>
      </c>
      <c r="D18" s="85">
        <f>D4</f>
        <v>1995</v>
      </c>
      <c r="E18" s="85">
        <f>E4</f>
        <v>1996</v>
      </c>
      <c r="F18" s="85">
        <f t="shared" ref="F18:U18" si="3">F4</f>
        <v>1997</v>
      </c>
      <c r="G18" s="85">
        <f t="shared" si="3"/>
        <v>1998</v>
      </c>
      <c r="H18" s="85">
        <f t="shared" si="3"/>
        <v>1999</v>
      </c>
      <c r="I18" s="85">
        <f t="shared" si="3"/>
        <v>2000</v>
      </c>
      <c r="J18" s="85">
        <f t="shared" si="3"/>
        <v>2001</v>
      </c>
      <c r="K18" s="85">
        <f t="shared" si="3"/>
        <v>2002</v>
      </c>
      <c r="L18" s="85">
        <f t="shared" si="3"/>
        <v>2003</v>
      </c>
      <c r="M18" s="85">
        <f t="shared" si="3"/>
        <v>2004</v>
      </c>
      <c r="N18" s="85">
        <f t="shared" si="3"/>
        <v>2005</v>
      </c>
      <c r="O18" s="85">
        <f t="shared" si="3"/>
        <v>2006</v>
      </c>
      <c r="P18" s="85">
        <f t="shared" si="3"/>
        <v>2007</v>
      </c>
      <c r="Q18" s="85">
        <f t="shared" si="3"/>
        <v>2008</v>
      </c>
      <c r="R18" s="85">
        <f t="shared" si="3"/>
        <v>2009</v>
      </c>
      <c r="S18" s="85">
        <f t="shared" si="3"/>
        <v>2010</v>
      </c>
      <c r="T18" s="85">
        <f t="shared" si="3"/>
        <v>2011</v>
      </c>
      <c r="U18" s="85">
        <f t="shared" si="3"/>
        <v>2012</v>
      </c>
      <c r="V18" t="s">
        <v>103</v>
      </c>
      <c r="W18" s="129" t="s">
        <v>104</v>
      </c>
    </row>
    <row r="19" spans="1:23" x14ac:dyDescent="0.25">
      <c r="A19" s="86" t="s">
        <v>78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87">
        <f>AVERAGE(L19:U19)</f>
        <v>0</v>
      </c>
      <c r="W19" s="143">
        <f t="shared" ref="W19:W30" si="4">TREND(B19:U19,$B$4:$U$4,2014)</f>
        <v>0</v>
      </c>
    </row>
    <row r="20" spans="1:23" x14ac:dyDescent="0.25">
      <c r="A20" s="86" t="s">
        <v>79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87">
        <f t="shared" ref="V20:V30" si="5">AVERAGE(L20:U20)</f>
        <v>0</v>
      </c>
      <c r="W20" s="143">
        <f t="shared" si="4"/>
        <v>0</v>
      </c>
    </row>
    <row r="21" spans="1:23" x14ac:dyDescent="0.25">
      <c r="A21" s="86" t="s">
        <v>80</v>
      </c>
      <c r="B21" s="137">
        <v>0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0.2</v>
      </c>
      <c r="V21" s="87">
        <f t="shared" si="5"/>
        <v>0.02</v>
      </c>
      <c r="W21" s="143">
        <f t="shared" si="4"/>
        <v>4.2857142857142705E-2</v>
      </c>
    </row>
    <row r="22" spans="1:23" x14ac:dyDescent="0.25">
      <c r="A22" s="86" t="s">
        <v>81</v>
      </c>
      <c r="B22" s="137">
        <v>0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8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1.7</v>
      </c>
      <c r="S22" s="138">
        <v>0.8</v>
      </c>
      <c r="T22" s="138">
        <v>0</v>
      </c>
      <c r="U22" s="138">
        <v>0</v>
      </c>
      <c r="V22" s="87">
        <f t="shared" si="5"/>
        <v>0.25</v>
      </c>
      <c r="W22" s="143">
        <f t="shared" si="4"/>
        <v>0.75067669172931772</v>
      </c>
    </row>
    <row r="23" spans="1:23" x14ac:dyDescent="0.25">
      <c r="A23" s="86" t="s">
        <v>82</v>
      </c>
      <c r="B23" s="137">
        <v>2.9</v>
      </c>
      <c r="C23" s="137">
        <v>7.5</v>
      </c>
      <c r="D23" s="137">
        <v>0.6</v>
      </c>
      <c r="E23" s="137">
        <v>10.7</v>
      </c>
      <c r="F23" s="137">
        <v>0</v>
      </c>
      <c r="G23" s="137">
        <v>29.2</v>
      </c>
      <c r="H23" s="137">
        <v>13.6</v>
      </c>
      <c r="I23" s="137">
        <v>18.7</v>
      </c>
      <c r="J23" s="137">
        <v>8.3000000000000007</v>
      </c>
      <c r="K23" s="137">
        <v>8.3000000000000007</v>
      </c>
      <c r="L23" s="138">
        <v>0</v>
      </c>
      <c r="M23" s="138">
        <v>14.2</v>
      </c>
      <c r="N23" s="138">
        <v>0</v>
      </c>
      <c r="O23" s="138">
        <v>22.4</v>
      </c>
      <c r="P23" s="138">
        <v>23.3</v>
      </c>
      <c r="Q23" s="138">
        <v>0.3</v>
      </c>
      <c r="R23" s="138">
        <v>0</v>
      </c>
      <c r="S23" s="138">
        <v>28.8</v>
      </c>
      <c r="T23" s="138">
        <v>13.3</v>
      </c>
      <c r="U23" s="138">
        <v>26.5</v>
      </c>
      <c r="V23" s="87">
        <f t="shared" si="5"/>
        <v>12.879999999999999</v>
      </c>
      <c r="W23" s="143">
        <f t="shared" si="4"/>
        <v>17.989323308270741</v>
      </c>
    </row>
    <row r="24" spans="1:23" x14ac:dyDescent="0.25">
      <c r="A24" s="86" t="s">
        <v>83</v>
      </c>
      <c r="B24" s="137">
        <v>28.7</v>
      </c>
      <c r="C24" s="137">
        <v>66.5</v>
      </c>
      <c r="D24" s="137">
        <v>75.3</v>
      </c>
      <c r="E24" s="137">
        <v>32.700000000000003</v>
      </c>
      <c r="F24" s="137">
        <v>61.8</v>
      </c>
      <c r="G24" s="137">
        <v>79.2</v>
      </c>
      <c r="H24" s="137">
        <v>86.3</v>
      </c>
      <c r="I24" s="137">
        <v>38.6</v>
      </c>
      <c r="J24" s="137">
        <v>63.7</v>
      </c>
      <c r="K24" s="137">
        <v>64.7</v>
      </c>
      <c r="L24" s="138">
        <v>41.4</v>
      </c>
      <c r="M24" s="138">
        <v>29.2</v>
      </c>
      <c r="N24" s="138">
        <v>119.6</v>
      </c>
      <c r="O24" s="138">
        <v>43.2</v>
      </c>
      <c r="P24" s="138">
        <v>74.2</v>
      </c>
      <c r="Q24" s="138">
        <v>55</v>
      </c>
      <c r="R24" s="138">
        <v>30.2</v>
      </c>
      <c r="S24" s="138">
        <v>44.8</v>
      </c>
      <c r="T24" s="138">
        <v>40</v>
      </c>
      <c r="U24" s="138">
        <v>74.8</v>
      </c>
      <c r="V24" s="87">
        <f t="shared" si="5"/>
        <v>55.239999999999995</v>
      </c>
      <c r="W24" s="143">
        <f t="shared" si="4"/>
        <v>55.697368421052659</v>
      </c>
    </row>
    <row r="25" spans="1:23" x14ac:dyDescent="0.25">
      <c r="A25" s="86" t="s">
        <v>84</v>
      </c>
      <c r="B25" s="137">
        <v>111.4</v>
      </c>
      <c r="C25" s="137">
        <v>95</v>
      </c>
      <c r="D25" s="137">
        <v>124.9</v>
      </c>
      <c r="E25" s="137">
        <v>56.3</v>
      </c>
      <c r="F25" s="137">
        <v>72.099999999999994</v>
      </c>
      <c r="G25" s="137">
        <v>74</v>
      </c>
      <c r="H25" s="137">
        <v>163.69999999999999</v>
      </c>
      <c r="I25" s="137">
        <v>57.7</v>
      </c>
      <c r="J25" s="137">
        <v>79.599999999999994</v>
      </c>
      <c r="K25" s="137">
        <v>151</v>
      </c>
      <c r="L25" s="138">
        <v>83.9</v>
      </c>
      <c r="M25" s="138">
        <v>71.599999999999994</v>
      </c>
      <c r="N25" s="138">
        <v>144.69999999999999</v>
      </c>
      <c r="O25" s="138">
        <v>136.1</v>
      </c>
      <c r="P25" s="138">
        <v>82</v>
      </c>
      <c r="Q25" s="138">
        <v>87.7</v>
      </c>
      <c r="R25" s="138">
        <v>21.7</v>
      </c>
      <c r="S25" s="138">
        <v>121.6</v>
      </c>
      <c r="T25" s="138">
        <v>163.69999999999999</v>
      </c>
      <c r="U25" s="138">
        <v>160.19999999999999</v>
      </c>
      <c r="V25" s="87">
        <f t="shared" si="5"/>
        <v>107.32000000000001</v>
      </c>
      <c r="W25" s="143">
        <f t="shared" si="4"/>
        <v>120.15263157894742</v>
      </c>
    </row>
    <row r="26" spans="1:23" x14ac:dyDescent="0.25">
      <c r="A26" s="86" t="s">
        <v>85</v>
      </c>
      <c r="B26" s="137">
        <v>101.1</v>
      </c>
      <c r="C26" s="137">
        <v>43.2</v>
      </c>
      <c r="D26" s="137">
        <v>123.9</v>
      </c>
      <c r="E26" s="137">
        <v>78.099999999999994</v>
      </c>
      <c r="F26" s="137">
        <v>37.200000000000003</v>
      </c>
      <c r="G26" s="137">
        <v>100.7</v>
      </c>
      <c r="H26" s="137">
        <v>47</v>
      </c>
      <c r="I26" s="137">
        <v>58.3</v>
      </c>
      <c r="J26" s="137">
        <v>114</v>
      </c>
      <c r="K26" s="137">
        <v>94.4</v>
      </c>
      <c r="L26" s="138">
        <v>102.6</v>
      </c>
      <c r="M26" s="138">
        <v>40</v>
      </c>
      <c r="N26" s="138">
        <v>102.5</v>
      </c>
      <c r="O26" s="138">
        <v>70.099999999999994</v>
      </c>
      <c r="P26" s="138">
        <v>106</v>
      </c>
      <c r="Q26" s="138">
        <v>45.2</v>
      </c>
      <c r="R26" s="138">
        <v>69.7</v>
      </c>
      <c r="S26" s="138">
        <v>95.6</v>
      </c>
      <c r="T26" s="138">
        <v>83.2</v>
      </c>
      <c r="U26" s="138">
        <v>72</v>
      </c>
      <c r="V26" s="87">
        <f t="shared" si="5"/>
        <v>78.690000000000012</v>
      </c>
      <c r="W26" s="143">
        <f t="shared" si="4"/>
        <v>78.358045112781952</v>
      </c>
    </row>
    <row r="27" spans="1:23" x14ac:dyDescent="0.25">
      <c r="A27" s="86" t="s">
        <v>86</v>
      </c>
      <c r="B27" s="137">
        <v>12.3</v>
      </c>
      <c r="C27" s="137">
        <v>10.6</v>
      </c>
      <c r="D27" s="137">
        <v>12.9</v>
      </c>
      <c r="E27" s="137">
        <v>22.5</v>
      </c>
      <c r="F27" s="137">
        <v>6.7</v>
      </c>
      <c r="G27" s="137">
        <v>41.4</v>
      </c>
      <c r="H27" s="137">
        <v>38.5</v>
      </c>
      <c r="I27" s="137">
        <v>30.1</v>
      </c>
      <c r="J27" s="137">
        <v>21.8</v>
      </c>
      <c r="K27" s="137">
        <v>61.3</v>
      </c>
      <c r="L27" s="138">
        <v>14.8</v>
      </c>
      <c r="M27" s="138">
        <v>31.2</v>
      </c>
      <c r="N27" s="138">
        <v>25.6</v>
      </c>
      <c r="O27" s="138">
        <v>4.0999999999999996</v>
      </c>
      <c r="P27" s="138">
        <v>37.200000000000003</v>
      </c>
      <c r="Q27" s="138">
        <v>19.8</v>
      </c>
      <c r="R27" s="138">
        <v>13.3</v>
      </c>
      <c r="S27" s="138">
        <v>24.2</v>
      </c>
      <c r="T27" s="138">
        <v>26.8</v>
      </c>
      <c r="U27" s="138">
        <v>26.4</v>
      </c>
      <c r="V27" s="87">
        <f t="shared" si="5"/>
        <v>22.34</v>
      </c>
      <c r="W27" s="143">
        <f t="shared" si="4"/>
        <v>27.688421052631611</v>
      </c>
    </row>
    <row r="28" spans="1:23" x14ac:dyDescent="0.25">
      <c r="A28" s="86" t="s">
        <v>87</v>
      </c>
      <c r="B28" s="137">
        <v>0.7</v>
      </c>
      <c r="C28" s="137">
        <v>0</v>
      </c>
      <c r="D28" s="137">
        <v>0.2</v>
      </c>
      <c r="E28" s="137">
        <v>0</v>
      </c>
      <c r="F28" s="137">
        <v>3.9</v>
      </c>
      <c r="G28" s="137">
        <v>0</v>
      </c>
      <c r="H28" s="137">
        <v>0</v>
      </c>
      <c r="I28" s="137">
        <v>0.2</v>
      </c>
      <c r="J28" s="137">
        <v>0</v>
      </c>
      <c r="K28" s="137">
        <v>8.9</v>
      </c>
      <c r="L28" s="138">
        <v>0</v>
      </c>
      <c r="M28" s="138">
        <v>0</v>
      </c>
      <c r="N28" s="138">
        <v>7.6</v>
      </c>
      <c r="O28" s="138">
        <v>0</v>
      </c>
      <c r="P28" s="138">
        <v>13</v>
      </c>
      <c r="Q28" s="138">
        <v>0</v>
      </c>
      <c r="R28" s="138">
        <v>0</v>
      </c>
      <c r="S28" s="138">
        <v>0</v>
      </c>
      <c r="T28" s="138">
        <v>0</v>
      </c>
      <c r="U28" s="138">
        <v>0.6</v>
      </c>
      <c r="V28" s="87">
        <f t="shared" si="5"/>
        <v>2.12</v>
      </c>
      <c r="W28" s="143">
        <f t="shared" si="4"/>
        <v>2.5963157894736923</v>
      </c>
    </row>
    <row r="29" spans="1:23" x14ac:dyDescent="0.25">
      <c r="A29" s="86" t="s">
        <v>88</v>
      </c>
      <c r="B29" s="137">
        <v>0</v>
      </c>
      <c r="C29" s="137">
        <v>0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87">
        <f t="shared" si="5"/>
        <v>0</v>
      </c>
      <c r="W29" s="143">
        <f t="shared" si="4"/>
        <v>0</v>
      </c>
    </row>
    <row r="30" spans="1:23" x14ac:dyDescent="0.25">
      <c r="A30" s="86" t="s">
        <v>90</v>
      </c>
      <c r="B30" s="137">
        <v>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87">
        <f t="shared" si="5"/>
        <v>0</v>
      </c>
      <c r="W30" s="143">
        <f t="shared" si="4"/>
        <v>0</v>
      </c>
    </row>
    <row r="31" spans="1:23" x14ac:dyDescent="0.25">
      <c r="A31" s="86"/>
      <c r="B31" s="139">
        <f>SUM(B19:B30)</f>
        <v>257.09999999999997</v>
      </c>
      <c r="C31" s="139">
        <f t="shared" ref="C31:U31" si="6">SUM(C19:C30)</f>
        <v>222.79999999999998</v>
      </c>
      <c r="D31" s="139">
        <f t="shared" si="6"/>
        <v>337.8</v>
      </c>
      <c r="E31" s="139">
        <f t="shared" si="6"/>
        <v>200.3</v>
      </c>
      <c r="F31" s="139">
        <f t="shared" si="6"/>
        <v>181.69999999999996</v>
      </c>
      <c r="G31" s="139">
        <f t="shared" si="6"/>
        <v>324.5</v>
      </c>
      <c r="H31" s="139">
        <f t="shared" si="6"/>
        <v>349.09999999999997</v>
      </c>
      <c r="I31" s="139">
        <f t="shared" si="6"/>
        <v>203.6</v>
      </c>
      <c r="J31" s="139">
        <f t="shared" si="6"/>
        <v>287.40000000000003</v>
      </c>
      <c r="K31" s="139">
        <f t="shared" si="6"/>
        <v>396.59999999999997</v>
      </c>
      <c r="L31" s="139">
        <f t="shared" si="6"/>
        <v>242.70000000000002</v>
      </c>
      <c r="M31" s="139">
        <f t="shared" si="6"/>
        <v>186.2</v>
      </c>
      <c r="N31" s="139">
        <f t="shared" si="6"/>
        <v>400</v>
      </c>
      <c r="O31" s="139">
        <f t="shared" si="6"/>
        <v>275.89999999999998</v>
      </c>
      <c r="P31" s="139">
        <f t="shared" si="6"/>
        <v>335.7</v>
      </c>
      <c r="Q31" s="139">
        <f t="shared" si="6"/>
        <v>208</v>
      </c>
      <c r="R31" s="139">
        <f t="shared" si="6"/>
        <v>136.6</v>
      </c>
      <c r="S31" s="139">
        <f t="shared" si="6"/>
        <v>315.8</v>
      </c>
      <c r="T31" s="139">
        <f t="shared" si="6"/>
        <v>327</v>
      </c>
      <c r="U31" s="139">
        <f t="shared" si="6"/>
        <v>360.7</v>
      </c>
      <c r="V31" s="142">
        <f>SUM(V19:V30)</f>
        <v>278.85999999999996</v>
      </c>
      <c r="W31" s="142">
        <f>SUM(W19:W30)</f>
        <v>303.27563909774454</v>
      </c>
    </row>
    <row r="32" spans="1:23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paperSize="17" scale="89" orientation="landscape" r:id="rId1"/>
  <headerFooter alignWithMargins="0">
    <oddFooter>&amp;L&amp;F
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99"/>
  <sheetViews>
    <sheetView zoomScaleNormal="100" workbookViewId="0">
      <selection activeCell="H87" sqref="H87"/>
    </sheetView>
  </sheetViews>
  <sheetFormatPr defaultRowHeight="13.2" x14ac:dyDescent="0.25"/>
  <cols>
    <col min="1" max="1" width="41.109375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11" max="11" width="12.6640625" bestFit="1" customWidth="1"/>
    <col min="257" max="257" width="31.44140625" bestFit="1" customWidth="1"/>
    <col min="258" max="258" width="12.6640625" customWidth="1"/>
    <col min="259" max="259" width="11.6640625" customWidth="1"/>
    <col min="260" max="260" width="12.6640625" customWidth="1"/>
    <col min="261" max="261" width="10" customWidth="1"/>
    <col min="262" max="262" width="12.6640625" customWidth="1"/>
    <col min="513" max="513" width="31.44140625" bestFit="1" customWidth="1"/>
    <col min="514" max="514" width="12.6640625" customWidth="1"/>
    <col min="515" max="515" width="11.6640625" customWidth="1"/>
    <col min="516" max="516" width="12.6640625" customWidth="1"/>
    <col min="517" max="517" width="10" customWidth="1"/>
    <col min="518" max="518" width="12.6640625" customWidth="1"/>
    <col min="769" max="769" width="31.44140625" bestFit="1" customWidth="1"/>
    <col min="770" max="770" width="12.6640625" customWidth="1"/>
    <col min="771" max="771" width="11.6640625" customWidth="1"/>
    <col min="772" max="772" width="12.6640625" customWidth="1"/>
    <col min="773" max="773" width="10" customWidth="1"/>
    <col min="774" max="774" width="12.6640625" customWidth="1"/>
    <col min="1025" max="1025" width="31.44140625" bestFit="1" customWidth="1"/>
    <col min="1026" max="1026" width="12.6640625" customWidth="1"/>
    <col min="1027" max="1027" width="11.6640625" customWidth="1"/>
    <col min="1028" max="1028" width="12.6640625" customWidth="1"/>
    <col min="1029" max="1029" width="10" customWidth="1"/>
    <col min="1030" max="1030" width="12.6640625" customWidth="1"/>
    <col min="1281" max="1281" width="31.44140625" bestFit="1" customWidth="1"/>
    <col min="1282" max="1282" width="12.6640625" customWidth="1"/>
    <col min="1283" max="1283" width="11.6640625" customWidth="1"/>
    <col min="1284" max="1284" width="12.6640625" customWidth="1"/>
    <col min="1285" max="1285" width="10" customWidth="1"/>
    <col min="1286" max="1286" width="12.6640625" customWidth="1"/>
    <col min="1537" max="1537" width="31.44140625" bestFit="1" customWidth="1"/>
    <col min="1538" max="1538" width="12.6640625" customWidth="1"/>
    <col min="1539" max="1539" width="11.6640625" customWidth="1"/>
    <col min="1540" max="1540" width="12.6640625" customWidth="1"/>
    <col min="1541" max="1541" width="10" customWidth="1"/>
    <col min="1542" max="1542" width="12.6640625" customWidth="1"/>
    <col min="1793" max="1793" width="31.44140625" bestFit="1" customWidth="1"/>
    <col min="1794" max="1794" width="12.6640625" customWidth="1"/>
    <col min="1795" max="1795" width="11.6640625" customWidth="1"/>
    <col min="1796" max="1796" width="12.6640625" customWidth="1"/>
    <col min="1797" max="1797" width="10" customWidth="1"/>
    <col min="1798" max="1798" width="12.6640625" customWidth="1"/>
    <col min="2049" max="2049" width="31.44140625" bestFit="1" customWidth="1"/>
    <col min="2050" max="2050" width="12.6640625" customWidth="1"/>
    <col min="2051" max="2051" width="11.6640625" customWidth="1"/>
    <col min="2052" max="2052" width="12.6640625" customWidth="1"/>
    <col min="2053" max="2053" width="10" customWidth="1"/>
    <col min="2054" max="2054" width="12.6640625" customWidth="1"/>
    <col min="2305" max="2305" width="31.44140625" bestFit="1" customWidth="1"/>
    <col min="2306" max="2306" width="12.6640625" customWidth="1"/>
    <col min="2307" max="2307" width="11.6640625" customWidth="1"/>
    <col min="2308" max="2308" width="12.6640625" customWidth="1"/>
    <col min="2309" max="2309" width="10" customWidth="1"/>
    <col min="2310" max="2310" width="12.6640625" customWidth="1"/>
    <col min="2561" max="2561" width="31.44140625" bestFit="1" customWidth="1"/>
    <col min="2562" max="2562" width="12.6640625" customWidth="1"/>
    <col min="2563" max="2563" width="11.6640625" customWidth="1"/>
    <col min="2564" max="2564" width="12.6640625" customWidth="1"/>
    <col min="2565" max="2565" width="10" customWidth="1"/>
    <col min="2566" max="2566" width="12.6640625" customWidth="1"/>
    <col min="2817" max="2817" width="31.44140625" bestFit="1" customWidth="1"/>
    <col min="2818" max="2818" width="12.6640625" customWidth="1"/>
    <col min="2819" max="2819" width="11.6640625" customWidth="1"/>
    <col min="2820" max="2820" width="12.6640625" customWidth="1"/>
    <col min="2821" max="2821" width="10" customWidth="1"/>
    <col min="2822" max="2822" width="12.6640625" customWidth="1"/>
    <col min="3073" max="3073" width="31.44140625" bestFit="1" customWidth="1"/>
    <col min="3074" max="3074" width="12.6640625" customWidth="1"/>
    <col min="3075" max="3075" width="11.6640625" customWidth="1"/>
    <col min="3076" max="3076" width="12.6640625" customWidth="1"/>
    <col min="3077" max="3077" width="10" customWidth="1"/>
    <col min="3078" max="3078" width="12.6640625" customWidth="1"/>
    <col min="3329" max="3329" width="31.44140625" bestFit="1" customWidth="1"/>
    <col min="3330" max="3330" width="12.6640625" customWidth="1"/>
    <col min="3331" max="3331" width="11.6640625" customWidth="1"/>
    <col min="3332" max="3332" width="12.6640625" customWidth="1"/>
    <col min="3333" max="3333" width="10" customWidth="1"/>
    <col min="3334" max="3334" width="12.6640625" customWidth="1"/>
    <col min="3585" max="3585" width="31.44140625" bestFit="1" customWidth="1"/>
    <col min="3586" max="3586" width="12.6640625" customWidth="1"/>
    <col min="3587" max="3587" width="11.6640625" customWidth="1"/>
    <col min="3588" max="3588" width="12.6640625" customWidth="1"/>
    <col min="3589" max="3589" width="10" customWidth="1"/>
    <col min="3590" max="3590" width="12.6640625" customWidth="1"/>
    <col min="3841" max="3841" width="31.44140625" bestFit="1" customWidth="1"/>
    <col min="3842" max="3842" width="12.6640625" customWidth="1"/>
    <col min="3843" max="3843" width="11.6640625" customWidth="1"/>
    <col min="3844" max="3844" width="12.6640625" customWidth="1"/>
    <col min="3845" max="3845" width="10" customWidth="1"/>
    <col min="3846" max="3846" width="12.6640625" customWidth="1"/>
    <col min="4097" max="4097" width="31.44140625" bestFit="1" customWidth="1"/>
    <col min="4098" max="4098" width="12.6640625" customWidth="1"/>
    <col min="4099" max="4099" width="11.6640625" customWidth="1"/>
    <col min="4100" max="4100" width="12.6640625" customWidth="1"/>
    <col min="4101" max="4101" width="10" customWidth="1"/>
    <col min="4102" max="4102" width="12.6640625" customWidth="1"/>
    <col min="4353" max="4353" width="31.44140625" bestFit="1" customWidth="1"/>
    <col min="4354" max="4354" width="12.6640625" customWidth="1"/>
    <col min="4355" max="4355" width="11.6640625" customWidth="1"/>
    <col min="4356" max="4356" width="12.6640625" customWidth="1"/>
    <col min="4357" max="4357" width="10" customWidth="1"/>
    <col min="4358" max="4358" width="12.6640625" customWidth="1"/>
    <col min="4609" max="4609" width="31.44140625" bestFit="1" customWidth="1"/>
    <col min="4610" max="4610" width="12.6640625" customWidth="1"/>
    <col min="4611" max="4611" width="11.6640625" customWidth="1"/>
    <col min="4612" max="4612" width="12.6640625" customWidth="1"/>
    <col min="4613" max="4613" width="10" customWidth="1"/>
    <col min="4614" max="4614" width="12.6640625" customWidth="1"/>
    <col min="4865" max="4865" width="31.44140625" bestFit="1" customWidth="1"/>
    <col min="4866" max="4866" width="12.6640625" customWidth="1"/>
    <col min="4867" max="4867" width="11.6640625" customWidth="1"/>
    <col min="4868" max="4868" width="12.6640625" customWidth="1"/>
    <col min="4869" max="4869" width="10" customWidth="1"/>
    <col min="4870" max="4870" width="12.6640625" customWidth="1"/>
    <col min="5121" max="5121" width="31.44140625" bestFit="1" customWidth="1"/>
    <col min="5122" max="5122" width="12.6640625" customWidth="1"/>
    <col min="5123" max="5123" width="11.6640625" customWidth="1"/>
    <col min="5124" max="5124" width="12.6640625" customWidth="1"/>
    <col min="5125" max="5125" width="10" customWidth="1"/>
    <col min="5126" max="5126" width="12.6640625" customWidth="1"/>
    <col min="5377" max="5377" width="31.44140625" bestFit="1" customWidth="1"/>
    <col min="5378" max="5378" width="12.6640625" customWidth="1"/>
    <col min="5379" max="5379" width="11.6640625" customWidth="1"/>
    <col min="5380" max="5380" width="12.6640625" customWidth="1"/>
    <col min="5381" max="5381" width="10" customWidth="1"/>
    <col min="5382" max="5382" width="12.6640625" customWidth="1"/>
    <col min="5633" max="5633" width="31.44140625" bestFit="1" customWidth="1"/>
    <col min="5634" max="5634" width="12.6640625" customWidth="1"/>
    <col min="5635" max="5635" width="11.6640625" customWidth="1"/>
    <col min="5636" max="5636" width="12.6640625" customWidth="1"/>
    <col min="5637" max="5637" width="10" customWidth="1"/>
    <col min="5638" max="5638" width="12.6640625" customWidth="1"/>
    <col min="5889" max="5889" width="31.44140625" bestFit="1" customWidth="1"/>
    <col min="5890" max="5890" width="12.6640625" customWidth="1"/>
    <col min="5891" max="5891" width="11.6640625" customWidth="1"/>
    <col min="5892" max="5892" width="12.6640625" customWidth="1"/>
    <col min="5893" max="5893" width="10" customWidth="1"/>
    <col min="5894" max="5894" width="12.6640625" customWidth="1"/>
    <col min="6145" max="6145" width="31.44140625" bestFit="1" customWidth="1"/>
    <col min="6146" max="6146" width="12.6640625" customWidth="1"/>
    <col min="6147" max="6147" width="11.6640625" customWidth="1"/>
    <col min="6148" max="6148" width="12.6640625" customWidth="1"/>
    <col min="6149" max="6149" width="10" customWidth="1"/>
    <col min="6150" max="6150" width="12.6640625" customWidth="1"/>
    <col min="6401" max="6401" width="31.44140625" bestFit="1" customWidth="1"/>
    <col min="6402" max="6402" width="12.6640625" customWidth="1"/>
    <col min="6403" max="6403" width="11.6640625" customWidth="1"/>
    <col min="6404" max="6404" width="12.6640625" customWidth="1"/>
    <col min="6405" max="6405" width="10" customWidth="1"/>
    <col min="6406" max="6406" width="12.6640625" customWidth="1"/>
    <col min="6657" max="6657" width="31.44140625" bestFit="1" customWidth="1"/>
    <col min="6658" max="6658" width="12.6640625" customWidth="1"/>
    <col min="6659" max="6659" width="11.6640625" customWidth="1"/>
    <col min="6660" max="6660" width="12.6640625" customWidth="1"/>
    <col min="6661" max="6661" width="10" customWidth="1"/>
    <col min="6662" max="6662" width="12.6640625" customWidth="1"/>
    <col min="6913" max="6913" width="31.44140625" bestFit="1" customWidth="1"/>
    <col min="6914" max="6914" width="12.6640625" customWidth="1"/>
    <col min="6915" max="6915" width="11.6640625" customWidth="1"/>
    <col min="6916" max="6916" width="12.6640625" customWidth="1"/>
    <col min="6917" max="6917" width="10" customWidth="1"/>
    <col min="6918" max="6918" width="12.6640625" customWidth="1"/>
    <col min="7169" max="7169" width="31.44140625" bestFit="1" customWidth="1"/>
    <col min="7170" max="7170" width="12.6640625" customWidth="1"/>
    <col min="7171" max="7171" width="11.6640625" customWidth="1"/>
    <col min="7172" max="7172" width="12.6640625" customWidth="1"/>
    <col min="7173" max="7173" width="10" customWidth="1"/>
    <col min="7174" max="7174" width="12.6640625" customWidth="1"/>
    <col min="7425" max="7425" width="31.44140625" bestFit="1" customWidth="1"/>
    <col min="7426" max="7426" width="12.6640625" customWidth="1"/>
    <col min="7427" max="7427" width="11.6640625" customWidth="1"/>
    <col min="7428" max="7428" width="12.6640625" customWidth="1"/>
    <col min="7429" max="7429" width="10" customWidth="1"/>
    <col min="7430" max="7430" width="12.6640625" customWidth="1"/>
    <col min="7681" max="7681" width="31.44140625" bestFit="1" customWidth="1"/>
    <col min="7682" max="7682" width="12.6640625" customWidth="1"/>
    <col min="7683" max="7683" width="11.6640625" customWidth="1"/>
    <col min="7684" max="7684" width="12.6640625" customWidth="1"/>
    <col min="7685" max="7685" width="10" customWidth="1"/>
    <col min="7686" max="7686" width="12.6640625" customWidth="1"/>
    <col min="7937" max="7937" width="31.44140625" bestFit="1" customWidth="1"/>
    <col min="7938" max="7938" width="12.6640625" customWidth="1"/>
    <col min="7939" max="7939" width="11.6640625" customWidth="1"/>
    <col min="7940" max="7940" width="12.6640625" customWidth="1"/>
    <col min="7941" max="7941" width="10" customWidth="1"/>
    <col min="7942" max="7942" width="12.6640625" customWidth="1"/>
    <col min="8193" max="8193" width="31.44140625" bestFit="1" customWidth="1"/>
    <col min="8194" max="8194" width="12.6640625" customWidth="1"/>
    <col min="8195" max="8195" width="11.6640625" customWidth="1"/>
    <col min="8196" max="8196" width="12.6640625" customWidth="1"/>
    <col min="8197" max="8197" width="10" customWidth="1"/>
    <col min="8198" max="8198" width="12.6640625" customWidth="1"/>
    <col min="8449" max="8449" width="31.44140625" bestFit="1" customWidth="1"/>
    <col min="8450" max="8450" width="12.6640625" customWidth="1"/>
    <col min="8451" max="8451" width="11.6640625" customWidth="1"/>
    <col min="8452" max="8452" width="12.6640625" customWidth="1"/>
    <col min="8453" max="8453" width="10" customWidth="1"/>
    <col min="8454" max="8454" width="12.6640625" customWidth="1"/>
    <col min="8705" max="8705" width="31.44140625" bestFit="1" customWidth="1"/>
    <col min="8706" max="8706" width="12.6640625" customWidth="1"/>
    <col min="8707" max="8707" width="11.6640625" customWidth="1"/>
    <col min="8708" max="8708" width="12.6640625" customWidth="1"/>
    <col min="8709" max="8709" width="10" customWidth="1"/>
    <col min="8710" max="8710" width="12.6640625" customWidth="1"/>
    <col min="8961" max="8961" width="31.44140625" bestFit="1" customWidth="1"/>
    <col min="8962" max="8962" width="12.6640625" customWidth="1"/>
    <col min="8963" max="8963" width="11.6640625" customWidth="1"/>
    <col min="8964" max="8964" width="12.6640625" customWidth="1"/>
    <col min="8965" max="8965" width="10" customWidth="1"/>
    <col min="8966" max="8966" width="12.6640625" customWidth="1"/>
    <col min="9217" max="9217" width="31.44140625" bestFit="1" customWidth="1"/>
    <col min="9218" max="9218" width="12.6640625" customWidth="1"/>
    <col min="9219" max="9219" width="11.6640625" customWidth="1"/>
    <col min="9220" max="9220" width="12.6640625" customWidth="1"/>
    <col min="9221" max="9221" width="10" customWidth="1"/>
    <col min="9222" max="9222" width="12.6640625" customWidth="1"/>
    <col min="9473" max="9473" width="31.44140625" bestFit="1" customWidth="1"/>
    <col min="9474" max="9474" width="12.6640625" customWidth="1"/>
    <col min="9475" max="9475" width="11.6640625" customWidth="1"/>
    <col min="9476" max="9476" width="12.6640625" customWidth="1"/>
    <col min="9477" max="9477" width="10" customWidth="1"/>
    <col min="9478" max="9478" width="12.6640625" customWidth="1"/>
    <col min="9729" max="9729" width="31.44140625" bestFit="1" customWidth="1"/>
    <col min="9730" max="9730" width="12.6640625" customWidth="1"/>
    <col min="9731" max="9731" width="11.6640625" customWidth="1"/>
    <col min="9732" max="9732" width="12.6640625" customWidth="1"/>
    <col min="9733" max="9733" width="10" customWidth="1"/>
    <col min="9734" max="9734" width="12.6640625" customWidth="1"/>
    <col min="9985" max="9985" width="31.44140625" bestFit="1" customWidth="1"/>
    <col min="9986" max="9986" width="12.6640625" customWidth="1"/>
    <col min="9987" max="9987" width="11.6640625" customWidth="1"/>
    <col min="9988" max="9988" width="12.6640625" customWidth="1"/>
    <col min="9989" max="9989" width="10" customWidth="1"/>
    <col min="9990" max="9990" width="12.6640625" customWidth="1"/>
    <col min="10241" max="10241" width="31.44140625" bestFit="1" customWidth="1"/>
    <col min="10242" max="10242" width="12.6640625" customWidth="1"/>
    <col min="10243" max="10243" width="11.6640625" customWidth="1"/>
    <col min="10244" max="10244" width="12.6640625" customWidth="1"/>
    <col min="10245" max="10245" width="10" customWidth="1"/>
    <col min="10246" max="10246" width="12.6640625" customWidth="1"/>
    <col min="10497" max="10497" width="31.44140625" bestFit="1" customWidth="1"/>
    <col min="10498" max="10498" width="12.6640625" customWidth="1"/>
    <col min="10499" max="10499" width="11.6640625" customWidth="1"/>
    <col min="10500" max="10500" width="12.6640625" customWidth="1"/>
    <col min="10501" max="10501" width="10" customWidth="1"/>
    <col min="10502" max="10502" width="12.6640625" customWidth="1"/>
    <col min="10753" max="10753" width="31.44140625" bestFit="1" customWidth="1"/>
    <col min="10754" max="10754" width="12.6640625" customWidth="1"/>
    <col min="10755" max="10755" width="11.6640625" customWidth="1"/>
    <col min="10756" max="10756" width="12.6640625" customWidth="1"/>
    <col min="10757" max="10757" width="10" customWidth="1"/>
    <col min="10758" max="10758" width="12.6640625" customWidth="1"/>
    <col min="11009" max="11009" width="31.44140625" bestFit="1" customWidth="1"/>
    <col min="11010" max="11010" width="12.6640625" customWidth="1"/>
    <col min="11011" max="11011" width="11.6640625" customWidth="1"/>
    <col min="11012" max="11012" width="12.6640625" customWidth="1"/>
    <col min="11013" max="11013" width="10" customWidth="1"/>
    <col min="11014" max="11014" width="12.6640625" customWidth="1"/>
    <col min="11265" max="11265" width="31.44140625" bestFit="1" customWidth="1"/>
    <col min="11266" max="11266" width="12.6640625" customWidth="1"/>
    <col min="11267" max="11267" width="11.6640625" customWidth="1"/>
    <col min="11268" max="11268" width="12.6640625" customWidth="1"/>
    <col min="11269" max="11269" width="10" customWidth="1"/>
    <col min="11270" max="11270" width="12.6640625" customWidth="1"/>
    <col min="11521" max="11521" width="31.44140625" bestFit="1" customWidth="1"/>
    <col min="11522" max="11522" width="12.6640625" customWidth="1"/>
    <col min="11523" max="11523" width="11.6640625" customWidth="1"/>
    <col min="11524" max="11524" width="12.6640625" customWidth="1"/>
    <col min="11525" max="11525" width="10" customWidth="1"/>
    <col min="11526" max="11526" width="12.6640625" customWidth="1"/>
    <col min="11777" max="11777" width="31.44140625" bestFit="1" customWidth="1"/>
    <col min="11778" max="11778" width="12.6640625" customWidth="1"/>
    <col min="11779" max="11779" width="11.6640625" customWidth="1"/>
    <col min="11780" max="11780" width="12.6640625" customWidth="1"/>
    <col min="11781" max="11781" width="10" customWidth="1"/>
    <col min="11782" max="11782" width="12.6640625" customWidth="1"/>
    <col min="12033" max="12033" width="31.44140625" bestFit="1" customWidth="1"/>
    <col min="12034" max="12034" width="12.6640625" customWidth="1"/>
    <col min="12035" max="12035" width="11.6640625" customWidth="1"/>
    <col min="12036" max="12036" width="12.6640625" customWidth="1"/>
    <col min="12037" max="12037" width="10" customWidth="1"/>
    <col min="12038" max="12038" width="12.6640625" customWidth="1"/>
    <col min="12289" max="12289" width="31.44140625" bestFit="1" customWidth="1"/>
    <col min="12290" max="12290" width="12.6640625" customWidth="1"/>
    <col min="12291" max="12291" width="11.6640625" customWidth="1"/>
    <col min="12292" max="12292" width="12.6640625" customWidth="1"/>
    <col min="12293" max="12293" width="10" customWidth="1"/>
    <col min="12294" max="12294" width="12.6640625" customWidth="1"/>
    <col min="12545" max="12545" width="31.44140625" bestFit="1" customWidth="1"/>
    <col min="12546" max="12546" width="12.6640625" customWidth="1"/>
    <col min="12547" max="12547" width="11.6640625" customWidth="1"/>
    <col min="12548" max="12548" width="12.6640625" customWidth="1"/>
    <col min="12549" max="12549" width="10" customWidth="1"/>
    <col min="12550" max="12550" width="12.6640625" customWidth="1"/>
    <col min="12801" max="12801" width="31.44140625" bestFit="1" customWidth="1"/>
    <col min="12802" max="12802" width="12.6640625" customWidth="1"/>
    <col min="12803" max="12803" width="11.6640625" customWidth="1"/>
    <col min="12804" max="12804" width="12.6640625" customWidth="1"/>
    <col min="12805" max="12805" width="10" customWidth="1"/>
    <col min="12806" max="12806" width="12.6640625" customWidth="1"/>
    <col min="13057" max="13057" width="31.44140625" bestFit="1" customWidth="1"/>
    <col min="13058" max="13058" width="12.6640625" customWidth="1"/>
    <col min="13059" max="13059" width="11.6640625" customWidth="1"/>
    <col min="13060" max="13060" width="12.6640625" customWidth="1"/>
    <col min="13061" max="13061" width="10" customWidth="1"/>
    <col min="13062" max="13062" width="12.6640625" customWidth="1"/>
    <col min="13313" max="13313" width="31.44140625" bestFit="1" customWidth="1"/>
    <col min="13314" max="13314" width="12.6640625" customWidth="1"/>
    <col min="13315" max="13315" width="11.6640625" customWidth="1"/>
    <col min="13316" max="13316" width="12.6640625" customWidth="1"/>
    <col min="13317" max="13317" width="10" customWidth="1"/>
    <col min="13318" max="13318" width="12.6640625" customWidth="1"/>
    <col min="13569" max="13569" width="31.44140625" bestFit="1" customWidth="1"/>
    <col min="13570" max="13570" width="12.6640625" customWidth="1"/>
    <col min="13571" max="13571" width="11.6640625" customWidth="1"/>
    <col min="13572" max="13572" width="12.6640625" customWidth="1"/>
    <col min="13573" max="13573" width="10" customWidth="1"/>
    <col min="13574" max="13574" width="12.6640625" customWidth="1"/>
    <col min="13825" max="13825" width="31.44140625" bestFit="1" customWidth="1"/>
    <col min="13826" max="13826" width="12.6640625" customWidth="1"/>
    <col min="13827" max="13827" width="11.6640625" customWidth="1"/>
    <col min="13828" max="13828" width="12.6640625" customWidth="1"/>
    <col min="13829" max="13829" width="10" customWidth="1"/>
    <col min="13830" max="13830" width="12.6640625" customWidth="1"/>
    <col min="14081" max="14081" width="31.44140625" bestFit="1" customWidth="1"/>
    <col min="14082" max="14082" width="12.6640625" customWidth="1"/>
    <col min="14083" max="14083" width="11.6640625" customWidth="1"/>
    <col min="14084" max="14084" width="12.6640625" customWidth="1"/>
    <col min="14085" max="14085" width="10" customWidth="1"/>
    <col min="14086" max="14086" width="12.6640625" customWidth="1"/>
    <col min="14337" max="14337" width="31.44140625" bestFit="1" customWidth="1"/>
    <col min="14338" max="14338" width="12.6640625" customWidth="1"/>
    <col min="14339" max="14339" width="11.6640625" customWidth="1"/>
    <col min="14340" max="14340" width="12.6640625" customWidth="1"/>
    <col min="14341" max="14341" width="10" customWidth="1"/>
    <col min="14342" max="14342" width="12.6640625" customWidth="1"/>
    <col min="14593" max="14593" width="31.44140625" bestFit="1" customWidth="1"/>
    <col min="14594" max="14594" width="12.6640625" customWidth="1"/>
    <col min="14595" max="14595" width="11.6640625" customWidth="1"/>
    <col min="14596" max="14596" width="12.6640625" customWidth="1"/>
    <col min="14597" max="14597" width="10" customWidth="1"/>
    <col min="14598" max="14598" width="12.6640625" customWidth="1"/>
    <col min="14849" max="14849" width="31.44140625" bestFit="1" customWidth="1"/>
    <col min="14850" max="14850" width="12.6640625" customWidth="1"/>
    <col min="14851" max="14851" width="11.6640625" customWidth="1"/>
    <col min="14852" max="14852" width="12.6640625" customWidth="1"/>
    <col min="14853" max="14853" width="10" customWidth="1"/>
    <col min="14854" max="14854" width="12.6640625" customWidth="1"/>
    <col min="15105" max="15105" width="31.44140625" bestFit="1" customWidth="1"/>
    <col min="15106" max="15106" width="12.6640625" customWidth="1"/>
    <col min="15107" max="15107" width="11.6640625" customWidth="1"/>
    <col min="15108" max="15108" width="12.6640625" customWidth="1"/>
    <col min="15109" max="15109" width="10" customWidth="1"/>
    <col min="15110" max="15110" width="12.6640625" customWidth="1"/>
    <col min="15361" max="15361" width="31.44140625" bestFit="1" customWidth="1"/>
    <col min="15362" max="15362" width="12.6640625" customWidth="1"/>
    <col min="15363" max="15363" width="11.6640625" customWidth="1"/>
    <col min="15364" max="15364" width="12.6640625" customWidth="1"/>
    <col min="15365" max="15365" width="10" customWidth="1"/>
    <col min="15366" max="15366" width="12.6640625" customWidth="1"/>
    <col min="15617" max="15617" width="31.44140625" bestFit="1" customWidth="1"/>
    <col min="15618" max="15618" width="12.6640625" customWidth="1"/>
    <col min="15619" max="15619" width="11.6640625" customWidth="1"/>
    <col min="15620" max="15620" width="12.6640625" customWidth="1"/>
    <col min="15621" max="15621" width="10" customWidth="1"/>
    <col min="15622" max="15622" width="12.6640625" customWidth="1"/>
    <col min="15873" max="15873" width="31.44140625" bestFit="1" customWidth="1"/>
    <col min="15874" max="15874" width="12.6640625" customWidth="1"/>
    <col min="15875" max="15875" width="11.6640625" customWidth="1"/>
    <col min="15876" max="15876" width="12.6640625" customWidth="1"/>
    <col min="15877" max="15877" width="10" customWidth="1"/>
    <col min="15878" max="15878" width="12.6640625" customWidth="1"/>
    <col min="16129" max="16129" width="31.44140625" bestFit="1" customWidth="1"/>
    <col min="16130" max="16130" width="12.6640625" customWidth="1"/>
    <col min="16131" max="16131" width="11.6640625" customWidth="1"/>
    <col min="16132" max="16132" width="12.6640625" customWidth="1"/>
    <col min="16133" max="16133" width="10" customWidth="1"/>
    <col min="16134" max="16134" width="12.6640625" customWidth="1"/>
  </cols>
  <sheetData>
    <row r="1" spans="1:6" x14ac:dyDescent="0.25">
      <c r="A1" s="120" t="s">
        <v>132</v>
      </c>
      <c r="B1" s="127" t="s">
        <v>99</v>
      </c>
      <c r="C1" s="127" t="s">
        <v>115</v>
      </c>
      <c r="D1" s="127" t="s">
        <v>129</v>
      </c>
    </row>
    <row r="2" spans="1:6" x14ac:dyDescent="0.25">
      <c r="A2" s="74" t="str">
        <f>'Rate Class Energy Model'!H2</f>
        <v xml:space="preserve">Residential </v>
      </c>
      <c r="B2" s="116">
        <f>Summary!M13</f>
        <v>168647800.29162207</v>
      </c>
      <c r="C2" s="115"/>
      <c r="D2" s="198">
        <v>0.88285000000000002</v>
      </c>
    </row>
    <row r="3" spans="1:6" x14ac:dyDescent="0.25">
      <c r="A3" s="74" t="str">
        <f>'Rate Class Energy Model'!I2</f>
        <v>General Service Less Than 50 kW</v>
      </c>
      <c r="B3" s="116">
        <f>Summary!M17</f>
        <v>53809636.535125509</v>
      </c>
      <c r="C3" s="115"/>
      <c r="D3" s="198">
        <v>0.7288</v>
      </c>
    </row>
    <row r="4" spans="1:6" x14ac:dyDescent="0.25">
      <c r="A4" s="74" t="str">
        <f>'Rate Class Energy Model'!J2</f>
        <v>General Service 
50 to 4,999 kW</v>
      </c>
      <c r="B4" s="116">
        <f>Summary!M21</f>
        <v>121726855.55180077</v>
      </c>
      <c r="C4" s="126">
        <f>Summary!M22</f>
        <v>341894.2191883428</v>
      </c>
      <c r="D4" s="198">
        <v>7.7119999999999994E-2</v>
      </c>
    </row>
    <row r="5" spans="1:6" x14ac:dyDescent="0.25">
      <c r="A5" s="74" t="str">
        <f>Summary!A59</f>
        <v>Embedded Distributor - Hydro One Networks Inc.</v>
      </c>
      <c r="B5" s="116">
        <f>Summary!M61</f>
        <v>72629941</v>
      </c>
      <c r="C5" s="126">
        <f>Summary!M62</f>
        <v>227715</v>
      </c>
      <c r="D5" s="198">
        <v>0</v>
      </c>
    </row>
    <row r="6" spans="1:6" x14ac:dyDescent="0.25">
      <c r="A6" s="74" t="str">
        <f>'Rate Class Customer Model'!E2</f>
        <v>Street Lighting</v>
      </c>
      <c r="B6" s="116">
        <f>Summary!M26</f>
        <v>2387574.5945674046</v>
      </c>
      <c r="C6" s="126">
        <f>Summary!M27</f>
        <v>6647.9627011134817</v>
      </c>
      <c r="D6" s="198">
        <v>1.2749999999999999E-2</v>
      </c>
    </row>
    <row r="7" spans="1:6" x14ac:dyDescent="0.25">
      <c r="A7" s="74" t="str">
        <f>'Rate Class Customer Model'!F2</f>
        <v>Sentinel Lighting</v>
      </c>
      <c r="B7" s="116">
        <f>Summary!M31</f>
        <v>327143.41972247319</v>
      </c>
      <c r="C7" s="126">
        <f>Summary!M32</f>
        <v>909.16427775072532</v>
      </c>
      <c r="D7" s="198">
        <v>0.83758999999999995</v>
      </c>
    </row>
    <row r="8" spans="1:6" x14ac:dyDescent="0.25">
      <c r="A8" s="74" t="str">
        <f>'Rate Class Customer Model'!G2</f>
        <v xml:space="preserve">Unmetered Scattered Loads </v>
      </c>
      <c r="B8" s="116">
        <f>Summary!M36</f>
        <v>350238.18041388114</v>
      </c>
      <c r="C8" s="115"/>
      <c r="D8" s="198">
        <v>0.80820000000000003</v>
      </c>
    </row>
    <row r="9" spans="1:6" x14ac:dyDescent="0.25">
      <c r="A9" s="100" t="s">
        <v>105</v>
      </c>
      <c r="B9" s="89">
        <f>SUM(B2:B8)</f>
        <v>419879189.5732522</v>
      </c>
      <c r="C9" s="89">
        <f>SUM(C2:C8)</f>
        <v>577166.346167207</v>
      </c>
      <c r="D9" s="89"/>
    </row>
    <row r="10" spans="1:6" x14ac:dyDescent="0.25">
      <c r="B10" s="61"/>
      <c r="C10" s="61"/>
    </row>
    <row r="12" spans="1:6" x14ac:dyDescent="0.25">
      <c r="A12" s="120" t="s">
        <v>122</v>
      </c>
      <c r="B12" s="233" t="s">
        <v>130</v>
      </c>
      <c r="C12" s="235" t="s">
        <v>131</v>
      </c>
      <c r="D12" s="90"/>
      <c r="E12" s="119"/>
      <c r="F12" s="118"/>
    </row>
    <row r="13" spans="1:6" x14ac:dyDescent="0.25">
      <c r="A13" s="99" t="s">
        <v>121</v>
      </c>
      <c r="B13" s="234"/>
      <c r="C13" s="236"/>
      <c r="D13" s="230">
        <v>2014</v>
      </c>
      <c r="E13" s="231"/>
      <c r="F13" s="232"/>
    </row>
    <row r="14" spans="1:6" x14ac:dyDescent="0.25">
      <c r="A14" s="117" t="str">
        <f t="shared" ref="A14:A20" si="0">A2</f>
        <v xml:space="preserve">Residential </v>
      </c>
      <c r="B14" s="116">
        <f>ROUND(B2*D2,0)</f>
        <v>148890710</v>
      </c>
      <c r="C14" s="115">
        <v>1.0663</v>
      </c>
      <c r="D14" s="102">
        <f>ROUND(B14*C14,0)</f>
        <v>158762164</v>
      </c>
      <c r="E14" s="202">
        <v>8.3949999999999997E-2</v>
      </c>
      <c r="F14" s="101">
        <f>ROUND(D14*E14,2)</f>
        <v>13328083.67</v>
      </c>
    </row>
    <row r="15" spans="1:6" x14ac:dyDescent="0.25">
      <c r="A15" s="117" t="str">
        <f t="shared" si="0"/>
        <v>General Service Less Than 50 kW</v>
      </c>
      <c r="B15" s="116">
        <f t="shared" ref="B15:B20" si="1">ROUND(B3*D3,0)</f>
        <v>39216463</v>
      </c>
      <c r="C15" s="115">
        <v>1.0663</v>
      </c>
      <c r="D15" s="102">
        <f t="shared" ref="D15:D20" si="2">ROUND(B15*C15,0)</f>
        <v>41816514</v>
      </c>
      <c r="E15" s="202">
        <v>8.3949999999999997E-2</v>
      </c>
      <c r="F15" s="101">
        <f t="shared" ref="F15:F20" si="3">ROUND(D15*E15,2)</f>
        <v>3510496.35</v>
      </c>
    </row>
    <row r="16" spans="1:6" x14ac:dyDescent="0.25">
      <c r="A16" s="117" t="str">
        <f t="shared" si="0"/>
        <v>General Service 
50 to 4,999 kW</v>
      </c>
      <c r="B16" s="116">
        <f t="shared" si="1"/>
        <v>9387575</v>
      </c>
      <c r="C16" s="115">
        <v>1.0663</v>
      </c>
      <c r="D16" s="102">
        <f t="shared" si="2"/>
        <v>10009971</v>
      </c>
      <c r="E16" s="202">
        <v>8.3949999999999997E-2</v>
      </c>
      <c r="F16" s="101">
        <f t="shared" si="3"/>
        <v>840337.07</v>
      </c>
    </row>
    <row r="17" spans="1:6" x14ac:dyDescent="0.25">
      <c r="A17" s="117" t="str">
        <f t="shared" si="0"/>
        <v>Embedded Distributor - Hydro One Networks Inc.</v>
      </c>
      <c r="B17" s="116">
        <f t="shared" si="1"/>
        <v>0</v>
      </c>
      <c r="C17" s="115">
        <v>1.0287999999999999</v>
      </c>
      <c r="D17" s="102">
        <f t="shared" si="2"/>
        <v>0</v>
      </c>
      <c r="E17" s="202">
        <v>8.3949999999999997E-2</v>
      </c>
      <c r="F17" s="101">
        <f t="shared" si="3"/>
        <v>0</v>
      </c>
    </row>
    <row r="18" spans="1:6" x14ac:dyDescent="0.25">
      <c r="A18" s="117" t="str">
        <f t="shared" si="0"/>
        <v>Street Lighting</v>
      </c>
      <c r="B18" s="116">
        <f t="shared" si="1"/>
        <v>30442</v>
      </c>
      <c r="C18" s="115">
        <v>1.0663</v>
      </c>
      <c r="D18" s="102">
        <f t="shared" si="2"/>
        <v>32460</v>
      </c>
      <c r="E18" s="202">
        <v>8.3949999999999997E-2</v>
      </c>
      <c r="F18" s="101">
        <f t="shared" si="3"/>
        <v>2725.02</v>
      </c>
    </row>
    <row r="19" spans="1:6" x14ac:dyDescent="0.25">
      <c r="A19" s="117" t="str">
        <f t="shared" si="0"/>
        <v>Sentinel Lighting</v>
      </c>
      <c r="B19" s="116">
        <f t="shared" si="1"/>
        <v>274012</v>
      </c>
      <c r="C19" s="115">
        <v>1.0663</v>
      </c>
      <c r="D19" s="102">
        <f t="shared" si="2"/>
        <v>292179</v>
      </c>
      <c r="E19" s="202">
        <v>8.3949999999999997E-2</v>
      </c>
      <c r="F19" s="101">
        <f t="shared" si="3"/>
        <v>24528.43</v>
      </c>
    </row>
    <row r="20" spans="1:6" x14ac:dyDescent="0.25">
      <c r="A20" s="117" t="str">
        <f t="shared" si="0"/>
        <v xml:space="preserve">Unmetered Scattered Loads </v>
      </c>
      <c r="B20" s="116">
        <f t="shared" si="1"/>
        <v>283062</v>
      </c>
      <c r="C20" s="115">
        <v>1.0663</v>
      </c>
      <c r="D20" s="102">
        <f t="shared" si="2"/>
        <v>301829</v>
      </c>
      <c r="E20" s="202">
        <v>8.3949999999999997E-2</v>
      </c>
      <c r="F20" s="101">
        <f t="shared" si="3"/>
        <v>25338.54</v>
      </c>
    </row>
    <row r="21" spans="1:6" x14ac:dyDescent="0.25">
      <c r="A21" s="100" t="s">
        <v>105</v>
      </c>
      <c r="B21" s="89">
        <f>SUM(B14:B20)</f>
        <v>198082264</v>
      </c>
      <c r="C21" s="99"/>
      <c r="D21" s="89">
        <f>SUM(D14:D20)</f>
        <v>211215117</v>
      </c>
      <c r="E21" s="98"/>
      <c r="F21" s="114">
        <f>SUM(F14:F20)</f>
        <v>17731509.079999998</v>
      </c>
    </row>
    <row r="22" spans="1:6" x14ac:dyDescent="0.25">
      <c r="A22" s="125"/>
      <c r="B22" s="123"/>
      <c r="C22" s="124"/>
      <c r="D22" s="123"/>
      <c r="E22" s="122"/>
      <c r="F22" s="121"/>
    </row>
    <row r="23" spans="1:6" ht="12.75" customHeight="1" x14ac:dyDescent="0.25">
      <c r="A23" s="120" t="s">
        <v>120</v>
      </c>
      <c r="B23" s="233" t="s">
        <v>130</v>
      </c>
      <c r="C23" s="235" t="s">
        <v>131</v>
      </c>
      <c r="D23" s="90"/>
      <c r="E23" s="119"/>
      <c r="F23" s="118"/>
    </row>
    <row r="24" spans="1:6" x14ac:dyDescent="0.25">
      <c r="A24" s="99" t="s">
        <v>112</v>
      </c>
      <c r="B24" s="234"/>
      <c r="C24" s="236"/>
      <c r="D24" s="230">
        <v>2014</v>
      </c>
      <c r="E24" s="231"/>
      <c r="F24" s="232"/>
    </row>
    <row r="25" spans="1:6" x14ac:dyDescent="0.25">
      <c r="A25" s="117" t="str">
        <f t="shared" ref="A25:A31" si="4">A14</f>
        <v xml:space="preserve">Residential </v>
      </c>
      <c r="B25" s="116">
        <f t="shared" ref="B25:B31" si="5">B2-B14</f>
        <v>19757090.291622072</v>
      </c>
      <c r="C25" s="115">
        <f t="shared" ref="C25:C31" si="6">C14</f>
        <v>1.0663</v>
      </c>
      <c r="D25" s="102">
        <f t="shared" ref="D25:D31" si="7">B25*C25</f>
        <v>21066985.377956618</v>
      </c>
      <c r="E25" s="202">
        <v>1.933E-2</v>
      </c>
      <c r="F25" s="101">
        <f>ROUND(D25*E25,2)</f>
        <v>407224.83</v>
      </c>
    </row>
    <row r="26" spans="1:6" x14ac:dyDescent="0.25">
      <c r="A26" s="117" t="str">
        <f t="shared" si="4"/>
        <v>General Service Less Than 50 kW</v>
      </c>
      <c r="B26" s="116">
        <f t="shared" si="5"/>
        <v>14593173.535125509</v>
      </c>
      <c r="C26" s="115">
        <f t="shared" si="6"/>
        <v>1.0663</v>
      </c>
      <c r="D26" s="102">
        <f t="shared" si="7"/>
        <v>15560700.940504331</v>
      </c>
      <c r="E26" s="202">
        <v>1.933E-2</v>
      </c>
      <c r="F26" s="101">
        <f t="shared" ref="F26:F31" si="8">ROUND(D26*E26,2)</f>
        <v>300788.34999999998</v>
      </c>
    </row>
    <row r="27" spans="1:6" x14ac:dyDescent="0.25">
      <c r="A27" s="117" t="str">
        <f t="shared" si="4"/>
        <v>General Service 
50 to 4,999 kW</v>
      </c>
      <c r="B27" s="116">
        <f t="shared" si="5"/>
        <v>112339280.55180077</v>
      </c>
      <c r="C27" s="115">
        <f t="shared" si="6"/>
        <v>1.0663</v>
      </c>
      <c r="D27" s="102">
        <f t="shared" si="7"/>
        <v>119787374.85238516</v>
      </c>
      <c r="E27" s="202">
        <v>1.933E-2</v>
      </c>
      <c r="F27" s="101">
        <f t="shared" si="8"/>
        <v>2315489.96</v>
      </c>
    </row>
    <row r="28" spans="1:6" x14ac:dyDescent="0.25">
      <c r="A28" s="117" t="str">
        <f t="shared" si="4"/>
        <v>Embedded Distributor - Hydro One Networks Inc.</v>
      </c>
      <c r="B28" s="116">
        <f t="shared" si="5"/>
        <v>72629941</v>
      </c>
      <c r="C28" s="115">
        <v>1.0287999999999999</v>
      </c>
      <c r="D28" s="102">
        <f t="shared" si="7"/>
        <v>74721683.300799996</v>
      </c>
      <c r="E28" s="202">
        <v>1.933E-2</v>
      </c>
      <c r="F28" s="101">
        <f t="shared" si="8"/>
        <v>1444370.14</v>
      </c>
    </row>
    <row r="29" spans="1:6" x14ac:dyDescent="0.25">
      <c r="A29" s="117" t="str">
        <f t="shared" si="4"/>
        <v>Street Lighting</v>
      </c>
      <c r="B29" s="116">
        <f t="shared" si="5"/>
        <v>2357132.5945674046</v>
      </c>
      <c r="C29" s="115">
        <f t="shared" si="6"/>
        <v>1.0663</v>
      </c>
      <c r="D29" s="102">
        <f t="shared" si="7"/>
        <v>2513410.4855872234</v>
      </c>
      <c r="E29" s="202">
        <v>1.933E-2</v>
      </c>
      <c r="F29" s="101">
        <f t="shared" si="8"/>
        <v>48584.22</v>
      </c>
    </row>
    <row r="30" spans="1:6" x14ac:dyDescent="0.25">
      <c r="A30" s="117" t="str">
        <f t="shared" si="4"/>
        <v>Sentinel Lighting</v>
      </c>
      <c r="B30" s="116">
        <f t="shared" si="5"/>
        <v>53131.419722473191</v>
      </c>
      <c r="C30" s="115">
        <f t="shared" si="6"/>
        <v>1.0663</v>
      </c>
      <c r="D30" s="102">
        <f t="shared" si="7"/>
        <v>56654.032850073163</v>
      </c>
      <c r="E30" s="202">
        <v>1.933E-2</v>
      </c>
      <c r="F30" s="101">
        <f t="shared" si="8"/>
        <v>1095.1199999999999</v>
      </c>
    </row>
    <row r="31" spans="1:6" x14ac:dyDescent="0.25">
      <c r="A31" s="117" t="str">
        <f t="shared" si="4"/>
        <v xml:space="preserve">Unmetered Scattered Loads </v>
      </c>
      <c r="B31" s="116">
        <f t="shared" si="5"/>
        <v>67176.180413881142</v>
      </c>
      <c r="C31" s="115">
        <f t="shared" si="6"/>
        <v>1.0663</v>
      </c>
      <c r="D31" s="102">
        <f t="shared" si="7"/>
        <v>71629.96117532147</v>
      </c>
      <c r="E31" s="202">
        <v>1.933E-2</v>
      </c>
      <c r="F31" s="101">
        <f t="shared" si="8"/>
        <v>1384.61</v>
      </c>
    </row>
    <row r="32" spans="1:6" x14ac:dyDescent="0.25">
      <c r="A32" s="100" t="s">
        <v>105</v>
      </c>
      <c r="B32" s="89">
        <f>SUM(B25:B31)</f>
        <v>221796925.57325211</v>
      </c>
      <c r="C32" s="99"/>
      <c r="D32" s="89">
        <f>SUM(D25:D31)</f>
        <v>233778438.95125872</v>
      </c>
      <c r="E32" s="98"/>
      <c r="F32" s="114">
        <f>SUM(F25:F31)</f>
        <v>4518937.2299999995</v>
      </c>
    </row>
    <row r="33" spans="1:6" x14ac:dyDescent="0.25">
      <c r="A33" s="125"/>
      <c r="B33" s="123"/>
      <c r="C33" s="124"/>
      <c r="D33" s="123"/>
      <c r="E33" s="122"/>
      <c r="F33" s="121"/>
    </row>
    <row r="34" spans="1:6" ht="12.75" customHeight="1" x14ac:dyDescent="0.25">
      <c r="A34" s="120" t="s">
        <v>192</v>
      </c>
      <c r="B34" s="233" t="s">
        <v>130</v>
      </c>
      <c r="C34" s="235" t="s">
        <v>131</v>
      </c>
      <c r="D34" s="90"/>
      <c r="E34" s="119"/>
      <c r="F34" s="118"/>
    </row>
    <row r="35" spans="1:6" x14ac:dyDescent="0.25">
      <c r="A35" s="99" t="s">
        <v>112</v>
      </c>
      <c r="B35" s="234"/>
      <c r="C35" s="236"/>
      <c r="D35" s="230">
        <v>2014</v>
      </c>
      <c r="E35" s="231"/>
      <c r="F35" s="232"/>
    </row>
    <row r="36" spans="1:6" x14ac:dyDescent="0.25">
      <c r="A36" s="117" t="str">
        <f t="shared" ref="A36:A42" si="9">A25</f>
        <v xml:space="preserve">Residential </v>
      </c>
      <c r="B36" s="116">
        <f>B2-B14</f>
        <v>19757090.291622072</v>
      </c>
      <c r="C36" s="115">
        <f t="shared" ref="C36:C42" si="10">C25</f>
        <v>1.0663</v>
      </c>
      <c r="D36" s="102">
        <f t="shared" ref="D36:D42" si="11">B36*C36</f>
        <v>21066985.377956618</v>
      </c>
      <c r="E36" s="202">
        <v>6.6119999999999998E-2</v>
      </c>
      <c r="F36" s="101">
        <f>ROUND(D36*E36,2)</f>
        <v>1392949.07</v>
      </c>
    </row>
    <row r="37" spans="1:6" x14ac:dyDescent="0.25">
      <c r="A37" s="117" t="str">
        <f t="shared" si="9"/>
        <v>General Service Less Than 50 kW</v>
      </c>
      <c r="B37" s="116">
        <f t="shared" ref="B37:B42" si="12">B3-B15</f>
        <v>14593173.535125509</v>
      </c>
      <c r="C37" s="115">
        <f t="shared" si="10"/>
        <v>1.0663</v>
      </c>
      <c r="D37" s="102">
        <f t="shared" si="11"/>
        <v>15560700.940504331</v>
      </c>
      <c r="E37" s="202">
        <v>6.6119999999999998E-2</v>
      </c>
      <c r="F37" s="101">
        <f t="shared" ref="F37:F42" si="13">ROUND(D37*E37,2)</f>
        <v>1028873.55</v>
      </c>
    </row>
    <row r="38" spans="1:6" x14ac:dyDescent="0.25">
      <c r="A38" s="117" t="str">
        <f t="shared" si="9"/>
        <v>General Service 
50 to 4,999 kW</v>
      </c>
      <c r="B38" s="116">
        <f t="shared" si="12"/>
        <v>112339280.55180077</v>
      </c>
      <c r="C38" s="115">
        <f t="shared" si="10"/>
        <v>1.0663</v>
      </c>
      <c r="D38" s="102">
        <f t="shared" si="11"/>
        <v>119787374.85238516</v>
      </c>
      <c r="E38" s="202">
        <v>6.6119999999999998E-2</v>
      </c>
      <c r="F38" s="101">
        <f t="shared" si="13"/>
        <v>7920341.2300000004</v>
      </c>
    </row>
    <row r="39" spans="1:6" x14ac:dyDescent="0.25">
      <c r="A39" s="117" t="str">
        <f t="shared" si="9"/>
        <v>Embedded Distributor - Hydro One Networks Inc.</v>
      </c>
      <c r="B39" s="116">
        <f t="shared" si="12"/>
        <v>72629941</v>
      </c>
      <c r="C39" s="115">
        <v>1.0287999999999999</v>
      </c>
      <c r="D39" s="102">
        <f t="shared" si="11"/>
        <v>74721683.300799996</v>
      </c>
      <c r="E39" s="202">
        <v>6.6119999999999998E-2</v>
      </c>
      <c r="F39" s="101">
        <f t="shared" si="13"/>
        <v>4940597.7</v>
      </c>
    </row>
    <row r="40" spans="1:6" x14ac:dyDescent="0.25">
      <c r="A40" s="117" t="str">
        <f t="shared" si="9"/>
        <v>Street Lighting</v>
      </c>
      <c r="B40" s="116">
        <f t="shared" si="12"/>
        <v>2357132.5945674046</v>
      </c>
      <c r="C40" s="115">
        <f t="shared" si="10"/>
        <v>1.0663</v>
      </c>
      <c r="D40" s="102">
        <f t="shared" si="11"/>
        <v>2513410.4855872234</v>
      </c>
      <c r="E40" s="202">
        <v>6.6119999999999998E-2</v>
      </c>
      <c r="F40" s="101">
        <f t="shared" si="13"/>
        <v>166186.70000000001</v>
      </c>
    </row>
    <row r="41" spans="1:6" x14ac:dyDescent="0.25">
      <c r="A41" s="117" t="str">
        <f t="shared" si="9"/>
        <v>Sentinel Lighting</v>
      </c>
      <c r="B41" s="116">
        <f t="shared" si="12"/>
        <v>53131.419722473191</v>
      </c>
      <c r="C41" s="115">
        <f t="shared" si="10"/>
        <v>1.0663</v>
      </c>
      <c r="D41" s="102">
        <f t="shared" si="11"/>
        <v>56654.032850073163</v>
      </c>
      <c r="E41" s="202">
        <v>6.6119999999999998E-2</v>
      </c>
      <c r="F41" s="101">
        <f t="shared" si="13"/>
        <v>3745.96</v>
      </c>
    </row>
    <row r="42" spans="1:6" x14ac:dyDescent="0.25">
      <c r="A42" s="117" t="str">
        <f t="shared" si="9"/>
        <v xml:space="preserve">Unmetered Scattered Loads </v>
      </c>
      <c r="B42" s="116">
        <f t="shared" si="12"/>
        <v>67176.180413881142</v>
      </c>
      <c r="C42" s="115">
        <f t="shared" si="10"/>
        <v>1.0663</v>
      </c>
      <c r="D42" s="102">
        <f t="shared" si="11"/>
        <v>71629.96117532147</v>
      </c>
      <c r="E42" s="202">
        <v>6.6119999999999998E-2</v>
      </c>
      <c r="F42" s="101">
        <f t="shared" si="13"/>
        <v>4736.17</v>
      </c>
    </row>
    <row r="43" spans="1:6" x14ac:dyDescent="0.25">
      <c r="A43" s="100" t="s">
        <v>105</v>
      </c>
      <c r="B43" s="89">
        <f>SUM(B36:B42)</f>
        <v>221796925.57325211</v>
      </c>
      <c r="C43" s="99"/>
      <c r="D43" s="89">
        <f>SUM(D36:D42)</f>
        <v>233778438.95125872</v>
      </c>
      <c r="E43" s="98"/>
      <c r="F43" s="114">
        <f>SUM(F36:F42)</f>
        <v>15457430.380000001</v>
      </c>
    </row>
    <row r="45" spans="1:6" x14ac:dyDescent="0.25">
      <c r="A45" s="111" t="s">
        <v>119</v>
      </c>
      <c r="B45" s="235" t="s">
        <v>131</v>
      </c>
      <c r="C45" s="113" t="s">
        <v>117</v>
      </c>
      <c r="D45" s="109"/>
      <c r="E45" s="108"/>
      <c r="F45" s="107"/>
    </row>
    <row r="46" spans="1:6" x14ac:dyDescent="0.25">
      <c r="A46" s="99" t="s">
        <v>112</v>
      </c>
      <c r="B46" s="236"/>
      <c r="C46" s="112" t="s">
        <v>116</v>
      </c>
      <c r="D46" s="230">
        <v>2014</v>
      </c>
      <c r="E46" s="231"/>
      <c r="F46" s="232"/>
    </row>
    <row r="47" spans="1:6" x14ac:dyDescent="0.25">
      <c r="A47" s="104" t="str">
        <f t="shared" ref="A47:A53" si="14">A25</f>
        <v xml:space="preserve">Residential </v>
      </c>
      <c r="B47" s="102"/>
      <c r="C47" s="103" t="s">
        <v>99</v>
      </c>
      <c r="D47" s="102">
        <f>D14+D25</f>
        <v>179829149.37795663</v>
      </c>
      <c r="E47" s="199">
        <v>6.4999999999999997E-3</v>
      </c>
      <c r="F47" s="101">
        <f>ROUND(D47*E47,2)</f>
        <v>1168889.47</v>
      </c>
    </row>
    <row r="48" spans="1:6" x14ac:dyDescent="0.25">
      <c r="A48" s="104" t="str">
        <f t="shared" si="14"/>
        <v>General Service Less Than 50 kW</v>
      </c>
      <c r="B48" s="102"/>
      <c r="C48" s="103" t="s">
        <v>99</v>
      </c>
      <c r="D48" s="102">
        <f>D15+D26</f>
        <v>57377214.940504327</v>
      </c>
      <c r="E48" s="199">
        <v>5.7999999999999996E-3</v>
      </c>
      <c r="F48" s="101">
        <f t="shared" ref="F48:F53" si="15">ROUND(D48*E48,2)</f>
        <v>332787.84999999998</v>
      </c>
    </row>
    <row r="49" spans="1:6" x14ac:dyDescent="0.25">
      <c r="A49" s="104" t="str">
        <f t="shared" si="14"/>
        <v>General Service 
50 to 4,999 kW</v>
      </c>
      <c r="B49" s="102"/>
      <c r="C49" s="103" t="s">
        <v>115</v>
      </c>
      <c r="D49" s="102">
        <f>C4</f>
        <v>341894.2191883428</v>
      </c>
      <c r="E49" s="199">
        <v>2.48</v>
      </c>
      <c r="F49" s="101">
        <f t="shared" si="15"/>
        <v>847897.66</v>
      </c>
    </row>
    <row r="50" spans="1:6" x14ac:dyDescent="0.25">
      <c r="A50" s="104" t="str">
        <f t="shared" si="14"/>
        <v>Embedded Distributor - Hydro One Networks Inc.</v>
      </c>
      <c r="B50" s="115">
        <v>1.0287999999999999</v>
      </c>
      <c r="C50" s="103" t="s">
        <v>115</v>
      </c>
      <c r="D50" s="102">
        <f>C5</f>
        <v>227715</v>
      </c>
      <c r="E50" s="199">
        <v>2.8959999999999999</v>
      </c>
      <c r="F50" s="101">
        <f>ROUND(D50*B50*E50,2)</f>
        <v>678455.16</v>
      </c>
    </row>
    <row r="51" spans="1:6" x14ac:dyDescent="0.25">
      <c r="A51" s="104" t="str">
        <f t="shared" si="14"/>
        <v>Street Lighting</v>
      </c>
      <c r="B51" s="102"/>
      <c r="C51" s="103" t="s">
        <v>115</v>
      </c>
      <c r="D51" s="102">
        <f>C6</f>
        <v>6647.9627011134817</v>
      </c>
      <c r="E51" s="199">
        <v>1.7911999999999999</v>
      </c>
      <c r="F51" s="101">
        <f t="shared" si="15"/>
        <v>11907.83</v>
      </c>
    </row>
    <row r="52" spans="1:6" x14ac:dyDescent="0.25">
      <c r="A52" s="104" t="str">
        <f t="shared" si="14"/>
        <v>Sentinel Lighting</v>
      </c>
      <c r="B52" s="102"/>
      <c r="C52" s="103" t="s">
        <v>115</v>
      </c>
      <c r="D52" s="102">
        <f>C7</f>
        <v>909.16427775072532</v>
      </c>
      <c r="E52" s="200">
        <v>1.8003</v>
      </c>
      <c r="F52" s="101">
        <f t="shared" si="15"/>
        <v>1636.77</v>
      </c>
    </row>
    <row r="53" spans="1:6" x14ac:dyDescent="0.25">
      <c r="A53" s="104" t="str">
        <f t="shared" si="14"/>
        <v xml:space="preserve">Unmetered Scattered Loads </v>
      </c>
      <c r="B53" s="102"/>
      <c r="C53" s="103" t="s">
        <v>99</v>
      </c>
      <c r="D53" s="102">
        <f>D20+D31</f>
        <v>373458.96117532148</v>
      </c>
      <c r="E53" s="199">
        <v>5.7999999999999996E-3</v>
      </c>
      <c r="F53" s="101">
        <f t="shared" si="15"/>
        <v>2166.06</v>
      </c>
    </row>
    <row r="54" spans="1:6" x14ac:dyDescent="0.25">
      <c r="A54" s="100" t="s">
        <v>105</v>
      </c>
      <c r="B54" s="89"/>
      <c r="C54" s="99"/>
      <c r="D54" s="89"/>
      <c r="E54" s="98"/>
      <c r="F54" s="97">
        <f>SUM(F47:F53)</f>
        <v>3043740.8000000003</v>
      </c>
    </row>
    <row r="56" spans="1:6" x14ac:dyDescent="0.25">
      <c r="A56" s="111" t="s">
        <v>118</v>
      </c>
      <c r="B56" s="107"/>
      <c r="C56" s="110" t="s">
        <v>117</v>
      </c>
      <c r="D56" s="109"/>
      <c r="E56" s="108"/>
      <c r="F56" s="107"/>
    </row>
    <row r="57" spans="1:6" x14ac:dyDescent="0.25">
      <c r="A57" s="99" t="s">
        <v>112</v>
      </c>
      <c r="B57" s="106"/>
      <c r="C57" s="105" t="s">
        <v>116</v>
      </c>
      <c r="D57" s="230">
        <v>2014</v>
      </c>
      <c r="E57" s="231"/>
      <c r="F57" s="232"/>
    </row>
    <row r="58" spans="1:6" x14ac:dyDescent="0.25">
      <c r="A58" s="104" t="str">
        <f t="shared" ref="A58:A64" si="16">A47</f>
        <v xml:space="preserve">Residential </v>
      </c>
      <c r="B58" s="102"/>
      <c r="C58" s="103" t="str">
        <f t="shared" ref="C58:D64" si="17">C47</f>
        <v>kWh</v>
      </c>
      <c r="D58" s="102">
        <f t="shared" si="17"/>
        <v>179829149.37795663</v>
      </c>
      <c r="E58" s="199">
        <v>4.8999999999999998E-3</v>
      </c>
      <c r="F58" s="101">
        <f>ROUND(D58*E58,2)</f>
        <v>881162.83</v>
      </c>
    </row>
    <row r="59" spans="1:6" x14ac:dyDescent="0.25">
      <c r="A59" s="104" t="str">
        <f t="shared" si="16"/>
        <v>General Service Less Than 50 kW</v>
      </c>
      <c r="B59" s="102"/>
      <c r="C59" s="103" t="str">
        <f t="shared" si="17"/>
        <v>kWh</v>
      </c>
      <c r="D59" s="102">
        <f t="shared" si="17"/>
        <v>57377214.940504327</v>
      </c>
      <c r="E59" s="199">
        <v>4.4999999999999997E-3</v>
      </c>
      <c r="F59" s="101">
        <f t="shared" ref="F59:F64" si="18">ROUND(D59*E59,2)</f>
        <v>258197.47</v>
      </c>
    </row>
    <row r="60" spans="1:6" x14ac:dyDescent="0.25">
      <c r="A60" s="104" t="str">
        <f t="shared" si="16"/>
        <v>General Service 
50 to 4,999 kW</v>
      </c>
      <c r="B60" s="102"/>
      <c r="C60" s="103" t="str">
        <f t="shared" si="17"/>
        <v>kW</v>
      </c>
      <c r="D60" s="102">
        <f t="shared" si="17"/>
        <v>341894.2191883428</v>
      </c>
      <c r="E60" s="199">
        <v>1.9031</v>
      </c>
      <c r="F60" s="101">
        <f t="shared" si="18"/>
        <v>650658.89</v>
      </c>
    </row>
    <row r="61" spans="1:6" x14ac:dyDescent="0.25">
      <c r="A61" s="104" t="str">
        <f t="shared" si="16"/>
        <v>Embedded Distributor - Hydro One Networks Inc.</v>
      </c>
      <c r="B61" s="115">
        <v>1.0287999999999999</v>
      </c>
      <c r="C61" s="103" t="str">
        <f t="shared" si="17"/>
        <v>kW</v>
      </c>
      <c r="D61" s="102">
        <f t="shared" si="17"/>
        <v>227715</v>
      </c>
      <c r="E61" s="199">
        <v>2.3898000000000001</v>
      </c>
      <c r="F61" s="101">
        <f>ROUND(D61*B61*E61,2)</f>
        <v>559866.06999999995</v>
      </c>
    </row>
    <row r="62" spans="1:6" x14ac:dyDescent="0.25">
      <c r="A62" s="104" t="str">
        <f t="shared" si="16"/>
        <v>Street Lighting</v>
      </c>
      <c r="B62" s="102"/>
      <c r="C62" s="103" t="str">
        <f t="shared" si="17"/>
        <v>kW</v>
      </c>
      <c r="D62" s="102">
        <f t="shared" si="17"/>
        <v>6647.9627011134817</v>
      </c>
      <c r="E62" s="199">
        <v>1.3671</v>
      </c>
      <c r="F62" s="101">
        <f t="shared" si="18"/>
        <v>9088.43</v>
      </c>
    </row>
    <row r="63" spans="1:6" x14ac:dyDescent="0.25">
      <c r="A63" s="104" t="str">
        <f t="shared" si="16"/>
        <v>Sentinel Lighting</v>
      </c>
      <c r="B63" s="102"/>
      <c r="C63" s="103" t="str">
        <f t="shared" si="17"/>
        <v>kW</v>
      </c>
      <c r="D63" s="102">
        <f t="shared" si="17"/>
        <v>909.16427775072532</v>
      </c>
      <c r="E63" s="199">
        <v>1.3956999999999999</v>
      </c>
      <c r="F63" s="101">
        <f t="shared" si="18"/>
        <v>1268.92</v>
      </c>
    </row>
    <row r="64" spans="1:6" x14ac:dyDescent="0.25">
      <c r="A64" s="104" t="str">
        <f t="shared" si="16"/>
        <v xml:space="preserve">Unmetered Scattered Loads </v>
      </c>
      <c r="B64" s="102"/>
      <c r="C64" s="103" t="str">
        <f t="shared" si="17"/>
        <v>kWh</v>
      </c>
      <c r="D64" s="102">
        <f t="shared" si="17"/>
        <v>373458.96117532148</v>
      </c>
      <c r="E64" s="199">
        <v>4.4999999999999997E-3</v>
      </c>
      <c r="F64" s="101">
        <f t="shared" si="18"/>
        <v>1680.57</v>
      </c>
    </row>
    <row r="65" spans="1:6" x14ac:dyDescent="0.25">
      <c r="A65" s="100" t="s">
        <v>105</v>
      </c>
      <c r="B65" s="89"/>
      <c r="C65" s="99"/>
      <c r="D65" s="89"/>
      <c r="E65" s="98"/>
      <c r="F65" s="97">
        <f>SUM(F58:F64)</f>
        <v>2361923.1799999997</v>
      </c>
    </row>
    <row r="67" spans="1:6" x14ac:dyDescent="0.25">
      <c r="A67" s="111" t="s">
        <v>114</v>
      </c>
      <c r="B67" s="107"/>
      <c r="C67" s="110"/>
      <c r="D67" s="109"/>
      <c r="E67" s="108"/>
      <c r="F67" s="107"/>
    </row>
    <row r="68" spans="1:6" x14ac:dyDescent="0.25">
      <c r="A68" s="99" t="s">
        <v>112</v>
      </c>
      <c r="B68" s="106"/>
      <c r="C68" s="105"/>
      <c r="D68" s="230">
        <v>2014</v>
      </c>
      <c r="E68" s="231"/>
      <c r="F68" s="232"/>
    </row>
    <row r="69" spans="1:6" x14ac:dyDescent="0.25">
      <c r="A69" s="104" t="str">
        <f t="shared" ref="A69:A75" si="19">A58</f>
        <v xml:space="preserve">Residential </v>
      </c>
      <c r="B69" s="102"/>
      <c r="C69" s="103"/>
      <c r="D69" s="102">
        <f t="shared" ref="D69:D75" si="20">D14+D25</f>
        <v>179829149.37795663</v>
      </c>
      <c r="E69" s="199">
        <f>0.0044</f>
        <v>4.4000000000000003E-3</v>
      </c>
      <c r="F69" s="101">
        <f>ROUND(D69*E69,2)</f>
        <v>791248.26</v>
      </c>
    </row>
    <row r="70" spans="1:6" x14ac:dyDescent="0.25">
      <c r="A70" s="104" t="str">
        <f t="shared" si="19"/>
        <v>General Service Less Than 50 kW</v>
      </c>
      <c r="B70" s="102"/>
      <c r="C70" s="103"/>
      <c r="D70" s="102">
        <f t="shared" si="20"/>
        <v>57377214.940504327</v>
      </c>
      <c r="E70" s="199">
        <f t="shared" ref="E70:E75" si="21">0.0044</f>
        <v>4.4000000000000003E-3</v>
      </c>
      <c r="F70" s="101">
        <f t="shared" ref="F70:F75" si="22">ROUND(D70*E70,2)</f>
        <v>252459.75</v>
      </c>
    </row>
    <row r="71" spans="1:6" x14ac:dyDescent="0.25">
      <c r="A71" s="104" t="str">
        <f t="shared" si="19"/>
        <v>General Service 
50 to 4,999 kW</v>
      </c>
      <c r="B71" s="102"/>
      <c r="C71" s="103"/>
      <c r="D71" s="102">
        <f t="shared" si="20"/>
        <v>129797345.85238516</v>
      </c>
      <c r="E71" s="199">
        <f t="shared" si="21"/>
        <v>4.4000000000000003E-3</v>
      </c>
      <c r="F71" s="101">
        <f t="shared" si="22"/>
        <v>571108.31999999995</v>
      </c>
    </row>
    <row r="72" spans="1:6" x14ac:dyDescent="0.25">
      <c r="A72" s="104" t="str">
        <f t="shared" si="19"/>
        <v>Embedded Distributor - Hydro One Networks Inc.</v>
      </c>
      <c r="B72" s="102"/>
      <c r="C72" s="103"/>
      <c r="D72" s="102">
        <f t="shared" si="20"/>
        <v>74721683.300799996</v>
      </c>
      <c r="E72" s="199">
        <f t="shared" si="21"/>
        <v>4.4000000000000003E-3</v>
      </c>
      <c r="F72" s="101">
        <f t="shared" si="22"/>
        <v>328775.40999999997</v>
      </c>
    </row>
    <row r="73" spans="1:6" x14ac:dyDescent="0.25">
      <c r="A73" s="104" t="str">
        <f t="shared" si="19"/>
        <v>Street Lighting</v>
      </c>
      <c r="B73" s="102"/>
      <c r="C73" s="103"/>
      <c r="D73" s="102">
        <f t="shared" si="20"/>
        <v>2545870.4855872234</v>
      </c>
      <c r="E73" s="199">
        <f t="shared" si="21"/>
        <v>4.4000000000000003E-3</v>
      </c>
      <c r="F73" s="101">
        <f t="shared" si="22"/>
        <v>11201.83</v>
      </c>
    </row>
    <row r="74" spans="1:6" x14ac:dyDescent="0.25">
      <c r="A74" s="104" t="str">
        <f t="shared" si="19"/>
        <v>Sentinel Lighting</v>
      </c>
      <c r="B74" s="102"/>
      <c r="C74" s="103"/>
      <c r="D74" s="102">
        <f t="shared" si="20"/>
        <v>348833.03285007318</v>
      </c>
      <c r="E74" s="199">
        <f t="shared" si="21"/>
        <v>4.4000000000000003E-3</v>
      </c>
      <c r="F74" s="101">
        <f t="shared" si="22"/>
        <v>1534.87</v>
      </c>
    </row>
    <row r="75" spans="1:6" x14ac:dyDescent="0.25">
      <c r="A75" s="104" t="str">
        <f t="shared" si="19"/>
        <v xml:space="preserve">Unmetered Scattered Loads </v>
      </c>
      <c r="B75" s="102"/>
      <c r="C75" s="103"/>
      <c r="D75" s="102">
        <f t="shared" si="20"/>
        <v>373458.96117532148</v>
      </c>
      <c r="E75" s="199">
        <f t="shared" si="21"/>
        <v>4.4000000000000003E-3</v>
      </c>
      <c r="F75" s="101">
        <f t="shared" si="22"/>
        <v>1643.22</v>
      </c>
    </row>
    <row r="76" spans="1:6" x14ac:dyDescent="0.25">
      <c r="A76" s="100" t="s">
        <v>105</v>
      </c>
      <c r="B76" s="89"/>
      <c r="C76" s="99"/>
      <c r="D76" s="89">
        <f>SUM(D69:D75)</f>
        <v>444993555.95125872</v>
      </c>
      <c r="E76" s="98"/>
      <c r="F76" s="97">
        <f>SUM(F69:F75)</f>
        <v>1957971.6600000001</v>
      </c>
    </row>
    <row r="78" spans="1:6" x14ac:dyDescent="0.25">
      <c r="A78" s="111" t="s">
        <v>113</v>
      </c>
      <c r="B78" s="107"/>
      <c r="C78" s="110"/>
      <c r="D78" s="109"/>
      <c r="E78" s="108"/>
      <c r="F78" s="107"/>
    </row>
    <row r="79" spans="1:6" x14ac:dyDescent="0.25">
      <c r="A79" s="99" t="s">
        <v>112</v>
      </c>
      <c r="B79" s="106"/>
      <c r="C79" s="105"/>
      <c r="D79" s="230">
        <v>2014</v>
      </c>
      <c r="E79" s="231"/>
      <c r="F79" s="232"/>
    </row>
    <row r="80" spans="1:6" x14ac:dyDescent="0.25">
      <c r="A80" s="104" t="str">
        <f>A69</f>
        <v xml:space="preserve">Residential </v>
      </c>
      <c r="B80" s="102"/>
      <c r="C80" s="103"/>
      <c r="D80" s="102">
        <f>D69</f>
        <v>179829149.37795663</v>
      </c>
      <c r="E80" s="199">
        <v>1.1999999999999999E-3</v>
      </c>
      <c r="F80" s="101">
        <f>ROUND(D80*E80,2)</f>
        <v>215794.98</v>
      </c>
    </row>
    <row r="81" spans="1:6" x14ac:dyDescent="0.25">
      <c r="A81" s="104" t="str">
        <f>A70</f>
        <v>General Service Less Than 50 kW</v>
      </c>
      <c r="B81" s="102"/>
      <c r="C81" s="103"/>
      <c r="D81" s="102">
        <f>D70</f>
        <v>57377214.940504327</v>
      </c>
      <c r="E81" s="199">
        <v>1.1999999999999999E-3</v>
      </c>
      <c r="F81" s="101">
        <f t="shared" ref="F81:F86" si="23">ROUND(D81*E81,2)</f>
        <v>68852.66</v>
      </c>
    </row>
    <row r="82" spans="1:6" x14ac:dyDescent="0.25">
      <c r="A82" s="104" t="str">
        <f>A71</f>
        <v>General Service 
50 to 4,999 kW</v>
      </c>
      <c r="B82" s="102"/>
      <c r="C82" s="103"/>
      <c r="D82" s="102">
        <f>D71</f>
        <v>129797345.85238516</v>
      </c>
      <c r="E82" s="199">
        <v>1.1999999999999999E-3</v>
      </c>
      <c r="F82" s="101">
        <f t="shared" si="23"/>
        <v>155756.82</v>
      </c>
    </row>
    <row r="83" spans="1:6" x14ac:dyDescent="0.25">
      <c r="A83" s="104" t="str">
        <f t="shared" ref="A83:A86" si="24">A72</f>
        <v>Embedded Distributor - Hydro One Networks Inc.</v>
      </c>
      <c r="B83" s="102"/>
      <c r="C83" s="103"/>
      <c r="D83" s="102">
        <f t="shared" ref="D83:D86" si="25">D72</f>
        <v>74721683.300799996</v>
      </c>
      <c r="E83" s="199">
        <v>1.1999999999999999E-3</v>
      </c>
      <c r="F83" s="101">
        <f t="shared" si="23"/>
        <v>89666.02</v>
      </c>
    </row>
    <row r="84" spans="1:6" x14ac:dyDescent="0.25">
      <c r="A84" s="104" t="str">
        <f t="shared" si="24"/>
        <v>Street Lighting</v>
      </c>
      <c r="B84" s="102"/>
      <c r="C84" s="103"/>
      <c r="D84" s="102">
        <f t="shared" si="25"/>
        <v>2545870.4855872234</v>
      </c>
      <c r="E84" s="199">
        <v>1.1999999999999999E-3</v>
      </c>
      <c r="F84" s="101">
        <f t="shared" si="23"/>
        <v>3055.04</v>
      </c>
    </row>
    <row r="85" spans="1:6" x14ac:dyDescent="0.25">
      <c r="A85" s="104" t="str">
        <f t="shared" si="24"/>
        <v>Sentinel Lighting</v>
      </c>
      <c r="B85" s="102"/>
      <c r="C85" s="103"/>
      <c r="D85" s="102">
        <f t="shared" si="25"/>
        <v>348833.03285007318</v>
      </c>
      <c r="E85" s="199">
        <v>1.1999999999999999E-3</v>
      </c>
      <c r="F85" s="101">
        <f t="shared" si="23"/>
        <v>418.6</v>
      </c>
    </row>
    <row r="86" spans="1:6" x14ac:dyDescent="0.25">
      <c r="A86" s="104" t="str">
        <f t="shared" si="24"/>
        <v xml:space="preserve">Unmetered Scattered Loads </v>
      </c>
      <c r="B86" s="102"/>
      <c r="C86" s="103"/>
      <c r="D86" s="102">
        <f t="shared" si="25"/>
        <v>373458.96117532148</v>
      </c>
      <c r="E86" s="199">
        <v>1.1999999999999999E-3</v>
      </c>
      <c r="F86" s="101">
        <f t="shared" si="23"/>
        <v>448.15</v>
      </c>
    </row>
    <row r="87" spans="1:6" x14ac:dyDescent="0.25">
      <c r="A87" s="100" t="s">
        <v>105</v>
      </c>
      <c r="B87" s="89"/>
      <c r="C87" s="99"/>
      <c r="D87" s="89">
        <f>SUM(D80:D86)</f>
        <v>444993555.95125872</v>
      </c>
      <c r="E87" s="98"/>
      <c r="F87" s="97">
        <f>SUM(F80:F86)</f>
        <v>533992.27</v>
      </c>
    </row>
    <row r="89" spans="1:6" x14ac:dyDescent="0.25">
      <c r="A89" s="95" t="s">
        <v>194</v>
      </c>
      <c r="B89" s="96">
        <v>2014</v>
      </c>
    </row>
    <row r="90" spans="1:6" x14ac:dyDescent="0.25">
      <c r="A90" s="95"/>
      <c r="B90" s="94"/>
    </row>
    <row r="91" spans="1:6" x14ac:dyDescent="0.25">
      <c r="A91" s="91" t="s">
        <v>111</v>
      </c>
      <c r="B91" s="93">
        <f>F21+F32</f>
        <v>22250446.309999999</v>
      </c>
      <c r="D91" s="205"/>
    </row>
    <row r="92" spans="1:6" x14ac:dyDescent="0.25">
      <c r="A92" s="201" t="s">
        <v>191</v>
      </c>
      <c r="B92" s="93">
        <f>F43</f>
        <v>15457430.380000001</v>
      </c>
    </row>
    <row r="93" spans="1:6" x14ac:dyDescent="0.25">
      <c r="A93" s="91" t="s">
        <v>110</v>
      </c>
      <c r="B93" s="92">
        <f>F76</f>
        <v>1957971.6600000001</v>
      </c>
    </row>
    <row r="94" spans="1:6" x14ac:dyDescent="0.25">
      <c r="A94" s="91" t="s">
        <v>109</v>
      </c>
      <c r="B94" s="92">
        <f>F54</f>
        <v>3043740.8000000003</v>
      </c>
    </row>
    <row r="95" spans="1:6" x14ac:dyDescent="0.25">
      <c r="A95" s="91" t="s">
        <v>108</v>
      </c>
      <c r="B95" s="92">
        <f>F65</f>
        <v>2361923.1799999997</v>
      </c>
    </row>
    <row r="96" spans="1:6" x14ac:dyDescent="0.25">
      <c r="A96" s="91" t="s">
        <v>107</v>
      </c>
      <c r="B96" s="92">
        <f>F87</f>
        <v>533992.27</v>
      </c>
      <c r="E96" s="205"/>
    </row>
    <row r="97" spans="1:4" x14ac:dyDescent="0.25">
      <c r="A97" s="91" t="s">
        <v>106</v>
      </c>
      <c r="B97" s="93">
        <v>137307</v>
      </c>
    </row>
    <row r="98" spans="1:4" x14ac:dyDescent="0.25">
      <c r="A98" s="201" t="s">
        <v>193</v>
      </c>
      <c r="B98" s="93">
        <v>197916</v>
      </c>
    </row>
    <row r="99" spans="1:4" x14ac:dyDescent="0.25">
      <c r="A99" s="90" t="s">
        <v>105</v>
      </c>
      <c r="B99" s="89">
        <f>SUM(B91:B98)</f>
        <v>45940727.599999994</v>
      </c>
      <c r="C99" s="31"/>
      <c r="D99" s="31"/>
    </row>
  </sheetData>
  <mergeCells count="14">
    <mergeCell ref="D46:F46"/>
    <mergeCell ref="D57:F57"/>
    <mergeCell ref="D68:F68"/>
    <mergeCell ref="D79:F79"/>
    <mergeCell ref="B12:B13"/>
    <mergeCell ref="C12:C13"/>
    <mergeCell ref="D13:F13"/>
    <mergeCell ref="B23:B24"/>
    <mergeCell ref="C23:C24"/>
    <mergeCell ref="D24:F24"/>
    <mergeCell ref="B45:B46"/>
    <mergeCell ref="B34:B35"/>
    <mergeCell ref="C34:C35"/>
    <mergeCell ref="D35:F35"/>
  </mergeCells>
  <printOptions horizontalCentered="1" gridLines="1"/>
  <pageMargins left="0.39370078740157483" right="0.39370078740157483" top="0.59055118110236227" bottom="0.59055118110236227" header="0.31496062992125984" footer="0.31496062992125984"/>
  <pageSetup scale="57" orientation="portrait" r:id="rId1"/>
  <headerFooter alignWithMargins="0">
    <oddFooter>&amp;L&amp;F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opLeftCell="A25" zoomScale="80" zoomScaleNormal="80" workbookViewId="0">
      <selection activeCell="H87" sqref="H87"/>
    </sheetView>
  </sheetViews>
  <sheetFormatPr defaultColWidth="9.109375" defaultRowHeight="15" x14ac:dyDescent="0.25"/>
  <cols>
    <col min="1" max="1" width="35" style="157" customWidth="1"/>
    <col min="2" max="2" width="16.33203125" style="157" customWidth="1"/>
    <col min="3" max="3" width="13.5546875" style="157" customWidth="1"/>
    <col min="4" max="4" width="15.109375" style="157" customWidth="1"/>
    <col min="5" max="5" width="16.88671875" style="157" customWidth="1"/>
    <col min="6" max="6" width="17.109375" style="157" customWidth="1"/>
    <col min="7" max="7" width="16.88671875" style="157" customWidth="1"/>
    <col min="8" max="8" width="14.5546875" style="157" customWidth="1"/>
    <col min="9" max="9" width="16.44140625" style="157" customWidth="1"/>
    <col min="10" max="10" width="17" style="157" customWidth="1"/>
    <col min="11" max="11" width="14.44140625" style="157" customWidth="1"/>
    <col min="12" max="12" width="16.5546875" style="157" customWidth="1"/>
    <col min="13" max="13" width="16.88671875" style="157" customWidth="1"/>
    <col min="14" max="14" width="12.44140625" style="157" customWidth="1"/>
    <col min="15" max="15" width="16.44140625" style="157" customWidth="1"/>
    <col min="16" max="16" width="16.88671875" style="157" customWidth="1"/>
    <col min="17" max="17" width="12.44140625" style="157" customWidth="1"/>
    <col min="18" max="18" width="16.44140625" style="157" customWidth="1"/>
    <col min="19" max="19" width="16" style="157" customWidth="1"/>
    <col min="20" max="16384" width="9.109375" style="157"/>
  </cols>
  <sheetData>
    <row r="1" spans="1:19" ht="18.75" customHeight="1" x14ac:dyDescent="0.25">
      <c r="A1" s="180" t="s">
        <v>151</v>
      </c>
    </row>
    <row r="2" spans="1:19" ht="15.6" x14ac:dyDescent="0.3">
      <c r="A2" s="181" t="s">
        <v>180</v>
      </c>
    </row>
    <row r="3" spans="1:19" ht="15.6" x14ac:dyDescent="0.3">
      <c r="A3" s="181" t="s">
        <v>160</v>
      </c>
    </row>
    <row r="4" spans="1:19" ht="15.6" x14ac:dyDescent="0.3">
      <c r="A4" s="181" t="s">
        <v>154</v>
      </c>
    </row>
    <row r="5" spans="1:19" ht="15.6" x14ac:dyDescent="0.3">
      <c r="A5" s="181" t="s">
        <v>183</v>
      </c>
    </row>
    <row r="6" spans="1:19" ht="15.6" x14ac:dyDescent="0.3">
      <c r="A6" s="181" t="s">
        <v>181</v>
      </c>
    </row>
    <row r="7" spans="1:19" ht="15.6" x14ac:dyDescent="0.3">
      <c r="A7" s="181" t="s">
        <v>182</v>
      </c>
    </row>
    <row r="8" spans="1:19" ht="15.6" x14ac:dyDescent="0.3">
      <c r="A8" s="181" t="s">
        <v>155</v>
      </c>
    </row>
    <row r="9" spans="1:19" ht="15.6" x14ac:dyDescent="0.3">
      <c r="A9" s="181" t="s">
        <v>152</v>
      </c>
    </row>
    <row r="10" spans="1:19" ht="15.6" x14ac:dyDescent="0.3">
      <c r="A10" s="181" t="s">
        <v>153</v>
      </c>
    </row>
    <row r="11" spans="1:19" ht="15.6" x14ac:dyDescent="0.3">
      <c r="A11" s="181" t="s">
        <v>179</v>
      </c>
    </row>
    <row r="14" spans="1:19" s="166" customFormat="1" ht="46.8" x14ac:dyDescent="0.25">
      <c r="B14" s="237" t="s">
        <v>137</v>
      </c>
      <c r="C14" s="237"/>
      <c r="D14" s="237" t="s">
        <v>144</v>
      </c>
      <c r="E14" s="237"/>
      <c r="F14" s="182" t="s">
        <v>161</v>
      </c>
      <c r="G14" s="237" t="s">
        <v>145</v>
      </c>
      <c r="H14" s="237"/>
      <c r="I14" s="182" t="s">
        <v>162</v>
      </c>
      <c r="J14" s="237" t="s">
        <v>146</v>
      </c>
      <c r="K14" s="237"/>
      <c r="L14" s="182" t="s">
        <v>163</v>
      </c>
      <c r="M14" s="237" t="s">
        <v>147</v>
      </c>
      <c r="N14" s="237"/>
      <c r="O14" s="182" t="s">
        <v>164</v>
      </c>
      <c r="P14" s="237" t="s">
        <v>148</v>
      </c>
      <c r="Q14" s="237"/>
      <c r="R14" s="182" t="s">
        <v>165</v>
      </c>
      <c r="S14" s="192" t="s">
        <v>184</v>
      </c>
    </row>
    <row r="15" spans="1:19" ht="15.6" x14ac:dyDescent="0.3">
      <c r="B15" s="174" t="s">
        <v>99</v>
      </c>
      <c r="C15" s="175" t="s">
        <v>115</v>
      </c>
      <c r="D15" s="175" t="s">
        <v>99</v>
      </c>
      <c r="E15" s="175" t="s">
        <v>115</v>
      </c>
      <c r="F15" s="175" t="s">
        <v>149</v>
      </c>
      <c r="G15" s="175" t="s">
        <v>99</v>
      </c>
      <c r="H15" s="175" t="s">
        <v>115</v>
      </c>
      <c r="I15" s="175" t="s">
        <v>149</v>
      </c>
      <c r="J15" s="175" t="s">
        <v>99</v>
      </c>
      <c r="K15" s="175" t="s">
        <v>115</v>
      </c>
      <c r="L15" s="175" t="s">
        <v>149</v>
      </c>
      <c r="M15" s="175" t="s">
        <v>99</v>
      </c>
      <c r="N15" s="175" t="s">
        <v>115</v>
      </c>
      <c r="O15" s="175" t="s">
        <v>149</v>
      </c>
      <c r="P15" s="175" t="s">
        <v>99</v>
      </c>
      <c r="Q15" s="175" t="s">
        <v>115</v>
      </c>
      <c r="R15" s="175" t="s">
        <v>149</v>
      </c>
    </row>
    <row r="16" spans="1:19" ht="19.5" customHeight="1" x14ac:dyDescent="0.25">
      <c r="A16" s="157" t="s">
        <v>100</v>
      </c>
      <c r="B16" s="159">
        <v>171936412.14386305</v>
      </c>
      <c r="C16" s="159"/>
      <c r="D16" s="159">
        <v>172161499</v>
      </c>
      <c r="E16" s="159"/>
      <c r="F16" s="160">
        <f>D16/B16-1</f>
        <v>1.3091284930886182E-3</v>
      </c>
      <c r="G16" s="159">
        <v>171241285</v>
      </c>
      <c r="H16" s="159"/>
      <c r="I16" s="161">
        <f>G16/D16-1</f>
        <v>-5.3450626611935004E-3</v>
      </c>
      <c r="J16" s="159">
        <v>168308353</v>
      </c>
      <c r="K16" s="159"/>
      <c r="L16" s="161">
        <f>J16/G16-1</f>
        <v>-1.7127481845280457E-2</v>
      </c>
      <c r="M16" s="159">
        <v>168853227</v>
      </c>
      <c r="N16" s="159"/>
      <c r="O16" s="161">
        <f>M16/J16-1</f>
        <v>3.237355664694741E-3</v>
      </c>
      <c r="P16" s="159">
        <v>169685062</v>
      </c>
      <c r="R16" s="160">
        <f>P16/M16-1</f>
        <v>4.9263790498952353E-3</v>
      </c>
      <c r="S16" s="160">
        <f>P16/J16-1</f>
        <v>8.1796831557137128E-3</v>
      </c>
    </row>
    <row r="17" spans="1:19" ht="30" x14ac:dyDescent="0.25">
      <c r="A17" s="158" t="s">
        <v>141</v>
      </c>
      <c r="B17" s="159">
        <v>61801919.116696551</v>
      </c>
      <c r="D17" s="159">
        <v>57658761</v>
      </c>
      <c r="E17" s="159"/>
      <c r="F17" s="161">
        <f t="shared" ref="F17:F26" si="0">D17/B17-1</f>
        <v>-6.7039311657511758E-2</v>
      </c>
      <c r="G17" s="159">
        <v>57101452</v>
      </c>
      <c r="H17" s="159"/>
      <c r="I17" s="161">
        <f t="shared" ref="I17:I24" si="1">G17/D17-1</f>
        <v>-9.6656430060992893E-3</v>
      </c>
      <c r="J17" s="159">
        <v>56019870</v>
      </c>
      <c r="K17" s="159"/>
      <c r="L17" s="161">
        <f t="shared" ref="L17:L24" si="2">J17/G17-1</f>
        <v>-1.8941409756095151E-2</v>
      </c>
      <c r="M17" s="159">
        <v>55074535</v>
      </c>
      <c r="N17" s="159"/>
      <c r="O17" s="160">
        <f t="shared" ref="O17:O24" si="3">M17/J17-1</f>
        <v>-1.6874994533189747E-2</v>
      </c>
      <c r="P17" s="159">
        <v>55097881</v>
      </c>
      <c r="R17" s="160">
        <f t="shared" ref="R17:R24" si="4">P17/M17-1</f>
        <v>4.2389826804711817E-4</v>
      </c>
      <c r="S17" s="160">
        <f t="shared" ref="S17:S26" si="5">P17/J17-1</f>
        <v>-1.6458249546098536E-2</v>
      </c>
    </row>
    <row r="18" spans="1:19" ht="30" x14ac:dyDescent="0.25">
      <c r="A18" s="158" t="s">
        <v>142</v>
      </c>
      <c r="B18" s="159">
        <f>27729432.1683113+82302288</f>
        <v>110031720.1683113</v>
      </c>
      <c r="C18" s="159">
        <f>85888.4272720198+212260</f>
        <v>298148.42727201979</v>
      </c>
      <c r="D18" s="159">
        <f>28844795+86639548</f>
        <v>115484343</v>
      </c>
      <c r="E18" s="159">
        <f>94165+230337</f>
        <v>324502</v>
      </c>
      <c r="F18" s="160">
        <f t="shared" si="0"/>
        <v>4.9555008531612765E-2</v>
      </c>
      <c r="G18" s="159">
        <f>29326720+89216393</f>
        <v>118543113</v>
      </c>
      <c r="H18" s="159">
        <f>95668+237050</f>
        <v>332718</v>
      </c>
      <c r="I18" s="160">
        <f t="shared" si="1"/>
        <v>2.6486447604416874E-2</v>
      </c>
      <c r="J18" s="159">
        <f>27720179+89400018</f>
        <v>117120197</v>
      </c>
      <c r="K18" s="159">
        <f>91666+240823</f>
        <v>332489</v>
      </c>
      <c r="L18" s="161">
        <f t="shared" si="2"/>
        <v>-1.2003362860902755E-2</v>
      </c>
      <c r="M18" s="159">
        <v>122367848</v>
      </c>
      <c r="N18" s="159">
        <v>343695</v>
      </c>
      <c r="O18" s="161">
        <f t="shared" si="3"/>
        <v>4.4805687954913465E-2</v>
      </c>
      <c r="P18" s="159">
        <v>122560182</v>
      </c>
      <c r="Q18" s="159">
        <v>344235</v>
      </c>
      <c r="R18" s="161">
        <f t="shared" si="4"/>
        <v>1.5717690810415075E-3</v>
      </c>
      <c r="S18" s="160">
        <f t="shared" si="5"/>
        <v>4.644788123093746E-2</v>
      </c>
    </row>
    <row r="19" spans="1:19" ht="19.5" customHeight="1" x14ac:dyDescent="0.25">
      <c r="A19" s="158" t="s">
        <v>138</v>
      </c>
      <c r="B19" s="159">
        <v>482264</v>
      </c>
      <c r="D19" s="159">
        <v>454181</v>
      </c>
      <c r="E19" s="159"/>
      <c r="F19" s="161">
        <f t="shared" si="0"/>
        <v>-5.8231590995803106E-2</v>
      </c>
      <c r="G19" s="159">
        <v>406515</v>
      </c>
      <c r="H19" s="159"/>
      <c r="I19" s="161">
        <f t="shared" si="1"/>
        <v>-0.10494934838753711</v>
      </c>
      <c r="J19" s="159">
        <v>389982</v>
      </c>
      <c r="K19" s="159"/>
      <c r="L19" s="161">
        <f t="shared" si="2"/>
        <v>-4.0670085974687242E-2</v>
      </c>
      <c r="M19" s="159">
        <v>363058</v>
      </c>
      <c r="N19" s="159"/>
      <c r="O19" s="161">
        <f t="shared" si="3"/>
        <v>-6.9039083855152339E-2</v>
      </c>
      <c r="P19" s="159">
        <v>350238</v>
      </c>
      <c r="Q19" s="159"/>
      <c r="R19" s="161">
        <f t="shared" si="4"/>
        <v>-3.5311162403803276E-2</v>
      </c>
      <c r="S19" s="160">
        <f t="shared" si="5"/>
        <v>-0.10191239595673651</v>
      </c>
    </row>
    <row r="20" spans="1:19" ht="19.5" customHeight="1" x14ac:dyDescent="0.25">
      <c r="A20" s="158" t="s">
        <v>98</v>
      </c>
      <c r="B20" s="159">
        <v>2328757</v>
      </c>
      <c r="C20" s="159">
        <v>6475</v>
      </c>
      <c r="D20" s="159">
        <v>2258028</v>
      </c>
      <c r="E20" s="159">
        <v>6587</v>
      </c>
      <c r="F20" s="161">
        <f t="shared" si="0"/>
        <v>-3.0371996734738782E-2</v>
      </c>
      <c r="G20" s="159">
        <v>2281811</v>
      </c>
      <c r="H20" s="159">
        <v>6646</v>
      </c>
      <c r="I20" s="160">
        <f t="shared" si="1"/>
        <v>1.0532641756435313E-2</v>
      </c>
      <c r="J20" s="159">
        <v>2398127</v>
      </c>
      <c r="K20" s="159">
        <v>6665</v>
      </c>
      <c r="L20" s="160">
        <f t="shared" si="2"/>
        <v>5.0975299882418001E-2</v>
      </c>
      <c r="M20" s="159">
        <v>2387575</v>
      </c>
      <c r="N20" s="159">
        <v>6648</v>
      </c>
      <c r="O20" s="160">
        <f t="shared" si="3"/>
        <v>-4.4001005784931602E-3</v>
      </c>
      <c r="P20" s="159">
        <v>2387575</v>
      </c>
      <c r="Q20" s="159">
        <v>6648</v>
      </c>
      <c r="R20" s="160">
        <f t="shared" si="4"/>
        <v>0</v>
      </c>
      <c r="S20" s="160">
        <f t="shared" si="5"/>
        <v>-4.4001005784931602E-3</v>
      </c>
    </row>
    <row r="21" spans="1:19" ht="19.5" customHeight="1" x14ac:dyDescent="0.25">
      <c r="A21" s="158" t="s">
        <v>140</v>
      </c>
      <c r="B21" s="159">
        <v>418927.75700315973</v>
      </c>
      <c r="C21" s="159">
        <v>1166.8207657607545</v>
      </c>
      <c r="D21" s="159">
        <v>401194</v>
      </c>
      <c r="E21" s="159">
        <v>1110</v>
      </c>
      <c r="F21" s="161">
        <f t="shared" si="0"/>
        <v>-4.2331301057776383E-2</v>
      </c>
      <c r="G21" s="159">
        <v>385924</v>
      </c>
      <c r="H21" s="159">
        <v>1069</v>
      </c>
      <c r="I21" s="161">
        <f t="shared" si="1"/>
        <v>-3.8061386760519844E-2</v>
      </c>
      <c r="J21" s="159">
        <v>361875</v>
      </c>
      <c r="K21" s="159">
        <v>1003</v>
      </c>
      <c r="L21" s="161">
        <f t="shared" si="2"/>
        <v>-6.2315378157357437E-2</v>
      </c>
      <c r="M21" s="159">
        <v>351211</v>
      </c>
      <c r="N21" s="159">
        <v>976</v>
      </c>
      <c r="O21" s="161">
        <f t="shared" si="3"/>
        <v>-2.9468739205526728E-2</v>
      </c>
      <c r="P21" s="159">
        <v>327143</v>
      </c>
      <c r="Q21" s="159">
        <v>909</v>
      </c>
      <c r="R21" s="161">
        <f t="shared" si="4"/>
        <v>-6.8528605311337087E-2</v>
      </c>
      <c r="S21" s="160">
        <f t="shared" si="5"/>
        <v>-9.5977892918825525E-2</v>
      </c>
    </row>
    <row r="22" spans="1:19" ht="30" customHeight="1" x14ac:dyDescent="0.3">
      <c r="A22" s="176"/>
      <c r="B22" s="167">
        <f>SUM(B16:B21)</f>
        <v>347000000.1858741</v>
      </c>
      <c r="C22" s="167">
        <f>SUM(C16:C21)</f>
        <v>305790.24803778052</v>
      </c>
      <c r="D22" s="167">
        <f>SUM(D16:D21)</f>
        <v>348418006</v>
      </c>
      <c r="E22" s="167">
        <f>SUM(E16:E21)</f>
        <v>332199</v>
      </c>
      <c r="F22" s="168">
        <f t="shared" si="0"/>
        <v>4.0864720846292002E-3</v>
      </c>
      <c r="G22" s="167">
        <f>SUM(G16:G21)</f>
        <v>349960100</v>
      </c>
      <c r="H22" s="167">
        <f>SUM(H16:H21)</f>
        <v>340433</v>
      </c>
      <c r="I22" s="168">
        <f>G22/D22-1</f>
        <v>4.4259882481503254E-3</v>
      </c>
      <c r="J22" s="167">
        <f>SUM(J16:J21)</f>
        <v>344598404</v>
      </c>
      <c r="K22" s="167">
        <f>SUM(K16:K21)</f>
        <v>340157</v>
      </c>
      <c r="L22" s="169">
        <f>J22/G22-1</f>
        <v>-1.532087800866444E-2</v>
      </c>
      <c r="M22" s="167">
        <f>SUM(M16:M21)</f>
        <v>349397454</v>
      </c>
      <c r="N22" s="167">
        <f>SUM(N16:N21)</f>
        <v>351319</v>
      </c>
      <c r="O22" s="169">
        <f>M22/J22-1</f>
        <v>1.3926500948042708E-2</v>
      </c>
      <c r="P22" s="167">
        <f>SUM(P16:P21)</f>
        <v>350408081</v>
      </c>
      <c r="Q22" s="167">
        <f>SUM(Q16:Q21)</f>
        <v>351792</v>
      </c>
      <c r="R22" s="168">
        <f>P22/M22-1</f>
        <v>2.8924853012810559E-3</v>
      </c>
      <c r="S22" s="168">
        <f t="shared" si="5"/>
        <v>1.6859268448614184E-2</v>
      </c>
    </row>
    <row r="23" spans="1:19" ht="13.5" customHeight="1" x14ac:dyDescent="0.25">
      <c r="B23" s="159"/>
      <c r="C23" s="159"/>
      <c r="D23" s="159"/>
      <c r="E23" s="159"/>
      <c r="F23" s="164"/>
      <c r="G23" s="159"/>
      <c r="H23" s="159"/>
      <c r="I23" s="164"/>
      <c r="J23" s="159"/>
      <c r="K23" s="159"/>
      <c r="L23" s="164"/>
      <c r="M23" s="159"/>
      <c r="N23" s="159"/>
      <c r="O23" s="164"/>
      <c r="P23" s="159"/>
      <c r="Q23" s="159"/>
      <c r="R23" s="164"/>
    </row>
    <row r="24" spans="1:19" ht="30" x14ac:dyDescent="0.25">
      <c r="A24" s="158" t="s">
        <v>143</v>
      </c>
      <c r="B24" s="159">
        <v>83184875</v>
      </c>
      <c r="C24" s="159">
        <f>180949+96000</f>
        <v>276949</v>
      </c>
      <c r="D24" s="159">
        <v>73870537</v>
      </c>
      <c r="E24" s="159">
        <v>241211</v>
      </c>
      <c r="F24" s="161">
        <f t="shared" si="0"/>
        <v>-0.11197153328654996</v>
      </c>
      <c r="G24" s="159">
        <v>74192250</v>
      </c>
      <c r="H24" s="159">
        <v>264787</v>
      </c>
      <c r="I24" s="160">
        <f t="shared" si="1"/>
        <v>4.3550922067887576E-3</v>
      </c>
      <c r="J24" s="159">
        <v>71831928</v>
      </c>
      <c r="K24" s="159">
        <v>245804</v>
      </c>
      <c r="L24" s="161">
        <f t="shared" si="2"/>
        <v>-3.1813592390040779E-2</v>
      </c>
      <c r="M24" s="159">
        <v>72430489</v>
      </c>
      <c r="N24" s="159">
        <v>227250</v>
      </c>
      <c r="O24" s="160">
        <f t="shared" si="3"/>
        <v>8.3327987521091273E-3</v>
      </c>
      <c r="P24" s="159">
        <v>72629941</v>
      </c>
      <c r="Q24" s="159">
        <v>227715</v>
      </c>
      <c r="R24" s="161">
        <f t="shared" si="4"/>
        <v>2.7537022427115421E-3</v>
      </c>
      <c r="S24" s="160">
        <f t="shared" si="5"/>
        <v>1.1109447041432574E-2</v>
      </c>
    </row>
    <row r="25" spans="1:19" ht="13.5" customHeight="1" x14ac:dyDescent="0.3">
      <c r="A25" s="158"/>
      <c r="B25" s="170"/>
      <c r="C25" s="170"/>
      <c r="D25" s="170"/>
      <c r="E25" s="170"/>
      <c r="F25" s="171"/>
      <c r="G25" s="170"/>
      <c r="H25" s="170"/>
      <c r="I25" s="172"/>
      <c r="J25" s="170"/>
      <c r="K25" s="170"/>
      <c r="L25" s="171"/>
      <c r="M25" s="170"/>
      <c r="N25" s="170"/>
      <c r="O25" s="172"/>
      <c r="P25" s="170"/>
      <c r="Q25" s="170"/>
      <c r="R25" s="171"/>
    </row>
    <row r="26" spans="1:19" ht="30" customHeight="1" thickBot="1" x14ac:dyDescent="0.35">
      <c r="A26" s="39" t="s">
        <v>150</v>
      </c>
      <c r="B26" s="177">
        <f>SUM(B22:B24)</f>
        <v>430184875.1858741</v>
      </c>
      <c r="C26" s="177">
        <f t="shared" ref="C26:Q26" si="6">SUM(C22:C24)</f>
        <v>582739.24803778052</v>
      </c>
      <c r="D26" s="177">
        <f t="shared" si="6"/>
        <v>422288543</v>
      </c>
      <c r="E26" s="177">
        <f t="shared" si="6"/>
        <v>573410</v>
      </c>
      <c r="F26" s="178">
        <f t="shared" si="0"/>
        <v>-1.8355671343540991E-2</v>
      </c>
      <c r="G26" s="177">
        <f t="shared" si="6"/>
        <v>424152350</v>
      </c>
      <c r="H26" s="177">
        <f t="shared" si="6"/>
        <v>605220</v>
      </c>
      <c r="I26" s="179">
        <f>G26/D26-1</f>
        <v>4.4135864704242245E-3</v>
      </c>
      <c r="J26" s="177">
        <f t="shared" si="6"/>
        <v>416430332</v>
      </c>
      <c r="K26" s="177">
        <f t="shared" si="6"/>
        <v>585961</v>
      </c>
      <c r="L26" s="178">
        <f>J26/G26-1</f>
        <v>-1.8205764980436911E-2</v>
      </c>
      <c r="M26" s="177">
        <f t="shared" si="6"/>
        <v>421827943</v>
      </c>
      <c r="N26" s="177">
        <f t="shared" si="6"/>
        <v>578569</v>
      </c>
      <c r="O26" s="178">
        <f>M26/J26-1</f>
        <v>1.2961618271360775E-2</v>
      </c>
      <c r="P26" s="177">
        <f t="shared" si="6"/>
        <v>423038022</v>
      </c>
      <c r="Q26" s="177">
        <f t="shared" si="6"/>
        <v>579507</v>
      </c>
      <c r="R26" s="179">
        <f>P26/M26-1</f>
        <v>2.8686553844536888E-3</v>
      </c>
      <c r="S26" s="179">
        <f t="shared" si="5"/>
        <v>1.5867456071859909E-2</v>
      </c>
    </row>
    <row r="27" spans="1:19" x14ac:dyDescent="0.25"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R27" s="159"/>
    </row>
    <row r="28" spans="1:19" x14ac:dyDescent="0.25"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94"/>
      <c r="N28" s="194"/>
      <c r="O28" s="195"/>
      <c r="P28" s="195"/>
      <c r="Q28" s="196"/>
      <c r="R28" s="195"/>
    </row>
    <row r="29" spans="1:19" ht="18.75" customHeight="1" x14ac:dyDescent="0.25">
      <c r="A29" s="180" t="s">
        <v>156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94"/>
      <c r="N29" s="194"/>
      <c r="O29" s="195"/>
      <c r="P29" s="195"/>
      <c r="Q29" s="196"/>
      <c r="R29" s="195"/>
    </row>
    <row r="30" spans="1:19" ht="15.6" x14ac:dyDescent="0.3">
      <c r="A30" s="181" t="s">
        <v>157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R30" s="159"/>
    </row>
    <row r="31" spans="1:19" ht="15.6" x14ac:dyDescent="0.3">
      <c r="A31" s="181" t="s">
        <v>158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R31" s="159"/>
    </row>
    <row r="32" spans="1:19" ht="15.6" x14ac:dyDescent="0.3">
      <c r="A32" s="181" t="s">
        <v>159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R32" s="159"/>
    </row>
    <row r="33" spans="1:19" x14ac:dyDescent="0.2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R33" s="159"/>
    </row>
    <row r="34" spans="1:19" s="163" customFormat="1" ht="46.8" x14ac:dyDescent="0.25">
      <c r="B34" s="237" t="s">
        <v>137</v>
      </c>
      <c r="C34" s="237"/>
      <c r="D34" s="237" t="s">
        <v>144</v>
      </c>
      <c r="E34" s="237"/>
      <c r="F34" s="173" t="s">
        <v>161</v>
      </c>
      <c r="G34" s="237" t="s">
        <v>145</v>
      </c>
      <c r="H34" s="237"/>
      <c r="I34" s="173" t="s">
        <v>162</v>
      </c>
      <c r="J34" s="237" t="s">
        <v>146</v>
      </c>
      <c r="K34" s="237"/>
      <c r="L34" s="173" t="s">
        <v>163</v>
      </c>
      <c r="M34" s="237" t="s">
        <v>147</v>
      </c>
      <c r="N34" s="237"/>
      <c r="O34" s="173" t="s">
        <v>164</v>
      </c>
      <c r="P34" s="237" t="s">
        <v>148</v>
      </c>
      <c r="Q34" s="237"/>
      <c r="R34" s="173" t="s">
        <v>165</v>
      </c>
      <c r="S34" s="192" t="s">
        <v>184</v>
      </c>
    </row>
    <row r="35" spans="1:19" ht="15.6" x14ac:dyDescent="0.3">
      <c r="B35" s="174" t="s">
        <v>99</v>
      </c>
      <c r="C35" s="175" t="s">
        <v>115</v>
      </c>
      <c r="D35" s="175" t="s">
        <v>99</v>
      </c>
      <c r="E35" s="175" t="s">
        <v>115</v>
      </c>
      <c r="F35" s="175" t="s">
        <v>149</v>
      </c>
      <c r="G35" s="175" t="s">
        <v>99</v>
      </c>
      <c r="H35" s="175" t="s">
        <v>115</v>
      </c>
      <c r="I35" s="175" t="s">
        <v>149</v>
      </c>
      <c r="J35" s="175" t="s">
        <v>99</v>
      </c>
      <c r="K35" s="175" t="s">
        <v>115</v>
      </c>
      <c r="L35" s="175" t="s">
        <v>149</v>
      </c>
      <c r="M35" s="175" t="s">
        <v>99</v>
      </c>
      <c r="N35" s="175" t="s">
        <v>115</v>
      </c>
      <c r="O35" s="175" t="s">
        <v>149</v>
      </c>
      <c r="P35" s="175" t="s">
        <v>99</v>
      </c>
      <c r="Q35" s="175" t="s">
        <v>115</v>
      </c>
      <c r="R35" s="175" t="s">
        <v>149</v>
      </c>
    </row>
    <row r="36" spans="1:19" ht="19.5" customHeight="1" x14ac:dyDescent="0.25">
      <c r="A36" s="157" t="s">
        <v>100</v>
      </c>
      <c r="B36" s="159">
        <v>171936412.14386305</v>
      </c>
      <c r="C36" s="159"/>
      <c r="D36" s="159">
        <v>172161499</v>
      </c>
      <c r="E36" s="159"/>
      <c r="F36" s="160">
        <f>D36/B36-1</f>
        <v>1.3091284930886182E-3</v>
      </c>
      <c r="G36" s="159">
        <v>171241285</v>
      </c>
      <c r="H36" s="159"/>
      <c r="I36" s="161">
        <f>G36/D36-1</f>
        <v>-5.3450626611935004E-3</v>
      </c>
      <c r="J36" s="159">
        <v>168308353</v>
      </c>
      <c r="K36" s="159"/>
      <c r="L36" s="161">
        <f>J36/G36-1</f>
        <v>-1.7127481845280457E-2</v>
      </c>
      <c r="M36" s="159">
        <v>168671271</v>
      </c>
      <c r="N36" s="159"/>
      <c r="O36" s="161">
        <f>M36/J36-1</f>
        <v>2.1562685008271743E-3</v>
      </c>
      <c r="P36" s="159">
        <v>168957239</v>
      </c>
      <c r="R36" s="160">
        <f>P36/M36-1</f>
        <v>1.6954161684119562E-3</v>
      </c>
      <c r="S36" s="160">
        <f>P36/J36-1</f>
        <v>3.8553404417189796E-3</v>
      </c>
    </row>
    <row r="37" spans="1:19" ht="30" x14ac:dyDescent="0.25">
      <c r="A37" s="158" t="s">
        <v>141</v>
      </c>
      <c r="B37" s="159">
        <v>61801919.116696551</v>
      </c>
      <c r="D37" s="159">
        <v>57658761</v>
      </c>
      <c r="E37" s="159"/>
      <c r="F37" s="161">
        <f t="shared" ref="F37:F46" si="7">D37/B37-1</f>
        <v>-6.7039311657511758E-2</v>
      </c>
      <c r="G37" s="159">
        <v>57101452</v>
      </c>
      <c r="H37" s="159"/>
      <c r="I37" s="161">
        <f t="shared" ref="I37:I44" si="8">G37/D37-1</f>
        <v>-9.6656430060992893E-3</v>
      </c>
      <c r="J37" s="159">
        <v>56019870</v>
      </c>
      <c r="K37" s="159"/>
      <c r="L37" s="161">
        <f t="shared" ref="L37:L44" si="9">J37/G37-1</f>
        <v>-1.8941409756095151E-2</v>
      </c>
      <c r="M37" s="159">
        <v>54761441</v>
      </c>
      <c r="N37" s="159"/>
      <c r="O37" s="160">
        <f t="shared" ref="O37:O44" si="10">M37/J37-1</f>
        <v>-2.2463975728612029E-2</v>
      </c>
      <c r="P37" s="159">
        <v>53845506</v>
      </c>
      <c r="R37" s="160">
        <f t="shared" ref="R37:R44" si="11">P37/M37-1</f>
        <v>-1.6725911211868949E-2</v>
      </c>
      <c r="S37" s="160">
        <f t="shared" ref="S37:S46" si="12">P37/J37-1</f>
        <v>-3.8814156476978612E-2</v>
      </c>
    </row>
    <row r="38" spans="1:19" ht="30" x14ac:dyDescent="0.25">
      <c r="A38" s="158" t="s">
        <v>142</v>
      </c>
      <c r="B38" s="159">
        <f>27729432.1683113+82302288</f>
        <v>110031720.1683113</v>
      </c>
      <c r="C38" s="159">
        <f>85888.4272720198+212260</f>
        <v>298148.42727201979</v>
      </c>
      <c r="D38" s="159">
        <f>28844795+86639548</f>
        <v>115484343</v>
      </c>
      <c r="E38" s="159">
        <f>94165+230337</f>
        <v>324502</v>
      </c>
      <c r="F38" s="160">
        <f t="shared" si="7"/>
        <v>4.9555008531612765E-2</v>
      </c>
      <c r="G38" s="159">
        <f>29326720+89216393</f>
        <v>118543113</v>
      </c>
      <c r="H38" s="159">
        <f>95668+237050</f>
        <v>332718</v>
      </c>
      <c r="I38" s="160">
        <f t="shared" si="8"/>
        <v>2.6486447604416874E-2</v>
      </c>
      <c r="J38" s="159">
        <f>27720179+89400018</f>
        <v>117120197</v>
      </c>
      <c r="K38" s="159">
        <f>91666+240823</f>
        <v>332489</v>
      </c>
      <c r="L38" s="161">
        <f t="shared" si="9"/>
        <v>-1.2003362860902755E-2</v>
      </c>
      <c r="M38" s="159">
        <v>122186231</v>
      </c>
      <c r="N38" s="159">
        <v>343184</v>
      </c>
      <c r="O38" s="161">
        <f t="shared" si="10"/>
        <v>4.3254998964866731E-2</v>
      </c>
      <c r="P38" s="159">
        <v>121833713</v>
      </c>
      <c r="Q38" s="159">
        <v>342194</v>
      </c>
      <c r="R38" s="161">
        <f t="shared" si="11"/>
        <v>-2.8850877641033446E-3</v>
      </c>
      <c r="S38" s="160">
        <f t="shared" si="12"/>
        <v>4.0245116732513742E-2</v>
      </c>
    </row>
    <row r="39" spans="1:19" ht="19.5" customHeight="1" x14ac:dyDescent="0.25">
      <c r="A39" s="158" t="s">
        <v>138</v>
      </c>
      <c r="B39" s="159">
        <v>482264</v>
      </c>
      <c r="D39" s="159">
        <v>454181</v>
      </c>
      <c r="E39" s="159"/>
      <c r="F39" s="161">
        <f t="shared" si="7"/>
        <v>-5.8231590995803106E-2</v>
      </c>
      <c r="G39" s="159">
        <v>406515</v>
      </c>
      <c r="H39" s="159"/>
      <c r="I39" s="161">
        <f t="shared" si="8"/>
        <v>-0.10494934838753711</v>
      </c>
      <c r="J39" s="159">
        <v>389982</v>
      </c>
      <c r="K39" s="159"/>
      <c r="L39" s="161">
        <f t="shared" si="9"/>
        <v>-4.0670085974687242E-2</v>
      </c>
      <c r="M39" s="159">
        <v>363058</v>
      </c>
      <c r="N39" s="159"/>
      <c r="O39" s="161">
        <f>M39/J39-1</f>
        <v>-6.9039083855152339E-2</v>
      </c>
      <c r="P39" s="159">
        <v>350238</v>
      </c>
      <c r="Q39" s="159"/>
      <c r="R39" s="161">
        <f>P39/M39-1</f>
        <v>-3.5311162403803276E-2</v>
      </c>
      <c r="S39" s="160">
        <f t="shared" si="12"/>
        <v>-0.10191239595673651</v>
      </c>
    </row>
    <row r="40" spans="1:19" ht="19.5" customHeight="1" x14ac:dyDescent="0.25">
      <c r="A40" s="158" t="s">
        <v>98</v>
      </c>
      <c r="B40" s="159">
        <v>2328757</v>
      </c>
      <c r="C40" s="159">
        <v>6475</v>
      </c>
      <c r="D40" s="159">
        <v>2258028</v>
      </c>
      <c r="E40" s="159">
        <v>6587</v>
      </c>
      <c r="F40" s="161">
        <f t="shared" si="7"/>
        <v>-3.0371996734738782E-2</v>
      </c>
      <c r="G40" s="159">
        <v>2281811</v>
      </c>
      <c r="H40" s="159">
        <v>6646</v>
      </c>
      <c r="I40" s="160">
        <f t="shared" si="8"/>
        <v>1.0532641756435313E-2</v>
      </c>
      <c r="J40" s="159">
        <v>2398127</v>
      </c>
      <c r="K40" s="159">
        <v>6665</v>
      </c>
      <c r="L40" s="160">
        <f t="shared" si="9"/>
        <v>5.0975299882418001E-2</v>
      </c>
      <c r="M40" s="159">
        <v>2387575</v>
      </c>
      <c r="N40" s="159">
        <v>6648</v>
      </c>
      <c r="O40" s="161">
        <f t="shared" si="10"/>
        <v>-4.4001005784931602E-3</v>
      </c>
      <c r="P40" s="159">
        <v>2387575</v>
      </c>
      <c r="Q40" s="159">
        <v>6648</v>
      </c>
      <c r="R40" s="161">
        <f t="shared" si="11"/>
        <v>0</v>
      </c>
      <c r="S40" s="160">
        <f t="shared" si="12"/>
        <v>-4.4001005784931602E-3</v>
      </c>
    </row>
    <row r="41" spans="1:19" ht="19.5" customHeight="1" x14ac:dyDescent="0.25">
      <c r="A41" s="158" t="s">
        <v>140</v>
      </c>
      <c r="B41" s="159">
        <v>418927.75700315973</v>
      </c>
      <c r="C41" s="159">
        <v>1166.8207657607545</v>
      </c>
      <c r="D41" s="159">
        <v>401194</v>
      </c>
      <c r="E41" s="159">
        <v>1110</v>
      </c>
      <c r="F41" s="161">
        <f t="shared" si="7"/>
        <v>-4.2331301057776383E-2</v>
      </c>
      <c r="G41" s="159">
        <v>385924</v>
      </c>
      <c r="H41" s="159">
        <v>1069</v>
      </c>
      <c r="I41" s="161">
        <f t="shared" si="8"/>
        <v>-3.8061386760519844E-2</v>
      </c>
      <c r="J41" s="159">
        <v>361875</v>
      </c>
      <c r="K41" s="159">
        <v>1003</v>
      </c>
      <c r="L41" s="161">
        <f t="shared" si="9"/>
        <v>-6.2315378157357437E-2</v>
      </c>
      <c r="M41" s="159">
        <v>351211</v>
      </c>
      <c r="N41" s="159">
        <v>976</v>
      </c>
      <c r="O41" s="161">
        <f t="shared" si="10"/>
        <v>-2.9468739205526728E-2</v>
      </c>
      <c r="P41" s="159">
        <v>327143</v>
      </c>
      <c r="Q41" s="159">
        <v>909</v>
      </c>
      <c r="R41" s="161">
        <f t="shared" si="11"/>
        <v>-6.8528605311337087E-2</v>
      </c>
      <c r="S41" s="160">
        <f t="shared" si="12"/>
        <v>-9.5977892918825525E-2</v>
      </c>
    </row>
    <row r="42" spans="1:19" ht="30" customHeight="1" x14ac:dyDescent="0.3">
      <c r="B42" s="167">
        <f>SUM(B36:B41)</f>
        <v>347000000.1858741</v>
      </c>
      <c r="C42" s="167">
        <f>SUM(C36:C41)</f>
        <v>305790.24803778052</v>
      </c>
      <c r="D42" s="167">
        <f>SUM(D36:D41)</f>
        <v>348418006</v>
      </c>
      <c r="E42" s="167">
        <f>SUM(E36:E41)</f>
        <v>332199</v>
      </c>
      <c r="F42" s="168">
        <f t="shared" si="7"/>
        <v>4.0864720846292002E-3</v>
      </c>
      <c r="G42" s="167">
        <f>SUM(G36:G41)</f>
        <v>349960100</v>
      </c>
      <c r="H42" s="167">
        <f>SUM(H36:H41)</f>
        <v>340433</v>
      </c>
      <c r="I42" s="168">
        <f>G42/D42-1</f>
        <v>4.4259882481503254E-3</v>
      </c>
      <c r="J42" s="167">
        <f>SUM(J36:J41)</f>
        <v>344598404</v>
      </c>
      <c r="K42" s="167">
        <f>SUM(K36:K41)</f>
        <v>340157</v>
      </c>
      <c r="L42" s="169">
        <f>J42/G42-1</f>
        <v>-1.532087800866444E-2</v>
      </c>
      <c r="M42" s="167">
        <f>SUM(M36:M41)</f>
        <v>348720787</v>
      </c>
      <c r="N42" s="167">
        <f>SUM(N36:N41)</f>
        <v>350808</v>
      </c>
      <c r="O42" s="169">
        <f>M42/J42-1</f>
        <v>1.1962861557536453E-2</v>
      </c>
      <c r="P42" s="167">
        <f>SUM(P36:P41)</f>
        <v>347701414</v>
      </c>
      <c r="Q42" s="167">
        <f>SUM(Q36:Q41)</f>
        <v>349751</v>
      </c>
      <c r="R42" s="168">
        <f>P42/M42-1</f>
        <v>-2.9231781929879297E-3</v>
      </c>
      <c r="S42" s="168">
        <f t="shared" si="12"/>
        <v>9.0047137885176376E-3</v>
      </c>
    </row>
    <row r="43" spans="1:19" ht="13.5" customHeight="1" x14ac:dyDescent="0.25">
      <c r="B43" s="162"/>
      <c r="C43" s="162"/>
      <c r="D43" s="162"/>
      <c r="E43" s="162"/>
      <c r="F43" s="164"/>
      <c r="G43" s="162"/>
      <c r="H43" s="162"/>
      <c r="I43" s="164"/>
      <c r="J43" s="162"/>
      <c r="K43" s="162"/>
      <c r="L43" s="165"/>
      <c r="M43" s="162"/>
      <c r="N43" s="162"/>
      <c r="O43" s="165"/>
      <c r="P43" s="162"/>
      <c r="Q43" s="162"/>
      <c r="R43" s="164"/>
    </row>
    <row r="44" spans="1:19" ht="30" x14ac:dyDescent="0.25">
      <c r="A44" s="158" t="s">
        <v>143</v>
      </c>
      <c r="B44" s="159">
        <v>83184875</v>
      </c>
      <c r="C44" s="159">
        <f>180949+96000</f>
        <v>276949</v>
      </c>
      <c r="D44" s="159">
        <v>73870537</v>
      </c>
      <c r="E44" s="159">
        <v>241211</v>
      </c>
      <c r="F44" s="161">
        <f t="shared" si="7"/>
        <v>-0.11197153328654996</v>
      </c>
      <c r="G44" s="159">
        <v>74192250</v>
      </c>
      <c r="H44" s="159">
        <v>264787</v>
      </c>
      <c r="I44" s="160">
        <f t="shared" si="8"/>
        <v>4.3550922067887576E-3</v>
      </c>
      <c r="J44" s="159">
        <v>71831928</v>
      </c>
      <c r="K44" s="159">
        <v>245804</v>
      </c>
      <c r="L44" s="161">
        <f t="shared" si="9"/>
        <v>-3.1813592390040779E-2</v>
      </c>
      <c r="M44" s="159">
        <v>72004562</v>
      </c>
      <c r="N44" s="159">
        <v>292069</v>
      </c>
      <c r="O44" s="160">
        <f t="shared" si="10"/>
        <v>2.403304558385333E-3</v>
      </c>
      <c r="P44" s="159">
        <v>70769061</v>
      </c>
      <c r="Q44" s="159">
        <v>287057</v>
      </c>
      <c r="R44" s="161">
        <f t="shared" si="11"/>
        <v>-1.7158648920050368E-2</v>
      </c>
      <c r="S44" s="160">
        <f t="shared" si="12"/>
        <v>-1.4796581820830434E-2</v>
      </c>
    </row>
    <row r="45" spans="1:19" ht="13.5" customHeight="1" x14ac:dyDescent="0.25">
      <c r="A45" s="158"/>
      <c r="B45" s="159"/>
      <c r="C45" s="159"/>
      <c r="D45" s="159"/>
      <c r="E45" s="159"/>
      <c r="F45" s="161"/>
      <c r="G45" s="159"/>
      <c r="H45" s="159"/>
      <c r="I45" s="160"/>
      <c r="J45" s="159"/>
      <c r="K45" s="159"/>
      <c r="L45" s="161"/>
      <c r="M45" s="159"/>
      <c r="N45" s="159"/>
      <c r="O45" s="160"/>
      <c r="P45" s="159"/>
      <c r="Q45" s="159"/>
      <c r="R45" s="161"/>
    </row>
    <row r="46" spans="1:19" ht="30" customHeight="1" thickBot="1" x14ac:dyDescent="0.35">
      <c r="A46" s="39" t="s">
        <v>150</v>
      </c>
      <c r="B46" s="177">
        <f>SUM(B42:B44)</f>
        <v>430184875.1858741</v>
      </c>
      <c r="C46" s="177">
        <f t="shared" ref="C46:E46" si="13">SUM(C42:C44)</f>
        <v>582739.24803778052</v>
      </c>
      <c r="D46" s="177">
        <f t="shared" si="13"/>
        <v>422288543</v>
      </c>
      <c r="E46" s="177">
        <f t="shared" si="13"/>
        <v>573410</v>
      </c>
      <c r="F46" s="178">
        <f t="shared" si="7"/>
        <v>-1.8355671343540991E-2</v>
      </c>
      <c r="G46" s="177">
        <f t="shared" ref="G46:Q46" si="14">SUM(G42:G44)</f>
        <v>424152350</v>
      </c>
      <c r="H46" s="177">
        <f t="shared" si="14"/>
        <v>605220</v>
      </c>
      <c r="I46" s="179">
        <f>G46/D46-1</f>
        <v>4.4135864704242245E-3</v>
      </c>
      <c r="J46" s="177">
        <f t="shared" si="14"/>
        <v>416430332</v>
      </c>
      <c r="K46" s="177">
        <f t="shared" si="14"/>
        <v>585961</v>
      </c>
      <c r="L46" s="178">
        <f>J46/G46-1</f>
        <v>-1.8205764980436911E-2</v>
      </c>
      <c r="M46" s="177">
        <f t="shared" si="14"/>
        <v>420725349</v>
      </c>
      <c r="N46" s="177">
        <f t="shared" si="14"/>
        <v>642877</v>
      </c>
      <c r="O46" s="178">
        <f>M46/J46-1</f>
        <v>1.0313890871906928E-2</v>
      </c>
      <c r="P46" s="177">
        <f>SUM(P42:P44)</f>
        <v>418470475</v>
      </c>
      <c r="Q46" s="177">
        <f t="shared" si="14"/>
        <v>636808</v>
      </c>
      <c r="R46" s="178">
        <f>P46/M46-1</f>
        <v>-5.3594916621009236E-3</v>
      </c>
      <c r="S46" s="179">
        <f t="shared" si="12"/>
        <v>4.8991219976741718E-3</v>
      </c>
    </row>
    <row r="48" spans="1:19" x14ac:dyDescent="0.25"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R48" s="159"/>
    </row>
    <row r="49" spans="2:18" x14ac:dyDescent="0.25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R49" s="159"/>
    </row>
    <row r="50" spans="2:18" x14ac:dyDescent="0.25"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R50" s="159"/>
    </row>
    <row r="51" spans="2:18" x14ac:dyDescent="0.25">
      <c r="B51" s="197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R51" s="159"/>
    </row>
    <row r="52" spans="2:18" x14ac:dyDescent="0.25"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R52" s="159"/>
    </row>
    <row r="53" spans="2:18" x14ac:dyDescent="0.25"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R53" s="159"/>
    </row>
    <row r="54" spans="2:18" x14ac:dyDescent="0.25"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R54" s="159"/>
    </row>
    <row r="55" spans="2:18" x14ac:dyDescent="0.25"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R55" s="159"/>
    </row>
    <row r="56" spans="2:18" x14ac:dyDescent="0.25"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R56" s="159"/>
    </row>
    <row r="57" spans="2:18" x14ac:dyDescent="0.25"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R57" s="159"/>
    </row>
    <row r="58" spans="2:18" x14ac:dyDescent="0.25"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R58" s="159"/>
    </row>
    <row r="59" spans="2:18" x14ac:dyDescent="0.25"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R59" s="159"/>
    </row>
    <row r="60" spans="2:18" x14ac:dyDescent="0.25"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R60" s="159"/>
    </row>
    <row r="61" spans="2:18" x14ac:dyDescent="0.25"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R61" s="159"/>
    </row>
    <row r="62" spans="2:18" x14ac:dyDescent="0.25"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R62" s="159"/>
    </row>
    <row r="63" spans="2:18" x14ac:dyDescent="0.25"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R63" s="159"/>
    </row>
    <row r="64" spans="2:18" x14ac:dyDescent="0.25"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R64" s="159"/>
    </row>
    <row r="72" spans="19:19" x14ac:dyDescent="0.25">
      <c r="S72" s="157" t="s">
        <v>185</v>
      </c>
    </row>
  </sheetData>
  <mergeCells count="12">
    <mergeCell ref="P34:Q34"/>
    <mergeCell ref="B14:C14"/>
    <mergeCell ref="D14:E14"/>
    <mergeCell ref="G14:H14"/>
    <mergeCell ref="J14:K14"/>
    <mergeCell ref="M14:N14"/>
    <mergeCell ref="P14:Q14"/>
    <mergeCell ref="B34:C34"/>
    <mergeCell ref="D34:E34"/>
    <mergeCell ref="G34:H34"/>
    <mergeCell ref="J34:K34"/>
    <mergeCell ref="M34:N34"/>
  </mergeCells>
  <printOptions horizontalCentered="1" gridLines="1"/>
  <pageMargins left="0.39370078740157483" right="0.39370078740157483" top="0.59055118110236227" bottom="0.59055118110236227" header="0.31496062992125984" footer="0.31496062992125984"/>
  <pageSetup paperSize="17" scale="66" orientation="landscape" r:id="rId1"/>
  <headerFooter alignWithMargins="0"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2014 Cost of Power</vt:lpstr>
      <vt:lpstr>Load Forecast Details</vt:lpstr>
      <vt:lpstr>Sheet3</vt:lpstr>
      <vt:lpstr>Chart1</vt:lpstr>
      <vt:lpstr>'CDM Activity'!Print_Area</vt:lpstr>
      <vt:lpstr>'Load Forecast Details'!Print_Area</vt:lpstr>
      <vt:lpstr>'Purchased Power Model '!Print_Area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Jackie Scott</cp:lastModifiedBy>
  <cp:lastPrinted>2013-11-13T16:50:32Z</cp:lastPrinted>
  <dcterms:created xsi:type="dcterms:W3CDTF">2008-02-06T18:24:44Z</dcterms:created>
  <dcterms:modified xsi:type="dcterms:W3CDTF">2013-11-13T16:50:38Z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