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15" windowHeight="12015" activeTab="0"/>
  </bookViews>
  <sheets>
    <sheet name="1.BillingDeterminants" sheetId="1" r:id="rId1"/>
    <sheet name="2. Tax Savings" sheetId="2" r:id="rId2"/>
    <sheet name="3. Rate Rider Calculation" sheetId="3" r:id="rId3"/>
  </sheets>
  <definedNames>
    <definedName name="_xlnm.Print_Area" localSheetId="0">'1.BillingDeterminants'!$A$1:$M$46</definedName>
    <definedName name="_xlnm.Print_Area" localSheetId="1">'2. Tax Savings'!$A$1:$E$31</definedName>
    <definedName name="_xlnm.Print_Area" localSheetId="2">'3. Rate Rider Calculation'!$A$1:$H$33</definedName>
  </definedNames>
  <calcPr fullCalcOnLoad="1"/>
</workbook>
</file>

<file path=xl/sharedStrings.xml><?xml version="1.0" encoding="utf-8"?>
<sst xmlns="http://schemas.openxmlformats.org/spreadsheetml/2006/main" count="168" uniqueCount="80">
  <si>
    <t>Taxable Capital</t>
  </si>
  <si>
    <t xml:space="preserve">Net Taxable Capital </t>
  </si>
  <si>
    <t>Rate</t>
  </si>
  <si>
    <t>Regulatory Taxable Income</t>
  </si>
  <si>
    <t>Corporate Tax Rate</t>
  </si>
  <si>
    <t xml:space="preserve">Tax Impact </t>
  </si>
  <si>
    <t>Grossed-up Tax Amount</t>
  </si>
  <si>
    <t>Incremental Tax Savings</t>
  </si>
  <si>
    <t>Sharing of Tax Savings (50%)</t>
  </si>
  <si>
    <t>SMP</t>
  </si>
  <si>
    <t>Chatham-Kent</t>
  </si>
  <si>
    <t>Rates</t>
  </si>
  <si>
    <t>Total</t>
  </si>
  <si>
    <t>Description</t>
  </si>
  <si>
    <t>Entegrus Powerlines Inc.</t>
  </si>
  <si>
    <t>Shared Tax Savings</t>
  </si>
  <si>
    <t>1. Customer Classes &amp; Billing Determinants</t>
  </si>
  <si>
    <t>Rate Class</t>
  </si>
  <si>
    <t>Billing Determinant</t>
  </si>
  <si>
    <t>No. Customers</t>
  </si>
  <si>
    <t>kWh</t>
  </si>
  <si>
    <t>kW</t>
  </si>
  <si>
    <t>Service Charge</t>
  </si>
  <si>
    <t>Revenue</t>
  </si>
  <si>
    <t>Distribution kWh</t>
  </si>
  <si>
    <t>Distribution kW</t>
  </si>
  <si>
    <t>Residential</t>
  </si>
  <si>
    <t>Intermediate With Self Generation</t>
  </si>
  <si>
    <t>Unmetered Scattered Load</t>
  </si>
  <si>
    <t>Standby Power</t>
  </si>
  <si>
    <t>Sentinel Lighting</t>
  </si>
  <si>
    <t>Street Lighting</t>
  </si>
  <si>
    <t>Strathroy, Mt. Byrdges &amp; Parkhill</t>
  </si>
  <si>
    <t>Large User</t>
  </si>
  <si>
    <t>General Service &lt;50 kW</t>
  </si>
  <si>
    <t>General Service &gt;50 kW</t>
  </si>
  <si>
    <t>General Service Intermediate</t>
  </si>
  <si>
    <t>2. Calculation of Tax Savings</t>
  </si>
  <si>
    <t>1. Ontario Capital Tax</t>
  </si>
  <si>
    <t>2. Income Tax</t>
  </si>
  <si>
    <t>Tax Credits</t>
  </si>
  <si>
    <t>3. Summary</t>
  </si>
  <si>
    <t>Total OCT</t>
  </si>
  <si>
    <t>Total Income</t>
  </si>
  <si>
    <t>Grand Total</t>
  </si>
  <si>
    <t>Deduction from taxable capital</t>
  </si>
  <si>
    <t>CK
(2010 COS)</t>
  </si>
  <si>
    <t xml:space="preserve">Total </t>
  </si>
  <si>
    <t>Proration (Ended Jun 30/10)</t>
  </si>
  <si>
    <t>Percent of Combined Revenue</t>
  </si>
  <si>
    <t>Shared Tax Savings Calculation</t>
  </si>
  <si>
    <t>3. Rate Rider Calculation</t>
  </si>
  <si>
    <t>Total Amount</t>
  </si>
  <si>
    <t>% of Revenue by Rate Class</t>
  </si>
  <si>
    <t>Allocated Tax Change</t>
  </si>
  <si>
    <t>Billed kWh</t>
  </si>
  <si>
    <t>kWh Rate Rider</t>
  </si>
  <si>
    <t>kW Rate Rider</t>
  </si>
  <si>
    <t>Chatham-Kent Allocation</t>
  </si>
  <si>
    <t>SMP Allocation</t>
  </si>
  <si>
    <t>Billed kW</t>
  </si>
  <si>
    <t>(A)</t>
  </si>
  <si>
    <t>(B)</t>
  </si>
  <si>
    <t>(C)</t>
  </si>
  <si>
    <t>(D)</t>
  </si>
  <si>
    <t>(E)</t>
  </si>
  <si>
    <t>(F)</t>
  </si>
  <si>
    <t>(G)</t>
  </si>
  <si>
    <t>(H)</t>
  </si>
  <si>
    <t>(I) = (C)*(F)*12</t>
  </si>
  <si>
    <t>(J) = (D)*(G)</t>
  </si>
  <si>
    <t>(K) = (E)*(H)</t>
  </si>
  <si>
    <t>(L) = (I) + (J) + (K)</t>
  </si>
  <si>
    <t>(M) = (L)/Total</t>
  </si>
  <si>
    <t>% of Revenue Total</t>
  </si>
  <si>
    <r>
      <t>SMP
(2012 IRM)</t>
    </r>
    <r>
      <rPr>
        <b/>
        <vertAlign val="superscript"/>
        <sz val="11"/>
        <color indexed="8"/>
        <rFont val="Calibri"/>
        <family val="2"/>
      </rPr>
      <t>1</t>
    </r>
  </si>
  <si>
    <t>2013 Approved Rates</t>
  </si>
  <si>
    <t>2014 
Estimate</t>
  </si>
  <si>
    <t>(1) EB-2011-0148, Application Manager's Summary, Page 3</t>
  </si>
  <si>
    <t>2012 RRR Statistics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</si>
</sst>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%"/>
    <numFmt numFmtId="175" formatCode="_(* #,##0_);_(* \(#,##0\);_(* &quot;-&quot;??_);_(@_)"/>
    <numFmt numFmtId="176" formatCode="&quot;$&quot;#,##0.0000"/>
    <numFmt numFmtId="177" formatCode="&quot;$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double"/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/>
      <top style="thin">
        <color theme="0" tint="-0.24997000396251678"/>
      </top>
      <bottom/>
    </border>
    <border>
      <left style="thin"/>
      <right style="thin">
        <color theme="0" tint="-0.24997000396251678"/>
      </right>
      <top style="thin"/>
      <bottom style="double"/>
    </border>
    <border>
      <left style="thin">
        <color theme="0" tint="-0.24997000396251678"/>
      </left>
      <right style="thin"/>
      <top style="thin"/>
      <bottom style="double"/>
    </border>
    <border>
      <left style="thin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  <border>
      <left style="thin"/>
      <right style="thin">
        <color theme="0" tint="-0.24997000396251678"/>
      </right>
      <top/>
      <bottom style="thin"/>
    </border>
    <border>
      <left style="thin">
        <color theme="0" tint="-0.24997000396251678"/>
      </left>
      <right style="thin">
        <color theme="0" tint="-0.24997000396251678"/>
      </right>
      <top/>
      <bottom style="thin"/>
    </border>
    <border>
      <left style="thin">
        <color theme="0" tint="-0.24997000396251678"/>
      </left>
      <right style="thin"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/>
      <right/>
      <top/>
      <bottom style="medium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/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  <border>
      <left style="medium"/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/>
      <bottom/>
    </border>
    <border>
      <left style="thin">
        <color theme="0" tint="-0.24997000396251678"/>
      </left>
      <right style="thin"/>
      <top style="thin"/>
      <bottom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0" fontId="0" fillId="0" borderId="10" xfId="57" applyNumberFormat="1" applyFont="1" applyBorder="1" applyAlignment="1">
      <alignment/>
    </xf>
    <xf numFmtId="0" fontId="39" fillId="0" borderId="0" xfId="0" applyFont="1" applyBorder="1" applyAlignment="1">
      <alignment/>
    </xf>
    <xf numFmtId="175" fontId="0" fillId="0" borderId="0" xfId="42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5" fontId="0" fillId="0" borderId="10" xfId="42" applyNumberFormat="1" applyFont="1" applyBorder="1" applyAlignment="1">
      <alignment/>
    </xf>
    <xf numFmtId="17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175" fontId="0" fillId="33" borderId="10" xfId="42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5" fontId="0" fillId="0" borderId="12" xfId="42" applyNumberFormat="1" applyFont="1" applyBorder="1" applyAlignment="1">
      <alignment/>
    </xf>
    <xf numFmtId="172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0" fontId="0" fillId="0" borderId="12" xfId="57" applyNumberFormat="1" applyFont="1" applyBorder="1" applyAlignment="1">
      <alignment/>
    </xf>
    <xf numFmtId="0" fontId="0" fillId="0" borderId="13" xfId="0" applyBorder="1" applyAlignment="1">
      <alignment/>
    </xf>
    <xf numFmtId="175" fontId="0" fillId="0" borderId="13" xfId="42" applyNumberFormat="1" applyFont="1" applyBorder="1" applyAlignment="1">
      <alignment/>
    </xf>
    <xf numFmtId="172" fontId="0" fillId="0" borderId="13" xfId="0" applyNumberFormat="1" applyBorder="1" applyAlignment="1">
      <alignment/>
    </xf>
    <xf numFmtId="176" fontId="0" fillId="0" borderId="13" xfId="0" applyNumberFormat="1" applyBorder="1" applyAlignment="1">
      <alignment/>
    </xf>
    <xf numFmtId="175" fontId="0" fillId="0" borderId="11" xfId="42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3" xfId="42" applyNumberFormat="1" applyFont="1" applyBorder="1" applyAlignment="1">
      <alignment/>
    </xf>
    <xf numFmtId="172" fontId="0" fillId="0" borderId="23" xfId="0" applyNumberFormat="1" applyBorder="1" applyAlignment="1">
      <alignment/>
    </xf>
    <xf numFmtId="176" fontId="0" fillId="0" borderId="23" xfId="0" applyNumberFormat="1" applyBorder="1" applyAlignment="1">
      <alignment/>
    </xf>
    <xf numFmtId="10" fontId="0" fillId="0" borderId="23" xfId="57" applyNumberFormat="1" applyFont="1" applyBorder="1" applyAlignment="1">
      <alignment/>
    </xf>
    <xf numFmtId="174" fontId="0" fillId="0" borderId="24" xfId="0" applyNumberForma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/>
    </xf>
    <xf numFmtId="0" fontId="0" fillId="0" borderId="26" xfId="0" applyBorder="1" applyAlignment="1">
      <alignment/>
    </xf>
    <xf numFmtId="0" fontId="41" fillId="0" borderId="0" xfId="0" applyFont="1" applyBorder="1" applyAlignment="1">
      <alignment/>
    </xf>
    <xf numFmtId="0" fontId="41" fillId="0" borderId="26" xfId="0" applyFont="1" applyBorder="1" applyAlignment="1">
      <alignment/>
    </xf>
    <xf numFmtId="173" fontId="0" fillId="0" borderId="10" xfId="0" applyNumberFormat="1" applyBorder="1" applyAlignment="1">
      <alignment/>
    </xf>
    <xf numFmtId="173" fontId="0" fillId="4" borderId="10" xfId="0" applyNumberFormat="1" applyFill="1" applyBorder="1" applyAlignment="1">
      <alignment/>
    </xf>
    <xf numFmtId="10" fontId="0" fillId="4" borderId="10" xfId="57" applyNumberFormat="1" applyFon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27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3" fontId="0" fillId="0" borderId="30" xfId="0" applyNumberForma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37" fillId="0" borderId="34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173" fontId="0" fillId="0" borderId="36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21" xfId="0" applyNumberFormat="1" applyBorder="1" applyAlignment="1">
      <alignment/>
    </xf>
    <xf numFmtId="10" fontId="0" fillId="4" borderId="15" xfId="57" applyNumberFormat="1" applyFont="1" applyFill="1" applyBorder="1" applyAlignment="1">
      <alignment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/>
    </xf>
    <xf numFmtId="0" fontId="37" fillId="34" borderId="25" xfId="0" applyFont="1" applyFill="1" applyBorder="1" applyAlignment="1">
      <alignment horizontal="center" vertical="center"/>
    </xf>
    <xf numFmtId="0" fontId="37" fillId="0" borderId="20" xfId="0" applyFont="1" applyBorder="1" applyAlignment="1">
      <alignment/>
    </xf>
    <xf numFmtId="0" fontId="37" fillId="0" borderId="14" xfId="0" applyFont="1" applyBorder="1" applyAlignment="1">
      <alignment/>
    </xf>
    <xf numFmtId="176" fontId="0" fillId="0" borderId="15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center" vertical="center" wrapText="1"/>
    </xf>
    <xf numFmtId="175" fontId="0" fillId="33" borderId="12" xfId="42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40" xfId="0" applyFont="1" applyFill="1" applyBorder="1" applyAlignment="1">
      <alignment horizontal="center" vertical="center" wrapText="1"/>
    </xf>
    <xf numFmtId="172" fontId="37" fillId="34" borderId="40" xfId="0" applyNumberFormat="1" applyFont="1" applyFill="1" applyBorder="1" applyAlignment="1">
      <alignment horizontal="center" vertical="center" wrapText="1"/>
    </xf>
    <xf numFmtId="175" fontId="37" fillId="34" borderId="40" xfId="42" applyNumberFormat="1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 horizontal="center" vertical="center" wrapText="1"/>
    </xf>
    <xf numFmtId="176" fontId="0" fillId="0" borderId="17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0" fontId="0" fillId="0" borderId="30" xfId="57" applyNumberFormat="1" applyFont="1" applyBorder="1" applyAlignment="1">
      <alignment/>
    </xf>
    <xf numFmtId="172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72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0" fontId="0" fillId="0" borderId="33" xfId="57" applyNumberFormat="1" applyFon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0" xfId="0" applyNumberFormat="1" applyBorder="1" applyAlignment="1">
      <alignment/>
    </xf>
    <xf numFmtId="175" fontId="0" fillId="0" borderId="0" xfId="42" applyNumberFormat="1" applyFont="1" applyBorder="1" applyAlignment="1">
      <alignment/>
    </xf>
    <xf numFmtId="172" fontId="0" fillId="0" borderId="26" xfId="0" applyNumberFormat="1" applyBorder="1" applyAlignment="1">
      <alignment/>
    </xf>
    <xf numFmtId="175" fontId="0" fillId="0" borderId="26" xfId="42" applyNumberFormat="1" applyFont="1" applyBorder="1" applyAlignment="1">
      <alignment/>
    </xf>
    <xf numFmtId="0" fontId="37" fillId="33" borderId="2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175" fontId="0" fillId="4" borderId="10" xfId="42" applyNumberFormat="1" applyFont="1" applyFill="1" applyBorder="1" applyAlignment="1">
      <alignment/>
    </xf>
    <xf numFmtId="172" fontId="0" fillId="4" borderId="10" xfId="0" applyNumberFormat="1" applyFill="1" applyBorder="1" applyAlignment="1">
      <alignment/>
    </xf>
    <xf numFmtId="176" fontId="0" fillId="4" borderId="10" xfId="0" applyNumberFormat="1" applyFill="1" applyBorder="1" applyAlignment="1">
      <alignment/>
    </xf>
    <xf numFmtId="0" fontId="0" fillId="4" borderId="11" xfId="0" applyFill="1" applyBorder="1" applyAlignment="1">
      <alignment/>
    </xf>
    <xf numFmtId="175" fontId="0" fillId="4" borderId="11" xfId="42" applyNumberFormat="1" applyFont="1" applyFill="1" applyBorder="1" applyAlignment="1">
      <alignment/>
    </xf>
    <xf numFmtId="172" fontId="0" fillId="4" borderId="11" xfId="0" applyNumberFormat="1" applyFill="1" applyBorder="1" applyAlignment="1">
      <alignment/>
    </xf>
    <xf numFmtId="176" fontId="0" fillId="4" borderId="11" xfId="0" applyNumberFormat="1" applyFill="1" applyBorder="1" applyAlignment="1">
      <alignment/>
    </xf>
    <xf numFmtId="0" fontId="42" fillId="0" borderId="0" xfId="0" applyFont="1" applyAlignment="1" quotePrefix="1">
      <alignment/>
    </xf>
    <xf numFmtId="0" fontId="42" fillId="0" borderId="0" xfId="0" applyFont="1" applyAlignment="1">
      <alignment/>
    </xf>
    <xf numFmtId="0" fontId="37" fillId="34" borderId="36" xfId="0" applyFont="1" applyFill="1" applyBorder="1" applyAlignment="1">
      <alignment horizontal="center" wrapText="1"/>
    </xf>
    <xf numFmtId="0" fontId="37" fillId="34" borderId="44" xfId="0" applyFont="1" applyFill="1" applyBorder="1" applyAlignment="1">
      <alignment horizontal="center" wrapText="1"/>
    </xf>
    <xf numFmtId="0" fontId="37" fillId="34" borderId="35" xfId="0" applyFont="1" applyFill="1" applyBorder="1" applyAlignment="1">
      <alignment horizontal="center" vertical="center" wrapText="1"/>
    </xf>
    <xf numFmtId="0" fontId="37" fillId="34" borderId="45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/>
    </xf>
    <xf numFmtId="0" fontId="37" fillId="34" borderId="35" xfId="0" applyFont="1" applyFill="1" applyBorder="1" applyAlignment="1">
      <alignment horizontal="center" vertical="center"/>
    </xf>
    <xf numFmtId="0" fontId="37" fillId="34" borderId="45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37" fillId="34" borderId="36" xfId="0" applyFont="1" applyFill="1" applyBorder="1" applyAlignment="1">
      <alignment horizontal="center" vertical="center" wrapText="1"/>
    </xf>
    <xf numFmtId="0" fontId="37" fillId="34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0" zoomScaleNormal="90" zoomScalePageLayoutView="0" workbookViewId="0" topLeftCell="A1">
      <selection activeCell="C35" sqref="C35"/>
    </sheetView>
  </sheetViews>
  <sheetFormatPr defaultColWidth="9.140625" defaultRowHeight="15"/>
  <cols>
    <col min="1" max="1" width="45.28125" style="0" customWidth="1"/>
    <col min="2" max="2" width="12.421875" style="0" customWidth="1"/>
    <col min="3" max="13" width="14.7109375" style="0" customWidth="1"/>
  </cols>
  <sheetData>
    <row r="1" spans="1:13" ht="18.75">
      <c r="A1" s="7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.75">
      <c r="A2" s="7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thickBo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15">
      <c r="A5" s="126" t="s">
        <v>17</v>
      </c>
      <c r="B5" s="128" t="s">
        <v>18</v>
      </c>
      <c r="C5" s="130" t="s">
        <v>79</v>
      </c>
      <c r="D5" s="130"/>
      <c r="E5" s="130"/>
      <c r="F5" s="130" t="s">
        <v>76</v>
      </c>
      <c r="G5" s="130"/>
      <c r="H5" s="130"/>
      <c r="I5" s="130" t="s">
        <v>23</v>
      </c>
      <c r="J5" s="130"/>
      <c r="K5" s="130"/>
      <c r="L5" s="130"/>
      <c r="M5" s="124" t="s">
        <v>74</v>
      </c>
    </row>
    <row r="6" spans="1:13" s="10" customFormat="1" ht="30">
      <c r="A6" s="127"/>
      <c r="B6" s="129"/>
      <c r="C6" s="54" t="s">
        <v>19</v>
      </c>
      <c r="D6" s="54" t="s">
        <v>20</v>
      </c>
      <c r="E6" s="54" t="s">
        <v>21</v>
      </c>
      <c r="F6" s="54" t="s">
        <v>22</v>
      </c>
      <c r="G6" s="54" t="s">
        <v>24</v>
      </c>
      <c r="H6" s="54" t="s">
        <v>25</v>
      </c>
      <c r="I6" s="54" t="s">
        <v>22</v>
      </c>
      <c r="J6" s="54" t="s">
        <v>24</v>
      </c>
      <c r="K6" s="54" t="s">
        <v>25</v>
      </c>
      <c r="L6" s="54" t="s">
        <v>12</v>
      </c>
      <c r="M6" s="125"/>
    </row>
    <row r="7" spans="1:13" s="20" customFormat="1" ht="12.75">
      <c r="A7" s="51" t="s">
        <v>61</v>
      </c>
      <c r="B7" s="52" t="s">
        <v>62</v>
      </c>
      <c r="C7" s="52" t="s">
        <v>63</v>
      </c>
      <c r="D7" s="52" t="s">
        <v>64</v>
      </c>
      <c r="E7" s="52" t="s">
        <v>65</v>
      </c>
      <c r="F7" s="52" t="s">
        <v>66</v>
      </c>
      <c r="G7" s="52" t="s">
        <v>67</v>
      </c>
      <c r="H7" s="52" t="s">
        <v>68</v>
      </c>
      <c r="I7" s="52" t="s">
        <v>69</v>
      </c>
      <c r="J7" s="52" t="s">
        <v>70</v>
      </c>
      <c r="K7" s="52" t="s">
        <v>71</v>
      </c>
      <c r="L7" s="52" t="s">
        <v>72</v>
      </c>
      <c r="M7" s="53" t="s">
        <v>73</v>
      </c>
    </row>
    <row r="8" spans="1:13" ht="15">
      <c r="A8" s="34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5"/>
    </row>
    <row r="9" spans="1:13" ht="15">
      <c r="A9" s="36" t="s">
        <v>26</v>
      </c>
      <c r="B9" s="114" t="s">
        <v>20</v>
      </c>
      <c r="C9" s="115">
        <v>28704</v>
      </c>
      <c r="D9" s="115">
        <v>233649318</v>
      </c>
      <c r="E9" s="115">
        <v>0</v>
      </c>
      <c r="F9" s="116">
        <v>18.42</v>
      </c>
      <c r="G9" s="117">
        <v>0.0086</v>
      </c>
      <c r="H9" s="117">
        <v>0</v>
      </c>
      <c r="I9" s="12">
        <f>C9*F9*12</f>
        <v>6344732.16</v>
      </c>
      <c r="J9" s="12">
        <f>D9*G9</f>
        <v>2009384.1348</v>
      </c>
      <c r="K9" s="12">
        <f>E9*H9</f>
        <v>0</v>
      </c>
      <c r="L9" s="12">
        <f>SUM(I9:K9)</f>
        <v>8354116.2948</v>
      </c>
      <c r="M9" s="37">
        <f>IF(ISERROR(L9/L$19),0,L9/L$19)</f>
        <v>0.5451426165174108</v>
      </c>
    </row>
    <row r="10" spans="1:13" ht="15">
      <c r="A10" s="36" t="s">
        <v>34</v>
      </c>
      <c r="B10" s="114" t="s">
        <v>20</v>
      </c>
      <c r="C10" s="115">
        <v>3082</v>
      </c>
      <c r="D10" s="115">
        <v>90524721</v>
      </c>
      <c r="E10" s="115">
        <v>0</v>
      </c>
      <c r="F10" s="116">
        <v>33.82</v>
      </c>
      <c r="G10" s="117">
        <v>0.0114</v>
      </c>
      <c r="H10" s="117">
        <v>0</v>
      </c>
      <c r="I10" s="12">
        <f aca="true" t="shared" si="0" ref="I10:I18">C10*F10*12</f>
        <v>1250798.8800000001</v>
      </c>
      <c r="J10" s="12">
        <f aca="true" t="shared" si="1" ref="J10:J18">D10*G10</f>
        <v>1031981.8194</v>
      </c>
      <c r="K10" s="12">
        <f aca="true" t="shared" si="2" ref="K10:K18">E10*H10</f>
        <v>0</v>
      </c>
      <c r="L10" s="12">
        <f aca="true" t="shared" si="3" ref="L10:L18">SUM(I10:K10)</f>
        <v>2282780.6994000003</v>
      </c>
      <c r="M10" s="37">
        <f aca="true" t="shared" si="4" ref="M10:M18">IF(ISERROR(L10/L$19),0,L10/L$19)</f>
        <v>0.14896142206937682</v>
      </c>
    </row>
    <row r="11" spans="1:13" ht="15">
      <c r="A11" s="36" t="s">
        <v>35</v>
      </c>
      <c r="B11" s="114" t="s">
        <v>21</v>
      </c>
      <c r="C11" s="115">
        <v>392</v>
      </c>
      <c r="D11" s="115">
        <f>234873300+6952510+4342180</f>
        <v>246167990</v>
      </c>
      <c r="E11" s="115">
        <v>677184</v>
      </c>
      <c r="F11" s="116">
        <v>119.25</v>
      </c>
      <c r="G11" s="117">
        <v>0</v>
      </c>
      <c r="H11" s="117">
        <v>3.3805</v>
      </c>
      <c r="I11" s="12">
        <f t="shared" si="0"/>
        <v>560952</v>
      </c>
      <c r="J11" s="12">
        <f t="shared" si="1"/>
        <v>0</v>
      </c>
      <c r="K11" s="12">
        <f t="shared" si="2"/>
        <v>2289220.512</v>
      </c>
      <c r="L11" s="12">
        <f t="shared" si="3"/>
        <v>2850172.512</v>
      </c>
      <c r="M11" s="37">
        <f t="shared" si="4"/>
        <v>0.18598621875599336</v>
      </c>
    </row>
    <row r="12" spans="1:13" ht="15">
      <c r="A12" s="36" t="s">
        <v>36</v>
      </c>
      <c r="B12" s="114" t="s">
        <v>21</v>
      </c>
      <c r="C12" s="115">
        <v>13</v>
      </c>
      <c r="D12" s="115">
        <v>114499112</v>
      </c>
      <c r="E12" s="115">
        <v>278788</v>
      </c>
      <c r="F12" s="116">
        <v>96.81</v>
      </c>
      <c r="G12" s="117">
        <v>0</v>
      </c>
      <c r="H12" s="117">
        <v>4.591</v>
      </c>
      <c r="I12" s="12">
        <f t="shared" si="0"/>
        <v>15102.36</v>
      </c>
      <c r="J12" s="12">
        <f t="shared" si="1"/>
        <v>0</v>
      </c>
      <c r="K12" s="12">
        <f t="shared" si="2"/>
        <v>1279915.708</v>
      </c>
      <c r="L12" s="12">
        <f t="shared" si="3"/>
        <v>1295018.0680000002</v>
      </c>
      <c r="M12" s="37">
        <f t="shared" si="4"/>
        <v>0.08450559138927374</v>
      </c>
    </row>
    <row r="13" spans="1:13" ht="15">
      <c r="A13" s="36" t="s">
        <v>27</v>
      </c>
      <c r="B13" s="114" t="s">
        <v>21</v>
      </c>
      <c r="C13" s="115">
        <v>1</v>
      </c>
      <c r="D13" s="115">
        <v>28118306</v>
      </c>
      <c r="E13" s="115">
        <v>66670</v>
      </c>
      <c r="F13" s="116">
        <v>1344.75</v>
      </c>
      <c r="G13" s="117">
        <v>0</v>
      </c>
      <c r="H13" s="117">
        <v>3.3928</v>
      </c>
      <c r="I13" s="12">
        <f t="shared" si="0"/>
        <v>16137</v>
      </c>
      <c r="J13" s="12">
        <f t="shared" si="1"/>
        <v>0</v>
      </c>
      <c r="K13" s="12">
        <f t="shared" si="2"/>
        <v>226197.976</v>
      </c>
      <c r="L13" s="12">
        <f t="shared" si="3"/>
        <v>242334.976</v>
      </c>
      <c r="M13" s="37">
        <f t="shared" si="4"/>
        <v>0.01581341679101998</v>
      </c>
    </row>
    <row r="14" spans="1:13" ht="15">
      <c r="A14" s="36" t="s">
        <v>33</v>
      </c>
      <c r="B14" s="114" t="s">
        <v>21</v>
      </c>
      <c r="C14" s="115"/>
      <c r="D14" s="115"/>
      <c r="E14" s="115"/>
      <c r="F14" s="116"/>
      <c r="G14" s="117"/>
      <c r="H14" s="117"/>
      <c r="I14" s="12">
        <f>C14*F14*12</f>
        <v>0</v>
      </c>
      <c r="J14" s="12">
        <f>D14*G14</f>
        <v>0</v>
      </c>
      <c r="K14" s="12">
        <f>E14*H14</f>
        <v>0</v>
      </c>
      <c r="L14" s="12">
        <f>SUM(I14:K14)</f>
        <v>0</v>
      </c>
      <c r="M14" s="37">
        <f t="shared" si="4"/>
        <v>0</v>
      </c>
    </row>
    <row r="15" spans="1:13" ht="15">
      <c r="A15" s="36" t="s">
        <v>28</v>
      </c>
      <c r="B15" s="114" t="s">
        <v>20</v>
      </c>
      <c r="C15" s="115">
        <v>192</v>
      </c>
      <c r="D15" s="115">
        <v>904732</v>
      </c>
      <c r="E15" s="115">
        <v>0</v>
      </c>
      <c r="F15" s="116">
        <v>10.73</v>
      </c>
      <c r="G15" s="117">
        <v>0.0008</v>
      </c>
      <c r="H15" s="117">
        <v>0</v>
      </c>
      <c r="I15" s="12">
        <f t="shared" si="0"/>
        <v>24721.92</v>
      </c>
      <c r="J15" s="12">
        <f t="shared" si="1"/>
        <v>723.7856</v>
      </c>
      <c r="K15" s="12">
        <f t="shared" si="2"/>
        <v>0</v>
      </c>
      <c r="L15" s="12">
        <f t="shared" si="3"/>
        <v>25445.705599999998</v>
      </c>
      <c r="M15" s="37">
        <f t="shared" si="4"/>
        <v>0.001660443551468159</v>
      </c>
    </row>
    <row r="16" spans="1:13" ht="15">
      <c r="A16" s="36" t="s">
        <v>29</v>
      </c>
      <c r="B16" s="114" t="s">
        <v>21</v>
      </c>
      <c r="C16" s="115">
        <v>0</v>
      </c>
      <c r="D16" s="115">
        <v>0</v>
      </c>
      <c r="E16" s="115">
        <v>0</v>
      </c>
      <c r="F16" s="116">
        <v>1.702</v>
      </c>
      <c r="G16" s="117">
        <v>0</v>
      </c>
      <c r="H16" s="117">
        <v>0</v>
      </c>
      <c r="I16" s="12">
        <f t="shared" si="0"/>
        <v>0</v>
      </c>
      <c r="J16" s="12">
        <f t="shared" si="1"/>
        <v>0</v>
      </c>
      <c r="K16" s="12">
        <f t="shared" si="2"/>
        <v>0</v>
      </c>
      <c r="L16" s="12">
        <f t="shared" si="3"/>
        <v>0</v>
      </c>
      <c r="M16" s="37">
        <f t="shared" si="4"/>
        <v>0</v>
      </c>
    </row>
    <row r="17" spans="1:13" ht="15">
      <c r="A17" s="36" t="s">
        <v>30</v>
      </c>
      <c r="B17" s="114" t="s">
        <v>21</v>
      </c>
      <c r="C17" s="115">
        <v>340</v>
      </c>
      <c r="D17" s="115">
        <v>361472</v>
      </c>
      <c r="E17" s="115">
        <v>1016</v>
      </c>
      <c r="F17" s="116">
        <v>8.46</v>
      </c>
      <c r="G17" s="117">
        <v>0</v>
      </c>
      <c r="H17" s="117">
        <v>0.6004</v>
      </c>
      <c r="I17" s="12">
        <f t="shared" si="0"/>
        <v>34516.8</v>
      </c>
      <c r="J17" s="12">
        <f t="shared" si="1"/>
        <v>0</v>
      </c>
      <c r="K17" s="12">
        <f t="shared" si="2"/>
        <v>610.0064000000001</v>
      </c>
      <c r="L17" s="12">
        <f t="shared" si="3"/>
        <v>35126.8064</v>
      </c>
      <c r="M17" s="37">
        <f t="shared" si="4"/>
        <v>0.0022921777091750393</v>
      </c>
    </row>
    <row r="18" spans="1:13" ht="15">
      <c r="A18" s="38" t="s">
        <v>31</v>
      </c>
      <c r="B18" s="118" t="s">
        <v>21</v>
      </c>
      <c r="C18" s="119">
        <v>10679</v>
      </c>
      <c r="D18" s="119">
        <v>6615542</v>
      </c>
      <c r="E18" s="119">
        <v>19516</v>
      </c>
      <c r="F18" s="120">
        <v>1.68</v>
      </c>
      <c r="G18" s="121">
        <v>0</v>
      </c>
      <c r="H18" s="121">
        <v>1.2482</v>
      </c>
      <c r="I18" s="22">
        <f t="shared" si="0"/>
        <v>215288.63999999996</v>
      </c>
      <c r="J18" s="22">
        <f t="shared" si="1"/>
        <v>0</v>
      </c>
      <c r="K18" s="22">
        <f t="shared" si="2"/>
        <v>24359.871199999998</v>
      </c>
      <c r="L18" s="22">
        <f t="shared" si="3"/>
        <v>239648.51119999995</v>
      </c>
      <c r="M18" s="39">
        <f t="shared" si="4"/>
        <v>0.015638113216282157</v>
      </c>
    </row>
    <row r="19" spans="1:13" ht="15.75" thickBot="1">
      <c r="A19" s="40" t="s">
        <v>12</v>
      </c>
      <c r="B19" s="28"/>
      <c r="C19" s="29">
        <f>SUM(C9:C18)</f>
        <v>43403</v>
      </c>
      <c r="D19" s="29">
        <f>SUM(D9:D18)</f>
        <v>720841193</v>
      </c>
      <c r="E19" s="29">
        <f>SUM(E9:E18)</f>
        <v>1043174</v>
      </c>
      <c r="F19" s="30"/>
      <c r="G19" s="31"/>
      <c r="H19" s="31"/>
      <c r="I19" s="30">
        <f>SUM(I9:I18)</f>
        <v>8462249.76</v>
      </c>
      <c r="J19" s="30">
        <f>SUM(J9:J18)</f>
        <v>3042089.7398</v>
      </c>
      <c r="K19" s="30">
        <f>SUM(K9:K18)</f>
        <v>3820304.0736</v>
      </c>
      <c r="L19" s="30">
        <f>SUM(L9:L18)</f>
        <v>15324643.5734</v>
      </c>
      <c r="M19" s="41">
        <f>SUM(M9:M18)</f>
        <v>0.9999999999999999</v>
      </c>
    </row>
    <row r="20" spans="1:13" ht="15.75" thickTop="1">
      <c r="A20" s="42" t="s">
        <v>49</v>
      </c>
      <c r="B20" s="23"/>
      <c r="C20" s="24"/>
      <c r="D20" s="24"/>
      <c r="E20" s="24"/>
      <c r="F20" s="25"/>
      <c r="G20" s="26"/>
      <c r="H20" s="26"/>
      <c r="I20" s="25"/>
      <c r="J20" s="25"/>
      <c r="K20" s="25"/>
      <c r="L20" s="27">
        <f>L19/L45</f>
        <v>0.8557714737662145</v>
      </c>
      <c r="M20" s="43"/>
    </row>
    <row r="21" spans="1:13" ht="15">
      <c r="A21" s="34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5"/>
    </row>
    <row r="22" spans="1:13" ht="15">
      <c r="A22" s="36" t="s">
        <v>26</v>
      </c>
      <c r="B22" s="114" t="s">
        <v>20</v>
      </c>
      <c r="C22" s="115">
        <v>6469</v>
      </c>
      <c r="D22" s="115">
        <v>57204582</v>
      </c>
      <c r="E22" s="115">
        <v>0</v>
      </c>
      <c r="F22" s="116">
        <v>14</v>
      </c>
      <c r="G22" s="117">
        <v>0.0142</v>
      </c>
      <c r="H22" s="117">
        <v>0</v>
      </c>
      <c r="I22" s="12">
        <f>C22*F22*12</f>
        <v>1086792</v>
      </c>
      <c r="J22" s="12">
        <f>D22*G22</f>
        <v>812305.0644</v>
      </c>
      <c r="K22" s="12">
        <f>E22*H22</f>
        <v>0</v>
      </c>
      <c r="L22" s="12">
        <f aca="true" t="shared" si="5" ref="L22:L31">SUM(I22:K22)</f>
        <v>1899097.0644</v>
      </c>
      <c r="M22" s="37">
        <f>IF(ISERROR(L22/L$32),0,L22/L$32)</f>
        <v>0.7352980597346218</v>
      </c>
    </row>
    <row r="23" spans="1:13" ht="15">
      <c r="A23" s="36" t="s">
        <v>34</v>
      </c>
      <c r="B23" s="114" t="s">
        <v>20</v>
      </c>
      <c r="C23" s="115">
        <v>657</v>
      </c>
      <c r="D23" s="115">
        <v>15968049</v>
      </c>
      <c r="E23" s="115">
        <v>0</v>
      </c>
      <c r="F23" s="116">
        <v>18.5</v>
      </c>
      <c r="G23" s="117">
        <v>0.0049</v>
      </c>
      <c r="H23" s="117">
        <v>0</v>
      </c>
      <c r="I23" s="12">
        <f aca="true" t="shared" si="6" ref="I23:I31">C23*F23*12</f>
        <v>145854</v>
      </c>
      <c r="J23" s="12">
        <f aca="true" t="shared" si="7" ref="J23:J31">D23*G23</f>
        <v>78243.44009999999</v>
      </c>
      <c r="K23" s="12">
        <f aca="true" t="shared" si="8" ref="K23:K31">E23*H23</f>
        <v>0</v>
      </c>
      <c r="L23" s="12">
        <f t="shared" si="5"/>
        <v>224097.4401</v>
      </c>
      <c r="M23" s="37">
        <f aca="true" t="shared" si="9" ref="M23:M31">IF(ISERROR(L23/L$32),0,L23/L$32)</f>
        <v>0.08676671455394284</v>
      </c>
    </row>
    <row r="24" spans="1:13" ht="15">
      <c r="A24" s="36" t="s">
        <v>35</v>
      </c>
      <c r="B24" s="114" t="s">
        <v>21</v>
      </c>
      <c r="C24" s="115">
        <v>90</v>
      </c>
      <c r="D24" s="115">
        <v>96514821</v>
      </c>
      <c r="E24" s="115">
        <v>238896</v>
      </c>
      <c r="F24" s="116">
        <v>44.21</v>
      </c>
      <c r="G24" s="117">
        <v>0</v>
      </c>
      <c r="H24" s="117">
        <v>1.4651</v>
      </c>
      <c r="I24" s="12">
        <f t="shared" si="6"/>
        <v>47746.8</v>
      </c>
      <c r="J24" s="12">
        <f t="shared" si="7"/>
        <v>0</v>
      </c>
      <c r="K24" s="12">
        <f t="shared" si="8"/>
        <v>350006.5296</v>
      </c>
      <c r="L24" s="12">
        <f t="shared" si="5"/>
        <v>397753.3296</v>
      </c>
      <c r="M24" s="37">
        <f t="shared" si="9"/>
        <v>0.1540033192564949</v>
      </c>
    </row>
    <row r="25" spans="1:13" ht="15">
      <c r="A25" s="36" t="s">
        <v>36</v>
      </c>
      <c r="B25" s="114" t="s">
        <v>21</v>
      </c>
      <c r="C25" s="115"/>
      <c r="D25" s="115"/>
      <c r="E25" s="115"/>
      <c r="F25" s="116"/>
      <c r="G25" s="117"/>
      <c r="H25" s="117"/>
      <c r="I25" s="12">
        <f t="shared" si="6"/>
        <v>0</v>
      </c>
      <c r="J25" s="12">
        <f t="shared" si="7"/>
        <v>0</v>
      </c>
      <c r="K25" s="12">
        <f t="shared" si="8"/>
        <v>0</v>
      </c>
      <c r="L25" s="12">
        <f t="shared" si="5"/>
        <v>0</v>
      </c>
      <c r="M25" s="37">
        <f t="shared" si="9"/>
        <v>0</v>
      </c>
    </row>
    <row r="26" spans="1:13" ht="15">
      <c r="A26" s="36" t="s">
        <v>27</v>
      </c>
      <c r="B26" s="114" t="s">
        <v>21</v>
      </c>
      <c r="C26" s="115"/>
      <c r="D26" s="115"/>
      <c r="E26" s="115"/>
      <c r="F26" s="116"/>
      <c r="G26" s="117"/>
      <c r="H26" s="117"/>
      <c r="I26" s="12">
        <f t="shared" si="6"/>
        <v>0</v>
      </c>
      <c r="J26" s="12">
        <f t="shared" si="7"/>
        <v>0</v>
      </c>
      <c r="K26" s="12">
        <f t="shared" si="8"/>
        <v>0</v>
      </c>
      <c r="L26" s="12">
        <f t="shared" si="5"/>
        <v>0</v>
      </c>
      <c r="M26" s="37">
        <f t="shared" si="9"/>
        <v>0</v>
      </c>
    </row>
    <row r="27" spans="1:13" ht="15">
      <c r="A27" s="36" t="s">
        <v>33</v>
      </c>
      <c r="B27" s="114" t="s">
        <v>21</v>
      </c>
      <c r="C27" s="115">
        <v>1</v>
      </c>
      <c r="D27" s="115">
        <v>34317082</v>
      </c>
      <c r="E27" s="115">
        <v>67537</v>
      </c>
      <c r="F27" s="116">
        <v>3732.61</v>
      </c>
      <c r="G27" s="117">
        <v>0</v>
      </c>
      <c r="H27" s="117">
        <v>0.055</v>
      </c>
      <c r="I27" s="12">
        <f t="shared" si="6"/>
        <v>44791.32</v>
      </c>
      <c r="J27" s="12">
        <f t="shared" si="7"/>
        <v>0</v>
      </c>
      <c r="K27" s="12">
        <f t="shared" si="8"/>
        <v>3714.535</v>
      </c>
      <c r="L27" s="12">
        <f t="shared" si="5"/>
        <v>48505.854999999996</v>
      </c>
      <c r="M27" s="37">
        <f t="shared" si="9"/>
        <v>0.018780641461597584</v>
      </c>
    </row>
    <row r="28" spans="1:13" ht="15">
      <c r="A28" s="36" t="s">
        <v>28</v>
      </c>
      <c r="B28" s="114" t="s">
        <v>20</v>
      </c>
      <c r="C28" s="115">
        <v>51</v>
      </c>
      <c r="D28" s="115">
        <v>298717</v>
      </c>
      <c r="E28" s="115">
        <v>0</v>
      </c>
      <c r="F28" s="116">
        <v>9.26</v>
      </c>
      <c r="G28" s="117">
        <v>0.0053</v>
      </c>
      <c r="H28" s="117">
        <v>0</v>
      </c>
      <c r="I28" s="12">
        <f t="shared" si="6"/>
        <v>5667.12</v>
      </c>
      <c r="J28" s="12">
        <f t="shared" si="7"/>
        <v>1583.2001</v>
      </c>
      <c r="K28" s="12">
        <f t="shared" si="8"/>
        <v>0</v>
      </c>
      <c r="L28" s="12">
        <f t="shared" si="5"/>
        <v>7250.3201</v>
      </c>
      <c r="M28" s="37">
        <f t="shared" si="9"/>
        <v>0.002807200538572392</v>
      </c>
    </row>
    <row r="29" spans="1:13" ht="15">
      <c r="A29" s="36" t="s">
        <v>29</v>
      </c>
      <c r="B29" s="114" t="s">
        <v>21</v>
      </c>
      <c r="C29" s="115"/>
      <c r="D29" s="115"/>
      <c r="E29" s="115"/>
      <c r="F29" s="116"/>
      <c r="G29" s="117"/>
      <c r="H29" s="117"/>
      <c r="I29" s="12">
        <f t="shared" si="6"/>
        <v>0</v>
      </c>
      <c r="J29" s="12">
        <f t="shared" si="7"/>
        <v>0</v>
      </c>
      <c r="K29" s="12">
        <f t="shared" si="8"/>
        <v>0</v>
      </c>
      <c r="L29" s="12">
        <f t="shared" si="5"/>
        <v>0</v>
      </c>
      <c r="M29" s="37">
        <f t="shared" si="9"/>
        <v>0</v>
      </c>
    </row>
    <row r="30" spans="1:13" ht="15">
      <c r="A30" s="36" t="s">
        <v>30</v>
      </c>
      <c r="B30" s="114" t="s">
        <v>21</v>
      </c>
      <c r="C30" s="115">
        <v>47</v>
      </c>
      <c r="D30" s="115">
        <v>42906</v>
      </c>
      <c r="E30" s="115">
        <v>120</v>
      </c>
      <c r="F30" s="116">
        <v>0.18</v>
      </c>
      <c r="G30" s="117">
        <v>0</v>
      </c>
      <c r="H30" s="117">
        <v>1.0053</v>
      </c>
      <c r="I30" s="12">
        <f t="shared" si="6"/>
        <v>101.51999999999998</v>
      </c>
      <c r="J30" s="12">
        <f t="shared" si="7"/>
        <v>0</v>
      </c>
      <c r="K30" s="12">
        <f t="shared" si="8"/>
        <v>120.63600000000001</v>
      </c>
      <c r="L30" s="12">
        <f t="shared" si="5"/>
        <v>222.156</v>
      </c>
      <c r="M30" s="37">
        <f t="shared" si="9"/>
        <v>8.601502199152398E-05</v>
      </c>
    </row>
    <row r="31" spans="1:13" ht="15">
      <c r="A31" s="38" t="s">
        <v>31</v>
      </c>
      <c r="B31" s="118" t="s">
        <v>21</v>
      </c>
      <c r="C31" s="119">
        <v>1958</v>
      </c>
      <c r="D31" s="119">
        <v>1463048</v>
      </c>
      <c r="E31" s="119">
        <v>4316</v>
      </c>
      <c r="F31" s="120">
        <v>0.14</v>
      </c>
      <c r="G31" s="121">
        <v>0</v>
      </c>
      <c r="H31" s="121">
        <v>0.5891</v>
      </c>
      <c r="I31" s="22">
        <f t="shared" si="6"/>
        <v>3289.44</v>
      </c>
      <c r="J31" s="22">
        <f t="shared" si="7"/>
        <v>0</v>
      </c>
      <c r="K31" s="22">
        <f t="shared" si="8"/>
        <v>2542.5555999999997</v>
      </c>
      <c r="L31" s="22">
        <f t="shared" si="5"/>
        <v>5831.9956</v>
      </c>
      <c r="M31" s="39">
        <f t="shared" si="9"/>
        <v>0.002258049432779088</v>
      </c>
    </row>
    <row r="32" spans="1:13" ht="15.75" thickBot="1">
      <c r="A32" s="40" t="s">
        <v>12</v>
      </c>
      <c r="B32" s="28"/>
      <c r="C32" s="29">
        <f>SUM(C22:C31)</f>
        <v>9273</v>
      </c>
      <c r="D32" s="29">
        <f>SUM(D22:D31)</f>
        <v>205809205</v>
      </c>
      <c r="E32" s="29">
        <f>SUM(E22:E31)</f>
        <v>310869</v>
      </c>
      <c r="F32" s="30"/>
      <c r="G32" s="31"/>
      <c r="H32" s="31"/>
      <c r="I32" s="30">
        <f>SUM(I22:I31)</f>
        <v>1334242.2000000002</v>
      </c>
      <c r="J32" s="30">
        <f>SUM(J22:J31)</f>
        <v>892131.7046</v>
      </c>
      <c r="K32" s="30">
        <f>SUM(K22:K31)</f>
        <v>356384.2562</v>
      </c>
      <c r="L32" s="30">
        <f>SUM(L22:L31)</f>
        <v>2582758.1607999997</v>
      </c>
      <c r="M32" s="41">
        <f>SUM(M22:M31)</f>
        <v>1.0000000000000002</v>
      </c>
    </row>
    <row r="33" spans="1:13" ht="15.75" thickTop="1">
      <c r="A33" s="42" t="s">
        <v>49</v>
      </c>
      <c r="B33" s="23"/>
      <c r="C33" s="24"/>
      <c r="D33" s="24"/>
      <c r="E33" s="24"/>
      <c r="F33" s="25"/>
      <c r="G33" s="26"/>
      <c r="H33" s="26"/>
      <c r="I33" s="25"/>
      <c r="J33" s="25"/>
      <c r="K33" s="25"/>
      <c r="L33" s="27">
        <f>L32/L45</f>
        <v>0.14422852623378543</v>
      </c>
      <c r="M33" s="43"/>
    </row>
    <row r="34" spans="1:13" ht="15">
      <c r="A34" s="34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5"/>
    </row>
    <row r="35" spans="1:13" ht="15">
      <c r="A35" s="36" t="s">
        <v>26</v>
      </c>
      <c r="B35" s="5" t="s">
        <v>20</v>
      </c>
      <c r="C35" s="13">
        <f aca="true" t="shared" si="10" ref="C35:E44">C9+C22</f>
        <v>35173</v>
      </c>
      <c r="D35" s="13">
        <f t="shared" si="10"/>
        <v>290853900</v>
      </c>
      <c r="E35" s="13">
        <f t="shared" si="10"/>
        <v>0</v>
      </c>
      <c r="F35" s="12"/>
      <c r="G35" s="14"/>
      <c r="H35" s="14"/>
      <c r="I35" s="12">
        <f aca="true" t="shared" si="11" ref="I35:L44">I9+I22</f>
        <v>7431524.16</v>
      </c>
      <c r="J35" s="12">
        <f t="shared" si="11"/>
        <v>2821689.1992</v>
      </c>
      <c r="K35" s="12">
        <f t="shared" si="11"/>
        <v>0</v>
      </c>
      <c r="L35" s="12">
        <f t="shared" si="11"/>
        <v>10253213.3592</v>
      </c>
      <c r="M35" s="37">
        <f>IF(ISERROR(L35/L$45),0,L35/L$45)</f>
        <v>0.5725684558479615</v>
      </c>
    </row>
    <row r="36" spans="1:13" ht="15">
      <c r="A36" s="36" t="s">
        <v>34</v>
      </c>
      <c r="B36" s="5" t="s">
        <v>20</v>
      </c>
      <c r="C36" s="13">
        <f t="shared" si="10"/>
        <v>3739</v>
      </c>
      <c r="D36" s="13">
        <f t="shared" si="10"/>
        <v>106492770</v>
      </c>
      <c r="E36" s="13">
        <f t="shared" si="10"/>
        <v>0</v>
      </c>
      <c r="F36" s="12"/>
      <c r="G36" s="14"/>
      <c r="H36" s="14"/>
      <c r="I36" s="12">
        <f t="shared" si="11"/>
        <v>1396652.8800000001</v>
      </c>
      <c r="J36" s="12">
        <f t="shared" si="11"/>
        <v>1110225.2595</v>
      </c>
      <c r="K36" s="12">
        <f t="shared" si="11"/>
        <v>0</v>
      </c>
      <c r="L36" s="12">
        <f t="shared" si="11"/>
        <v>2506878.1395000005</v>
      </c>
      <c r="M36" s="37">
        <f aca="true" t="shared" si="12" ref="M36:M44">IF(ISERROR(L36/L$45),0,L36/L$45)</f>
        <v>0.13999117106488443</v>
      </c>
    </row>
    <row r="37" spans="1:13" ht="15">
      <c r="A37" s="36" t="s">
        <v>35</v>
      </c>
      <c r="B37" s="5" t="s">
        <v>21</v>
      </c>
      <c r="C37" s="13">
        <f t="shared" si="10"/>
        <v>482</v>
      </c>
      <c r="D37" s="13">
        <f t="shared" si="10"/>
        <v>342682811</v>
      </c>
      <c r="E37" s="13">
        <f t="shared" si="10"/>
        <v>916080</v>
      </c>
      <c r="F37" s="12"/>
      <c r="G37" s="14"/>
      <c r="H37" s="14"/>
      <c r="I37" s="12">
        <f t="shared" si="11"/>
        <v>608698.8</v>
      </c>
      <c r="J37" s="12">
        <f t="shared" si="11"/>
        <v>0</v>
      </c>
      <c r="K37" s="12">
        <f t="shared" si="11"/>
        <v>2639227.0416</v>
      </c>
      <c r="L37" s="12">
        <f t="shared" si="11"/>
        <v>3247925.8416</v>
      </c>
      <c r="M37" s="37">
        <f t="shared" si="12"/>
        <v>0.1813733722964974</v>
      </c>
    </row>
    <row r="38" spans="1:13" ht="15">
      <c r="A38" s="36" t="s">
        <v>36</v>
      </c>
      <c r="B38" s="5" t="s">
        <v>21</v>
      </c>
      <c r="C38" s="13">
        <f t="shared" si="10"/>
        <v>13</v>
      </c>
      <c r="D38" s="13">
        <f t="shared" si="10"/>
        <v>114499112</v>
      </c>
      <c r="E38" s="13">
        <f t="shared" si="10"/>
        <v>278788</v>
      </c>
      <c r="F38" s="12"/>
      <c r="G38" s="14"/>
      <c r="H38" s="14"/>
      <c r="I38" s="12">
        <f t="shared" si="11"/>
        <v>15102.36</v>
      </c>
      <c r="J38" s="12">
        <f t="shared" si="11"/>
        <v>0</v>
      </c>
      <c r="K38" s="12">
        <f t="shared" si="11"/>
        <v>1279915.708</v>
      </c>
      <c r="L38" s="12">
        <f t="shared" si="11"/>
        <v>1295018.0680000002</v>
      </c>
      <c r="M38" s="37">
        <f t="shared" si="12"/>
        <v>0.07231747448468431</v>
      </c>
    </row>
    <row r="39" spans="1:13" ht="15">
      <c r="A39" s="36" t="s">
        <v>27</v>
      </c>
      <c r="B39" s="5" t="s">
        <v>21</v>
      </c>
      <c r="C39" s="13">
        <f t="shared" si="10"/>
        <v>1</v>
      </c>
      <c r="D39" s="13">
        <f t="shared" si="10"/>
        <v>28118306</v>
      </c>
      <c r="E39" s="13">
        <f t="shared" si="10"/>
        <v>66670</v>
      </c>
      <c r="F39" s="12"/>
      <c r="G39" s="14"/>
      <c r="H39" s="14"/>
      <c r="I39" s="12">
        <f t="shared" si="11"/>
        <v>16137</v>
      </c>
      <c r="J39" s="12">
        <f t="shared" si="11"/>
        <v>0</v>
      </c>
      <c r="K39" s="12">
        <f t="shared" si="11"/>
        <v>226197.976</v>
      </c>
      <c r="L39" s="12">
        <f t="shared" si="11"/>
        <v>242334.976</v>
      </c>
      <c r="M39" s="37">
        <f t="shared" si="12"/>
        <v>0.013532670992530572</v>
      </c>
    </row>
    <row r="40" spans="1:13" ht="15">
      <c r="A40" s="36" t="s">
        <v>33</v>
      </c>
      <c r="B40" s="5" t="s">
        <v>21</v>
      </c>
      <c r="C40" s="13">
        <f t="shared" si="10"/>
        <v>1</v>
      </c>
      <c r="D40" s="13">
        <f t="shared" si="10"/>
        <v>34317082</v>
      </c>
      <c r="E40" s="13">
        <f t="shared" si="10"/>
        <v>67537</v>
      </c>
      <c r="F40" s="12"/>
      <c r="G40" s="14"/>
      <c r="H40" s="14"/>
      <c r="I40" s="12">
        <f t="shared" si="11"/>
        <v>44791.32</v>
      </c>
      <c r="J40" s="12">
        <f t="shared" si="11"/>
        <v>0</v>
      </c>
      <c r="K40" s="12">
        <f t="shared" si="11"/>
        <v>3714.535</v>
      </c>
      <c r="L40" s="12">
        <f t="shared" si="11"/>
        <v>48505.854999999996</v>
      </c>
      <c r="M40" s="37">
        <f t="shared" si="12"/>
        <v>0.0027087042397313456</v>
      </c>
    </row>
    <row r="41" spans="1:13" ht="15">
      <c r="A41" s="36" t="s">
        <v>28</v>
      </c>
      <c r="B41" s="5" t="s">
        <v>20</v>
      </c>
      <c r="C41" s="13">
        <f t="shared" si="10"/>
        <v>243</v>
      </c>
      <c r="D41" s="13">
        <f t="shared" si="10"/>
        <v>1203449</v>
      </c>
      <c r="E41" s="13">
        <f t="shared" si="10"/>
        <v>0</v>
      </c>
      <c r="F41" s="12"/>
      <c r="G41" s="14"/>
      <c r="H41" s="14"/>
      <c r="I41" s="12">
        <f t="shared" si="11"/>
        <v>30389.039999999997</v>
      </c>
      <c r="J41" s="12">
        <f t="shared" si="11"/>
        <v>2306.9857</v>
      </c>
      <c r="K41" s="12">
        <f t="shared" si="11"/>
        <v>0</v>
      </c>
      <c r="L41" s="12">
        <f t="shared" si="11"/>
        <v>32696.0257</v>
      </c>
      <c r="M41" s="37">
        <f t="shared" si="12"/>
        <v>0.0018258386216664986</v>
      </c>
    </row>
    <row r="42" spans="1:13" ht="15">
      <c r="A42" s="36" t="s">
        <v>29</v>
      </c>
      <c r="B42" s="5" t="s">
        <v>21</v>
      </c>
      <c r="C42" s="13">
        <f t="shared" si="10"/>
        <v>0</v>
      </c>
      <c r="D42" s="13">
        <f t="shared" si="10"/>
        <v>0</v>
      </c>
      <c r="E42" s="13">
        <f t="shared" si="10"/>
        <v>0</v>
      </c>
      <c r="F42" s="12"/>
      <c r="G42" s="14"/>
      <c r="H42" s="14"/>
      <c r="I42" s="12">
        <f t="shared" si="11"/>
        <v>0</v>
      </c>
      <c r="J42" s="12">
        <f t="shared" si="11"/>
        <v>0</v>
      </c>
      <c r="K42" s="12">
        <f t="shared" si="11"/>
        <v>0</v>
      </c>
      <c r="L42" s="12">
        <f t="shared" si="11"/>
        <v>0</v>
      </c>
      <c r="M42" s="37">
        <f t="shared" si="12"/>
        <v>0</v>
      </c>
    </row>
    <row r="43" spans="1:13" ht="15">
      <c r="A43" s="36" t="s">
        <v>30</v>
      </c>
      <c r="B43" s="5" t="s">
        <v>21</v>
      </c>
      <c r="C43" s="13">
        <f t="shared" si="10"/>
        <v>387</v>
      </c>
      <c r="D43" s="13">
        <f t="shared" si="10"/>
        <v>404378</v>
      </c>
      <c r="E43" s="13">
        <f t="shared" si="10"/>
        <v>1136</v>
      </c>
      <c r="F43" s="12"/>
      <c r="G43" s="14"/>
      <c r="H43" s="14"/>
      <c r="I43" s="12">
        <f t="shared" si="11"/>
        <v>34618.32</v>
      </c>
      <c r="J43" s="12">
        <f t="shared" si="11"/>
        <v>0</v>
      </c>
      <c r="K43" s="12">
        <f t="shared" si="11"/>
        <v>730.6424000000001</v>
      </c>
      <c r="L43" s="12">
        <f t="shared" si="11"/>
        <v>35348.962400000004</v>
      </c>
      <c r="M43" s="37">
        <f t="shared" si="12"/>
        <v>0.001973986116170593</v>
      </c>
    </row>
    <row r="44" spans="1:13" ht="15">
      <c r="A44" s="38" t="s">
        <v>31</v>
      </c>
      <c r="B44" s="21" t="s">
        <v>21</v>
      </c>
      <c r="C44" s="32">
        <f t="shared" si="10"/>
        <v>12637</v>
      </c>
      <c r="D44" s="32">
        <f t="shared" si="10"/>
        <v>8078590</v>
      </c>
      <c r="E44" s="32">
        <f t="shared" si="10"/>
        <v>23832</v>
      </c>
      <c r="F44" s="22"/>
      <c r="G44" s="33"/>
      <c r="H44" s="33"/>
      <c r="I44" s="22">
        <f t="shared" si="11"/>
        <v>218578.07999999996</v>
      </c>
      <c r="J44" s="22">
        <f t="shared" si="11"/>
        <v>0</v>
      </c>
      <c r="K44" s="22">
        <f t="shared" si="11"/>
        <v>26902.426799999997</v>
      </c>
      <c r="L44" s="22">
        <f t="shared" si="11"/>
        <v>245480.50679999994</v>
      </c>
      <c r="M44" s="39">
        <f t="shared" si="12"/>
        <v>0.01370832633587346</v>
      </c>
    </row>
    <row r="45" spans="1:13" ht="15.75" thickBot="1">
      <c r="A45" s="40" t="s">
        <v>12</v>
      </c>
      <c r="B45" s="28"/>
      <c r="C45" s="29">
        <f>SUM(C35:C44)</f>
        <v>52676</v>
      </c>
      <c r="D45" s="29">
        <f>SUM(D35:D44)</f>
        <v>926650398</v>
      </c>
      <c r="E45" s="29">
        <f>SUM(E35:E44)</f>
        <v>1354043</v>
      </c>
      <c r="F45" s="30"/>
      <c r="G45" s="31"/>
      <c r="H45" s="31"/>
      <c r="I45" s="30">
        <f>SUM(I35:I44)</f>
        <v>9796491.96</v>
      </c>
      <c r="J45" s="30">
        <f>SUM(J35:J44)</f>
        <v>3934221.4444000004</v>
      </c>
      <c r="K45" s="30">
        <f>SUM(K35:K44)</f>
        <v>4176688.3298</v>
      </c>
      <c r="L45" s="30">
        <f>SUM(L35:L44)</f>
        <v>17907401.7342</v>
      </c>
      <c r="M45" s="41">
        <f>SUM(M35:M44)</f>
        <v>1</v>
      </c>
    </row>
    <row r="46" spans="1:13" ht="15.75" thickTop="1">
      <c r="A46" s="44" t="s">
        <v>49</v>
      </c>
      <c r="B46" s="45"/>
      <c r="C46" s="46"/>
      <c r="D46" s="46"/>
      <c r="E46" s="46"/>
      <c r="F46" s="47"/>
      <c r="G46" s="48"/>
      <c r="H46" s="48"/>
      <c r="I46" s="47"/>
      <c r="J46" s="47"/>
      <c r="K46" s="47"/>
      <c r="L46" s="49">
        <f>L20+L33</f>
        <v>1</v>
      </c>
      <c r="M46" s="50"/>
    </row>
  </sheetData>
  <sheetProtection/>
  <mergeCells count="6">
    <mergeCell ref="M5:M6"/>
    <mergeCell ref="A5:A6"/>
    <mergeCell ref="B5:B6"/>
    <mergeCell ref="C5:E5"/>
    <mergeCell ref="F5:H5"/>
    <mergeCell ref="I5:L5"/>
  </mergeCells>
  <printOptions/>
  <pageMargins left="1" right="1" top="1" bottom="1" header="0.3" footer="0.3"/>
  <pageSetup fitToHeight="1" fitToWidth="1" horizontalDpi="600" verticalDpi="600" orientation="landscape" scale="52" r:id="rId1"/>
  <headerFooter>
    <oddFooter>&amp;L&amp;F
Tab: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1.28125" style="0" customWidth="1"/>
    <col min="2" max="6" width="12.7109375" style="0" customWidth="1"/>
  </cols>
  <sheetData>
    <row r="1" spans="1:5" ht="18.75">
      <c r="A1" s="7" t="s">
        <v>14</v>
      </c>
      <c r="B1" s="57"/>
      <c r="C1" s="57"/>
      <c r="D1" s="57"/>
      <c r="E1" s="57"/>
    </row>
    <row r="2" spans="1:5" ht="18.75">
      <c r="A2" s="7" t="s">
        <v>15</v>
      </c>
      <c r="B2" s="57"/>
      <c r="C2" s="57"/>
      <c r="D2" s="57"/>
      <c r="E2" s="57"/>
    </row>
    <row r="3" spans="1:5" ht="19.5" thickBot="1">
      <c r="A3" s="55" t="s">
        <v>37</v>
      </c>
      <c r="B3" s="58"/>
      <c r="C3" s="58"/>
      <c r="D3" s="58"/>
      <c r="E3" s="58"/>
    </row>
    <row r="6" spans="1:5" ht="15">
      <c r="A6" s="131" t="s">
        <v>13</v>
      </c>
      <c r="B6" s="133" t="s">
        <v>11</v>
      </c>
      <c r="C6" s="133"/>
      <c r="D6" s="133"/>
      <c r="E6" s="134" t="s">
        <v>77</v>
      </c>
    </row>
    <row r="7" spans="1:5" ht="32.25">
      <c r="A7" s="132"/>
      <c r="B7" s="54" t="s">
        <v>46</v>
      </c>
      <c r="C7" s="54" t="s">
        <v>75</v>
      </c>
      <c r="D7" s="84" t="s">
        <v>47</v>
      </c>
      <c r="E7" s="135"/>
    </row>
    <row r="8" spans="1:5" ht="15">
      <c r="A8" s="85" t="s">
        <v>38</v>
      </c>
      <c r="B8" s="23"/>
      <c r="C8" s="66"/>
      <c r="D8" s="66"/>
      <c r="E8" s="80"/>
    </row>
    <row r="9" spans="1:5" ht="15">
      <c r="A9" s="36" t="s">
        <v>0</v>
      </c>
      <c r="B9" s="60">
        <v>56630166</v>
      </c>
      <c r="C9" s="60">
        <v>0</v>
      </c>
      <c r="D9" s="59"/>
      <c r="E9" s="75"/>
    </row>
    <row r="10" spans="1:5" ht="15">
      <c r="A10" s="38" t="s">
        <v>45</v>
      </c>
      <c r="B10" s="62">
        <v>-15000000</v>
      </c>
      <c r="C10" s="62">
        <v>0</v>
      </c>
      <c r="D10" s="63"/>
      <c r="E10" s="76"/>
    </row>
    <row r="11" spans="1:5" ht="15">
      <c r="A11" s="77" t="s">
        <v>1</v>
      </c>
      <c r="B11" s="64">
        <f>SUM(B9:B10)</f>
        <v>41630166</v>
      </c>
      <c r="C11" s="64">
        <f>SUM(C9:C10)</f>
        <v>0</v>
      </c>
      <c r="D11" s="64"/>
      <c r="E11" s="78"/>
    </row>
    <row r="12" spans="1:5" ht="15">
      <c r="A12" s="36" t="s">
        <v>2</v>
      </c>
      <c r="B12" s="6">
        <v>0.0015</v>
      </c>
      <c r="C12" s="6"/>
      <c r="D12" s="59"/>
      <c r="E12" s="75"/>
    </row>
    <row r="13" spans="1:5" ht="15">
      <c r="A13" s="38" t="s">
        <v>48</v>
      </c>
      <c r="B13" s="65">
        <f>181/365</f>
        <v>0.4958904109589041</v>
      </c>
      <c r="C13" s="65"/>
      <c r="D13" s="63"/>
      <c r="E13" s="76"/>
    </row>
    <row r="14" spans="1:5" ht="15.75" thickBot="1">
      <c r="A14" s="40" t="s">
        <v>12</v>
      </c>
      <c r="B14" s="67">
        <f>B11*B12*B13</f>
        <v>30966.0001890411</v>
      </c>
      <c r="C14" s="67">
        <f>C11*C12*C13</f>
        <v>0</v>
      </c>
      <c r="D14" s="67">
        <f>SUM(B14:C14)</f>
        <v>30966.0001890411</v>
      </c>
      <c r="E14" s="79">
        <v>0</v>
      </c>
    </row>
    <row r="15" spans="1:5" ht="15.75" thickTop="1">
      <c r="A15" s="42"/>
      <c r="B15" s="66"/>
      <c r="C15" s="66"/>
      <c r="D15" s="66"/>
      <c r="E15" s="80"/>
    </row>
    <row r="16" spans="1:5" ht="15">
      <c r="A16" s="86" t="s">
        <v>39</v>
      </c>
      <c r="B16" s="59"/>
      <c r="C16" s="59"/>
      <c r="D16" s="59"/>
      <c r="E16" s="75"/>
    </row>
    <row r="17" spans="1:5" ht="15">
      <c r="A17" s="36" t="s">
        <v>3</v>
      </c>
      <c r="B17" s="60">
        <v>2459987</v>
      </c>
      <c r="C17" s="60">
        <v>450137</v>
      </c>
      <c r="D17" s="59">
        <f>SUM(B17:C17)</f>
        <v>2910124</v>
      </c>
      <c r="E17" s="75">
        <f>B17+C17</f>
        <v>2910124</v>
      </c>
    </row>
    <row r="18" spans="1:5" ht="15">
      <c r="A18" s="36" t="s">
        <v>4</v>
      </c>
      <c r="B18" s="61">
        <v>0.31</v>
      </c>
      <c r="C18" s="61">
        <v>0.21</v>
      </c>
      <c r="D18" s="15">
        <f>(D20+D19)/D17</f>
        <v>0.2632962512937593</v>
      </c>
      <c r="E18" s="81">
        <v>0.265</v>
      </c>
    </row>
    <row r="19" spans="1:5" ht="15">
      <c r="A19" s="38" t="s">
        <v>40</v>
      </c>
      <c r="B19" s="62">
        <v>-45450</v>
      </c>
      <c r="C19" s="62">
        <v>0</v>
      </c>
      <c r="D19" s="63">
        <f>SUM(B19:C19)</f>
        <v>-45450</v>
      </c>
      <c r="E19" s="76">
        <f>B19</f>
        <v>-45450</v>
      </c>
    </row>
    <row r="20" spans="1:5" ht="15">
      <c r="A20" s="82" t="s">
        <v>5</v>
      </c>
      <c r="B20" s="68">
        <f>B17*B18+B19</f>
        <v>717145.97</v>
      </c>
      <c r="C20" s="68">
        <f>C17*C18+C19</f>
        <v>94528.76999999999</v>
      </c>
      <c r="D20" s="68">
        <f>SUM(B20:C20)</f>
        <v>811674.74</v>
      </c>
      <c r="E20" s="83">
        <f>E17*E18+E19</f>
        <v>725732.86</v>
      </c>
    </row>
    <row r="21" spans="1:5" ht="15.75" thickBot="1">
      <c r="A21" s="40" t="s">
        <v>6</v>
      </c>
      <c r="B21" s="67">
        <f>B20/(1-B18)</f>
        <v>1039341.9855072465</v>
      </c>
      <c r="C21" s="67">
        <f>C20/(1-C18)</f>
        <v>119656.67088607592</v>
      </c>
      <c r="D21" s="67">
        <f>SUM(B21:C21)</f>
        <v>1158998.6563933224</v>
      </c>
      <c r="E21" s="79">
        <f>E20/(1-E18)</f>
        <v>987391.6462585034</v>
      </c>
    </row>
    <row r="22" spans="1:5" ht="15.75" thickTop="1">
      <c r="A22" s="42"/>
      <c r="B22" s="66"/>
      <c r="C22" s="66"/>
      <c r="D22" s="66"/>
      <c r="E22" s="80"/>
    </row>
    <row r="23" spans="1:5" ht="15">
      <c r="A23" s="86" t="s">
        <v>41</v>
      </c>
      <c r="B23" s="59"/>
      <c r="C23" s="59"/>
      <c r="D23" s="59"/>
      <c r="E23" s="75"/>
    </row>
    <row r="24" spans="1:5" ht="15">
      <c r="A24" s="36" t="s">
        <v>42</v>
      </c>
      <c r="B24" s="59">
        <f>B14</f>
        <v>30966.0001890411</v>
      </c>
      <c r="C24" s="59">
        <f>C14</f>
        <v>0</v>
      </c>
      <c r="D24" s="59">
        <f>D14</f>
        <v>30966.0001890411</v>
      </c>
      <c r="E24" s="75">
        <f>E14</f>
        <v>0</v>
      </c>
    </row>
    <row r="25" spans="1:5" ht="15">
      <c r="A25" s="38" t="s">
        <v>43</v>
      </c>
      <c r="B25" s="63">
        <f>B21</f>
        <v>1039341.9855072465</v>
      </c>
      <c r="C25" s="63">
        <f>C21</f>
        <v>119656.67088607592</v>
      </c>
      <c r="D25" s="63">
        <f>D21</f>
        <v>1158998.6563933224</v>
      </c>
      <c r="E25" s="76">
        <f>E21</f>
        <v>987391.6462585034</v>
      </c>
    </row>
    <row r="26" spans="1:5" ht="15.75" thickBot="1">
      <c r="A26" s="40" t="s">
        <v>44</v>
      </c>
      <c r="B26" s="67">
        <f>SUM(B24:B25)</f>
        <v>1070307.9856962876</v>
      </c>
      <c r="C26" s="67">
        <f>SUM(C24:C25)</f>
        <v>119656.67088607592</v>
      </c>
      <c r="D26" s="67">
        <f>SUM(D24:D25)</f>
        <v>1189964.6565823634</v>
      </c>
      <c r="E26" s="79">
        <f>SUM(E24:E25)</f>
        <v>987391.6462585034</v>
      </c>
    </row>
    <row r="27" ht="16.5" thickBot="1" thickTop="1"/>
    <row r="28" spans="1:5" ht="15">
      <c r="A28" s="69" t="s">
        <v>7</v>
      </c>
      <c r="B28" s="70"/>
      <c r="C28" s="70"/>
      <c r="D28" s="70"/>
      <c r="E28" s="71">
        <f>E26-D26</f>
        <v>-202573.01032385998</v>
      </c>
    </row>
    <row r="29" spans="1:5" ht="15.75" thickBot="1">
      <c r="A29" s="72" t="s">
        <v>8</v>
      </c>
      <c r="B29" s="73"/>
      <c r="C29" s="73"/>
      <c r="D29" s="73"/>
      <c r="E29" s="74">
        <f>E28*0.5</f>
        <v>-101286.50516192999</v>
      </c>
    </row>
    <row r="30" spans="2:5" ht="15">
      <c r="B30" s="2"/>
      <c r="C30" s="2"/>
      <c r="D30" s="2"/>
      <c r="E30" s="2"/>
    </row>
    <row r="31" s="123" customFormat="1" ht="11.25">
      <c r="A31" s="122" t="s">
        <v>78</v>
      </c>
    </row>
    <row r="32" s="123" customFormat="1" ht="11.25">
      <c r="A32" s="122"/>
    </row>
  </sheetData>
  <sheetProtection/>
  <mergeCells count="3">
    <mergeCell ref="A6:A7"/>
    <mergeCell ref="B6:D6"/>
    <mergeCell ref="E6:E7"/>
  </mergeCells>
  <printOptions/>
  <pageMargins left="1" right="1" top="1" bottom="1" header="0.3" footer="0.3"/>
  <pageSetup fitToHeight="1" fitToWidth="1" horizontalDpi="600" verticalDpi="600" orientation="landscape" scale="97" r:id="rId1"/>
  <headerFooter>
    <oddFooter>&amp;L&amp;F
Tab: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2.421875" style="0" bestFit="1" customWidth="1"/>
    <col min="2" max="2" width="12.57421875" style="0" customWidth="1"/>
    <col min="3" max="3" width="12.7109375" style="0" customWidth="1"/>
    <col min="4" max="4" width="12.7109375" style="1" customWidth="1"/>
    <col min="5" max="6" width="12.7109375" style="8" customWidth="1"/>
    <col min="7" max="9" width="12.7109375" style="0" customWidth="1"/>
  </cols>
  <sheetData>
    <row r="1" spans="1:8" ht="18.75">
      <c r="A1" s="7" t="s">
        <v>14</v>
      </c>
      <c r="B1" s="4"/>
      <c r="C1" s="4"/>
      <c r="D1" s="109"/>
      <c r="E1" s="110"/>
      <c r="F1" s="110"/>
      <c r="G1" s="4"/>
      <c r="H1" s="4"/>
    </row>
    <row r="2" spans="1:8" ht="18.75">
      <c r="A2" s="7" t="s">
        <v>50</v>
      </c>
      <c r="B2" s="4"/>
      <c r="C2" s="4"/>
      <c r="D2" s="109"/>
      <c r="E2" s="110"/>
      <c r="F2" s="110"/>
      <c r="G2" s="4"/>
      <c r="H2" s="4"/>
    </row>
    <row r="3" spans="1:8" ht="19.5" thickBot="1">
      <c r="A3" s="55" t="s">
        <v>51</v>
      </c>
      <c r="B3" s="56"/>
      <c r="C3" s="56"/>
      <c r="D3" s="111"/>
      <c r="E3" s="112"/>
      <c r="F3" s="112"/>
      <c r="G3" s="56"/>
      <c r="H3" s="56"/>
    </row>
    <row r="4" ht="15.75" thickBot="1"/>
    <row r="5" spans="1:4" ht="15">
      <c r="A5" s="69" t="s">
        <v>52</v>
      </c>
      <c r="B5" s="101"/>
      <c r="C5" s="102"/>
      <c r="D5" s="103">
        <f>'2. Tax Savings'!E29</f>
        <v>-101286.50516192999</v>
      </c>
    </row>
    <row r="6" spans="1:4" ht="15">
      <c r="A6" s="104" t="s">
        <v>58</v>
      </c>
      <c r="B6" s="5"/>
      <c r="C6" s="6">
        <f>'1.BillingDeterminants'!L20</f>
        <v>0.8557714737662145</v>
      </c>
      <c r="D6" s="105">
        <f>D5*C6</f>
        <v>-86678.10179505413</v>
      </c>
    </row>
    <row r="7" spans="1:4" ht="15.75" thickBot="1">
      <c r="A7" s="72" t="s">
        <v>59</v>
      </c>
      <c r="B7" s="106"/>
      <c r="C7" s="107">
        <f>'1.BillingDeterminants'!L33</f>
        <v>0.14422852623378543</v>
      </c>
      <c r="D7" s="108">
        <f>D5*C7</f>
        <v>-14608.403366875864</v>
      </c>
    </row>
    <row r="9" spans="1:8" s="10" customFormat="1" ht="45">
      <c r="A9" s="93" t="s">
        <v>17</v>
      </c>
      <c r="B9" s="94" t="s">
        <v>18</v>
      </c>
      <c r="C9" s="94" t="s">
        <v>53</v>
      </c>
      <c r="D9" s="95" t="s">
        <v>54</v>
      </c>
      <c r="E9" s="96" t="s">
        <v>55</v>
      </c>
      <c r="F9" s="96" t="s">
        <v>60</v>
      </c>
      <c r="G9" s="94" t="s">
        <v>56</v>
      </c>
      <c r="H9" s="97" t="s">
        <v>57</v>
      </c>
    </row>
    <row r="10" spans="1:8" s="10" customFormat="1" ht="15">
      <c r="A10" s="113" t="s">
        <v>10</v>
      </c>
      <c r="B10" s="89"/>
      <c r="C10" s="89"/>
      <c r="D10" s="90"/>
      <c r="E10" s="91"/>
      <c r="F10" s="91"/>
      <c r="G10" s="89"/>
      <c r="H10" s="92"/>
    </row>
    <row r="11" spans="1:8" ht="15">
      <c r="A11" s="36" t="s">
        <v>26</v>
      </c>
      <c r="B11" s="5" t="str">
        <f>'1.BillingDeterminants'!B9</f>
        <v>kWh</v>
      </c>
      <c r="C11" s="6">
        <f>'1.BillingDeterminants'!M9</f>
        <v>0.5451426165174108</v>
      </c>
      <c r="D11" s="12">
        <f>$D$6*C11</f>
        <v>-47251.92720731829</v>
      </c>
      <c r="E11" s="13">
        <f>'1.BillingDeterminants'!D9</f>
        <v>233649318</v>
      </c>
      <c r="F11" s="13">
        <f>'1.BillingDeterminants'!E9</f>
        <v>0</v>
      </c>
      <c r="G11" s="14">
        <f>IF(D11=0," ",IF(B11="kWh",ROUND(D11/E11,4)," "))</f>
        <v>-0.0002</v>
      </c>
      <c r="H11" s="87" t="str">
        <f>IF(D11=0," ",IF(B11="kW",ROUND(D11/F11,4)," "))</f>
        <v> </v>
      </c>
    </row>
    <row r="12" spans="1:8" ht="15">
      <c r="A12" s="36" t="s">
        <v>34</v>
      </c>
      <c r="B12" s="5" t="str">
        <f>'1.BillingDeterminants'!B10</f>
        <v>kWh</v>
      </c>
      <c r="C12" s="6">
        <f>'1.BillingDeterminants'!M10</f>
        <v>0.14896142206937682</v>
      </c>
      <c r="D12" s="12">
        <f aca="true" t="shared" si="0" ref="D12:D20">$D$6*C12</f>
        <v>-12911.693305665467</v>
      </c>
      <c r="E12" s="13">
        <f>'1.BillingDeterminants'!D10</f>
        <v>90524721</v>
      </c>
      <c r="F12" s="13">
        <f>'1.BillingDeterminants'!E10</f>
        <v>0</v>
      </c>
      <c r="G12" s="14">
        <f aca="true" t="shared" si="1" ref="G12:G20">IF(D12=0," ",IF(B12="kWh",ROUND(D12/E12,4)," "))</f>
        <v>-0.0001</v>
      </c>
      <c r="H12" s="87" t="str">
        <f aca="true" t="shared" si="2" ref="H12:H20">IF(D12=0," ",IF(B12="kW",ROUND(D12/F12,4)," "))</f>
        <v> </v>
      </c>
    </row>
    <row r="13" spans="1:8" ht="15">
      <c r="A13" s="36" t="s">
        <v>35</v>
      </c>
      <c r="B13" s="5" t="str">
        <f>'1.BillingDeterminants'!B11</f>
        <v>kW</v>
      </c>
      <c r="C13" s="6">
        <f>'1.BillingDeterminants'!M11</f>
        <v>0.18598621875599336</v>
      </c>
      <c r="D13" s="12">
        <f t="shared" si="0"/>
        <v>-16120.932401809197</v>
      </c>
      <c r="E13" s="13">
        <f>'1.BillingDeterminants'!D11</f>
        <v>246167990</v>
      </c>
      <c r="F13" s="13">
        <f>'1.BillingDeterminants'!E11</f>
        <v>677184</v>
      </c>
      <c r="G13" s="14" t="str">
        <f t="shared" si="1"/>
        <v> </v>
      </c>
      <c r="H13" s="87">
        <f t="shared" si="2"/>
        <v>-0.0238</v>
      </c>
    </row>
    <row r="14" spans="1:8" ht="15">
      <c r="A14" s="36" t="s">
        <v>36</v>
      </c>
      <c r="B14" s="5" t="str">
        <f>'1.BillingDeterminants'!B12</f>
        <v>kW</v>
      </c>
      <c r="C14" s="6">
        <f>'1.BillingDeterminants'!M12</f>
        <v>0.08450559138927374</v>
      </c>
      <c r="D14" s="12">
        <f t="shared" si="0"/>
        <v>-7324.784252690719</v>
      </c>
      <c r="E14" s="13">
        <f>'1.BillingDeterminants'!D12</f>
        <v>114499112</v>
      </c>
      <c r="F14" s="13">
        <f>'1.BillingDeterminants'!E12</f>
        <v>278788</v>
      </c>
      <c r="G14" s="14" t="str">
        <f t="shared" si="1"/>
        <v> </v>
      </c>
      <c r="H14" s="87">
        <f t="shared" si="2"/>
        <v>-0.0263</v>
      </c>
    </row>
    <row r="15" spans="1:8" ht="15">
      <c r="A15" s="36" t="s">
        <v>27</v>
      </c>
      <c r="B15" s="5" t="str">
        <f>'1.BillingDeterminants'!B13</f>
        <v>kW</v>
      </c>
      <c r="C15" s="6">
        <f>'1.BillingDeterminants'!M13</f>
        <v>0.01581341679101998</v>
      </c>
      <c r="D15" s="12">
        <f t="shared" si="0"/>
        <v>-1370.6769503396479</v>
      </c>
      <c r="E15" s="13">
        <f>'1.BillingDeterminants'!D13</f>
        <v>28118306</v>
      </c>
      <c r="F15" s="13">
        <f>'1.BillingDeterminants'!E13</f>
        <v>66670</v>
      </c>
      <c r="G15" s="14" t="str">
        <f t="shared" si="1"/>
        <v> </v>
      </c>
      <c r="H15" s="87">
        <f t="shared" si="2"/>
        <v>-0.0206</v>
      </c>
    </row>
    <row r="16" spans="1:8" ht="15">
      <c r="A16" s="36" t="s">
        <v>33</v>
      </c>
      <c r="B16" s="5" t="str">
        <f>'1.BillingDeterminants'!B14</f>
        <v>kW</v>
      </c>
      <c r="C16" s="6">
        <f>'1.BillingDeterminants'!M14</f>
        <v>0</v>
      </c>
      <c r="D16" s="12">
        <f t="shared" si="0"/>
        <v>0</v>
      </c>
      <c r="E16" s="13">
        <f>'1.BillingDeterminants'!D14</f>
        <v>0</v>
      </c>
      <c r="F16" s="13">
        <f>'1.BillingDeterminants'!E14</f>
        <v>0</v>
      </c>
      <c r="G16" s="14" t="str">
        <f t="shared" si="1"/>
        <v> </v>
      </c>
      <c r="H16" s="87" t="str">
        <f t="shared" si="2"/>
        <v> </v>
      </c>
    </row>
    <row r="17" spans="1:8" ht="15">
      <c r="A17" s="36" t="s">
        <v>28</v>
      </c>
      <c r="B17" s="5" t="str">
        <f>'1.BillingDeterminants'!B15</f>
        <v>kWh</v>
      </c>
      <c r="C17" s="6">
        <f>'1.BillingDeterminants'!M15</f>
        <v>0.001660443551468159</v>
      </c>
      <c r="D17" s="12">
        <f t="shared" si="0"/>
        <v>-143.9240951790983</v>
      </c>
      <c r="E17" s="13">
        <f>'1.BillingDeterminants'!D15</f>
        <v>904732</v>
      </c>
      <c r="F17" s="13">
        <f>'1.BillingDeterminants'!E15</f>
        <v>0</v>
      </c>
      <c r="G17" s="14">
        <f t="shared" si="1"/>
        <v>-0.0002</v>
      </c>
      <c r="H17" s="87" t="str">
        <f t="shared" si="2"/>
        <v> </v>
      </c>
    </row>
    <row r="18" spans="1:8" ht="15">
      <c r="A18" s="36" t="s">
        <v>29</v>
      </c>
      <c r="B18" s="5" t="str">
        <f>'1.BillingDeterminants'!B16</f>
        <v>kW</v>
      </c>
      <c r="C18" s="6">
        <f>'1.BillingDeterminants'!M16</f>
        <v>0</v>
      </c>
      <c r="D18" s="12">
        <f t="shared" si="0"/>
        <v>0</v>
      </c>
      <c r="E18" s="13">
        <f>'1.BillingDeterminants'!D16</f>
        <v>0</v>
      </c>
      <c r="F18" s="13">
        <f>'1.BillingDeterminants'!E16</f>
        <v>0</v>
      </c>
      <c r="G18" s="14" t="str">
        <f t="shared" si="1"/>
        <v> </v>
      </c>
      <c r="H18" s="87" t="str">
        <f t="shared" si="2"/>
        <v> </v>
      </c>
    </row>
    <row r="19" spans="1:8" ht="15">
      <c r="A19" s="36" t="s">
        <v>30</v>
      </c>
      <c r="B19" s="5" t="str">
        <f>'1.BillingDeterminants'!B17</f>
        <v>kW</v>
      </c>
      <c r="C19" s="6">
        <f>'1.BillingDeterminants'!M17</f>
        <v>0.0022921777091750393</v>
      </c>
      <c r="D19" s="12">
        <f t="shared" si="0"/>
        <v>-198.68161280822804</v>
      </c>
      <c r="E19" s="13">
        <f>'1.BillingDeterminants'!D17</f>
        <v>361472</v>
      </c>
      <c r="F19" s="13">
        <f>'1.BillingDeterminants'!E17</f>
        <v>1016</v>
      </c>
      <c r="G19" s="14" t="str">
        <f t="shared" si="1"/>
        <v> </v>
      </c>
      <c r="H19" s="87">
        <f t="shared" si="2"/>
        <v>-0.1956</v>
      </c>
    </row>
    <row r="20" spans="1:8" ht="15">
      <c r="A20" s="38" t="s">
        <v>31</v>
      </c>
      <c r="B20" s="21" t="str">
        <f>'1.BillingDeterminants'!B18</f>
        <v>kW</v>
      </c>
      <c r="C20" s="65">
        <f>'1.BillingDeterminants'!M18</f>
        <v>0.015638113216282157</v>
      </c>
      <c r="D20" s="22">
        <f t="shared" si="0"/>
        <v>-1355.4819692434862</v>
      </c>
      <c r="E20" s="32">
        <f>'1.BillingDeterminants'!D18</f>
        <v>6615542</v>
      </c>
      <c r="F20" s="32">
        <f>'1.BillingDeterminants'!E18</f>
        <v>19516</v>
      </c>
      <c r="G20" s="33" t="str">
        <f t="shared" si="1"/>
        <v> </v>
      </c>
      <c r="H20" s="98">
        <f t="shared" si="2"/>
        <v>-0.0695</v>
      </c>
    </row>
    <row r="21" spans="1:8" ht="15.75" thickBot="1">
      <c r="A21" s="40" t="s">
        <v>12</v>
      </c>
      <c r="B21" s="28"/>
      <c r="C21" s="99">
        <f>SUM(C11:C20)</f>
        <v>0.9999999999999999</v>
      </c>
      <c r="D21" s="30">
        <f>SUM(D11:D20)</f>
        <v>-86678.10179505413</v>
      </c>
      <c r="E21" s="29"/>
      <c r="F21" s="29"/>
      <c r="G21" s="28"/>
      <c r="H21" s="100"/>
    </row>
    <row r="22" spans="1:8" ht="15.75" thickTop="1">
      <c r="A22" s="34" t="s">
        <v>9</v>
      </c>
      <c r="B22" s="16"/>
      <c r="C22" s="16"/>
      <c r="D22" s="17"/>
      <c r="E22" s="18"/>
      <c r="F22" s="18"/>
      <c r="G22" s="16"/>
      <c r="H22" s="88"/>
    </row>
    <row r="23" spans="1:9" ht="15">
      <c r="A23" s="36" t="s">
        <v>26</v>
      </c>
      <c r="B23" s="5" t="str">
        <f>'1.BillingDeterminants'!B22</f>
        <v>kWh</v>
      </c>
      <c r="C23" s="6">
        <f>'1.BillingDeterminants'!M22</f>
        <v>0.7352980597346218</v>
      </c>
      <c r="D23" s="12">
        <f>$D$7*C23</f>
        <v>-10741.53065148454</v>
      </c>
      <c r="E23" s="13">
        <f>'1.BillingDeterminants'!D22</f>
        <v>57204582</v>
      </c>
      <c r="F23" s="13">
        <f>'1.BillingDeterminants'!E22</f>
        <v>0</v>
      </c>
      <c r="G23" s="14">
        <f>IF(D23=0," ",IF(B23="kWh",ROUND(D23/E23,4)," "))</f>
        <v>-0.0002</v>
      </c>
      <c r="H23" s="87" t="str">
        <f>IF(D23=0," ",IF(B23="kW",ROUND(D23/F23,4)," "))</f>
        <v> </v>
      </c>
      <c r="I23" s="9"/>
    </row>
    <row r="24" spans="1:9" ht="15">
      <c r="A24" s="36" t="s">
        <v>34</v>
      </c>
      <c r="B24" s="5" t="str">
        <f>'1.BillingDeterminants'!B23</f>
        <v>kWh</v>
      </c>
      <c r="C24" s="6">
        <f>'1.BillingDeterminants'!M23</f>
        <v>0.08676671455394284</v>
      </c>
      <c r="D24" s="12">
        <f aca="true" t="shared" si="3" ref="D24:D32">$D$7*C24</f>
        <v>-1267.5231650225758</v>
      </c>
      <c r="E24" s="13">
        <f>'1.BillingDeterminants'!D23</f>
        <v>15968049</v>
      </c>
      <c r="F24" s="13">
        <f>'1.BillingDeterminants'!E23</f>
        <v>0</v>
      </c>
      <c r="G24" s="14">
        <f aca="true" t="shared" si="4" ref="G24:G32">IF(D24=0," ",IF(B24="kWh",ROUND(D24/E24,4)," "))</f>
        <v>-0.0001</v>
      </c>
      <c r="H24" s="87" t="str">
        <f aca="true" t="shared" si="5" ref="H24:H32">IF(D24=0," ",IF(B24="kW",ROUND(D24/F24,4)," "))</f>
        <v> </v>
      </c>
      <c r="I24" s="9"/>
    </row>
    <row r="25" spans="1:9" ht="15">
      <c r="A25" s="36" t="s">
        <v>35</v>
      </c>
      <c r="B25" s="5" t="str">
        <f>'1.BillingDeterminants'!B24</f>
        <v>kW</v>
      </c>
      <c r="C25" s="6">
        <f>'1.BillingDeterminants'!M24</f>
        <v>0.1540033192564949</v>
      </c>
      <c r="D25" s="12">
        <f t="shared" si="3"/>
        <v>-2249.742607536639</v>
      </c>
      <c r="E25" s="13">
        <f>'1.BillingDeterminants'!D24</f>
        <v>96514821</v>
      </c>
      <c r="F25" s="13">
        <f>'1.BillingDeterminants'!E24</f>
        <v>238896</v>
      </c>
      <c r="G25" s="14" t="str">
        <f t="shared" si="4"/>
        <v> </v>
      </c>
      <c r="H25" s="87">
        <f t="shared" si="5"/>
        <v>-0.0094</v>
      </c>
      <c r="I25" s="9"/>
    </row>
    <row r="26" spans="1:8" ht="15">
      <c r="A26" s="36" t="s">
        <v>36</v>
      </c>
      <c r="B26" s="5" t="str">
        <f>'1.BillingDeterminants'!B25</f>
        <v>kW</v>
      </c>
      <c r="C26" s="6">
        <f>'1.BillingDeterminants'!M25</f>
        <v>0</v>
      </c>
      <c r="D26" s="12">
        <f t="shared" si="3"/>
        <v>0</v>
      </c>
      <c r="E26" s="13">
        <f>'1.BillingDeterminants'!D25</f>
        <v>0</v>
      </c>
      <c r="F26" s="13">
        <f>'1.BillingDeterminants'!E25</f>
        <v>0</v>
      </c>
      <c r="G26" s="14" t="str">
        <f t="shared" si="4"/>
        <v> </v>
      </c>
      <c r="H26" s="87" t="str">
        <f t="shared" si="5"/>
        <v> </v>
      </c>
    </row>
    <row r="27" spans="1:8" ht="15">
      <c r="A27" s="36" t="s">
        <v>27</v>
      </c>
      <c r="B27" s="5" t="str">
        <f>'1.BillingDeterminants'!B26</f>
        <v>kW</v>
      </c>
      <c r="C27" s="6">
        <f>'1.BillingDeterminants'!M26</f>
        <v>0</v>
      </c>
      <c r="D27" s="12">
        <f t="shared" si="3"/>
        <v>0</v>
      </c>
      <c r="E27" s="13">
        <f>'1.BillingDeterminants'!D26</f>
        <v>0</v>
      </c>
      <c r="F27" s="13">
        <f>'1.BillingDeterminants'!E26</f>
        <v>0</v>
      </c>
      <c r="G27" s="14" t="str">
        <f t="shared" si="4"/>
        <v> </v>
      </c>
      <c r="H27" s="87" t="str">
        <f t="shared" si="5"/>
        <v> </v>
      </c>
    </row>
    <row r="28" spans="1:9" ht="15">
      <c r="A28" s="36" t="s">
        <v>33</v>
      </c>
      <c r="B28" s="5" t="str">
        <f>'1.BillingDeterminants'!B27</f>
        <v>kW</v>
      </c>
      <c r="C28" s="6">
        <f>'1.BillingDeterminants'!M27</f>
        <v>0.018780641461597584</v>
      </c>
      <c r="D28" s="12">
        <f t="shared" si="3"/>
        <v>-274.3551859596906</v>
      </c>
      <c r="E28" s="13">
        <f>'1.BillingDeterminants'!D27</f>
        <v>34317082</v>
      </c>
      <c r="F28" s="13">
        <f>'1.BillingDeterminants'!E27</f>
        <v>67537</v>
      </c>
      <c r="G28" s="14" t="str">
        <f t="shared" si="4"/>
        <v> </v>
      </c>
      <c r="H28" s="87">
        <f t="shared" si="5"/>
        <v>-0.0041</v>
      </c>
      <c r="I28" s="9"/>
    </row>
    <row r="29" spans="1:9" ht="15">
      <c r="A29" s="36" t="s">
        <v>28</v>
      </c>
      <c r="B29" s="5" t="str">
        <f>'1.BillingDeterminants'!B28</f>
        <v>kWh</v>
      </c>
      <c r="C29" s="6">
        <f>'1.BillingDeterminants'!M28</f>
        <v>0.002807200538572392</v>
      </c>
      <c r="D29" s="12">
        <f t="shared" si="3"/>
        <v>-41.00871779917667</v>
      </c>
      <c r="E29" s="13">
        <f>'1.BillingDeterminants'!D28</f>
        <v>298717</v>
      </c>
      <c r="F29" s="13">
        <f>'1.BillingDeterminants'!E28</f>
        <v>0</v>
      </c>
      <c r="G29" s="14">
        <f t="shared" si="4"/>
        <v>-0.0001</v>
      </c>
      <c r="H29" s="87" t="str">
        <f t="shared" si="5"/>
        <v> </v>
      </c>
      <c r="I29" s="9"/>
    </row>
    <row r="30" spans="1:8" ht="15">
      <c r="A30" s="36" t="s">
        <v>29</v>
      </c>
      <c r="B30" s="5" t="str">
        <f>'1.BillingDeterminants'!B29</f>
        <v>kW</v>
      </c>
      <c r="C30" s="6">
        <f>'1.BillingDeterminants'!M29</f>
        <v>0</v>
      </c>
      <c r="D30" s="12">
        <f t="shared" si="3"/>
        <v>0</v>
      </c>
      <c r="E30" s="13">
        <f>'1.BillingDeterminants'!D29</f>
        <v>0</v>
      </c>
      <c r="F30" s="13">
        <f>'1.BillingDeterminants'!E29</f>
        <v>0</v>
      </c>
      <c r="G30" s="14" t="str">
        <f t="shared" si="4"/>
        <v> </v>
      </c>
      <c r="H30" s="87" t="str">
        <f t="shared" si="5"/>
        <v> </v>
      </c>
    </row>
    <row r="31" spans="1:9" ht="15">
      <c r="A31" s="36" t="s">
        <v>30</v>
      </c>
      <c r="B31" s="5" t="str">
        <f>'1.BillingDeterminants'!B30</f>
        <v>kW</v>
      </c>
      <c r="C31" s="6">
        <f>'1.BillingDeterminants'!M30</f>
        <v>8.601502199152398E-05</v>
      </c>
      <c r="D31" s="12">
        <f t="shared" si="3"/>
        <v>-1.2565421368628804</v>
      </c>
      <c r="E31" s="13">
        <f>'1.BillingDeterminants'!D30</f>
        <v>42906</v>
      </c>
      <c r="F31" s="13">
        <f>'1.BillingDeterminants'!E30</f>
        <v>120</v>
      </c>
      <c r="G31" s="14" t="str">
        <f t="shared" si="4"/>
        <v> </v>
      </c>
      <c r="H31" s="87">
        <f t="shared" si="5"/>
        <v>-0.0105</v>
      </c>
      <c r="I31" s="9"/>
    </row>
    <row r="32" spans="1:9" ht="15">
      <c r="A32" s="38" t="s">
        <v>31</v>
      </c>
      <c r="B32" s="21" t="str">
        <f>'1.BillingDeterminants'!B31</f>
        <v>kW</v>
      </c>
      <c r="C32" s="65">
        <f>'1.BillingDeterminants'!M31</f>
        <v>0.002258049432779088</v>
      </c>
      <c r="D32" s="22">
        <f t="shared" si="3"/>
        <v>-32.98649693638217</v>
      </c>
      <c r="E32" s="32">
        <f>'1.BillingDeterminants'!D31</f>
        <v>1463048</v>
      </c>
      <c r="F32" s="32">
        <f>'1.BillingDeterminants'!E31</f>
        <v>4316</v>
      </c>
      <c r="G32" s="33" t="str">
        <f t="shared" si="4"/>
        <v> </v>
      </c>
      <c r="H32" s="98">
        <f t="shared" si="5"/>
        <v>-0.0076</v>
      </c>
      <c r="I32" s="9"/>
    </row>
    <row r="33" spans="1:8" ht="15.75" thickBot="1">
      <c r="A33" s="40" t="s">
        <v>12</v>
      </c>
      <c r="B33" s="28"/>
      <c r="C33" s="99">
        <f>SUM(C23:C32)</f>
        <v>1.0000000000000002</v>
      </c>
      <c r="D33" s="30">
        <f>SUM(D23:D32)</f>
        <v>-14608.403366875868</v>
      </c>
      <c r="E33" s="29"/>
      <c r="F33" s="29"/>
      <c r="G33" s="28"/>
      <c r="H33" s="100"/>
    </row>
    <row r="34" ht="15.75" thickTop="1"/>
    <row r="35" spans="1:2" ht="15">
      <c r="A35" s="10"/>
      <c r="B35" s="10"/>
    </row>
    <row r="36" spans="3:8" ht="15">
      <c r="C36" s="3"/>
      <c r="G36" s="9"/>
      <c r="H36" s="9"/>
    </row>
    <row r="37" spans="3:8" ht="15">
      <c r="C37" s="3"/>
      <c r="G37" s="9"/>
      <c r="H37" s="9"/>
    </row>
    <row r="38" spans="3:8" ht="15">
      <c r="C38" s="3"/>
      <c r="G38" s="9"/>
      <c r="H38" s="9"/>
    </row>
    <row r="39" spans="3:8" ht="15">
      <c r="C39" s="3"/>
      <c r="G39" s="9"/>
      <c r="H39" s="9"/>
    </row>
    <row r="40" spans="3:8" ht="15">
      <c r="C40" s="3"/>
      <c r="G40" s="9"/>
      <c r="H40" s="9"/>
    </row>
    <row r="41" spans="3:8" ht="15">
      <c r="C41" s="3"/>
      <c r="G41" s="9"/>
      <c r="H41" s="9"/>
    </row>
    <row r="42" spans="3:8" ht="15">
      <c r="C42" s="3"/>
      <c r="G42" s="9"/>
      <c r="H42" s="9"/>
    </row>
    <row r="43" spans="3:8" ht="15">
      <c r="C43" s="3"/>
      <c r="G43" s="9"/>
      <c r="H43" s="9"/>
    </row>
    <row r="44" spans="3:8" ht="15">
      <c r="C44" s="3"/>
      <c r="G44" s="9"/>
      <c r="H44" s="9"/>
    </row>
    <row r="45" spans="3:8" ht="15">
      <c r="C45" s="3"/>
      <c r="G45" s="9"/>
      <c r="H45" s="9"/>
    </row>
    <row r="46" ht="15">
      <c r="C46" s="11"/>
    </row>
  </sheetData>
  <sheetProtection/>
  <printOptions/>
  <pageMargins left="1" right="1" top="1" bottom="1" header="0.3" footer="0.3"/>
  <pageSetup fitToHeight="1" fitToWidth="1" horizontalDpi="600" verticalDpi="600" orientation="landscape" scale="89" r:id="rId1"/>
  <headerFooter>
    <oddFooter>&amp;L&amp;F
Tab: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Chatham-Kent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andrya.eagen</dc:creator>
  <cp:keywords/>
  <dc:description/>
  <cp:lastModifiedBy>ryan.diotte</cp:lastModifiedBy>
  <cp:lastPrinted>2012-09-14T14:45:32Z</cp:lastPrinted>
  <dcterms:created xsi:type="dcterms:W3CDTF">2012-07-31T12:39:24Z</dcterms:created>
  <dcterms:modified xsi:type="dcterms:W3CDTF">2013-11-25T20:23:13Z</dcterms:modified>
  <cp:category/>
  <cp:version/>
  <cp:contentType/>
  <cp:contentStatus/>
</cp:coreProperties>
</file>